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ADMIN\Desktop\QUYNH\SHARE\LOGO\"/>
    </mc:Choice>
  </mc:AlternateContent>
  <xr:revisionPtr revIDLastSave="0" documentId="13_ncr:1_{8170DAFB-7E42-4372-A194-785D74E0E216}" xr6:coauthVersionLast="47" xr6:coauthVersionMax="47" xr10:uidLastSave="{00000000-0000-0000-0000-000000000000}"/>
  <workbookProtection workbookPassword="D0B3" lockStructure="1"/>
  <bookViews>
    <workbookView xWindow="-50" yWindow="-50" windowWidth="24142" windowHeight="12897" activeTab="6" xr2:uid="{00000000-000D-0000-FFFF-FFFF00000000}"/>
  </bookViews>
  <sheets>
    <sheet name="xnkbot.com" sheetId="1" r:id="rId1"/>
    <sheet name="HuongDan" sheetId="2" r:id="rId2"/>
    <sheet name="So_do_ket_noi" sheetId="3" r:id="rId3"/>
    <sheet name="ThongTin" sheetId="4" r:id="rId4"/>
    <sheet name="DM_NL" sheetId="5" r:id="rId5"/>
    <sheet name="DM_SP" sheetId="6" r:id="rId6"/>
    <sheet name="BOM" sheetId="7" r:id="rId7"/>
    <sheet name="TK_Nhap" sheetId="8" r:id="rId8"/>
    <sheet name="TK_Xuat" sheetId="9" r:id="rId9"/>
    <sheet name="Kho_NL" sheetId="10" r:id="rId10"/>
    <sheet name="Kho_SP" sheetId="11" r:id="rId11"/>
    <sheet name="Cau_noi" sheetId="12" r:id="rId12"/>
    <sheet name="Mau15" sheetId="13" r:id="rId13"/>
    <sheet name="Mau15a" sheetId="14" r:id="rId14"/>
    <sheet name="Mau16" sheetId="15" r:id="rId15"/>
    <sheet name="KT_DMTT_ChiTiet" sheetId="16" r:id="rId16"/>
    <sheet name="KT_nguoc_theo_NL" sheetId="17" r:id="rId17"/>
    <sheet name="KT_nguoc_theo_SP" sheetId="18" r:id="rId18"/>
    <sheet name="DoiChieu_NL" sheetId="19" r:id="rId19"/>
    <sheet name="DoiChieu_SP" sheetId="20" r:id="rId20"/>
  </sheets>
  <definedNames>
    <definedName name="_xlnm._FilterDatabase" localSheetId="18" hidden="1">DoiChieu_NL!$A$7:$S$307</definedName>
    <definedName name="_xlnm._FilterDatabase" localSheetId="19" hidden="1">DoiChieu_SP!$A$7:$S$307</definedName>
    <definedName name="_xlnm._FilterDatabase" localSheetId="12" hidden="1">'Mau15'!$A$10:$L$310</definedName>
    <definedName name="_xlnm._FilterDatabase" localSheetId="13" hidden="1">Mau15a!$A$10:$L$310</definedName>
    <definedName name="_xlnm._FilterDatabase" localSheetId="14" hidden="1">'Mau16'!$A$10:$I$1010</definedName>
    <definedName name="_xlnm.Print_Area" localSheetId="12">'Mau15'!$A$1:$L$321</definedName>
    <definedName name="_xlnm.Print_Area" localSheetId="13">Mau15a!$A$1:$L$321</definedName>
    <definedName name="_xlnm.Print_Area" localSheetId="14">'Mau16'!$A$1:$I$1020</definedName>
    <definedName name="_xlnm.Print_Titles" localSheetId="12">'Mau15'!$8:$10</definedName>
    <definedName name="_xlnm.Print_Titles" localSheetId="13">Mau15a!$8:$10</definedName>
    <definedName name="_xlnm.Print_Titles" localSheetId="14">'Mau16'!$8:$10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04" i="18" l="1"/>
  <c r="F1004" i="18"/>
  <c r="E1004" i="18"/>
  <c r="G1004" i="18" s="1"/>
  <c r="K1004" i="18" s="1"/>
  <c r="B1004" i="18"/>
  <c r="D1004" i="18" s="1"/>
  <c r="B1003" i="18"/>
  <c r="B1002" i="18"/>
  <c r="F1002" i="18" s="1"/>
  <c r="A1002" i="18"/>
  <c r="M1001" i="18"/>
  <c r="F1001" i="18"/>
  <c r="E1001" i="18"/>
  <c r="H1001" i="18" s="1"/>
  <c r="D1001" i="18"/>
  <c r="B1001" i="18"/>
  <c r="C1001" i="18" s="1"/>
  <c r="A1001" i="18"/>
  <c r="C1000" i="18"/>
  <c r="B1000" i="18"/>
  <c r="A1000" i="18"/>
  <c r="F999" i="18"/>
  <c r="C999" i="18"/>
  <c r="B999" i="18"/>
  <c r="M999" i="18" s="1"/>
  <c r="A999" i="18"/>
  <c r="M998" i="18"/>
  <c r="F998" i="18"/>
  <c r="E998" i="18"/>
  <c r="D998" i="18"/>
  <c r="C998" i="18"/>
  <c r="B998" i="18"/>
  <c r="A998" i="18"/>
  <c r="B997" i="18"/>
  <c r="M996" i="18"/>
  <c r="F996" i="18"/>
  <c r="E996" i="18"/>
  <c r="G996" i="18" s="1"/>
  <c r="K996" i="18" s="1"/>
  <c r="B996" i="18"/>
  <c r="D996" i="18" s="1"/>
  <c r="D995" i="18"/>
  <c r="B995" i="18"/>
  <c r="D994" i="18"/>
  <c r="B994" i="18"/>
  <c r="F994" i="18" s="1"/>
  <c r="A994" i="18"/>
  <c r="M993" i="18"/>
  <c r="F993" i="18"/>
  <c r="E993" i="18"/>
  <c r="H993" i="18" s="1"/>
  <c r="D993" i="18"/>
  <c r="B993" i="18"/>
  <c r="C993" i="18" s="1"/>
  <c r="A993" i="18"/>
  <c r="C992" i="18"/>
  <c r="B992" i="18"/>
  <c r="A992" i="18"/>
  <c r="F991" i="18"/>
  <c r="C991" i="18"/>
  <c r="B991" i="18"/>
  <c r="M991" i="18" s="1"/>
  <c r="A991" i="18"/>
  <c r="M990" i="18"/>
  <c r="F990" i="18"/>
  <c r="E990" i="18"/>
  <c r="D990" i="18"/>
  <c r="C990" i="18"/>
  <c r="B990" i="18"/>
  <c r="A990" i="18"/>
  <c r="B989" i="18"/>
  <c r="M988" i="18"/>
  <c r="F988" i="18"/>
  <c r="E988" i="18"/>
  <c r="G988" i="18" s="1"/>
  <c r="K988" i="18" s="1"/>
  <c r="B988" i="18"/>
  <c r="D988" i="18" s="1"/>
  <c r="D987" i="18"/>
  <c r="B987" i="18"/>
  <c r="D986" i="18"/>
  <c r="B986" i="18"/>
  <c r="F986" i="18" s="1"/>
  <c r="A986" i="18"/>
  <c r="M985" i="18"/>
  <c r="F985" i="18"/>
  <c r="E985" i="18"/>
  <c r="H985" i="18" s="1"/>
  <c r="D985" i="18"/>
  <c r="B985" i="18"/>
  <c r="C985" i="18" s="1"/>
  <c r="A985" i="18"/>
  <c r="C984" i="18"/>
  <c r="B984" i="18"/>
  <c r="A984" i="18"/>
  <c r="F983" i="18"/>
  <c r="C983" i="18"/>
  <c r="B983" i="18"/>
  <c r="M983" i="18" s="1"/>
  <c r="A983" i="18"/>
  <c r="M982" i="18"/>
  <c r="F982" i="18"/>
  <c r="E982" i="18"/>
  <c r="D982" i="18"/>
  <c r="C982" i="18"/>
  <c r="B982" i="18"/>
  <c r="A982" i="18"/>
  <c r="B981" i="18"/>
  <c r="M980" i="18"/>
  <c r="G980" i="18"/>
  <c r="K980" i="18" s="1"/>
  <c r="F980" i="18"/>
  <c r="E980" i="18"/>
  <c r="B980" i="18"/>
  <c r="D980" i="18" s="1"/>
  <c r="D979" i="18"/>
  <c r="B979" i="18"/>
  <c r="D978" i="18"/>
  <c r="B978" i="18"/>
  <c r="F978" i="18" s="1"/>
  <c r="A978" i="18"/>
  <c r="M977" i="18"/>
  <c r="F977" i="18"/>
  <c r="E977" i="18"/>
  <c r="H977" i="18" s="1"/>
  <c r="D977" i="18"/>
  <c r="B977" i="18"/>
  <c r="C977" i="18" s="1"/>
  <c r="A977" i="18"/>
  <c r="C976" i="18"/>
  <c r="B976" i="18"/>
  <c r="A976" i="18"/>
  <c r="F975" i="18"/>
  <c r="C975" i="18"/>
  <c r="B975" i="18"/>
  <c r="M975" i="18" s="1"/>
  <c r="A975" i="18"/>
  <c r="M974" i="18"/>
  <c r="F974" i="18"/>
  <c r="E974" i="18"/>
  <c r="D974" i="18"/>
  <c r="C974" i="18"/>
  <c r="B974" i="18"/>
  <c r="A974" i="18" s="1"/>
  <c r="B973" i="18"/>
  <c r="M972" i="18"/>
  <c r="F972" i="18"/>
  <c r="E972" i="18"/>
  <c r="G972" i="18" s="1"/>
  <c r="K972" i="18" s="1"/>
  <c r="B972" i="18"/>
  <c r="D972" i="18" s="1"/>
  <c r="B971" i="18"/>
  <c r="D970" i="18"/>
  <c r="B970" i="18"/>
  <c r="F970" i="18" s="1"/>
  <c r="A970" i="18"/>
  <c r="M969" i="18"/>
  <c r="F969" i="18"/>
  <c r="E969" i="18"/>
  <c r="H969" i="18" s="1"/>
  <c r="D969" i="18"/>
  <c r="B969" i="18"/>
  <c r="C969" i="18" s="1"/>
  <c r="A969" i="18"/>
  <c r="C968" i="18"/>
  <c r="B968" i="18"/>
  <c r="A968" i="18"/>
  <c r="F967" i="18"/>
  <c r="C967" i="18"/>
  <c r="B967" i="18"/>
  <c r="M967" i="18" s="1"/>
  <c r="A967" i="18"/>
  <c r="M966" i="18"/>
  <c r="F966" i="18"/>
  <c r="E966" i="18"/>
  <c r="D966" i="18"/>
  <c r="C966" i="18"/>
  <c r="B966" i="18"/>
  <c r="A966" i="18" s="1"/>
  <c r="B965" i="18"/>
  <c r="M964" i="18"/>
  <c r="F964" i="18"/>
  <c r="E964" i="18"/>
  <c r="G964" i="18" s="1"/>
  <c r="K964" i="18" s="1"/>
  <c r="B964" i="18"/>
  <c r="D964" i="18" s="1"/>
  <c r="D963" i="18"/>
  <c r="B963" i="18"/>
  <c r="D962" i="18"/>
  <c r="B962" i="18"/>
  <c r="F962" i="18" s="1"/>
  <c r="A962" i="18"/>
  <c r="M961" i="18"/>
  <c r="F961" i="18"/>
  <c r="E961" i="18"/>
  <c r="H961" i="18" s="1"/>
  <c r="D961" i="18"/>
  <c r="B961" i="18"/>
  <c r="C961" i="18" s="1"/>
  <c r="A961" i="18"/>
  <c r="C960" i="18"/>
  <c r="B960" i="18"/>
  <c r="A960" i="18"/>
  <c r="F959" i="18"/>
  <c r="C959" i="18"/>
  <c r="B959" i="18"/>
  <c r="M959" i="18" s="1"/>
  <c r="A959" i="18"/>
  <c r="M958" i="18"/>
  <c r="F958" i="18"/>
  <c r="E958" i="18"/>
  <c r="D958" i="18"/>
  <c r="C958" i="18"/>
  <c r="B958" i="18"/>
  <c r="A958" i="18" s="1"/>
  <c r="B957" i="18"/>
  <c r="M956" i="18"/>
  <c r="G956" i="18"/>
  <c r="K956" i="18" s="1"/>
  <c r="F956" i="18"/>
  <c r="E956" i="18"/>
  <c r="B956" i="18"/>
  <c r="D956" i="18" s="1"/>
  <c r="B955" i="18"/>
  <c r="D954" i="18"/>
  <c r="B954" i="18"/>
  <c r="F954" i="18" s="1"/>
  <c r="A954" i="18"/>
  <c r="M953" i="18"/>
  <c r="F953" i="18"/>
  <c r="E953" i="18"/>
  <c r="H953" i="18" s="1"/>
  <c r="D953" i="18"/>
  <c r="B953" i="18"/>
  <c r="C953" i="18" s="1"/>
  <c r="A953" i="18"/>
  <c r="C952" i="18"/>
  <c r="B952" i="18"/>
  <c r="A952" i="18"/>
  <c r="F951" i="18"/>
  <c r="C951" i="18"/>
  <c r="B951" i="18"/>
  <c r="M951" i="18" s="1"/>
  <c r="A951" i="18"/>
  <c r="M950" i="18"/>
  <c r="F950" i="18"/>
  <c r="E950" i="18"/>
  <c r="D950" i="18"/>
  <c r="C950" i="18"/>
  <c r="B950" i="18"/>
  <c r="A950" i="18" s="1"/>
  <c r="B949" i="18"/>
  <c r="M948" i="18"/>
  <c r="F948" i="18"/>
  <c r="E948" i="18"/>
  <c r="G948" i="18" s="1"/>
  <c r="K948" i="18" s="1"/>
  <c r="B948" i="18"/>
  <c r="D948" i="18" s="1"/>
  <c r="D947" i="18"/>
  <c r="B947" i="18"/>
  <c r="D946" i="18"/>
  <c r="B946" i="18"/>
  <c r="F946" i="18" s="1"/>
  <c r="A946" i="18"/>
  <c r="M945" i="18"/>
  <c r="F945" i="18"/>
  <c r="E945" i="18"/>
  <c r="H945" i="18" s="1"/>
  <c r="D945" i="18"/>
  <c r="B945" i="18"/>
  <c r="C945" i="18" s="1"/>
  <c r="A945" i="18"/>
  <c r="B944" i="18"/>
  <c r="A944" i="18" s="1"/>
  <c r="F943" i="18"/>
  <c r="C943" i="18"/>
  <c r="B943" i="18"/>
  <c r="M943" i="18" s="1"/>
  <c r="A943" i="18"/>
  <c r="M942" i="18"/>
  <c r="F942" i="18"/>
  <c r="E942" i="18"/>
  <c r="D942" i="18"/>
  <c r="C942" i="18"/>
  <c r="B942" i="18"/>
  <c r="A942" i="18" s="1"/>
  <c r="B941" i="18"/>
  <c r="A941" i="18"/>
  <c r="M940" i="18"/>
  <c r="F940" i="18"/>
  <c r="E940" i="18"/>
  <c r="G940" i="18" s="1"/>
  <c r="K940" i="18" s="1"/>
  <c r="B940" i="18"/>
  <c r="D940" i="18" s="1"/>
  <c r="C939" i="18"/>
  <c r="B939" i="18"/>
  <c r="D938" i="18"/>
  <c r="B938" i="18"/>
  <c r="F938" i="18" s="1"/>
  <c r="A938" i="18"/>
  <c r="M937" i="18"/>
  <c r="F937" i="18"/>
  <c r="E937" i="18"/>
  <c r="D937" i="18"/>
  <c r="B937" i="18"/>
  <c r="C937" i="18" s="1"/>
  <c r="A937" i="18"/>
  <c r="C936" i="18"/>
  <c r="B936" i="18"/>
  <c r="A936" i="18"/>
  <c r="F935" i="18"/>
  <c r="C935" i="18"/>
  <c r="B935" i="18"/>
  <c r="M935" i="18" s="1"/>
  <c r="A935" i="18"/>
  <c r="M934" i="18"/>
  <c r="F934" i="18"/>
  <c r="E934" i="18"/>
  <c r="D934" i="18"/>
  <c r="C934" i="18"/>
  <c r="B934" i="18"/>
  <c r="A934" i="18" s="1"/>
  <c r="B933" i="18"/>
  <c r="B932" i="18"/>
  <c r="D931" i="18"/>
  <c r="C931" i="18"/>
  <c r="B931" i="18"/>
  <c r="D930" i="18"/>
  <c r="B930" i="18"/>
  <c r="F930" i="18" s="1"/>
  <c r="A930" i="18"/>
  <c r="M929" i="18"/>
  <c r="F929" i="18"/>
  <c r="E929" i="18"/>
  <c r="D929" i="18"/>
  <c r="B929" i="18"/>
  <c r="C929" i="18" s="1"/>
  <c r="A929" i="18"/>
  <c r="F928" i="18"/>
  <c r="B928" i="18"/>
  <c r="A928" i="18" s="1"/>
  <c r="F927" i="18"/>
  <c r="C927" i="18"/>
  <c r="B927" i="18"/>
  <c r="M927" i="18" s="1"/>
  <c r="A927" i="18"/>
  <c r="M926" i="18"/>
  <c r="F926" i="18"/>
  <c r="E926" i="18"/>
  <c r="G926" i="18" s="1"/>
  <c r="K926" i="18" s="1"/>
  <c r="D926" i="18"/>
  <c r="C926" i="18"/>
  <c r="B926" i="18"/>
  <c r="A926" i="18" s="1"/>
  <c r="M925" i="18"/>
  <c r="E925" i="18"/>
  <c r="H925" i="18" s="1"/>
  <c r="B925" i="18"/>
  <c r="A925" i="18"/>
  <c r="F924" i="18"/>
  <c r="B924" i="18"/>
  <c r="D923" i="18"/>
  <c r="C923" i="18"/>
  <c r="B923" i="18"/>
  <c r="D922" i="18"/>
  <c r="B922" i="18"/>
  <c r="F922" i="18" s="1"/>
  <c r="A922" i="18"/>
  <c r="M921" i="18"/>
  <c r="F921" i="18"/>
  <c r="E921" i="18"/>
  <c r="D921" i="18"/>
  <c r="B921" i="18"/>
  <c r="C921" i="18" s="1"/>
  <c r="A921" i="18"/>
  <c r="F920" i="18"/>
  <c r="B920" i="18"/>
  <c r="A920" i="18" s="1"/>
  <c r="F919" i="18"/>
  <c r="C919" i="18"/>
  <c r="B919" i="18"/>
  <c r="M919" i="18" s="1"/>
  <c r="M918" i="18"/>
  <c r="K918" i="18"/>
  <c r="H918" i="18"/>
  <c r="I918" i="18" s="1"/>
  <c r="J918" i="18" s="1"/>
  <c r="F918" i="18"/>
  <c r="E918" i="18"/>
  <c r="G918" i="18" s="1"/>
  <c r="D918" i="18"/>
  <c r="C918" i="18"/>
  <c r="B918" i="18"/>
  <c r="A918" i="18" s="1"/>
  <c r="B917" i="18"/>
  <c r="A917" i="18" s="1"/>
  <c r="F916" i="18"/>
  <c r="B916" i="18"/>
  <c r="A916" i="18" s="1"/>
  <c r="M915" i="18"/>
  <c r="G915" i="18"/>
  <c r="E915" i="18"/>
  <c r="D915" i="18"/>
  <c r="C915" i="18"/>
  <c r="B915" i="18"/>
  <c r="B914" i="18"/>
  <c r="M913" i="18"/>
  <c r="F913" i="18"/>
  <c r="E913" i="18"/>
  <c r="D913" i="18"/>
  <c r="B913" i="18"/>
  <c r="C913" i="18" s="1"/>
  <c r="A913" i="18"/>
  <c r="M912" i="18"/>
  <c r="E912" i="18"/>
  <c r="C912" i="18"/>
  <c r="B912" i="18"/>
  <c r="F912" i="18" s="1"/>
  <c r="A912" i="18"/>
  <c r="K911" i="18"/>
  <c r="G911" i="18"/>
  <c r="F911" i="18"/>
  <c r="E911" i="18"/>
  <c r="C911" i="18"/>
  <c r="B911" i="18"/>
  <c r="M911" i="18" s="1"/>
  <c r="A911" i="18"/>
  <c r="F910" i="18"/>
  <c r="D910" i="18"/>
  <c r="B910" i="18"/>
  <c r="M910" i="18" s="1"/>
  <c r="M909" i="18"/>
  <c r="F909" i="18"/>
  <c r="E909" i="18"/>
  <c r="D909" i="18"/>
  <c r="C909" i="18"/>
  <c r="B909" i="18"/>
  <c r="A909" i="18"/>
  <c r="B908" i="18"/>
  <c r="M907" i="18"/>
  <c r="G907" i="18"/>
  <c r="E907" i="18"/>
  <c r="C907" i="18"/>
  <c r="B907" i="18"/>
  <c r="D907" i="18" s="1"/>
  <c r="A907" i="18"/>
  <c r="B906" i="18"/>
  <c r="M905" i="18"/>
  <c r="G905" i="18"/>
  <c r="E905" i="18"/>
  <c r="H905" i="18" s="1"/>
  <c r="I905" i="18" s="1"/>
  <c r="D905" i="18"/>
  <c r="C905" i="18"/>
  <c r="B905" i="18"/>
  <c r="F905" i="18" s="1"/>
  <c r="A905" i="18"/>
  <c r="F904" i="18"/>
  <c r="D904" i="18"/>
  <c r="B904" i="18"/>
  <c r="C904" i="18" s="1"/>
  <c r="M903" i="18"/>
  <c r="K903" i="18"/>
  <c r="I903" i="18"/>
  <c r="G903" i="18"/>
  <c r="F903" i="18"/>
  <c r="E903" i="18"/>
  <c r="C903" i="18"/>
  <c r="B903" i="18"/>
  <c r="H903" i="18" s="1"/>
  <c r="A903" i="18"/>
  <c r="F902" i="18"/>
  <c r="D902" i="18"/>
  <c r="B902" i="18"/>
  <c r="M902" i="18" s="1"/>
  <c r="M901" i="18"/>
  <c r="F901" i="18"/>
  <c r="E901" i="18"/>
  <c r="D901" i="18"/>
  <c r="C901" i="18"/>
  <c r="B901" i="18"/>
  <c r="A901" i="18"/>
  <c r="B900" i="18"/>
  <c r="M899" i="18"/>
  <c r="G899" i="18"/>
  <c r="E899" i="18"/>
  <c r="C899" i="18"/>
  <c r="B899" i="18"/>
  <c r="D899" i="18" s="1"/>
  <c r="A899" i="18"/>
  <c r="B898" i="18"/>
  <c r="M897" i="18"/>
  <c r="I897" i="18"/>
  <c r="G897" i="18"/>
  <c r="E897" i="18"/>
  <c r="H897" i="18" s="1"/>
  <c r="D897" i="18"/>
  <c r="C897" i="18"/>
  <c r="B897" i="18"/>
  <c r="F897" i="18" s="1"/>
  <c r="A897" i="18"/>
  <c r="F896" i="18"/>
  <c r="D896" i="18"/>
  <c r="B896" i="18"/>
  <c r="C896" i="18" s="1"/>
  <c r="M895" i="18"/>
  <c r="K895" i="18"/>
  <c r="G895" i="18"/>
  <c r="F895" i="18"/>
  <c r="E895" i="18"/>
  <c r="C895" i="18"/>
  <c r="B895" i="18"/>
  <c r="H895" i="18" s="1"/>
  <c r="I895" i="18" s="1"/>
  <c r="A895" i="18"/>
  <c r="F894" i="18"/>
  <c r="D894" i="18"/>
  <c r="B894" i="18"/>
  <c r="M894" i="18" s="1"/>
  <c r="M893" i="18"/>
  <c r="F893" i="18"/>
  <c r="E893" i="18"/>
  <c r="D893" i="18"/>
  <c r="C893" i="18"/>
  <c r="B893" i="18"/>
  <c r="A893" i="18"/>
  <c r="B892" i="18"/>
  <c r="M891" i="18"/>
  <c r="G891" i="18"/>
  <c r="E891" i="18"/>
  <c r="C891" i="18"/>
  <c r="B891" i="18"/>
  <c r="D891" i="18" s="1"/>
  <c r="A891" i="18"/>
  <c r="D890" i="18"/>
  <c r="B890" i="18"/>
  <c r="M889" i="18"/>
  <c r="I889" i="18"/>
  <c r="G889" i="18"/>
  <c r="K889" i="18" s="1"/>
  <c r="E889" i="18"/>
  <c r="H889" i="18" s="1"/>
  <c r="D889" i="18"/>
  <c r="C889" i="18"/>
  <c r="B889" i="18"/>
  <c r="F889" i="18" s="1"/>
  <c r="A889" i="18"/>
  <c r="F888" i="18"/>
  <c r="D888" i="18"/>
  <c r="B888" i="18"/>
  <c r="C888" i="18" s="1"/>
  <c r="M887" i="18"/>
  <c r="K887" i="18"/>
  <c r="G887" i="18"/>
  <c r="F887" i="18"/>
  <c r="E887" i="18"/>
  <c r="C887" i="18"/>
  <c r="B887" i="18"/>
  <c r="H887" i="18" s="1"/>
  <c r="I887" i="18" s="1"/>
  <c r="A887" i="18"/>
  <c r="F886" i="18"/>
  <c r="D886" i="18"/>
  <c r="B886" i="18"/>
  <c r="M886" i="18" s="1"/>
  <c r="M885" i="18"/>
  <c r="F885" i="18"/>
  <c r="E885" i="18"/>
  <c r="D885" i="18"/>
  <c r="C885" i="18"/>
  <c r="B885" i="18"/>
  <c r="A885" i="18"/>
  <c r="B884" i="18"/>
  <c r="M883" i="18"/>
  <c r="E883" i="18"/>
  <c r="G883" i="18" s="1"/>
  <c r="C883" i="18"/>
  <c r="B883" i="18"/>
  <c r="D883" i="18" s="1"/>
  <c r="A883" i="18"/>
  <c r="B882" i="18"/>
  <c r="M881" i="18"/>
  <c r="G881" i="18"/>
  <c r="K881" i="18" s="1"/>
  <c r="E881" i="18"/>
  <c r="H881" i="18" s="1"/>
  <c r="I881" i="18" s="1"/>
  <c r="D881" i="18"/>
  <c r="C881" i="18"/>
  <c r="B881" i="18"/>
  <c r="F881" i="18" s="1"/>
  <c r="A881" i="18"/>
  <c r="F880" i="18"/>
  <c r="D880" i="18"/>
  <c r="B880" i="18"/>
  <c r="C880" i="18" s="1"/>
  <c r="M879" i="18"/>
  <c r="K879" i="18"/>
  <c r="G879" i="18"/>
  <c r="F879" i="18"/>
  <c r="E879" i="18"/>
  <c r="C879" i="18"/>
  <c r="B879" i="18"/>
  <c r="H879" i="18" s="1"/>
  <c r="I879" i="18" s="1"/>
  <c r="A879" i="18"/>
  <c r="F878" i="18"/>
  <c r="D878" i="18"/>
  <c r="B878" i="18"/>
  <c r="M878" i="18" s="1"/>
  <c r="M877" i="18"/>
  <c r="F877" i="18"/>
  <c r="E877" i="18"/>
  <c r="D877" i="18"/>
  <c r="C877" i="18"/>
  <c r="B877" i="18"/>
  <c r="A877" i="18"/>
  <c r="B876" i="18"/>
  <c r="M875" i="18"/>
  <c r="G875" i="18"/>
  <c r="E875" i="18"/>
  <c r="C875" i="18"/>
  <c r="B875" i="18"/>
  <c r="D875" i="18" s="1"/>
  <c r="A875" i="18"/>
  <c r="B874" i="18"/>
  <c r="M873" i="18"/>
  <c r="G873" i="18"/>
  <c r="E873" i="18"/>
  <c r="H873" i="18" s="1"/>
  <c r="I873" i="18" s="1"/>
  <c r="D873" i="18"/>
  <c r="C873" i="18"/>
  <c r="B873" i="18"/>
  <c r="F873" i="18" s="1"/>
  <c r="A873" i="18"/>
  <c r="F872" i="18"/>
  <c r="D872" i="18"/>
  <c r="B872" i="18"/>
  <c r="C872" i="18" s="1"/>
  <c r="M871" i="18"/>
  <c r="K871" i="18"/>
  <c r="I871" i="18"/>
  <c r="G871" i="18"/>
  <c r="F871" i="18"/>
  <c r="E871" i="18"/>
  <c r="C871" i="18"/>
  <c r="B871" i="18"/>
  <c r="H871" i="18" s="1"/>
  <c r="A871" i="18"/>
  <c r="F870" i="18"/>
  <c r="D870" i="18"/>
  <c r="B870" i="18"/>
  <c r="M870" i="18" s="1"/>
  <c r="M869" i="18"/>
  <c r="F869" i="18"/>
  <c r="E869" i="18"/>
  <c r="D869" i="18"/>
  <c r="C869" i="18"/>
  <c r="B869" i="18"/>
  <c r="A869" i="18"/>
  <c r="B868" i="18"/>
  <c r="M867" i="18"/>
  <c r="G867" i="18"/>
  <c r="E867" i="18"/>
  <c r="C867" i="18"/>
  <c r="B867" i="18"/>
  <c r="D867" i="18" s="1"/>
  <c r="A867" i="18"/>
  <c r="B866" i="18"/>
  <c r="M865" i="18"/>
  <c r="I865" i="18"/>
  <c r="G865" i="18"/>
  <c r="E865" i="18"/>
  <c r="H865" i="18" s="1"/>
  <c r="D865" i="18"/>
  <c r="C865" i="18"/>
  <c r="B865" i="18"/>
  <c r="F865" i="18" s="1"/>
  <c r="A865" i="18"/>
  <c r="F864" i="18"/>
  <c r="D864" i="18"/>
  <c r="B864" i="18"/>
  <c r="C864" i="18" s="1"/>
  <c r="M863" i="18"/>
  <c r="K863" i="18"/>
  <c r="G863" i="18"/>
  <c r="F863" i="18"/>
  <c r="E863" i="18"/>
  <c r="C863" i="18"/>
  <c r="B863" i="18"/>
  <c r="H863" i="18" s="1"/>
  <c r="I863" i="18" s="1"/>
  <c r="A863" i="18"/>
  <c r="F862" i="18"/>
  <c r="D862" i="18"/>
  <c r="B862" i="18"/>
  <c r="M862" i="18" s="1"/>
  <c r="M861" i="18"/>
  <c r="F861" i="18"/>
  <c r="E861" i="18"/>
  <c r="D861" i="18"/>
  <c r="C861" i="18"/>
  <c r="B861" i="18"/>
  <c r="A861" i="18"/>
  <c r="B860" i="18"/>
  <c r="M859" i="18"/>
  <c r="G859" i="18"/>
  <c r="E859" i="18"/>
  <c r="C859" i="18"/>
  <c r="B859" i="18"/>
  <c r="D859" i="18" s="1"/>
  <c r="A859" i="18"/>
  <c r="D858" i="18"/>
  <c r="B858" i="18"/>
  <c r="M857" i="18"/>
  <c r="I857" i="18"/>
  <c r="G857" i="18"/>
  <c r="K857" i="18" s="1"/>
  <c r="E857" i="18"/>
  <c r="H857" i="18" s="1"/>
  <c r="D857" i="18"/>
  <c r="C857" i="18"/>
  <c r="B857" i="18"/>
  <c r="F857" i="18" s="1"/>
  <c r="A857" i="18"/>
  <c r="F856" i="18"/>
  <c r="D856" i="18"/>
  <c r="B856" i="18"/>
  <c r="C856" i="18" s="1"/>
  <c r="M855" i="18"/>
  <c r="K855" i="18"/>
  <c r="G855" i="18"/>
  <c r="F855" i="18"/>
  <c r="E855" i="18"/>
  <c r="C855" i="18"/>
  <c r="B855" i="18"/>
  <c r="H855" i="18" s="1"/>
  <c r="I855" i="18" s="1"/>
  <c r="A855" i="18"/>
  <c r="F854" i="18"/>
  <c r="D854" i="18"/>
  <c r="B854" i="18"/>
  <c r="M854" i="18" s="1"/>
  <c r="M853" i="18"/>
  <c r="F853" i="18"/>
  <c r="E853" i="18"/>
  <c r="D853" i="18"/>
  <c r="C853" i="18"/>
  <c r="B853" i="18"/>
  <c r="A853" i="18"/>
  <c r="B852" i="18"/>
  <c r="M851" i="18"/>
  <c r="E851" i="18"/>
  <c r="G851" i="18" s="1"/>
  <c r="C851" i="18"/>
  <c r="B851" i="18"/>
  <c r="D851" i="18" s="1"/>
  <c r="A851" i="18"/>
  <c r="B850" i="18"/>
  <c r="M849" i="18"/>
  <c r="G849" i="18"/>
  <c r="K849" i="18" s="1"/>
  <c r="E849" i="18"/>
  <c r="H849" i="18" s="1"/>
  <c r="I849" i="18" s="1"/>
  <c r="D849" i="18"/>
  <c r="C849" i="18"/>
  <c r="B849" i="18"/>
  <c r="F849" i="18" s="1"/>
  <c r="A849" i="18"/>
  <c r="F848" i="18"/>
  <c r="D848" i="18"/>
  <c r="B848" i="18"/>
  <c r="C848" i="18" s="1"/>
  <c r="M847" i="18"/>
  <c r="K847" i="18"/>
  <c r="G847" i="18"/>
  <c r="F847" i="18"/>
  <c r="E847" i="18"/>
  <c r="C847" i="18"/>
  <c r="B847" i="18"/>
  <c r="H847" i="18" s="1"/>
  <c r="I847" i="18" s="1"/>
  <c r="A847" i="18"/>
  <c r="F846" i="18"/>
  <c r="D846" i="18"/>
  <c r="B846" i="18"/>
  <c r="M846" i="18" s="1"/>
  <c r="M845" i="18"/>
  <c r="F845" i="18"/>
  <c r="E845" i="18"/>
  <c r="D845" i="18"/>
  <c r="C845" i="18"/>
  <c r="B845" i="18"/>
  <c r="A845" i="18"/>
  <c r="B844" i="18"/>
  <c r="M843" i="18"/>
  <c r="G843" i="18"/>
  <c r="E843" i="18"/>
  <c r="C843" i="18"/>
  <c r="B843" i="18"/>
  <c r="D843" i="18" s="1"/>
  <c r="A843" i="18"/>
  <c r="B842" i="18"/>
  <c r="M841" i="18"/>
  <c r="G841" i="18"/>
  <c r="E841" i="18"/>
  <c r="H841" i="18" s="1"/>
  <c r="I841" i="18" s="1"/>
  <c r="D841" i="18"/>
  <c r="C841" i="18"/>
  <c r="B841" i="18"/>
  <c r="F841" i="18" s="1"/>
  <c r="A841" i="18"/>
  <c r="F840" i="18"/>
  <c r="D840" i="18"/>
  <c r="B840" i="18"/>
  <c r="C840" i="18" s="1"/>
  <c r="M839" i="18"/>
  <c r="K839" i="18"/>
  <c r="I839" i="18"/>
  <c r="G839" i="18"/>
  <c r="F839" i="18"/>
  <c r="E839" i="18"/>
  <c r="C839" i="18"/>
  <c r="B839" i="18"/>
  <c r="H839" i="18" s="1"/>
  <c r="A839" i="18"/>
  <c r="F838" i="18"/>
  <c r="D838" i="18"/>
  <c r="C838" i="18"/>
  <c r="B838" i="18"/>
  <c r="M838" i="18" s="1"/>
  <c r="M837" i="18"/>
  <c r="F837" i="18"/>
  <c r="E837" i="18"/>
  <c r="D837" i="18"/>
  <c r="C837" i="18"/>
  <c r="B837" i="18"/>
  <c r="A837" i="18"/>
  <c r="B836" i="18"/>
  <c r="M835" i="18"/>
  <c r="E835" i="18"/>
  <c r="G835" i="18" s="1"/>
  <c r="C835" i="18"/>
  <c r="B835" i="18"/>
  <c r="D835" i="18" s="1"/>
  <c r="B834" i="18"/>
  <c r="M833" i="18"/>
  <c r="I833" i="18"/>
  <c r="G833" i="18"/>
  <c r="E833" i="18"/>
  <c r="H833" i="18" s="1"/>
  <c r="D833" i="18"/>
  <c r="C833" i="18"/>
  <c r="B833" i="18"/>
  <c r="F833" i="18" s="1"/>
  <c r="A833" i="18"/>
  <c r="F832" i="18"/>
  <c r="D832" i="18"/>
  <c r="B832" i="18"/>
  <c r="C832" i="18" s="1"/>
  <c r="M831" i="18"/>
  <c r="K831" i="18"/>
  <c r="G831" i="18"/>
  <c r="F831" i="18"/>
  <c r="E831" i="18"/>
  <c r="C831" i="18"/>
  <c r="B831" i="18"/>
  <c r="H831" i="18" s="1"/>
  <c r="I831" i="18" s="1"/>
  <c r="A831" i="18"/>
  <c r="F830" i="18"/>
  <c r="D830" i="18"/>
  <c r="C830" i="18"/>
  <c r="B830" i="18"/>
  <c r="M830" i="18" s="1"/>
  <c r="M829" i="18"/>
  <c r="F829" i="18"/>
  <c r="E829" i="18"/>
  <c r="D829" i="18"/>
  <c r="C829" i="18"/>
  <c r="B829" i="18"/>
  <c r="A829" i="18"/>
  <c r="B828" i="18"/>
  <c r="M827" i="18"/>
  <c r="E827" i="18"/>
  <c r="G827" i="18" s="1"/>
  <c r="C827" i="18"/>
  <c r="B827" i="18"/>
  <c r="D827" i="18" s="1"/>
  <c r="D826" i="18"/>
  <c r="B826" i="18"/>
  <c r="M825" i="18"/>
  <c r="I825" i="18"/>
  <c r="G825" i="18"/>
  <c r="K825" i="18" s="1"/>
  <c r="E825" i="18"/>
  <c r="H825" i="18" s="1"/>
  <c r="D825" i="18"/>
  <c r="C825" i="18"/>
  <c r="B825" i="18"/>
  <c r="F825" i="18" s="1"/>
  <c r="A825" i="18"/>
  <c r="F824" i="18"/>
  <c r="D824" i="18"/>
  <c r="B824" i="18"/>
  <c r="C824" i="18" s="1"/>
  <c r="M823" i="18"/>
  <c r="K823" i="18"/>
  <c r="G823" i="18"/>
  <c r="F823" i="18"/>
  <c r="E823" i="18"/>
  <c r="C823" i="18"/>
  <c r="B823" i="18"/>
  <c r="H823" i="18" s="1"/>
  <c r="I823" i="18" s="1"/>
  <c r="A823" i="18"/>
  <c r="F822" i="18"/>
  <c r="D822" i="18"/>
  <c r="C822" i="18"/>
  <c r="B822" i="18"/>
  <c r="M822" i="18" s="1"/>
  <c r="M821" i="18"/>
  <c r="F821" i="18"/>
  <c r="E821" i="18"/>
  <c r="D821" i="18"/>
  <c r="C821" i="18"/>
  <c r="B821" i="18"/>
  <c r="A821" i="18"/>
  <c r="B820" i="18"/>
  <c r="M819" i="18"/>
  <c r="G819" i="18"/>
  <c r="E819" i="18"/>
  <c r="B819" i="18"/>
  <c r="D819" i="18" s="1"/>
  <c r="A819" i="18"/>
  <c r="B818" i="18"/>
  <c r="M817" i="18"/>
  <c r="G817" i="18"/>
  <c r="K817" i="18" s="1"/>
  <c r="E817" i="18"/>
  <c r="H817" i="18" s="1"/>
  <c r="I817" i="18" s="1"/>
  <c r="D817" i="18"/>
  <c r="C817" i="18"/>
  <c r="B817" i="18"/>
  <c r="F817" i="18" s="1"/>
  <c r="A817" i="18"/>
  <c r="F816" i="18"/>
  <c r="D816" i="18"/>
  <c r="B816" i="18"/>
  <c r="C816" i="18" s="1"/>
  <c r="A816" i="18"/>
  <c r="M815" i="18"/>
  <c r="F815" i="18"/>
  <c r="E815" i="18"/>
  <c r="G815" i="18" s="1"/>
  <c r="K815" i="18" s="1"/>
  <c r="C815" i="18"/>
  <c r="B815" i="18"/>
  <c r="H815" i="18" s="1"/>
  <c r="I815" i="18" s="1"/>
  <c r="A815" i="18"/>
  <c r="F814" i="18"/>
  <c r="B814" i="18"/>
  <c r="M814" i="18" s="1"/>
  <c r="M813" i="18"/>
  <c r="F813" i="18"/>
  <c r="E813" i="18"/>
  <c r="D813" i="18"/>
  <c r="C813" i="18"/>
  <c r="B813" i="18"/>
  <c r="A813" i="18"/>
  <c r="B812" i="18"/>
  <c r="M811" i="18"/>
  <c r="E811" i="18"/>
  <c r="G811" i="18" s="1"/>
  <c r="B811" i="18"/>
  <c r="D811" i="18" s="1"/>
  <c r="A811" i="18"/>
  <c r="B810" i="18"/>
  <c r="M809" i="18"/>
  <c r="I809" i="18"/>
  <c r="G809" i="18"/>
  <c r="E809" i="18"/>
  <c r="H809" i="18" s="1"/>
  <c r="D809" i="18"/>
  <c r="C809" i="18"/>
  <c r="B809" i="18"/>
  <c r="F809" i="18" s="1"/>
  <c r="A809" i="18"/>
  <c r="F808" i="18"/>
  <c r="D808" i="18"/>
  <c r="B808" i="18"/>
  <c r="C808" i="18" s="1"/>
  <c r="A808" i="18"/>
  <c r="M807" i="18"/>
  <c r="I807" i="18"/>
  <c r="F807" i="18"/>
  <c r="E807" i="18"/>
  <c r="G807" i="18" s="1"/>
  <c r="K807" i="18" s="1"/>
  <c r="C807" i="18"/>
  <c r="B807" i="18"/>
  <c r="H807" i="18" s="1"/>
  <c r="A807" i="18"/>
  <c r="F806" i="18"/>
  <c r="B806" i="18"/>
  <c r="M806" i="18" s="1"/>
  <c r="M805" i="18"/>
  <c r="F805" i="18"/>
  <c r="E805" i="18"/>
  <c r="D805" i="18"/>
  <c r="C805" i="18"/>
  <c r="B805" i="18"/>
  <c r="A805" i="18"/>
  <c r="B804" i="18"/>
  <c r="M803" i="18"/>
  <c r="G803" i="18"/>
  <c r="E803" i="18"/>
  <c r="B803" i="18"/>
  <c r="D803" i="18" s="1"/>
  <c r="A803" i="18"/>
  <c r="B802" i="18"/>
  <c r="M801" i="18"/>
  <c r="G801" i="18"/>
  <c r="K801" i="18" s="1"/>
  <c r="E801" i="18"/>
  <c r="H801" i="18" s="1"/>
  <c r="I801" i="18" s="1"/>
  <c r="D801" i="18"/>
  <c r="C801" i="18"/>
  <c r="B801" i="18"/>
  <c r="F801" i="18" s="1"/>
  <c r="A801" i="18"/>
  <c r="F800" i="18"/>
  <c r="D800" i="18"/>
  <c r="B800" i="18"/>
  <c r="C800" i="18" s="1"/>
  <c r="A800" i="18"/>
  <c r="M799" i="18"/>
  <c r="F799" i="18"/>
  <c r="E799" i="18"/>
  <c r="G799" i="18" s="1"/>
  <c r="K799" i="18" s="1"/>
  <c r="C799" i="18"/>
  <c r="B799" i="18"/>
  <c r="H799" i="18" s="1"/>
  <c r="I799" i="18" s="1"/>
  <c r="A799" i="18"/>
  <c r="F798" i="18"/>
  <c r="B798" i="18"/>
  <c r="M798" i="18" s="1"/>
  <c r="M797" i="18"/>
  <c r="E797" i="18"/>
  <c r="C797" i="18"/>
  <c r="B797" i="18"/>
  <c r="F797" i="18" s="1"/>
  <c r="A797" i="18"/>
  <c r="B796" i="18"/>
  <c r="M795" i="18"/>
  <c r="E795" i="18"/>
  <c r="G795" i="18" s="1"/>
  <c r="B795" i="18"/>
  <c r="D795" i="18" s="1"/>
  <c r="A795" i="18"/>
  <c r="D794" i="18"/>
  <c r="B794" i="18"/>
  <c r="M793" i="18"/>
  <c r="I793" i="18"/>
  <c r="G793" i="18"/>
  <c r="K793" i="18" s="1"/>
  <c r="F793" i="18"/>
  <c r="E793" i="18"/>
  <c r="D793" i="18"/>
  <c r="C793" i="18"/>
  <c r="B793" i="18"/>
  <c r="H793" i="18" s="1"/>
  <c r="A793" i="18"/>
  <c r="F792" i="18"/>
  <c r="D792" i="18"/>
  <c r="B792" i="18"/>
  <c r="C792" i="18" s="1"/>
  <c r="A792" i="18"/>
  <c r="M791" i="18"/>
  <c r="F791" i="18"/>
  <c r="E791" i="18"/>
  <c r="H791" i="18" s="1"/>
  <c r="C791" i="18"/>
  <c r="B791" i="18"/>
  <c r="D791" i="18" s="1"/>
  <c r="A791" i="18"/>
  <c r="F790" i="18"/>
  <c r="B790" i="18"/>
  <c r="M790" i="18" s="1"/>
  <c r="M789" i="18"/>
  <c r="G789" i="18"/>
  <c r="K789" i="18" s="1"/>
  <c r="E789" i="18"/>
  <c r="H789" i="18" s="1"/>
  <c r="C789" i="18"/>
  <c r="B789" i="18"/>
  <c r="F789" i="18" s="1"/>
  <c r="A789" i="18"/>
  <c r="D788" i="18"/>
  <c r="B788" i="18"/>
  <c r="M787" i="18"/>
  <c r="G787" i="18"/>
  <c r="E787" i="18"/>
  <c r="B787" i="18"/>
  <c r="D787" i="18" s="1"/>
  <c r="A787" i="18"/>
  <c r="B786" i="18"/>
  <c r="M785" i="18"/>
  <c r="K785" i="18"/>
  <c r="G785" i="18"/>
  <c r="I785" i="18" s="1"/>
  <c r="F785" i="18"/>
  <c r="E785" i="18"/>
  <c r="D785" i="18"/>
  <c r="C785" i="18"/>
  <c r="B785" i="18"/>
  <c r="H785" i="18" s="1"/>
  <c r="A785" i="18"/>
  <c r="F784" i="18"/>
  <c r="D784" i="18"/>
  <c r="B784" i="18"/>
  <c r="C784" i="18" s="1"/>
  <c r="A784" i="18"/>
  <c r="M783" i="18"/>
  <c r="F783" i="18"/>
  <c r="E783" i="18"/>
  <c r="C783" i="18"/>
  <c r="B783" i="18"/>
  <c r="D783" i="18" s="1"/>
  <c r="A783" i="18"/>
  <c r="B782" i="18"/>
  <c r="M781" i="18"/>
  <c r="K781" i="18"/>
  <c r="H781" i="18"/>
  <c r="E781" i="18"/>
  <c r="G781" i="18" s="1"/>
  <c r="C781" i="18"/>
  <c r="B781" i="18"/>
  <c r="F781" i="18" s="1"/>
  <c r="A781" i="18"/>
  <c r="M780" i="18"/>
  <c r="F780" i="18"/>
  <c r="E780" i="18"/>
  <c r="D780" i="18"/>
  <c r="B780" i="18"/>
  <c r="M779" i="18"/>
  <c r="E779" i="18"/>
  <c r="G779" i="18" s="1"/>
  <c r="C779" i="18"/>
  <c r="B779" i="18"/>
  <c r="A779" i="18"/>
  <c r="F778" i="18"/>
  <c r="D778" i="18"/>
  <c r="B778" i="18"/>
  <c r="M777" i="18"/>
  <c r="F777" i="18"/>
  <c r="E777" i="18"/>
  <c r="G777" i="18" s="1"/>
  <c r="K777" i="18" s="1"/>
  <c r="D777" i="18"/>
  <c r="C777" i="18"/>
  <c r="B777" i="18"/>
  <c r="H777" i="18" s="1"/>
  <c r="I777" i="18" s="1"/>
  <c r="A777" i="18"/>
  <c r="D776" i="18"/>
  <c r="B776" i="18"/>
  <c r="A776" i="18"/>
  <c r="M775" i="18"/>
  <c r="F775" i="18"/>
  <c r="E775" i="18"/>
  <c r="C775" i="18"/>
  <c r="B775" i="18"/>
  <c r="D775" i="18" s="1"/>
  <c r="A775" i="18"/>
  <c r="F774" i="18"/>
  <c r="D774" i="18"/>
  <c r="C774" i="18"/>
  <c r="B774" i="18"/>
  <c r="M773" i="18"/>
  <c r="G773" i="18"/>
  <c r="K773" i="18" s="1"/>
  <c r="E773" i="18"/>
  <c r="H773" i="18" s="1"/>
  <c r="C773" i="18"/>
  <c r="B773" i="18"/>
  <c r="F773" i="18" s="1"/>
  <c r="A773" i="18"/>
  <c r="M772" i="18"/>
  <c r="H772" i="18"/>
  <c r="F772" i="18"/>
  <c r="E772" i="18"/>
  <c r="B772" i="18"/>
  <c r="M771" i="18"/>
  <c r="E771" i="18"/>
  <c r="G771" i="18" s="1"/>
  <c r="B771" i="18"/>
  <c r="A771" i="18"/>
  <c r="F770" i="18"/>
  <c r="B770" i="18"/>
  <c r="M769" i="18"/>
  <c r="I769" i="18"/>
  <c r="G769" i="18"/>
  <c r="K769" i="18" s="1"/>
  <c r="F769" i="18"/>
  <c r="E769" i="18"/>
  <c r="D769" i="18"/>
  <c r="C769" i="18"/>
  <c r="B769" i="18"/>
  <c r="H769" i="18" s="1"/>
  <c r="A769" i="18"/>
  <c r="D768" i="18"/>
  <c r="B768" i="18"/>
  <c r="A768" i="18" s="1"/>
  <c r="M767" i="18"/>
  <c r="F767" i="18"/>
  <c r="E767" i="18"/>
  <c r="H767" i="18" s="1"/>
  <c r="D767" i="18"/>
  <c r="C767" i="18"/>
  <c r="B767" i="18"/>
  <c r="A767" i="18"/>
  <c r="C766" i="18"/>
  <c r="B766" i="18"/>
  <c r="M765" i="18"/>
  <c r="H765" i="18"/>
  <c r="I765" i="18" s="1"/>
  <c r="G765" i="18"/>
  <c r="K765" i="18" s="1"/>
  <c r="E765" i="18"/>
  <c r="C765" i="18"/>
  <c r="B765" i="18"/>
  <c r="F765" i="18" s="1"/>
  <c r="A765" i="18"/>
  <c r="E764" i="18"/>
  <c r="B764" i="18"/>
  <c r="E763" i="18"/>
  <c r="B763" i="18"/>
  <c r="F762" i="18"/>
  <c r="D762" i="18"/>
  <c r="B762" i="18"/>
  <c r="A762" i="18"/>
  <c r="M761" i="18"/>
  <c r="I761" i="18"/>
  <c r="G761" i="18"/>
  <c r="K761" i="18" s="1"/>
  <c r="F761" i="18"/>
  <c r="E761" i="18"/>
  <c r="D761" i="18"/>
  <c r="C761" i="18"/>
  <c r="B761" i="18"/>
  <c r="H761" i="18" s="1"/>
  <c r="A761" i="18"/>
  <c r="B760" i="18"/>
  <c r="M759" i="18"/>
  <c r="F759" i="18"/>
  <c r="E759" i="18"/>
  <c r="C759" i="18"/>
  <c r="B759" i="18"/>
  <c r="D759" i="18" s="1"/>
  <c r="A759" i="18"/>
  <c r="H758" i="18"/>
  <c r="F758" i="18"/>
  <c r="E758" i="18"/>
  <c r="B758" i="18"/>
  <c r="C757" i="18"/>
  <c r="B757" i="18"/>
  <c r="A757" i="18" s="1"/>
  <c r="B756" i="18"/>
  <c r="D755" i="18"/>
  <c r="B755" i="18"/>
  <c r="F754" i="18"/>
  <c r="D754" i="18"/>
  <c r="B754" i="18"/>
  <c r="A754" i="18"/>
  <c r="M753" i="18"/>
  <c r="I753" i="18"/>
  <c r="G753" i="18"/>
  <c r="K753" i="18" s="1"/>
  <c r="F753" i="18"/>
  <c r="E753" i="18"/>
  <c r="D753" i="18"/>
  <c r="C753" i="18"/>
  <c r="B753" i="18"/>
  <c r="H753" i="18" s="1"/>
  <c r="A753" i="18"/>
  <c r="B752" i="18"/>
  <c r="M751" i="18"/>
  <c r="F751" i="18"/>
  <c r="E751" i="18"/>
  <c r="C751" i="18"/>
  <c r="B751" i="18"/>
  <c r="D751" i="18" s="1"/>
  <c r="A751" i="18"/>
  <c r="H750" i="18"/>
  <c r="F750" i="18"/>
  <c r="E750" i="18"/>
  <c r="B750" i="18"/>
  <c r="C749" i="18"/>
  <c r="B749" i="18"/>
  <c r="A749" i="18" s="1"/>
  <c r="M748" i="18"/>
  <c r="B748" i="18"/>
  <c r="D747" i="18"/>
  <c r="B747" i="18"/>
  <c r="F746" i="18"/>
  <c r="D746" i="18"/>
  <c r="B746" i="18"/>
  <c r="A746" i="18"/>
  <c r="M745" i="18"/>
  <c r="I745" i="18"/>
  <c r="G745" i="18"/>
  <c r="K745" i="18" s="1"/>
  <c r="F745" i="18"/>
  <c r="E745" i="18"/>
  <c r="D745" i="18"/>
  <c r="C745" i="18"/>
  <c r="B745" i="18"/>
  <c r="H745" i="18" s="1"/>
  <c r="A745" i="18"/>
  <c r="B744" i="18"/>
  <c r="M743" i="18"/>
  <c r="F743" i="18"/>
  <c r="E743" i="18"/>
  <c r="C743" i="18"/>
  <c r="B743" i="18"/>
  <c r="D743" i="18" s="1"/>
  <c r="A743" i="18"/>
  <c r="H742" i="18"/>
  <c r="F742" i="18"/>
  <c r="E742" i="18"/>
  <c r="B742" i="18"/>
  <c r="C741" i="18"/>
  <c r="B741" i="18"/>
  <c r="A741" i="18" s="1"/>
  <c r="B740" i="18"/>
  <c r="D739" i="18"/>
  <c r="B739" i="18"/>
  <c r="F738" i="18"/>
  <c r="D738" i="18"/>
  <c r="B738" i="18"/>
  <c r="A738" i="18"/>
  <c r="M737" i="18"/>
  <c r="I737" i="18"/>
  <c r="G737" i="18"/>
  <c r="K737" i="18" s="1"/>
  <c r="F737" i="18"/>
  <c r="E737" i="18"/>
  <c r="D737" i="18"/>
  <c r="C737" i="18"/>
  <c r="B737" i="18"/>
  <c r="H737" i="18" s="1"/>
  <c r="A737" i="18"/>
  <c r="B736" i="18"/>
  <c r="M735" i="18"/>
  <c r="F735" i="18"/>
  <c r="E735" i="18"/>
  <c r="C735" i="18"/>
  <c r="B735" i="18"/>
  <c r="D735" i="18" s="1"/>
  <c r="A735" i="18"/>
  <c r="H734" i="18"/>
  <c r="F734" i="18"/>
  <c r="E734" i="18"/>
  <c r="B734" i="18"/>
  <c r="C733" i="18"/>
  <c r="B733" i="18"/>
  <c r="A733" i="18" s="1"/>
  <c r="M732" i="18"/>
  <c r="B732" i="18"/>
  <c r="M731" i="18"/>
  <c r="F731" i="18"/>
  <c r="E731" i="18"/>
  <c r="G731" i="18" s="1"/>
  <c r="K731" i="18" s="1"/>
  <c r="D731" i="18"/>
  <c r="C731" i="18"/>
  <c r="B731" i="18"/>
  <c r="A731" i="18"/>
  <c r="I730" i="18"/>
  <c r="H730" i="18"/>
  <c r="G730" i="18"/>
  <c r="E730" i="18"/>
  <c r="D730" i="18"/>
  <c r="C730" i="18"/>
  <c r="B730" i="18"/>
  <c r="M730" i="18" s="1"/>
  <c r="A730" i="18"/>
  <c r="M729" i="18"/>
  <c r="F729" i="18"/>
  <c r="E729" i="18"/>
  <c r="H729" i="18" s="1"/>
  <c r="D729" i="18"/>
  <c r="B729" i="18"/>
  <c r="C729" i="18" s="1"/>
  <c r="A729" i="18"/>
  <c r="C728" i="18"/>
  <c r="B728" i="18"/>
  <c r="A728" i="18"/>
  <c r="F727" i="18"/>
  <c r="C727" i="18"/>
  <c r="B727" i="18"/>
  <c r="M727" i="18" s="1"/>
  <c r="M726" i="18"/>
  <c r="F726" i="18"/>
  <c r="E726" i="18"/>
  <c r="D726" i="18"/>
  <c r="C726" i="18"/>
  <c r="B726" i="18"/>
  <c r="A726" i="18"/>
  <c r="B725" i="18"/>
  <c r="M724" i="18"/>
  <c r="G724" i="18"/>
  <c r="K724" i="18" s="1"/>
  <c r="F724" i="18"/>
  <c r="E724" i="18"/>
  <c r="B724" i="18"/>
  <c r="D724" i="18" s="1"/>
  <c r="D723" i="18"/>
  <c r="B723" i="18"/>
  <c r="A723" i="18" s="1"/>
  <c r="M722" i="18"/>
  <c r="I722" i="18"/>
  <c r="H722" i="18"/>
  <c r="G722" i="18"/>
  <c r="E722" i="18"/>
  <c r="D722" i="18"/>
  <c r="C722" i="18"/>
  <c r="B722" i="18"/>
  <c r="F722" i="18" s="1"/>
  <c r="A722" i="18"/>
  <c r="M721" i="18"/>
  <c r="F721" i="18"/>
  <c r="E721" i="18"/>
  <c r="H721" i="18" s="1"/>
  <c r="D721" i="18"/>
  <c r="B721" i="18"/>
  <c r="C721" i="18" s="1"/>
  <c r="A721" i="18"/>
  <c r="C720" i="18"/>
  <c r="B720" i="18"/>
  <c r="A720" i="18"/>
  <c r="F719" i="18"/>
  <c r="C719" i="18"/>
  <c r="B719" i="18"/>
  <c r="M719" i="18" s="1"/>
  <c r="M718" i="18"/>
  <c r="F718" i="18"/>
  <c r="E718" i="18"/>
  <c r="D718" i="18"/>
  <c r="C718" i="18"/>
  <c r="B718" i="18"/>
  <c r="A718" i="18"/>
  <c r="B717" i="18"/>
  <c r="M716" i="18"/>
  <c r="G716" i="18"/>
  <c r="K716" i="18" s="1"/>
  <c r="F716" i="18"/>
  <c r="E716" i="18"/>
  <c r="B716" i="18"/>
  <c r="D716" i="18" s="1"/>
  <c r="D715" i="18"/>
  <c r="B715" i="18"/>
  <c r="A715" i="18" s="1"/>
  <c r="M714" i="18"/>
  <c r="I714" i="18"/>
  <c r="H714" i="18"/>
  <c r="G714" i="18"/>
  <c r="E714" i="18"/>
  <c r="D714" i="18"/>
  <c r="C714" i="18"/>
  <c r="B714" i="18"/>
  <c r="F714" i="18" s="1"/>
  <c r="A714" i="18"/>
  <c r="M713" i="18"/>
  <c r="F713" i="18"/>
  <c r="E713" i="18"/>
  <c r="H713" i="18" s="1"/>
  <c r="D713" i="18"/>
  <c r="B713" i="18"/>
  <c r="C713" i="18" s="1"/>
  <c r="A713" i="18"/>
  <c r="C712" i="18"/>
  <c r="B712" i="18"/>
  <c r="A712" i="18"/>
  <c r="F711" i="18"/>
  <c r="C711" i="18"/>
  <c r="B711" i="18"/>
  <c r="M711" i="18" s="1"/>
  <c r="M710" i="18"/>
  <c r="F710" i="18"/>
  <c r="E710" i="18"/>
  <c r="D710" i="18"/>
  <c r="C710" i="18"/>
  <c r="B710" i="18"/>
  <c r="A710" i="18"/>
  <c r="B709" i="18"/>
  <c r="M708" i="18"/>
  <c r="G708" i="18"/>
  <c r="K708" i="18" s="1"/>
  <c r="F708" i="18"/>
  <c r="E708" i="18"/>
  <c r="B708" i="18"/>
  <c r="D708" i="18" s="1"/>
  <c r="D707" i="18"/>
  <c r="B707" i="18"/>
  <c r="A707" i="18" s="1"/>
  <c r="M706" i="18"/>
  <c r="I706" i="18"/>
  <c r="H706" i="18"/>
  <c r="G706" i="18"/>
  <c r="E706" i="18"/>
  <c r="D706" i="18"/>
  <c r="C706" i="18"/>
  <c r="B706" i="18"/>
  <c r="F706" i="18" s="1"/>
  <c r="A706" i="18"/>
  <c r="M705" i="18"/>
  <c r="F705" i="18"/>
  <c r="E705" i="18"/>
  <c r="D705" i="18"/>
  <c r="B705" i="18"/>
  <c r="C705" i="18" s="1"/>
  <c r="A705" i="18"/>
  <c r="C704" i="18"/>
  <c r="B704" i="18"/>
  <c r="A704" i="18"/>
  <c r="F703" i="18"/>
  <c r="D703" i="18"/>
  <c r="C703" i="18"/>
  <c r="B703" i="18"/>
  <c r="M703" i="18" s="1"/>
  <c r="M702" i="18"/>
  <c r="F702" i="18"/>
  <c r="E702" i="18"/>
  <c r="D702" i="18"/>
  <c r="C702" i="18"/>
  <c r="B702" i="18"/>
  <c r="A702" i="18"/>
  <c r="B701" i="18"/>
  <c r="M700" i="18"/>
  <c r="G700" i="18"/>
  <c r="K700" i="18" s="1"/>
  <c r="F700" i="18"/>
  <c r="E700" i="18"/>
  <c r="B700" i="18"/>
  <c r="D700" i="18" s="1"/>
  <c r="D699" i="18"/>
  <c r="B699" i="18"/>
  <c r="A699" i="18" s="1"/>
  <c r="M698" i="18"/>
  <c r="I698" i="18"/>
  <c r="H698" i="18"/>
  <c r="G698" i="18"/>
  <c r="E698" i="18"/>
  <c r="D698" i="18"/>
  <c r="C698" i="18"/>
  <c r="B698" i="18"/>
  <c r="F698" i="18" s="1"/>
  <c r="A698" i="18"/>
  <c r="M697" i="18"/>
  <c r="F697" i="18"/>
  <c r="E697" i="18"/>
  <c r="D697" i="18"/>
  <c r="B697" i="18"/>
  <c r="C697" i="18" s="1"/>
  <c r="A697" i="18"/>
  <c r="C696" i="18"/>
  <c r="B696" i="18"/>
  <c r="A696" i="18"/>
  <c r="F695" i="18"/>
  <c r="D695" i="18"/>
  <c r="C695" i="18"/>
  <c r="B695" i="18"/>
  <c r="M695" i="18" s="1"/>
  <c r="M694" i="18"/>
  <c r="F694" i="18"/>
  <c r="E694" i="18"/>
  <c r="D694" i="18"/>
  <c r="C694" i="18"/>
  <c r="B694" i="18"/>
  <c r="A694" i="18"/>
  <c r="B693" i="18"/>
  <c r="M692" i="18"/>
  <c r="G692" i="18"/>
  <c r="K692" i="18" s="1"/>
  <c r="F692" i="18"/>
  <c r="E692" i="18"/>
  <c r="B692" i="18"/>
  <c r="D692" i="18" s="1"/>
  <c r="D691" i="18"/>
  <c r="B691" i="18"/>
  <c r="A691" i="18" s="1"/>
  <c r="M690" i="18"/>
  <c r="I690" i="18"/>
  <c r="H690" i="18"/>
  <c r="G690" i="18"/>
  <c r="K690" i="18" s="1"/>
  <c r="E690" i="18"/>
  <c r="D690" i="18"/>
  <c r="C690" i="18"/>
  <c r="B690" i="18"/>
  <c r="F690" i="18" s="1"/>
  <c r="A690" i="18"/>
  <c r="M689" i="18"/>
  <c r="F689" i="18"/>
  <c r="E689" i="18"/>
  <c r="D689" i="18"/>
  <c r="B689" i="18"/>
  <c r="C689" i="18" s="1"/>
  <c r="A689" i="18"/>
  <c r="C688" i="18"/>
  <c r="B688" i="18"/>
  <c r="A688" i="18"/>
  <c r="F687" i="18"/>
  <c r="D687" i="18"/>
  <c r="C687" i="18"/>
  <c r="B687" i="18"/>
  <c r="M687" i="18" s="1"/>
  <c r="M686" i="18"/>
  <c r="F686" i="18"/>
  <c r="E686" i="18"/>
  <c r="D686" i="18"/>
  <c r="C686" i="18"/>
  <c r="B686" i="18"/>
  <c r="A686" i="18"/>
  <c r="B685" i="18"/>
  <c r="M684" i="18"/>
  <c r="G684" i="18"/>
  <c r="K684" i="18" s="1"/>
  <c r="F684" i="18"/>
  <c r="E684" i="18"/>
  <c r="B684" i="18"/>
  <c r="D684" i="18" s="1"/>
  <c r="D683" i="18"/>
  <c r="B683" i="18"/>
  <c r="A683" i="18" s="1"/>
  <c r="M682" i="18"/>
  <c r="I682" i="18"/>
  <c r="H682" i="18"/>
  <c r="G682" i="18"/>
  <c r="K682" i="18" s="1"/>
  <c r="E682" i="18"/>
  <c r="D682" i="18"/>
  <c r="C682" i="18"/>
  <c r="B682" i="18"/>
  <c r="F682" i="18" s="1"/>
  <c r="A682" i="18"/>
  <c r="M681" i="18"/>
  <c r="F681" i="18"/>
  <c r="E681" i="18"/>
  <c r="D681" i="18"/>
  <c r="B681" i="18"/>
  <c r="C681" i="18" s="1"/>
  <c r="C680" i="18"/>
  <c r="B680" i="18"/>
  <c r="A680" i="18"/>
  <c r="F679" i="18"/>
  <c r="D679" i="18"/>
  <c r="C679" i="18"/>
  <c r="B679" i="18"/>
  <c r="M679" i="18" s="1"/>
  <c r="M678" i="18"/>
  <c r="F678" i="18"/>
  <c r="E678" i="18"/>
  <c r="D678" i="18"/>
  <c r="C678" i="18"/>
  <c r="B678" i="18"/>
  <c r="A678" i="18"/>
  <c r="B677" i="18"/>
  <c r="M676" i="18"/>
  <c r="G676" i="18"/>
  <c r="K676" i="18" s="1"/>
  <c r="F676" i="18"/>
  <c r="E676" i="18"/>
  <c r="B676" i="18"/>
  <c r="D676" i="18" s="1"/>
  <c r="D675" i="18"/>
  <c r="B675" i="18"/>
  <c r="A675" i="18" s="1"/>
  <c r="M674" i="18"/>
  <c r="I674" i="18"/>
  <c r="H674" i="18"/>
  <c r="G674" i="18"/>
  <c r="K674" i="18" s="1"/>
  <c r="E674" i="18"/>
  <c r="D674" i="18"/>
  <c r="C674" i="18"/>
  <c r="B674" i="18"/>
  <c r="F674" i="18" s="1"/>
  <c r="A674" i="18"/>
  <c r="M673" i="18"/>
  <c r="F673" i="18"/>
  <c r="E673" i="18"/>
  <c r="D673" i="18"/>
  <c r="B673" i="18"/>
  <c r="C673" i="18" s="1"/>
  <c r="C672" i="18"/>
  <c r="B672" i="18"/>
  <c r="A672" i="18"/>
  <c r="F671" i="18"/>
  <c r="D671" i="18"/>
  <c r="C671" i="18"/>
  <c r="B671" i="18"/>
  <c r="M671" i="18" s="1"/>
  <c r="M670" i="18"/>
  <c r="F670" i="18"/>
  <c r="E670" i="18"/>
  <c r="D670" i="18"/>
  <c r="C670" i="18"/>
  <c r="B670" i="18"/>
  <c r="A670" i="18"/>
  <c r="B669" i="18"/>
  <c r="M668" i="18"/>
  <c r="G668" i="18"/>
  <c r="K668" i="18" s="1"/>
  <c r="F668" i="18"/>
  <c r="E668" i="18"/>
  <c r="C668" i="18"/>
  <c r="B668" i="18"/>
  <c r="D668" i="18" s="1"/>
  <c r="D667" i="18"/>
  <c r="B667" i="18"/>
  <c r="A667" i="18" s="1"/>
  <c r="M666" i="18"/>
  <c r="I666" i="18"/>
  <c r="H666" i="18"/>
  <c r="G666" i="18"/>
  <c r="K666" i="18" s="1"/>
  <c r="E666" i="18"/>
  <c r="D666" i="18"/>
  <c r="C666" i="18"/>
  <c r="B666" i="18"/>
  <c r="F666" i="18" s="1"/>
  <c r="A666" i="18"/>
  <c r="M665" i="18"/>
  <c r="F665" i="18"/>
  <c r="E665" i="18"/>
  <c r="D665" i="18"/>
  <c r="B665" i="18"/>
  <c r="C665" i="18" s="1"/>
  <c r="C664" i="18"/>
  <c r="B664" i="18"/>
  <c r="A664" i="18"/>
  <c r="F663" i="18"/>
  <c r="D663" i="18"/>
  <c r="C663" i="18"/>
  <c r="B663" i="18"/>
  <c r="M663" i="18" s="1"/>
  <c r="M662" i="18"/>
  <c r="F662" i="18"/>
  <c r="E662" i="18"/>
  <c r="D662" i="18"/>
  <c r="C662" i="18"/>
  <c r="B662" i="18"/>
  <c r="A662" i="18"/>
  <c r="B661" i="18"/>
  <c r="M660" i="18"/>
  <c r="G660" i="18"/>
  <c r="K660" i="18" s="1"/>
  <c r="F660" i="18"/>
  <c r="E660" i="18"/>
  <c r="C660" i="18"/>
  <c r="B660" i="18"/>
  <c r="D660" i="18" s="1"/>
  <c r="D659" i="18"/>
  <c r="B659" i="18"/>
  <c r="A659" i="18" s="1"/>
  <c r="M658" i="18"/>
  <c r="I658" i="18"/>
  <c r="H658" i="18"/>
  <c r="G658" i="18"/>
  <c r="K658" i="18" s="1"/>
  <c r="E658" i="18"/>
  <c r="D658" i="18"/>
  <c r="C658" i="18"/>
  <c r="B658" i="18"/>
  <c r="F658" i="18" s="1"/>
  <c r="A658" i="18"/>
  <c r="M657" i="18"/>
  <c r="F657" i="18"/>
  <c r="E657" i="18"/>
  <c r="D657" i="18"/>
  <c r="B657" i="18"/>
  <c r="C657" i="18" s="1"/>
  <c r="C656" i="18"/>
  <c r="B656" i="18"/>
  <c r="A656" i="18"/>
  <c r="F655" i="18"/>
  <c r="D655" i="18"/>
  <c r="C655" i="18"/>
  <c r="B655" i="18"/>
  <c r="M655" i="18" s="1"/>
  <c r="M654" i="18"/>
  <c r="F654" i="18"/>
  <c r="E654" i="18"/>
  <c r="D654" i="18"/>
  <c r="C654" i="18"/>
  <c r="B654" i="18"/>
  <c r="A654" i="18"/>
  <c r="B653" i="18"/>
  <c r="M652" i="18"/>
  <c r="G652" i="18"/>
  <c r="K652" i="18" s="1"/>
  <c r="F652" i="18"/>
  <c r="E652" i="18"/>
  <c r="C652" i="18"/>
  <c r="B652" i="18"/>
  <c r="D652" i="18" s="1"/>
  <c r="D651" i="18"/>
  <c r="B651" i="18"/>
  <c r="A651" i="18" s="1"/>
  <c r="M650" i="18"/>
  <c r="I650" i="18"/>
  <c r="H650" i="18"/>
  <c r="G650" i="18"/>
  <c r="E650" i="18"/>
  <c r="D650" i="18"/>
  <c r="C650" i="18"/>
  <c r="B650" i="18"/>
  <c r="F650" i="18" s="1"/>
  <c r="A650" i="18"/>
  <c r="M649" i="18"/>
  <c r="F649" i="18"/>
  <c r="E649" i="18"/>
  <c r="D649" i="18"/>
  <c r="B649" i="18"/>
  <c r="C649" i="18" s="1"/>
  <c r="C648" i="18"/>
  <c r="B648" i="18"/>
  <c r="A648" i="18"/>
  <c r="F647" i="18"/>
  <c r="D647" i="18"/>
  <c r="C647" i="18"/>
  <c r="B647" i="18"/>
  <c r="M647" i="18" s="1"/>
  <c r="M646" i="18"/>
  <c r="F646" i="18"/>
  <c r="E646" i="18"/>
  <c r="D646" i="18"/>
  <c r="C646" i="18"/>
  <c r="B646" i="18"/>
  <c r="A646" i="18"/>
  <c r="B645" i="18"/>
  <c r="M644" i="18"/>
  <c r="G644" i="18"/>
  <c r="K644" i="18" s="1"/>
  <c r="F644" i="18"/>
  <c r="E644" i="18"/>
  <c r="C644" i="18"/>
  <c r="B644" i="18"/>
  <c r="D644" i="18" s="1"/>
  <c r="D643" i="18"/>
  <c r="B643" i="18"/>
  <c r="A643" i="18" s="1"/>
  <c r="M642" i="18"/>
  <c r="I642" i="18"/>
  <c r="H642" i="18"/>
  <c r="G642" i="18"/>
  <c r="E642" i="18"/>
  <c r="D642" i="18"/>
  <c r="C642" i="18"/>
  <c r="B642" i="18"/>
  <c r="F642" i="18" s="1"/>
  <c r="A642" i="18"/>
  <c r="M641" i="18"/>
  <c r="F641" i="18"/>
  <c r="E641" i="18"/>
  <c r="D641" i="18"/>
  <c r="B641" i="18"/>
  <c r="C641" i="18" s="1"/>
  <c r="C640" i="18"/>
  <c r="B640" i="18"/>
  <c r="A640" i="18"/>
  <c r="F639" i="18"/>
  <c r="D639" i="18"/>
  <c r="C639" i="18"/>
  <c r="B639" i="18"/>
  <c r="M639" i="18" s="1"/>
  <c r="M638" i="18"/>
  <c r="E638" i="18"/>
  <c r="D638" i="18"/>
  <c r="C638" i="18"/>
  <c r="B638" i="18"/>
  <c r="F638" i="18" s="1"/>
  <c r="A638" i="18"/>
  <c r="B637" i="18"/>
  <c r="M636" i="18"/>
  <c r="G636" i="18"/>
  <c r="K636" i="18" s="1"/>
  <c r="F636" i="18"/>
  <c r="E636" i="18"/>
  <c r="C636" i="18"/>
  <c r="B636" i="18"/>
  <c r="D636" i="18" s="1"/>
  <c r="D635" i="18"/>
  <c r="B635" i="18"/>
  <c r="A635" i="18" s="1"/>
  <c r="M634" i="18"/>
  <c r="I634" i="18"/>
  <c r="H634" i="18"/>
  <c r="G634" i="18"/>
  <c r="E634" i="18"/>
  <c r="D634" i="18"/>
  <c r="C634" i="18"/>
  <c r="B634" i="18"/>
  <c r="F634" i="18" s="1"/>
  <c r="A634" i="18"/>
  <c r="M633" i="18"/>
  <c r="F633" i="18"/>
  <c r="E633" i="18"/>
  <c r="D633" i="18"/>
  <c r="B633" i="18"/>
  <c r="C633" i="18" s="1"/>
  <c r="C632" i="18"/>
  <c r="B632" i="18"/>
  <c r="A632" i="18"/>
  <c r="F631" i="18"/>
  <c r="D631" i="18"/>
  <c r="C631" i="18"/>
  <c r="B631" i="18"/>
  <c r="M631" i="18" s="1"/>
  <c r="M630" i="18"/>
  <c r="F630" i="18"/>
  <c r="E630" i="18"/>
  <c r="D630" i="18"/>
  <c r="C630" i="18"/>
  <c r="B630" i="18"/>
  <c r="A630" i="18"/>
  <c r="B629" i="18"/>
  <c r="M628" i="18"/>
  <c r="G628" i="18"/>
  <c r="K628" i="18" s="1"/>
  <c r="F628" i="18"/>
  <c r="E628" i="18"/>
  <c r="C628" i="18"/>
  <c r="B628" i="18"/>
  <c r="D628" i="18" s="1"/>
  <c r="D627" i="18"/>
  <c r="B627" i="18"/>
  <c r="A627" i="18" s="1"/>
  <c r="M626" i="18"/>
  <c r="I626" i="18"/>
  <c r="H626" i="18"/>
  <c r="G626" i="18"/>
  <c r="E626" i="18"/>
  <c r="D626" i="18"/>
  <c r="C626" i="18"/>
  <c r="B626" i="18"/>
  <c r="F626" i="18" s="1"/>
  <c r="A626" i="18"/>
  <c r="M625" i="18"/>
  <c r="F625" i="18"/>
  <c r="E625" i="18"/>
  <c r="D625" i="18"/>
  <c r="B625" i="18"/>
  <c r="C625" i="18" s="1"/>
  <c r="C624" i="18"/>
  <c r="B624" i="18"/>
  <c r="A624" i="18"/>
  <c r="F623" i="18"/>
  <c r="D623" i="18"/>
  <c r="C623" i="18"/>
  <c r="B623" i="18"/>
  <c r="M623" i="18" s="1"/>
  <c r="M622" i="18"/>
  <c r="E622" i="18"/>
  <c r="D622" i="18"/>
  <c r="C622" i="18"/>
  <c r="B622" i="18"/>
  <c r="F622" i="18" s="1"/>
  <c r="A622" i="18"/>
  <c r="B621" i="18"/>
  <c r="M620" i="18"/>
  <c r="G620" i="18"/>
  <c r="K620" i="18" s="1"/>
  <c r="F620" i="18"/>
  <c r="E620" i="18"/>
  <c r="C620" i="18"/>
  <c r="B620" i="18"/>
  <c r="D620" i="18" s="1"/>
  <c r="D619" i="18"/>
  <c r="B619" i="18"/>
  <c r="A619" i="18" s="1"/>
  <c r="M618" i="18"/>
  <c r="I618" i="18"/>
  <c r="H618" i="18"/>
  <c r="G618" i="18"/>
  <c r="E618" i="18"/>
  <c r="D618" i="18"/>
  <c r="C618" i="18"/>
  <c r="B618" i="18"/>
  <c r="F618" i="18" s="1"/>
  <c r="A618" i="18"/>
  <c r="M617" i="18"/>
  <c r="F617" i="18"/>
  <c r="E617" i="18"/>
  <c r="D617" i="18"/>
  <c r="B617" i="18"/>
  <c r="C617" i="18" s="1"/>
  <c r="C616" i="18"/>
  <c r="B616" i="18"/>
  <c r="A616" i="18"/>
  <c r="F615" i="18"/>
  <c r="D615" i="18"/>
  <c r="C615" i="18"/>
  <c r="B615" i="18"/>
  <c r="M615" i="18" s="1"/>
  <c r="M614" i="18"/>
  <c r="E614" i="18"/>
  <c r="D614" i="18"/>
  <c r="C614" i="18"/>
  <c r="B614" i="18"/>
  <c r="F614" i="18" s="1"/>
  <c r="A614" i="18"/>
  <c r="B613" i="18"/>
  <c r="M612" i="18"/>
  <c r="G612" i="18"/>
  <c r="K612" i="18" s="1"/>
  <c r="F612" i="18"/>
  <c r="E612" i="18"/>
  <c r="C612" i="18"/>
  <c r="B612" i="18"/>
  <c r="D612" i="18" s="1"/>
  <c r="D611" i="18"/>
  <c r="B611" i="18"/>
  <c r="A611" i="18" s="1"/>
  <c r="M610" i="18"/>
  <c r="I610" i="18"/>
  <c r="H610" i="18"/>
  <c r="G610" i="18"/>
  <c r="E610" i="18"/>
  <c r="D610" i="18"/>
  <c r="C610" i="18"/>
  <c r="B610" i="18"/>
  <c r="F610" i="18" s="1"/>
  <c r="A610" i="18"/>
  <c r="M609" i="18"/>
  <c r="F609" i="18"/>
  <c r="E609" i="18"/>
  <c r="D609" i="18"/>
  <c r="B609" i="18"/>
  <c r="C609" i="18" s="1"/>
  <c r="C608" i="18"/>
  <c r="B608" i="18"/>
  <c r="A608" i="18"/>
  <c r="F607" i="18"/>
  <c r="D607" i="18"/>
  <c r="C607" i="18"/>
  <c r="B607" i="18"/>
  <c r="M607" i="18" s="1"/>
  <c r="M606" i="18"/>
  <c r="E606" i="18"/>
  <c r="D606" i="18"/>
  <c r="C606" i="18"/>
  <c r="B606" i="18"/>
  <c r="F606" i="18" s="1"/>
  <c r="A606" i="18"/>
  <c r="B605" i="18"/>
  <c r="M604" i="18"/>
  <c r="G604" i="18"/>
  <c r="K604" i="18" s="1"/>
  <c r="F604" i="18"/>
  <c r="E604" i="18"/>
  <c r="C604" i="18"/>
  <c r="B604" i="18"/>
  <c r="D604" i="18" s="1"/>
  <c r="D603" i="18"/>
  <c r="B603" i="18"/>
  <c r="A603" i="18" s="1"/>
  <c r="M602" i="18"/>
  <c r="I602" i="18"/>
  <c r="H602" i="18"/>
  <c r="G602" i="18"/>
  <c r="E602" i="18"/>
  <c r="D602" i="18"/>
  <c r="C602" i="18"/>
  <c r="B602" i="18"/>
  <c r="F602" i="18" s="1"/>
  <c r="A602" i="18"/>
  <c r="M601" i="18"/>
  <c r="F601" i="18"/>
  <c r="E601" i="18"/>
  <c r="D601" i="18"/>
  <c r="B601" i="18"/>
  <c r="C601" i="18" s="1"/>
  <c r="C600" i="18"/>
  <c r="B600" i="18"/>
  <c r="A600" i="18"/>
  <c r="F599" i="18"/>
  <c r="D599" i="18"/>
  <c r="C599" i="18"/>
  <c r="B599" i="18"/>
  <c r="M599" i="18" s="1"/>
  <c r="M598" i="18"/>
  <c r="E598" i="18"/>
  <c r="D598" i="18"/>
  <c r="C598" i="18"/>
  <c r="B598" i="18"/>
  <c r="F598" i="18" s="1"/>
  <c r="A598" i="18"/>
  <c r="B597" i="18"/>
  <c r="M596" i="18"/>
  <c r="G596" i="18"/>
  <c r="K596" i="18" s="1"/>
  <c r="F596" i="18"/>
  <c r="E596" i="18"/>
  <c r="C596" i="18"/>
  <c r="B596" i="18"/>
  <c r="D596" i="18" s="1"/>
  <c r="D595" i="18"/>
  <c r="B595" i="18"/>
  <c r="A595" i="18" s="1"/>
  <c r="M594" i="18"/>
  <c r="I594" i="18"/>
  <c r="H594" i="18"/>
  <c r="G594" i="18"/>
  <c r="E594" i="18"/>
  <c r="D594" i="18"/>
  <c r="C594" i="18"/>
  <c r="B594" i="18"/>
  <c r="F594" i="18" s="1"/>
  <c r="A594" i="18"/>
  <c r="M593" i="18"/>
  <c r="F593" i="18"/>
  <c r="E593" i="18"/>
  <c r="D593" i="18"/>
  <c r="B593" i="18"/>
  <c r="C593" i="18" s="1"/>
  <c r="C592" i="18"/>
  <c r="B592" i="18"/>
  <c r="A592" i="18"/>
  <c r="F591" i="18"/>
  <c r="D591" i="18"/>
  <c r="C591" i="18"/>
  <c r="B591" i="18"/>
  <c r="M591" i="18" s="1"/>
  <c r="M590" i="18"/>
  <c r="E590" i="18"/>
  <c r="D590" i="18"/>
  <c r="C590" i="18"/>
  <c r="B590" i="18"/>
  <c r="F590" i="18" s="1"/>
  <c r="A590" i="18"/>
  <c r="B589" i="18"/>
  <c r="M588" i="18"/>
  <c r="G588" i="18"/>
  <c r="K588" i="18" s="1"/>
  <c r="F588" i="18"/>
  <c r="E588" i="18"/>
  <c r="C588" i="18"/>
  <c r="B588" i="18"/>
  <c r="D588" i="18" s="1"/>
  <c r="D587" i="18"/>
  <c r="B587" i="18"/>
  <c r="A587" i="18" s="1"/>
  <c r="M586" i="18"/>
  <c r="I586" i="18"/>
  <c r="H586" i="18"/>
  <c r="G586" i="18"/>
  <c r="E586" i="18"/>
  <c r="D586" i="18"/>
  <c r="C586" i="18"/>
  <c r="B586" i="18"/>
  <c r="F586" i="18" s="1"/>
  <c r="A586" i="18"/>
  <c r="M585" i="18"/>
  <c r="F585" i="18"/>
  <c r="E585" i="18"/>
  <c r="D585" i="18"/>
  <c r="B585" i="18"/>
  <c r="C585" i="18" s="1"/>
  <c r="C584" i="18"/>
  <c r="B584" i="18"/>
  <c r="A584" i="18"/>
  <c r="F583" i="18"/>
  <c r="D583" i="18"/>
  <c r="C583" i="18"/>
  <c r="B583" i="18"/>
  <c r="M583" i="18" s="1"/>
  <c r="M582" i="18"/>
  <c r="E582" i="18"/>
  <c r="D582" i="18"/>
  <c r="C582" i="18"/>
  <c r="B582" i="18"/>
  <c r="F582" i="18" s="1"/>
  <c r="A582" i="18"/>
  <c r="B581" i="18"/>
  <c r="M580" i="18"/>
  <c r="G580" i="18"/>
  <c r="K580" i="18" s="1"/>
  <c r="F580" i="18"/>
  <c r="E580" i="18"/>
  <c r="C580" i="18"/>
  <c r="B580" i="18"/>
  <c r="D580" i="18" s="1"/>
  <c r="D579" i="18"/>
  <c r="B579" i="18"/>
  <c r="A579" i="18" s="1"/>
  <c r="M578" i="18"/>
  <c r="I578" i="18"/>
  <c r="H578" i="18"/>
  <c r="G578" i="18"/>
  <c r="E578" i="18"/>
  <c r="D578" i="18"/>
  <c r="C578" i="18"/>
  <c r="B578" i="18"/>
  <c r="F578" i="18" s="1"/>
  <c r="A578" i="18"/>
  <c r="M577" i="18"/>
  <c r="F577" i="18"/>
  <c r="E577" i="18"/>
  <c r="D577" i="18"/>
  <c r="B577" i="18"/>
  <c r="C577" i="18" s="1"/>
  <c r="C576" i="18"/>
  <c r="B576" i="18"/>
  <c r="A576" i="18"/>
  <c r="F575" i="18"/>
  <c r="D575" i="18"/>
  <c r="C575" i="18"/>
  <c r="B575" i="18"/>
  <c r="M575" i="18" s="1"/>
  <c r="M574" i="18"/>
  <c r="E574" i="18"/>
  <c r="D574" i="18"/>
  <c r="C574" i="18"/>
  <c r="B574" i="18"/>
  <c r="F574" i="18" s="1"/>
  <c r="A574" i="18"/>
  <c r="B573" i="18"/>
  <c r="M572" i="18"/>
  <c r="G572" i="18"/>
  <c r="K572" i="18" s="1"/>
  <c r="F572" i="18"/>
  <c r="E572" i="18"/>
  <c r="C572" i="18"/>
  <c r="B572" i="18"/>
  <c r="D572" i="18" s="1"/>
  <c r="B571" i="18"/>
  <c r="M570" i="18"/>
  <c r="H570" i="18"/>
  <c r="G570" i="18"/>
  <c r="E570" i="18"/>
  <c r="D570" i="18"/>
  <c r="C570" i="18"/>
  <c r="B570" i="18"/>
  <c r="F570" i="18" s="1"/>
  <c r="A570" i="18"/>
  <c r="M569" i="18"/>
  <c r="F569" i="18"/>
  <c r="E569" i="18"/>
  <c r="D569" i="18"/>
  <c r="B569" i="18"/>
  <c r="C569" i="18" s="1"/>
  <c r="C568" i="18"/>
  <c r="B568" i="18"/>
  <c r="A568" i="18"/>
  <c r="F567" i="18"/>
  <c r="D567" i="18"/>
  <c r="C567" i="18"/>
  <c r="B567" i="18"/>
  <c r="M567" i="18" s="1"/>
  <c r="M566" i="18"/>
  <c r="E566" i="18"/>
  <c r="D566" i="18"/>
  <c r="C566" i="18"/>
  <c r="B566" i="18"/>
  <c r="F566" i="18" s="1"/>
  <c r="A566" i="18"/>
  <c r="B565" i="18"/>
  <c r="M564" i="18"/>
  <c r="G564" i="18"/>
  <c r="K564" i="18" s="1"/>
  <c r="F564" i="18"/>
  <c r="E564" i="18"/>
  <c r="C564" i="18"/>
  <c r="B564" i="18"/>
  <c r="D564" i="18" s="1"/>
  <c r="D563" i="18"/>
  <c r="B563" i="18"/>
  <c r="M562" i="18"/>
  <c r="I562" i="18"/>
  <c r="H562" i="18"/>
  <c r="G562" i="18"/>
  <c r="E562" i="18"/>
  <c r="D562" i="18"/>
  <c r="C562" i="18"/>
  <c r="B562" i="18"/>
  <c r="F562" i="18" s="1"/>
  <c r="A562" i="18"/>
  <c r="M561" i="18"/>
  <c r="F561" i="18"/>
  <c r="E561" i="18"/>
  <c r="D561" i="18"/>
  <c r="B561" i="18"/>
  <c r="C561" i="18" s="1"/>
  <c r="C560" i="18"/>
  <c r="B560" i="18"/>
  <c r="A560" i="18"/>
  <c r="F559" i="18"/>
  <c r="D559" i="18"/>
  <c r="C559" i="18"/>
  <c r="B559" i="18"/>
  <c r="M559" i="18" s="1"/>
  <c r="M558" i="18"/>
  <c r="F558" i="18"/>
  <c r="E558" i="18"/>
  <c r="D558" i="18"/>
  <c r="C558" i="18"/>
  <c r="B558" i="18"/>
  <c r="A558" i="18"/>
  <c r="B557" i="18"/>
  <c r="M556" i="18"/>
  <c r="F556" i="18"/>
  <c r="E556" i="18"/>
  <c r="G556" i="18" s="1"/>
  <c r="K556" i="18" s="1"/>
  <c r="C556" i="18"/>
  <c r="B556" i="18"/>
  <c r="D556" i="18" s="1"/>
  <c r="D555" i="18"/>
  <c r="B555" i="18"/>
  <c r="M554" i="18"/>
  <c r="I554" i="18"/>
  <c r="H554" i="18"/>
  <c r="G554" i="18"/>
  <c r="E554" i="18"/>
  <c r="D554" i="18"/>
  <c r="C554" i="18"/>
  <c r="B554" i="18"/>
  <c r="F554" i="18" s="1"/>
  <c r="A554" i="18"/>
  <c r="M553" i="18"/>
  <c r="F553" i="18"/>
  <c r="E553" i="18"/>
  <c r="D553" i="18"/>
  <c r="B553" i="18"/>
  <c r="C553" i="18" s="1"/>
  <c r="C552" i="18"/>
  <c r="B552" i="18"/>
  <c r="A552" i="18"/>
  <c r="F551" i="18"/>
  <c r="D551" i="18"/>
  <c r="C551" i="18"/>
  <c r="B551" i="18"/>
  <c r="M551" i="18" s="1"/>
  <c r="M550" i="18"/>
  <c r="E550" i="18"/>
  <c r="D550" i="18"/>
  <c r="C550" i="18"/>
  <c r="B550" i="18"/>
  <c r="F550" i="18" s="1"/>
  <c r="A550" i="18"/>
  <c r="B549" i="18"/>
  <c r="M548" i="18"/>
  <c r="G548" i="18"/>
  <c r="K548" i="18" s="1"/>
  <c r="F548" i="18"/>
  <c r="E548" i="18"/>
  <c r="C548" i="18"/>
  <c r="B548" i="18"/>
  <c r="D548" i="18" s="1"/>
  <c r="B547" i="18"/>
  <c r="M546" i="18"/>
  <c r="H546" i="18"/>
  <c r="G546" i="18"/>
  <c r="E546" i="18"/>
  <c r="D546" i="18"/>
  <c r="C546" i="18"/>
  <c r="B546" i="18"/>
  <c r="F546" i="18" s="1"/>
  <c r="A546" i="18"/>
  <c r="M545" i="18"/>
  <c r="F545" i="18"/>
  <c r="E545" i="18"/>
  <c r="D545" i="18"/>
  <c r="B545" i="18"/>
  <c r="C545" i="18" s="1"/>
  <c r="C544" i="18"/>
  <c r="B544" i="18"/>
  <c r="A544" i="18"/>
  <c r="F543" i="18"/>
  <c r="D543" i="18"/>
  <c r="C543" i="18"/>
  <c r="B543" i="18"/>
  <c r="M543" i="18" s="1"/>
  <c r="M542" i="18"/>
  <c r="E542" i="18"/>
  <c r="D542" i="18"/>
  <c r="C542" i="18"/>
  <c r="B542" i="18"/>
  <c r="F542" i="18" s="1"/>
  <c r="A542" i="18"/>
  <c r="B541" i="18"/>
  <c r="M540" i="18"/>
  <c r="G540" i="18"/>
  <c r="K540" i="18" s="1"/>
  <c r="F540" i="18"/>
  <c r="E540" i="18"/>
  <c r="C540" i="18"/>
  <c r="B540" i="18"/>
  <c r="D540" i="18" s="1"/>
  <c r="D539" i="18"/>
  <c r="B539" i="18"/>
  <c r="M538" i="18"/>
  <c r="I538" i="18"/>
  <c r="H538" i="18"/>
  <c r="G538" i="18"/>
  <c r="E538" i="18"/>
  <c r="D538" i="18"/>
  <c r="C538" i="18"/>
  <c r="B538" i="18"/>
  <c r="F538" i="18" s="1"/>
  <c r="A538" i="18"/>
  <c r="M537" i="18"/>
  <c r="F537" i="18"/>
  <c r="E537" i="18"/>
  <c r="D537" i="18"/>
  <c r="B537" i="18"/>
  <c r="C537" i="18" s="1"/>
  <c r="C536" i="18"/>
  <c r="B536" i="18"/>
  <c r="A536" i="18"/>
  <c r="F535" i="18"/>
  <c r="D535" i="18"/>
  <c r="C535" i="18"/>
  <c r="B535" i="18"/>
  <c r="M535" i="18" s="1"/>
  <c r="M534" i="18"/>
  <c r="E534" i="18"/>
  <c r="D534" i="18"/>
  <c r="C534" i="18"/>
  <c r="B534" i="18"/>
  <c r="F534" i="18" s="1"/>
  <c r="A534" i="18"/>
  <c r="B533" i="18"/>
  <c r="M532" i="18"/>
  <c r="F532" i="18"/>
  <c r="E532" i="18"/>
  <c r="G532" i="18" s="1"/>
  <c r="K532" i="18" s="1"/>
  <c r="C532" i="18"/>
  <c r="B532" i="18"/>
  <c r="D532" i="18" s="1"/>
  <c r="B531" i="18"/>
  <c r="M530" i="18"/>
  <c r="I530" i="18"/>
  <c r="H530" i="18"/>
  <c r="G530" i="18"/>
  <c r="K530" i="18" s="1"/>
  <c r="E530" i="18"/>
  <c r="D530" i="18"/>
  <c r="C530" i="18"/>
  <c r="B530" i="18"/>
  <c r="F530" i="18" s="1"/>
  <c r="A530" i="18"/>
  <c r="M529" i="18"/>
  <c r="F529" i="18"/>
  <c r="E529" i="18"/>
  <c r="D529" i="18"/>
  <c r="B529" i="18"/>
  <c r="C529" i="18" s="1"/>
  <c r="C528" i="18"/>
  <c r="B528" i="18"/>
  <c r="A528" i="18"/>
  <c r="F527" i="18"/>
  <c r="D527" i="18"/>
  <c r="C527" i="18"/>
  <c r="B527" i="18"/>
  <c r="M527" i="18" s="1"/>
  <c r="M526" i="18"/>
  <c r="E526" i="18"/>
  <c r="D526" i="18"/>
  <c r="C526" i="18"/>
  <c r="B526" i="18"/>
  <c r="F526" i="18" s="1"/>
  <c r="A526" i="18"/>
  <c r="B525" i="18"/>
  <c r="M524" i="18"/>
  <c r="F524" i="18"/>
  <c r="E524" i="18"/>
  <c r="G524" i="18" s="1"/>
  <c r="K524" i="18" s="1"/>
  <c r="C524" i="18"/>
  <c r="B524" i="18"/>
  <c r="D524" i="18" s="1"/>
  <c r="D523" i="18"/>
  <c r="B523" i="18"/>
  <c r="M522" i="18"/>
  <c r="H522" i="18"/>
  <c r="G522" i="18"/>
  <c r="K522" i="18" s="1"/>
  <c r="E522" i="18"/>
  <c r="D522" i="18"/>
  <c r="C522" i="18"/>
  <c r="B522" i="18"/>
  <c r="F522" i="18" s="1"/>
  <c r="A522" i="18"/>
  <c r="M521" i="18"/>
  <c r="F521" i="18"/>
  <c r="E521" i="18"/>
  <c r="D521" i="18"/>
  <c r="B521" i="18"/>
  <c r="C521" i="18" s="1"/>
  <c r="C520" i="18"/>
  <c r="B520" i="18"/>
  <c r="A520" i="18"/>
  <c r="F519" i="18"/>
  <c r="D519" i="18"/>
  <c r="C519" i="18"/>
  <c r="B519" i="18"/>
  <c r="M519" i="18" s="1"/>
  <c r="M518" i="18"/>
  <c r="E518" i="18"/>
  <c r="D518" i="18"/>
  <c r="C518" i="18"/>
  <c r="B518" i="18"/>
  <c r="F518" i="18" s="1"/>
  <c r="A518" i="18"/>
  <c r="B517" i="18"/>
  <c r="M516" i="18"/>
  <c r="G516" i="18"/>
  <c r="K516" i="18" s="1"/>
  <c r="F516" i="18"/>
  <c r="E516" i="18"/>
  <c r="C516" i="18"/>
  <c r="B516" i="18"/>
  <c r="D516" i="18" s="1"/>
  <c r="B515" i="18"/>
  <c r="M514" i="18"/>
  <c r="I514" i="18"/>
  <c r="H514" i="18"/>
  <c r="G514" i="18"/>
  <c r="E514" i="18"/>
  <c r="D514" i="18"/>
  <c r="C514" i="18"/>
  <c r="B514" i="18"/>
  <c r="F514" i="18" s="1"/>
  <c r="A514" i="18"/>
  <c r="M513" i="18"/>
  <c r="F513" i="18"/>
  <c r="E513" i="18"/>
  <c r="D513" i="18"/>
  <c r="B513" i="18"/>
  <c r="C513" i="18" s="1"/>
  <c r="C512" i="18"/>
  <c r="B512" i="18"/>
  <c r="A512" i="18"/>
  <c r="F511" i="18"/>
  <c r="D511" i="18"/>
  <c r="C511" i="18"/>
  <c r="B511" i="18"/>
  <c r="M511" i="18" s="1"/>
  <c r="M510" i="18"/>
  <c r="E510" i="18"/>
  <c r="D510" i="18"/>
  <c r="C510" i="18"/>
  <c r="B510" i="18"/>
  <c r="F510" i="18" s="1"/>
  <c r="A510" i="18"/>
  <c r="B509" i="18"/>
  <c r="A509" i="18"/>
  <c r="M508" i="18"/>
  <c r="G508" i="18"/>
  <c r="F508" i="18"/>
  <c r="E508" i="18"/>
  <c r="C508" i="18"/>
  <c r="B508" i="18"/>
  <c r="D508" i="18" s="1"/>
  <c r="D507" i="18"/>
  <c r="C507" i="18"/>
  <c r="B507" i="18"/>
  <c r="M506" i="18"/>
  <c r="H506" i="18"/>
  <c r="I506" i="18" s="1"/>
  <c r="G506" i="18"/>
  <c r="K506" i="18" s="1"/>
  <c r="E506" i="18"/>
  <c r="D506" i="18"/>
  <c r="C506" i="18"/>
  <c r="B506" i="18"/>
  <c r="F506" i="18" s="1"/>
  <c r="A506" i="18"/>
  <c r="M505" i="18"/>
  <c r="F505" i="18"/>
  <c r="E505" i="18"/>
  <c r="D505" i="18"/>
  <c r="B505" i="18"/>
  <c r="C505" i="18" s="1"/>
  <c r="B504" i="18"/>
  <c r="A504" i="18"/>
  <c r="F503" i="18"/>
  <c r="D503" i="18"/>
  <c r="C503" i="18"/>
  <c r="B503" i="18"/>
  <c r="M503" i="18" s="1"/>
  <c r="M502" i="18"/>
  <c r="E502" i="18"/>
  <c r="D502" i="18"/>
  <c r="C502" i="18"/>
  <c r="B502" i="18"/>
  <c r="F502" i="18" s="1"/>
  <c r="A502" i="18"/>
  <c r="B501" i="18"/>
  <c r="M500" i="18"/>
  <c r="F500" i="18"/>
  <c r="E500" i="18"/>
  <c r="G500" i="18" s="1"/>
  <c r="K500" i="18" s="1"/>
  <c r="C500" i="18"/>
  <c r="B500" i="18"/>
  <c r="D500" i="18" s="1"/>
  <c r="B499" i="18"/>
  <c r="M498" i="18"/>
  <c r="H498" i="18"/>
  <c r="I498" i="18" s="1"/>
  <c r="G498" i="18"/>
  <c r="E498" i="18"/>
  <c r="D498" i="18"/>
  <c r="C498" i="18"/>
  <c r="B498" i="18"/>
  <c r="F498" i="18" s="1"/>
  <c r="A498" i="18"/>
  <c r="M497" i="18"/>
  <c r="F497" i="18"/>
  <c r="E497" i="18"/>
  <c r="D497" i="18"/>
  <c r="B497" i="18"/>
  <c r="C497" i="18" s="1"/>
  <c r="C496" i="18"/>
  <c r="B496" i="18"/>
  <c r="A496" i="18"/>
  <c r="F495" i="18"/>
  <c r="D495" i="18"/>
  <c r="C495" i="18"/>
  <c r="B495" i="18"/>
  <c r="M495" i="18" s="1"/>
  <c r="M494" i="18"/>
  <c r="E494" i="18"/>
  <c r="D494" i="18"/>
  <c r="C494" i="18"/>
  <c r="B494" i="18"/>
  <c r="F494" i="18" s="1"/>
  <c r="A494" i="18"/>
  <c r="B493" i="18"/>
  <c r="A493" i="18"/>
  <c r="M492" i="18"/>
  <c r="G492" i="18"/>
  <c r="F492" i="18"/>
  <c r="E492" i="18"/>
  <c r="C492" i="18"/>
  <c r="B492" i="18"/>
  <c r="D492" i="18" s="1"/>
  <c r="D491" i="18"/>
  <c r="C491" i="18"/>
  <c r="B491" i="18"/>
  <c r="M490" i="18"/>
  <c r="H490" i="18"/>
  <c r="I490" i="18" s="1"/>
  <c r="G490" i="18"/>
  <c r="K490" i="18" s="1"/>
  <c r="E490" i="18"/>
  <c r="D490" i="18"/>
  <c r="C490" i="18"/>
  <c r="B490" i="18"/>
  <c r="F490" i="18" s="1"/>
  <c r="A490" i="18"/>
  <c r="M489" i="18"/>
  <c r="F489" i="18"/>
  <c r="E489" i="18"/>
  <c r="D489" i="18"/>
  <c r="B489" i="18"/>
  <c r="C489" i="18" s="1"/>
  <c r="B488" i="18"/>
  <c r="F487" i="18"/>
  <c r="D487" i="18"/>
  <c r="C487" i="18"/>
  <c r="B487" i="18"/>
  <c r="M487" i="18" s="1"/>
  <c r="M486" i="18"/>
  <c r="E486" i="18"/>
  <c r="D486" i="18"/>
  <c r="C486" i="18"/>
  <c r="B486" i="18"/>
  <c r="F486" i="18" s="1"/>
  <c r="A486" i="18"/>
  <c r="B485" i="18"/>
  <c r="A485" i="18"/>
  <c r="M484" i="18"/>
  <c r="G484" i="18"/>
  <c r="K484" i="18" s="1"/>
  <c r="F484" i="18"/>
  <c r="E484" i="18"/>
  <c r="C484" i="18"/>
  <c r="B484" i="18"/>
  <c r="D484" i="18" s="1"/>
  <c r="C483" i="18"/>
  <c r="B483" i="18"/>
  <c r="M482" i="18"/>
  <c r="E482" i="18"/>
  <c r="G482" i="18" s="1"/>
  <c r="K482" i="18" s="1"/>
  <c r="D482" i="18"/>
  <c r="C482" i="18"/>
  <c r="B482" i="18"/>
  <c r="F482" i="18" s="1"/>
  <c r="A482" i="18"/>
  <c r="M481" i="18"/>
  <c r="F481" i="18"/>
  <c r="D481" i="18"/>
  <c r="B481" i="18"/>
  <c r="C480" i="18"/>
  <c r="B480" i="18"/>
  <c r="A480" i="18"/>
  <c r="F479" i="18"/>
  <c r="D479" i="18"/>
  <c r="C479" i="18"/>
  <c r="B479" i="18"/>
  <c r="M479" i="18" s="1"/>
  <c r="M478" i="18"/>
  <c r="E478" i="18"/>
  <c r="D478" i="18"/>
  <c r="C478" i="18"/>
  <c r="B478" i="18"/>
  <c r="F478" i="18" s="1"/>
  <c r="A478" i="18"/>
  <c r="F477" i="18"/>
  <c r="B477" i="18"/>
  <c r="A477" i="18"/>
  <c r="M476" i="18"/>
  <c r="F476" i="18"/>
  <c r="E476" i="18"/>
  <c r="G476" i="18" s="1"/>
  <c r="K476" i="18" s="1"/>
  <c r="C476" i="18"/>
  <c r="B476" i="18"/>
  <c r="D476" i="18" s="1"/>
  <c r="B475" i="18"/>
  <c r="M474" i="18"/>
  <c r="I474" i="18"/>
  <c r="H474" i="18"/>
  <c r="G474" i="18"/>
  <c r="E474" i="18"/>
  <c r="D474" i="18"/>
  <c r="C474" i="18"/>
  <c r="B474" i="18"/>
  <c r="F474" i="18" s="1"/>
  <c r="A474" i="18"/>
  <c r="B473" i="18"/>
  <c r="B472" i="18"/>
  <c r="A472" i="18"/>
  <c r="F471" i="18"/>
  <c r="D471" i="18"/>
  <c r="C471" i="18"/>
  <c r="B471" i="18"/>
  <c r="M471" i="18" s="1"/>
  <c r="M470" i="18"/>
  <c r="E470" i="18"/>
  <c r="D470" i="18"/>
  <c r="C470" i="18"/>
  <c r="B470" i="18"/>
  <c r="F470" i="18" s="1"/>
  <c r="A470" i="18"/>
  <c r="B469" i="18"/>
  <c r="A469" i="18" s="1"/>
  <c r="M468" i="18"/>
  <c r="F468" i="18"/>
  <c r="E468" i="18"/>
  <c r="G468" i="18" s="1"/>
  <c r="K468" i="18" s="1"/>
  <c r="C468" i="18"/>
  <c r="B468" i="18"/>
  <c r="D468" i="18" s="1"/>
  <c r="D467" i="18"/>
  <c r="C467" i="18"/>
  <c r="B467" i="18"/>
  <c r="M466" i="18"/>
  <c r="E466" i="18"/>
  <c r="D466" i="18"/>
  <c r="C466" i="18"/>
  <c r="B466" i="18"/>
  <c r="F466" i="18" s="1"/>
  <c r="A466" i="18"/>
  <c r="F465" i="18"/>
  <c r="E465" i="18"/>
  <c r="D465" i="18"/>
  <c r="B465" i="18"/>
  <c r="M465" i="18" s="1"/>
  <c r="C464" i="18"/>
  <c r="B464" i="18"/>
  <c r="A464" i="18"/>
  <c r="F463" i="18"/>
  <c r="D463" i="18"/>
  <c r="C463" i="18"/>
  <c r="B463" i="18"/>
  <c r="M463" i="18" s="1"/>
  <c r="M462" i="18"/>
  <c r="E462" i="18"/>
  <c r="D462" i="18"/>
  <c r="C462" i="18"/>
  <c r="B462" i="18"/>
  <c r="F462" i="18" s="1"/>
  <c r="A462" i="18"/>
  <c r="B461" i="18"/>
  <c r="A461" i="18"/>
  <c r="M460" i="18"/>
  <c r="K460" i="18"/>
  <c r="G460" i="18"/>
  <c r="F460" i="18"/>
  <c r="E460" i="18"/>
  <c r="C460" i="18"/>
  <c r="B460" i="18"/>
  <c r="D460" i="18" s="1"/>
  <c r="D459" i="18"/>
  <c r="B459" i="18"/>
  <c r="M458" i="18"/>
  <c r="H458" i="18"/>
  <c r="G458" i="18"/>
  <c r="K458" i="18" s="1"/>
  <c r="E458" i="18"/>
  <c r="D458" i="18"/>
  <c r="C458" i="18"/>
  <c r="B458" i="18"/>
  <c r="F458" i="18" s="1"/>
  <c r="A458" i="18"/>
  <c r="M457" i="18"/>
  <c r="E457" i="18"/>
  <c r="B457" i="18"/>
  <c r="B456" i="18"/>
  <c r="A456" i="18" s="1"/>
  <c r="F455" i="18"/>
  <c r="D455" i="18"/>
  <c r="C455" i="18"/>
  <c r="B455" i="18"/>
  <c r="M455" i="18" s="1"/>
  <c r="M454" i="18"/>
  <c r="E454" i="18"/>
  <c r="D454" i="18"/>
  <c r="C454" i="18"/>
  <c r="B454" i="18"/>
  <c r="F454" i="18" s="1"/>
  <c r="A454" i="18"/>
  <c r="B453" i="18"/>
  <c r="M452" i="18"/>
  <c r="F452" i="18"/>
  <c r="E452" i="18"/>
  <c r="G452" i="18" s="1"/>
  <c r="K452" i="18" s="1"/>
  <c r="C452" i="18"/>
  <c r="B452" i="18"/>
  <c r="D452" i="18" s="1"/>
  <c r="C451" i="18"/>
  <c r="B451" i="18"/>
  <c r="M450" i="18"/>
  <c r="H450" i="18"/>
  <c r="I450" i="18" s="1"/>
  <c r="E450" i="18"/>
  <c r="G450" i="18" s="1"/>
  <c r="K450" i="18" s="1"/>
  <c r="D450" i="18"/>
  <c r="C450" i="18"/>
  <c r="B450" i="18"/>
  <c r="F450" i="18" s="1"/>
  <c r="A450" i="18"/>
  <c r="D449" i="18"/>
  <c r="B449" i="18"/>
  <c r="B448" i="18"/>
  <c r="A448" i="18"/>
  <c r="F447" i="18"/>
  <c r="D447" i="18"/>
  <c r="C447" i="18"/>
  <c r="B447" i="18"/>
  <c r="M447" i="18" s="1"/>
  <c r="M446" i="18"/>
  <c r="F446" i="18"/>
  <c r="E446" i="18"/>
  <c r="D446" i="18"/>
  <c r="C446" i="18"/>
  <c r="B446" i="18"/>
  <c r="A446" i="18"/>
  <c r="B445" i="18"/>
  <c r="A445" i="18"/>
  <c r="M444" i="18"/>
  <c r="G444" i="18"/>
  <c r="K444" i="18" s="1"/>
  <c r="F444" i="18"/>
  <c r="E444" i="18"/>
  <c r="C444" i="18"/>
  <c r="B444" i="18"/>
  <c r="D444" i="18" s="1"/>
  <c r="D443" i="18"/>
  <c r="C443" i="18"/>
  <c r="B443" i="18"/>
  <c r="M442" i="18"/>
  <c r="H442" i="18"/>
  <c r="I442" i="18" s="1"/>
  <c r="E442" i="18"/>
  <c r="G442" i="18" s="1"/>
  <c r="K442" i="18" s="1"/>
  <c r="D442" i="18"/>
  <c r="C442" i="18"/>
  <c r="B442" i="18"/>
  <c r="F442" i="18" s="1"/>
  <c r="A442" i="18"/>
  <c r="M441" i="18"/>
  <c r="F441" i="18"/>
  <c r="E441" i="18"/>
  <c r="D441" i="18"/>
  <c r="B441" i="18"/>
  <c r="C440" i="18"/>
  <c r="B440" i="18"/>
  <c r="A440" i="18"/>
  <c r="F439" i="18"/>
  <c r="D439" i="18"/>
  <c r="C439" i="18"/>
  <c r="B439" i="18"/>
  <c r="M439" i="18" s="1"/>
  <c r="M438" i="18"/>
  <c r="K438" i="18"/>
  <c r="I438" i="18"/>
  <c r="H438" i="18"/>
  <c r="F438" i="18"/>
  <c r="E438" i="18"/>
  <c r="G438" i="18" s="1"/>
  <c r="D438" i="18"/>
  <c r="C438" i="18"/>
  <c r="B438" i="18"/>
  <c r="A438" i="18"/>
  <c r="M437" i="18"/>
  <c r="F437" i="18"/>
  <c r="B437" i="18"/>
  <c r="A437" i="18"/>
  <c r="M436" i="18"/>
  <c r="F436" i="18"/>
  <c r="B436" i="18"/>
  <c r="B435" i="18"/>
  <c r="M434" i="18"/>
  <c r="I434" i="18"/>
  <c r="H434" i="18"/>
  <c r="G434" i="18"/>
  <c r="E434" i="18"/>
  <c r="D434" i="18"/>
  <c r="C434" i="18"/>
  <c r="B434" i="18"/>
  <c r="F434" i="18" s="1"/>
  <c r="A434" i="18"/>
  <c r="M433" i="18"/>
  <c r="D433" i="18"/>
  <c r="B433" i="18"/>
  <c r="A433" i="18"/>
  <c r="C432" i="18"/>
  <c r="B432" i="18"/>
  <c r="A432" i="18"/>
  <c r="F431" i="18"/>
  <c r="D431" i="18"/>
  <c r="C431" i="18"/>
  <c r="B431" i="18"/>
  <c r="M431" i="18" s="1"/>
  <c r="M430" i="18"/>
  <c r="E430" i="18"/>
  <c r="D430" i="18"/>
  <c r="C430" i="18"/>
  <c r="B430" i="18"/>
  <c r="F430" i="18" s="1"/>
  <c r="A430" i="18"/>
  <c r="H429" i="18"/>
  <c r="F429" i="18"/>
  <c r="E429" i="18"/>
  <c r="B429" i="18"/>
  <c r="M429" i="18" s="1"/>
  <c r="A429" i="18"/>
  <c r="F428" i="18"/>
  <c r="E428" i="18"/>
  <c r="G428" i="18" s="1"/>
  <c r="K428" i="18" s="1"/>
  <c r="B428" i="18"/>
  <c r="M428" i="18" s="1"/>
  <c r="D427" i="18"/>
  <c r="B427" i="18"/>
  <c r="M426" i="18"/>
  <c r="H426" i="18"/>
  <c r="I426" i="18" s="1"/>
  <c r="E426" i="18"/>
  <c r="G426" i="18" s="1"/>
  <c r="K426" i="18" s="1"/>
  <c r="D426" i="18"/>
  <c r="C426" i="18"/>
  <c r="B426" i="18"/>
  <c r="F426" i="18" s="1"/>
  <c r="A426" i="18"/>
  <c r="M425" i="18"/>
  <c r="E425" i="18"/>
  <c r="B425" i="18"/>
  <c r="A425" i="18"/>
  <c r="F424" i="18"/>
  <c r="B424" i="18"/>
  <c r="A424" i="18"/>
  <c r="F423" i="18"/>
  <c r="D423" i="18"/>
  <c r="C423" i="18"/>
  <c r="B423" i="18"/>
  <c r="M423" i="18" s="1"/>
  <c r="M422" i="18"/>
  <c r="K422" i="18"/>
  <c r="H422" i="18"/>
  <c r="I422" i="18" s="1"/>
  <c r="E422" i="18"/>
  <c r="G422" i="18" s="1"/>
  <c r="D422" i="18"/>
  <c r="C422" i="18"/>
  <c r="B422" i="18"/>
  <c r="F422" i="18" s="1"/>
  <c r="A422" i="18"/>
  <c r="M421" i="18"/>
  <c r="B421" i="18"/>
  <c r="M420" i="18"/>
  <c r="C420" i="18"/>
  <c r="B420" i="18"/>
  <c r="C419" i="18"/>
  <c r="B419" i="18"/>
  <c r="M418" i="18"/>
  <c r="E418" i="18"/>
  <c r="H418" i="18" s="1"/>
  <c r="D418" i="18"/>
  <c r="C418" i="18"/>
  <c r="B418" i="18"/>
  <c r="F418" i="18" s="1"/>
  <c r="A418" i="18"/>
  <c r="M417" i="18"/>
  <c r="F417" i="18"/>
  <c r="E417" i="18"/>
  <c r="D417" i="18"/>
  <c r="B417" i="18"/>
  <c r="A417" i="18"/>
  <c r="G416" i="18"/>
  <c r="K416" i="18" s="1"/>
  <c r="F416" i="18"/>
  <c r="E416" i="18"/>
  <c r="B416" i="18"/>
  <c r="A416" i="18" s="1"/>
  <c r="D415" i="18"/>
  <c r="B415" i="18"/>
  <c r="M414" i="18"/>
  <c r="G414" i="18"/>
  <c r="E414" i="18"/>
  <c r="H414" i="18" s="1"/>
  <c r="I414" i="18" s="1"/>
  <c r="D414" i="18"/>
  <c r="C414" i="18"/>
  <c r="B414" i="18"/>
  <c r="F414" i="18" s="1"/>
  <c r="K414" i="18" s="1"/>
  <c r="A414" i="18"/>
  <c r="B413" i="18"/>
  <c r="G412" i="18"/>
  <c r="K412" i="18" s="1"/>
  <c r="F412" i="18"/>
  <c r="E412" i="18"/>
  <c r="B412" i="18"/>
  <c r="A412" i="18" s="1"/>
  <c r="D411" i="18"/>
  <c r="B411" i="18"/>
  <c r="M410" i="18"/>
  <c r="G410" i="18"/>
  <c r="E410" i="18"/>
  <c r="H410" i="18" s="1"/>
  <c r="I410" i="18" s="1"/>
  <c r="D410" i="18"/>
  <c r="C410" i="18"/>
  <c r="B410" i="18"/>
  <c r="F410" i="18" s="1"/>
  <c r="K410" i="18" s="1"/>
  <c r="A410" i="18"/>
  <c r="B409" i="18"/>
  <c r="G408" i="18"/>
  <c r="K408" i="18" s="1"/>
  <c r="F408" i="18"/>
  <c r="E408" i="18"/>
  <c r="B408" i="18"/>
  <c r="A408" i="18" s="1"/>
  <c r="D407" i="18"/>
  <c r="B407" i="18"/>
  <c r="M406" i="18"/>
  <c r="G406" i="18"/>
  <c r="E406" i="18"/>
  <c r="H406" i="18" s="1"/>
  <c r="I406" i="18" s="1"/>
  <c r="D406" i="18"/>
  <c r="C406" i="18"/>
  <c r="B406" i="18"/>
  <c r="F406" i="18" s="1"/>
  <c r="K406" i="18" s="1"/>
  <c r="A406" i="18"/>
  <c r="B405" i="18"/>
  <c r="G404" i="18"/>
  <c r="K404" i="18" s="1"/>
  <c r="F404" i="18"/>
  <c r="E404" i="18"/>
  <c r="B404" i="18"/>
  <c r="A404" i="18" s="1"/>
  <c r="D403" i="18"/>
  <c r="B403" i="18"/>
  <c r="M402" i="18"/>
  <c r="G402" i="18"/>
  <c r="E402" i="18"/>
  <c r="H402" i="18" s="1"/>
  <c r="I402" i="18" s="1"/>
  <c r="D402" i="18"/>
  <c r="C402" i="18"/>
  <c r="B402" i="18"/>
  <c r="F402" i="18" s="1"/>
  <c r="K402" i="18" s="1"/>
  <c r="A402" i="18"/>
  <c r="B401" i="18"/>
  <c r="G400" i="18"/>
  <c r="K400" i="18" s="1"/>
  <c r="F400" i="18"/>
  <c r="E400" i="18"/>
  <c r="B400" i="18"/>
  <c r="A400" i="18" s="1"/>
  <c r="D399" i="18"/>
  <c r="B399" i="18"/>
  <c r="M398" i="18"/>
  <c r="G398" i="18"/>
  <c r="E398" i="18"/>
  <c r="H398" i="18" s="1"/>
  <c r="I398" i="18" s="1"/>
  <c r="D398" i="18"/>
  <c r="C398" i="18"/>
  <c r="B398" i="18"/>
  <c r="F398" i="18" s="1"/>
  <c r="K398" i="18" s="1"/>
  <c r="A398" i="18"/>
  <c r="B397" i="18"/>
  <c r="G396" i="18"/>
  <c r="K396" i="18" s="1"/>
  <c r="F396" i="18"/>
  <c r="E396" i="18"/>
  <c r="B396" i="18"/>
  <c r="A396" i="18" s="1"/>
  <c r="D395" i="18"/>
  <c r="B395" i="18"/>
  <c r="M394" i="18"/>
  <c r="G394" i="18"/>
  <c r="E394" i="18"/>
  <c r="H394" i="18" s="1"/>
  <c r="I394" i="18" s="1"/>
  <c r="D394" i="18"/>
  <c r="C394" i="18"/>
  <c r="B394" i="18"/>
  <c r="F394" i="18" s="1"/>
  <c r="K394" i="18" s="1"/>
  <c r="A394" i="18"/>
  <c r="B393" i="18"/>
  <c r="G392" i="18"/>
  <c r="K392" i="18" s="1"/>
  <c r="F392" i="18"/>
  <c r="E392" i="18"/>
  <c r="B392" i="18"/>
  <c r="A392" i="18" s="1"/>
  <c r="D391" i="18"/>
  <c r="B391" i="18"/>
  <c r="M390" i="18"/>
  <c r="G390" i="18"/>
  <c r="E390" i="18"/>
  <c r="H390" i="18" s="1"/>
  <c r="I390" i="18" s="1"/>
  <c r="D390" i="18"/>
  <c r="C390" i="18"/>
  <c r="B390" i="18"/>
  <c r="F390" i="18" s="1"/>
  <c r="K390" i="18" s="1"/>
  <c r="A390" i="18"/>
  <c r="B389" i="18"/>
  <c r="G388" i="18"/>
  <c r="K388" i="18" s="1"/>
  <c r="F388" i="18"/>
  <c r="E388" i="18"/>
  <c r="B388" i="18"/>
  <c r="A388" i="18" s="1"/>
  <c r="D387" i="18"/>
  <c r="B387" i="18"/>
  <c r="M386" i="18"/>
  <c r="G386" i="18"/>
  <c r="E386" i="18"/>
  <c r="H386" i="18" s="1"/>
  <c r="I386" i="18" s="1"/>
  <c r="D386" i="18"/>
  <c r="C386" i="18"/>
  <c r="B386" i="18"/>
  <c r="F386" i="18" s="1"/>
  <c r="K386" i="18" s="1"/>
  <c r="A386" i="18"/>
  <c r="B385" i="18"/>
  <c r="G384" i="18"/>
  <c r="K384" i="18" s="1"/>
  <c r="F384" i="18"/>
  <c r="E384" i="18"/>
  <c r="B384" i="18"/>
  <c r="A384" i="18" s="1"/>
  <c r="D383" i="18"/>
  <c r="B383" i="18"/>
  <c r="M382" i="18"/>
  <c r="G382" i="18"/>
  <c r="E382" i="18"/>
  <c r="H382" i="18" s="1"/>
  <c r="I382" i="18" s="1"/>
  <c r="D382" i="18"/>
  <c r="C382" i="18"/>
  <c r="B382" i="18"/>
  <c r="F382" i="18" s="1"/>
  <c r="K382" i="18" s="1"/>
  <c r="A382" i="18"/>
  <c r="B381" i="18"/>
  <c r="G380" i="18"/>
  <c r="K380" i="18" s="1"/>
  <c r="F380" i="18"/>
  <c r="E380" i="18"/>
  <c r="B380" i="18"/>
  <c r="A380" i="18" s="1"/>
  <c r="D379" i="18"/>
  <c r="B379" i="18"/>
  <c r="M378" i="18"/>
  <c r="G378" i="18"/>
  <c r="E378" i="18"/>
  <c r="H378" i="18" s="1"/>
  <c r="I378" i="18" s="1"/>
  <c r="D378" i="18"/>
  <c r="C378" i="18"/>
  <c r="B378" i="18"/>
  <c r="F378" i="18" s="1"/>
  <c r="K378" i="18" s="1"/>
  <c r="A378" i="18"/>
  <c r="B377" i="18"/>
  <c r="G376" i="18"/>
  <c r="K376" i="18" s="1"/>
  <c r="F376" i="18"/>
  <c r="E376" i="18"/>
  <c r="B376" i="18"/>
  <c r="A376" i="18" s="1"/>
  <c r="D375" i="18"/>
  <c r="B375" i="18"/>
  <c r="A375" i="18"/>
  <c r="M374" i="18"/>
  <c r="F374" i="18"/>
  <c r="E374" i="18"/>
  <c r="G374" i="18" s="1"/>
  <c r="K374" i="18" s="1"/>
  <c r="D374" i="18"/>
  <c r="C374" i="18"/>
  <c r="B374" i="18"/>
  <c r="A374" i="18"/>
  <c r="B373" i="18"/>
  <c r="M372" i="18"/>
  <c r="F372" i="18"/>
  <c r="E372" i="18"/>
  <c r="H372" i="18" s="1"/>
  <c r="D372" i="18"/>
  <c r="C372" i="18"/>
  <c r="B372" i="18"/>
  <c r="A372" i="18"/>
  <c r="B371" i="18"/>
  <c r="B370" i="18"/>
  <c r="F370" i="18" s="1"/>
  <c r="A370" i="18"/>
  <c r="M369" i="18"/>
  <c r="F369" i="18"/>
  <c r="E369" i="18"/>
  <c r="G369" i="18" s="1"/>
  <c r="K369" i="18" s="1"/>
  <c r="D369" i="18"/>
  <c r="B369" i="18"/>
  <c r="C369" i="18" s="1"/>
  <c r="C368" i="18"/>
  <c r="B368" i="18"/>
  <c r="A368" i="18"/>
  <c r="F367" i="18"/>
  <c r="D367" i="18"/>
  <c r="B367" i="18"/>
  <c r="M367" i="18" s="1"/>
  <c r="A367" i="18"/>
  <c r="M366" i="18"/>
  <c r="F366" i="18"/>
  <c r="E366" i="18"/>
  <c r="G366" i="18" s="1"/>
  <c r="K366" i="18" s="1"/>
  <c r="D366" i="18"/>
  <c r="C366" i="18"/>
  <c r="B366" i="18"/>
  <c r="A366" i="18"/>
  <c r="B365" i="18"/>
  <c r="M364" i="18"/>
  <c r="G364" i="18"/>
  <c r="K364" i="18" s="1"/>
  <c r="F364" i="18"/>
  <c r="E364" i="18"/>
  <c r="H364" i="18" s="1"/>
  <c r="C364" i="18"/>
  <c r="B364" i="18"/>
  <c r="D364" i="18" s="1"/>
  <c r="A364" i="18"/>
  <c r="B363" i="18"/>
  <c r="B362" i="18"/>
  <c r="F362" i="18" s="1"/>
  <c r="A362" i="18"/>
  <c r="M361" i="18"/>
  <c r="F361" i="18"/>
  <c r="E361" i="18"/>
  <c r="G361" i="18" s="1"/>
  <c r="K361" i="18" s="1"/>
  <c r="D361" i="18"/>
  <c r="B361" i="18"/>
  <c r="C361" i="18" s="1"/>
  <c r="C360" i="18"/>
  <c r="B360" i="18"/>
  <c r="A360" i="18"/>
  <c r="F359" i="18"/>
  <c r="D359" i="18"/>
  <c r="B359" i="18"/>
  <c r="M359" i="18" s="1"/>
  <c r="A359" i="18"/>
  <c r="M358" i="18"/>
  <c r="F358" i="18"/>
  <c r="E358" i="18"/>
  <c r="G358" i="18" s="1"/>
  <c r="K358" i="18" s="1"/>
  <c r="D358" i="18"/>
  <c r="C358" i="18"/>
  <c r="B358" i="18"/>
  <c r="A358" i="18"/>
  <c r="B357" i="18"/>
  <c r="M356" i="18"/>
  <c r="F356" i="18"/>
  <c r="E356" i="18"/>
  <c r="H356" i="18" s="1"/>
  <c r="C356" i="18"/>
  <c r="B356" i="18"/>
  <c r="D356" i="18" s="1"/>
  <c r="A356" i="18"/>
  <c r="B355" i="18"/>
  <c r="B354" i="18"/>
  <c r="F354" i="18" s="1"/>
  <c r="A354" i="18"/>
  <c r="M353" i="18"/>
  <c r="F353" i="18"/>
  <c r="E353" i="18"/>
  <c r="G353" i="18" s="1"/>
  <c r="K353" i="18" s="1"/>
  <c r="D353" i="18"/>
  <c r="B353" i="18"/>
  <c r="C353" i="18" s="1"/>
  <c r="C352" i="18"/>
  <c r="B352" i="18"/>
  <c r="A352" i="18"/>
  <c r="F351" i="18"/>
  <c r="D351" i="18"/>
  <c r="B351" i="18"/>
  <c r="M351" i="18" s="1"/>
  <c r="A351" i="18"/>
  <c r="M350" i="18"/>
  <c r="F350" i="18"/>
  <c r="E350" i="18"/>
  <c r="G350" i="18" s="1"/>
  <c r="K350" i="18" s="1"/>
  <c r="D350" i="18"/>
  <c r="C350" i="18"/>
  <c r="B350" i="18"/>
  <c r="A350" i="18"/>
  <c r="B349" i="18"/>
  <c r="M348" i="18"/>
  <c r="G348" i="18"/>
  <c r="K348" i="18" s="1"/>
  <c r="F348" i="18"/>
  <c r="E348" i="18"/>
  <c r="H348" i="18" s="1"/>
  <c r="C348" i="18"/>
  <c r="B348" i="18"/>
  <c r="D348" i="18" s="1"/>
  <c r="A348" i="18"/>
  <c r="D347" i="18"/>
  <c r="B347" i="18"/>
  <c r="B346" i="18"/>
  <c r="F346" i="18" s="1"/>
  <c r="A346" i="18"/>
  <c r="M345" i="18"/>
  <c r="F345" i="18"/>
  <c r="E345" i="18"/>
  <c r="G345" i="18" s="1"/>
  <c r="D345" i="18"/>
  <c r="B345" i="18"/>
  <c r="C345" i="18" s="1"/>
  <c r="C344" i="18"/>
  <c r="B344" i="18"/>
  <c r="A344" i="18"/>
  <c r="F343" i="18"/>
  <c r="D343" i="18"/>
  <c r="B343" i="18"/>
  <c r="M343" i="18" s="1"/>
  <c r="A343" i="18"/>
  <c r="M342" i="18"/>
  <c r="K342" i="18"/>
  <c r="F342" i="18"/>
  <c r="E342" i="18"/>
  <c r="G342" i="18" s="1"/>
  <c r="D342" i="18"/>
  <c r="C342" i="18"/>
  <c r="B342" i="18"/>
  <c r="H342" i="18" s="1"/>
  <c r="I342" i="18" s="1"/>
  <c r="A342" i="18"/>
  <c r="B341" i="18"/>
  <c r="M340" i="18"/>
  <c r="F340" i="18"/>
  <c r="E340" i="18"/>
  <c r="H340" i="18" s="1"/>
  <c r="C340" i="18"/>
  <c r="B340" i="18"/>
  <c r="D340" i="18" s="1"/>
  <c r="A340" i="18"/>
  <c r="B339" i="18"/>
  <c r="B338" i="18"/>
  <c r="F338" i="18" s="1"/>
  <c r="A338" i="18"/>
  <c r="M337" i="18"/>
  <c r="F337" i="18"/>
  <c r="E337" i="18"/>
  <c r="G337" i="18" s="1"/>
  <c r="K337" i="18" s="1"/>
  <c r="D337" i="18"/>
  <c r="B337" i="18"/>
  <c r="C337" i="18" s="1"/>
  <c r="C336" i="18"/>
  <c r="B336" i="18"/>
  <c r="A336" i="18"/>
  <c r="F335" i="18"/>
  <c r="D335" i="18"/>
  <c r="B335" i="18"/>
  <c r="M335" i="18" s="1"/>
  <c r="A335" i="18"/>
  <c r="M334" i="18"/>
  <c r="F334" i="18"/>
  <c r="E334" i="18"/>
  <c r="G334" i="18" s="1"/>
  <c r="K334" i="18" s="1"/>
  <c r="D334" i="18"/>
  <c r="C334" i="18"/>
  <c r="B334" i="18"/>
  <c r="A334" i="18"/>
  <c r="B333" i="18"/>
  <c r="M332" i="18"/>
  <c r="G332" i="18"/>
  <c r="K332" i="18" s="1"/>
  <c r="F332" i="18"/>
  <c r="E332" i="18"/>
  <c r="H332" i="18" s="1"/>
  <c r="C332" i="18"/>
  <c r="B332" i="18"/>
  <c r="D332" i="18" s="1"/>
  <c r="A332" i="18"/>
  <c r="B331" i="18"/>
  <c r="B330" i="18"/>
  <c r="F330" i="18" s="1"/>
  <c r="A330" i="18"/>
  <c r="M329" i="18"/>
  <c r="F329" i="18"/>
  <c r="E329" i="18"/>
  <c r="G329" i="18" s="1"/>
  <c r="K329" i="18" s="1"/>
  <c r="D329" i="18"/>
  <c r="B329" i="18"/>
  <c r="C329" i="18" s="1"/>
  <c r="C328" i="18"/>
  <c r="B328" i="18"/>
  <c r="A328" i="18"/>
  <c r="F327" i="18"/>
  <c r="D327" i="18"/>
  <c r="B327" i="18"/>
  <c r="M327" i="18" s="1"/>
  <c r="A327" i="18"/>
  <c r="M326" i="18"/>
  <c r="F326" i="18"/>
  <c r="E326" i="18"/>
  <c r="G326" i="18" s="1"/>
  <c r="K326" i="18" s="1"/>
  <c r="D326" i="18"/>
  <c r="C326" i="18"/>
  <c r="B326" i="18"/>
  <c r="A326" i="18"/>
  <c r="B325" i="18"/>
  <c r="M324" i="18"/>
  <c r="F324" i="18"/>
  <c r="E324" i="18"/>
  <c r="H324" i="18" s="1"/>
  <c r="C324" i="18"/>
  <c r="B324" i="18"/>
  <c r="D324" i="18" s="1"/>
  <c r="A324" i="18"/>
  <c r="B323" i="18"/>
  <c r="B322" i="18"/>
  <c r="F322" i="18" s="1"/>
  <c r="A322" i="18"/>
  <c r="M321" i="18"/>
  <c r="F321" i="18"/>
  <c r="E321" i="18"/>
  <c r="G321" i="18" s="1"/>
  <c r="K321" i="18" s="1"/>
  <c r="D321" i="18"/>
  <c r="B321" i="18"/>
  <c r="C321" i="18" s="1"/>
  <c r="C320" i="18"/>
  <c r="B320" i="18"/>
  <c r="A320" i="18"/>
  <c r="F319" i="18"/>
  <c r="D319" i="18"/>
  <c r="B319" i="18"/>
  <c r="M319" i="18" s="1"/>
  <c r="A319" i="18"/>
  <c r="M318" i="18"/>
  <c r="F318" i="18"/>
  <c r="E318" i="18"/>
  <c r="G318" i="18" s="1"/>
  <c r="K318" i="18" s="1"/>
  <c r="D318" i="18"/>
  <c r="C318" i="18"/>
  <c r="B318" i="18"/>
  <c r="A318" i="18"/>
  <c r="B317" i="18"/>
  <c r="M316" i="18"/>
  <c r="G316" i="18"/>
  <c r="K316" i="18" s="1"/>
  <c r="F316" i="18"/>
  <c r="E316" i="18"/>
  <c r="H316" i="18" s="1"/>
  <c r="D316" i="18"/>
  <c r="C316" i="18"/>
  <c r="B316" i="18"/>
  <c r="A316" i="18"/>
  <c r="D315" i="18"/>
  <c r="B315" i="18"/>
  <c r="B314" i="18"/>
  <c r="F314" i="18" s="1"/>
  <c r="A314" i="18"/>
  <c r="M313" i="18"/>
  <c r="F313" i="18"/>
  <c r="E313" i="18"/>
  <c r="G313" i="18" s="1"/>
  <c r="D313" i="18"/>
  <c r="B313" i="18"/>
  <c r="C313" i="18" s="1"/>
  <c r="C312" i="18"/>
  <c r="B312" i="18"/>
  <c r="A312" i="18"/>
  <c r="F311" i="18"/>
  <c r="D311" i="18"/>
  <c r="B311" i="18"/>
  <c r="M311" i="18" s="1"/>
  <c r="A311" i="18"/>
  <c r="M310" i="18"/>
  <c r="K310" i="18"/>
  <c r="F310" i="18"/>
  <c r="E310" i="18"/>
  <c r="G310" i="18" s="1"/>
  <c r="D310" i="18"/>
  <c r="C310" i="18"/>
  <c r="B310" i="18"/>
  <c r="H310" i="18" s="1"/>
  <c r="I310" i="18" s="1"/>
  <c r="A310" i="18"/>
  <c r="B309" i="18"/>
  <c r="M308" i="18"/>
  <c r="F308" i="18"/>
  <c r="E308" i="18"/>
  <c r="H308" i="18" s="1"/>
  <c r="C308" i="18"/>
  <c r="B308" i="18"/>
  <c r="D308" i="18" s="1"/>
  <c r="A308" i="18"/>
  <c r="B307" i="18"/>
  <c r="B306" i="18"/>
  <c r="F306" i="18" s="1"/>
  <c r="A306" i="18"/>
  <c r="M305" i="18"/>
  <c r="F305" i="18"/>
  <c r="E305" i="18"/>
  <c r="G305" i="18" s="1"/>
  <c r="K305" i="18" s="1"/>
  <c r="D305" i="18"/>
  <c r="B305" i="18"/>
  <c r="C305" i="18" s="1"/>
  <c r="C304" i="18"/>
  <c r="B304" i="18"/>
  <c r="A304" i="18"/>
  <c r="F303" i="18"/>
  <c r="D303" i="18"/>
  <c r="B303" i="18"/>
  <c r="M303" i="18" s="1"/>
  <c r="A303" i="18"/>
  <c r="M302" i="18"/>
  <c r="F302" i="18"/>
  <c r="E302" i="18"/>
  <c r="G302" i="18" s="1"/>
  <c r="K302" i="18" s="1"/>
  <c r="D302" i="18"/>
  <c r="C302" i="18"/>
  <c r="B302" i="18"/>
  <c r="H302" i="18" s="1"/>
  <c r="I302" i="18" s="1"/>
  <c r="A302" i="18"/>
  <c r="B301" i="18"/>
  <c r="M300" i="18"/>
  <c r="F300" i="18"/>
  <c r="E300" i="18"/>
  <c r="C300" i="18"/>
  <c r="B300" i="18"/>
  <c r="D300" i="18" s="1"/>
  <c r="A300" i="18"/>
  <c r="D299" i="18"/>
  <c r="B299" i="18"/>
  <c r="B298" i="18"/>
  <c r="F298" i="18" s="1"/>
  <c r="A298" i="18"/>
  <c r="M297" i="18"/>
  <c r="F297" i="18"/>
  <c r="E297" i="18"/>
  <c r="G297" i="18" s="1"/>
  <c r="D297" i="18"/>
  <c r="B297" i="18"/>
  <c r="C297" i="18" s="1"/>
  <c r="C296" i="18"/>
  <c r="B296" i="18"/>
  <c r="A296" i="18"/>
  <c r="F295" i="18"/>
  <c r="D295" i="18"/>
  <c r="B295" i="18"/>
  <c r="M295" i="18" s="1"/>
  <c r="A295" i="18"/>
  <c r="M294" i="18"/>
  <c r="K294" i="18"/>
  <c r="F294" i="18"/>
  <c r="E294" i="18"/>
  <c r="G294" i="18" s="1"/>
  <c r="D294" i="18"/>
  <c r="C294" i="18"/>
  <c r="B294" i="18"/>
  <c r="A294" i="18"/>
  <c r="B293" i="18"/>
  <c r="M292" i="18"/>
  <c r="G292" i="18"/>
  <c r="K292" i="18" s="1"/>
  <c r="F292" i="18"/>
  <c r="E292" i="18"/>
  <c r="H292" i="18" s="1"/>
  <c r="C292" i="18"/>
  <c r="B292" i="18"/>
  <c r="D292" i="18" s="1"/>
  <c r="A292" i="18"/>
  <c r="D291" i="18"/>
  <c r="B291" i="18"/>
  <c r="B290" i="18"/>
  <c r="F290" i="18" s="1"/>
  <c r="A290" i="18"/>
  <c r="M289" i="18"/>
  <c r="F289" i="18"/>
  <c r="E289" i="18"/>
  <c r="G289" i="18" s="1"/>
  <c r="D289" i="18"/>
  <c r="B289" i="18"/>
  <c r="C289" i="18" s="1"/>
  <c r="C288" i="18"/>
  <c r="B288" i="18"/>
  <c r="A288" i="18"/>
  <c r="F287" i="18"/>
  <c r="D287" i="18"/>
  <c r="B287" i="18"/>
  <c r="M287" i="18" s="1"/>
  <c r="A287" i="18"/>
  <c r="M286" i="18"/>
  <c r="F286" i="18"/>
  <c r="E286" i="18"/>
  <c r="G286" i="18" s="1"/>
  <c r="K286" i="18" s="1"/>
  <c r="D286" i="18"/>
  <c r="C286" i="18"/>
  <c r="B286" i="18"/>
  <c r="A286" i="18"/>
  <c r="B285" i="18"/>
  <c r="M284" i="18"/>
  <c r="F284" i="18"/>
  <c r="E284" i="18"/>
  <c r="H284" i="18" s="1"/>
  <c r="C284" i="18"/>
  <c r="B284" i="18"/>
  <c r="D284" i="18" s="1"/>
  <c r="A284" i="18"/>
  <c r="D283" i="18"/>
  <c r="B283" i="18"/>
  <c r="F282" i="18"/>
  <c r="B282" i="18"/>
  <c r="M282" i="18" s="1"/>
  <c r="A282" i="18"/>
  <c r="M281" i="18"/>
  <c r="F281" i="18"/>
  <c r="E281" i="18"/>
  <c r="G281" i="18" s="1"/>
  <c r="K281" i="18" s="1"/>
  <c r="D281" i="18"/>
  <c r="C281" i="18"/>
  <c r="B281" i="18"/>
  <c r="A281" i="18" s="1"/>
  <c r="C280" i="18"/>
  <c r="B280" i="18"/>
  <c r="A280" i="18"/>
  <c r="M279" i="18"/>
  <c r="H279" i="18"/>
  <c r="I279" i="18" s="1"/>
  <c r="G279" i="18"/>
  <c r="F279" i="18"/>
  <c r="E279" i="18"/>
  <c r="D279" i="18"/>
  <c r="B279" i="18"/>
  <c r="C279" i="18" s="1"/>
  <c r="A279" i="18"/>
  <c r="M278" i="18"/>
  <c r="E278" i="18"/>
  <c r="D278" i="18"/>
  <c r="C278" i="18"/>
  <c r="B278" i="18"/>
  <c r="A278" i="18" s="1"/>
  <c r="B277" i="18"/>
  <c r="M276" i="18"/>
  <c r="F276" i="18"/>
  <c r="E276" i="18"/>
  <c r="H276" i="18" s="1"/>
  <c r="D276" i="18"/>
  <c r="C276" i="18"/>
  <c r="B276" i="18"/>
  <c r="A276" i="18"/>
  <c r="D275" i="18"/>
  <c r="B275" i="18"/>
  <c r="F274" i="18"/>
  <c r="B274" i="18"/>
  <c r="M274" i="18" s="1"/>
  <c r="A274" i="18"/>
  <c r="M273" i="18"/>
  <c r="F273" i="18"/>
  <c r="E273" i="18"/>
  <c r="D273" i="18"/>
  <c r="C273" i="18"/>
  <c r="B273" i="18"/>
  <c r="A273" i="18" s="1"/>
  <c r="C272" i="18"/>
  <c r="B272" i="18"/>
  <c r="A272" i="18"/>
  <c r="M271" i="18"/>
  <c r="H271" i="18"/>
  <c r="I271" i="18" s="1"/>
  <c r="G271" i="18"/>
  <c r="F271" i="18"/>
  <c r="E271" i="18"/>
  <c r="D271" i="18"/>
  <c r="B271" i="18"/>
  <c r="C271" i="18" s="1"/>
  <c r="A271" i="18"/>
  <c r="M270" i="18"/>
  <c r="E270" i="18"/>
  <c r="D270" i="18"/>
  <c r="C270" i="18"/>
  <c r="B270" i="18"/>
  <c r="A270" i="18" s="1"/>
  <c r="B269" i="18"/>
  <c r="M268" i="18"/>
  <c r="G268" i="18"/>
  <c r="K268" i="18" s="1"/>
  <c r="F268" i="18"/>
  <c r="E268" i="18"/>
  <c r="H268" i="18" s="1"/>
  <c r="D268" i="18"/>
  <c r="C268" i="18"/>
  <c r="B268" i="18"/>
  <c r="A268" i="18"/>
  <c r="D267" i="18"/>
  <c r="B267" i="18"/>
  <c r="M266" i="18"/>
  <c r="I266" i="18"/>
  <c r="H266" i="18"/>
  <c r="G266" i="18"/>
  <c r="K266" i="18" s="1"/>
  <c r="F266" i="18"/>
  <c r="E266" i="18"/>
  <c r="B266" i="18"/>
  <c r="D266" i="18" s="1"/>
  <c r="A266" i="18"/>
  <c r="M265" i="18"/>
  <c r="F265" i="18"/>
  <c r="E265" i="18"/>
  <c r="D265" i="18"/>
  <c r="C265" i="18"/>
  <c r="B265" i="18"/>
  <c r="A265" i="18" s="1"/>
  <c r="C264" i="18"/>
  <c r="B264" i="18"/>
  <c r="A264" i="18"/>
  <c r="M263" i="18"/>
  <c r="H263" i="18"/>
  <c r="I263" i="18" s="1"/>
  <c r="G263" i="18"/>
  <c r="K263" i="18" s="1"/>
  <c r="F263" i="18"/>
  <c r="E263" i="18"/>
  <c r="D263" i="18"/>
  <c r="B263" i="18"/>
  <c r="C263" i="18" s="1"/>
  <c r="A263" i="18"/>
  <c r="M262" i="18"/>
  <c r="E262" i="18"/>
  <c r="D262" i="18"/>
  <c r="C262" i="18"/>
  <c r="B262" i="18"/>
  <c r="A262" i="18" s="1"/>
  <c r="B261" i="18"/>
  <c r="M260" i="18"/>
  <c r="F260" i="18"/>
  <c r="E260" i="18"/>
  <c r="D260" i="18"/>
  <c r="C260" i="18"/>
  <c r="B260" i="18"/>
  <c r="A260" i="18"/>
  <c r="B259" i="18"/>
  <c r="M258" i="18"/>
  <c r="H258" i="18"/>
  <c r="G258" i="18"/>
  <c r="K258" i="18" s="1"/>
  <c r="F258" i="18"/>
  <c r="E258" i="18"/>
  <c r="B258" i="18"/>
  <c r="D258" i="18" s="1"/>
  <c r="A258" i="18"/>
  <c r="M257" i="18"/>
  <c r="F257" i="18"/>
  <c r="E257" i="18"/>
  <c r="D257" i="18"/>
  <c r="C257" i="18"/>
  <c r="B257" i="18"/>
  <c r="A257" i="18" s="1"/>
  <c r="C256" i="18"/>
  <c r="B256" i="18"/>
  <c r="A256" i="18"/>
  <c r="M255" i="18"/>
  <c r="H255" i="18"/>
  <c r="I255" i="18" s="1"/>
  <c r="G255" i="18"/>
  <c r="F255" i="18"/>
  <c r="E255" i="18"/>
  <c r="D255" i="18"/>
  <c r="B255" i="18"/>
  <c r="C255" i="18" s="1"/>
  <c r="A255" i="18"/>
  <c r="M254" i="18"/>
  <c r="E254" i="18"/>
  <c r="D254" i="18"/>
  <c r="C254" i="18"/>
  <c r="B254" i="18"/>
  <c r="A254" i="18" s="1"/>
  <c r="B253" i="18"/>
  <c r="M252" i="18"/>
  <c r="F252" i="18"/>
  <c r="E252" i="18"/>
  <c r="H252" i="18" s="1"/>
  <c r="D252" i="18"/>
  <c r="C252" i="18"/>
  <c r="B252" i="18"/>
  <c r="A252" i="18"/>
  <c r="D251" i="18"/>
  <c r="B251" i="18"/>
  <c r="M250" i="18"/>
  <c r="H250" i="18"/>
  <c r="G250" i="18"/>
  <c r="K250" i="18" s="1"/>
  <c r="F250" i="18"/>
  <c r="E250" i="18"/>
  <c r="B250" i="18"/>
  <c r="D250" i="18" s="1"/>
  <c r="A250" i="18"/>
  <c r="M249" i="18"/>
  <c r="F249" i="18"/>
  <c r="E249" i="18"/>
  <c r="D249" i="18"/>
  <c r="C249" i="18"/>
  <c r="B249" i="18"/>
  <c r="A249" i="18" s="1"/>
  <c r="C248" i="18"/>
  <c r="B248" i="18"/>
  <c r="A248" i="18"/>
  <c r="M247" i="18"/>
  <c r="H247" i="18"/>
  <c r="I247" i="18" s="1"/>
  <c r="G247" i="18"/>
  <c r="K247" i="18" s="1"/>
  <c r="F247" i="18"/>
  <c r="E247" i="18"/>
  <c r="D247" i="18"/>
  <c r="B247" i="18"/>
  <c r="C247" i="18" s="1"/>
  <c r="A247" i="18"/>
  <c r="M246" i="18"/>
  <c r="E246" i="18"/>
  <c r="D246" i="18"/>
  <c r="C246" i="18"/>
  <c r="B246" i="18"/>
  <c r="A246" i="18" s="1"/>
  <c r="B245" i="18"/>
  <c r="M244" i="18"/>
  <c r="G244" i="18"/>
  <c r="K244" i="18" s="1"/>
  <c r="F244" i="18"/>
  <c r="E244" i="18"/>
  <c r="H244" i="18" s="1"/>
  <c r="D244" i="18"/>
  <c r="C244" i="18"/>
  <c r="B244" i="18"/>
  <c r="A244" i="18"/>
  <c r="D243" i="18"/>
  <c r="B243" i="18"/>
  <c r="M242" i="18"/>
  <c r="H242" i="18"/>
  <c r="G242" i="18"/>
  <c r="K242" i="18" s="1"/>
  <c r="F242" i="18"/>
  <c r="E242" i="18"/>
  <c r="B242" i="18"/>
  <c r="D242" i="18" s="1"/>
  <c r="A242" i="18"/>
  <c r="M241" i="18"/>
  <c r="F241" i="18"/>
  <c r="E241" i="18"/>
  <c r="D241" i="18"/>
  <c r="C241" i="18"/>
  <c r="B241" i="18"/>
  <c r="A241" i="18" s="1"/>
  <c r="C240" i="18"/>
  <c r="B240" i="18"/>
  <c r="A240" i="18"/>
  <c r="M239" i="18"/>
  <c r="H239" i="18"/>
  <c r="I239" i="18" s="1"/>
  <c r="G239" i="18"/>
  <c r="K239" i="18" s="1"/>
  <c r="F239" i="18"/>
  <c r="E239" i="18"/>
  <c r="D239" i="18"/>
  <c r="B239" i="18"/>
  <c r="C239" i="18" s="1"/>
  <c r="A239" i="18"/>
  <c r="M238" i="18"/>
  <c r="E238" i="18"/>
  <c r="D238" i="18"/>
  <c r="C238" i="18"/>
  <c r="B238" i="18"/>
  <c r="A238" i="18" s="1"/>
  <c r="B237" i="18"/>
  <c r="M236" i="18"/>
  <c r="G236" i="18"/>
  <c r="K236" i="18" s="1"/>
  <c r="F236" i="18"/>
  <c r="E236" i="18"/>
  <c r="H236" i="18" s="1"/>
  <c r="D236" i="18"/>
  <c r="C236" i="18"/>
  <c r="B236" i="18"/>
  <c r="A236" i="18"/>
  <c r="D235" i="18"/>
  <c r="B235" i="18"/>
  <c r="M234" i="18"/>
  <c r="H234" i="18"/>
  <c r="G234" i="18"/>
  <c r="K234" i="18" s="1"/>
  <c r="F234" i="18"/>
  <c r="E234" i="18"/>
  <c r="B234" i="18"/>
  <c r="D234" i="18" s="1"/>
  <c r="A234" i="18"/>
  <c r="M233" i="18"/>
  <c r="F233" i="18"/>
  <c r="E233" i="18"/>
  <c r="D233" i="18"/>
  <c r="C233" i="18"/>
  <c r="B233" i="18"/>
  <c r="A233" i="18" s="1"/>
  <c r="C232" i="18"/>
  <c r="B232" i="18"/>
  <c r="A232" i="18"/>
  <c r="M231" i="18"/>
  <c r="H231" i="18"/>
  <c r="I231" i="18" s="1"/>
  <c r="G231" i="18"/>
  <c r="K231" i="18" s="1"/>
  <c r="F231" i="18"/>
  <c r="E231" i="18"/>
  <c r="D231" i="18"/>
  <c r="B231" i="18"/>
  <c r="C231" i="18" s="1"/>
  <c r="A231" i="18"/>
  <c r="M230" i="18"/>
  <c r="E230" i="18"/>
  <c r="D230" i="18"/>
  <c r="C230" i="18"/>
  <c r="B230" i="18"/>
  <c r="A230" i="18" s="1"/>
  <c r="B229" i="18"/>
  <c r="M228" i="18"/>
  <c r="F228" i="18"/>
  <c r="E228" i="18"/>
  <c r="H228" i="18" s="1"/>
  <c r="D228" i="18"/>
  <c r="C228" i="18"/>
  <c r="B228" i="18"/>
  <c r="A228" i="18"/>
  <c r="B227" i="18"/>
  <c r="M226" i="18"/>
  <c r="H226" i="18"/>
  <c r="G226" i="18"/>
  <c r="F226" i="18"/>
  <c r="E226" i="18"/>
  <c r="B226" i="18"/>
  <c r="D226" i="18" s="1"/>
  <c r="A226" i="18"/>
  <c r="M225" i="18"/>
  <c r="F225" i="18"/>
  <c r="E225" i="18"/>
  <c r="D225" i="18"/>
  <c r="C225" i="18"/>
  <c r="B225" i="18"/>
  <c r="A225" i="18" s="1"/>
  <c r="C224" i="18"/>
  <c r="B224" i="18"/>
  <c r="A224" i="18"/>
  <c r="M223" i="18"/>
  <c r="H223" i="18"/>
  <c r="I223" i="18" s="1"/>
  <c r="G223" i="18"/>
  <c r="F223" i="18"/>
  <c r="E223" i="18"/>
  <c r="D223" i="18"/>
  <c r="B223" i="18"/>
  <c r="C223" i="18" s="1"/>
  <c r="A223" i="18"/>
  <c r="M222" i="18"/>
  <c r="E222" i="18"/>
  <c r="D222" i="18"/>
  <c r="C222" i="18"/>
  <c r="B222" i="18"/>
  <c r="A222" i="18" s="1"/>
  <c r="B221" i="18"/>
  <c r="M220" i="18"/>
  <c r="F220" i="18"/>
  <c r="E220" i="18"/>
  <c r="H220" i="18" s="1"/>
  <c r="D220" i="18"/>
  <c r="C220" i="18"/>
  <c r="B220" i="18"/>
  <c r="A220" i="18"/>
  <c r="B219" i="18"/>
  <c r="M218" i="18"/>
  <c r="I218" i="18"/>
  <c r="H218" i="18"/>
  <c r="G218" i="18"/>
  <c r="K218" i="18" s="1"/>
  <c r="F218" i="18"/>
  <c r="E218" i="18"/>
  <c r="B218" i="18"/>
  <c r="D218" i="18" s="1"/>
  <c r="A218" i="18"/>
  <c r="M217" i="18"/>
  <c r="F217" i="18"/>
  <c r="E217" i="18"/>
  <c r="D217" i="18"/>
  <c r="C217" i="18"/>
  <c r="B217" i="18"/>
  <c r="A217" i="18" s="1"/>
  <c r="C216" i="18"/>
  <c r="B216" i="18"/>
  <c r="A216" i="18"/>
  <c r="M215" i="18"/>
  <c r="H215" i="18"/>
  <c r="I215" i="18" s="1"/>
  <c r="G215" i="18"/>
  <c r="F215" i="18"/>
  <c r="E215" i="18"/>
  <c r="D215" i="18"/>
  <c r="B215" i="18"/>
  <c r="C215" i="18" s="1"/>
  <c r="A215" i="18"/>
  <c r="M214" i="18"/>
  <c r="E214" i="18"/>
  <c r="D214" i="18"/>
  <c r="C214" i="18"/>
  <c r="B214" i="18"/>
  <c r="A214" i="18" s="1"/>
  <c r="B213" i="18"/>
  <c r="M212" i="18"/>
  <c r="F212" i="18"/>
  <c r="E212" i="18"/>
  <c r="H212" i="18" s="1"/>
  <c r="D212" i="18"/>
  <c r="C212" i="18"/>
  <c r="B212" i="18"/>
  <c r="A212" i="18"/>
  <c r="B211" i="18"/>
  <c r="M210" i="18"/>
  <c r="I210" i="18"/>
  <c r="H210" i="18"/>
  <c r="G210" i="18"/>
  <c r="K210" i="18" s="1"/>
  <c r="F210" i="18"/>
  <c r="E210" i="18"/>
  <c r="B210" i="18"/>
  <c r="D210" i="18" s="1"/>
  <c r="A210" i="18"/>
  <c r="M209" i="18"/>
  <c r="F209" i="18"/>
  <c r="E209" i="18"/>
  <c r="D209" i="18"/>
  <c r="C209" i="18"/>
  <c r="B209" i="18"/>
  <c r="A209" i="18" s="1"/>
  <c r="C208" i="18"/>
  <c r="B208" i="18"/>
  <c r="A208" i="18"/>
  <c r="M207" i="18"/>
  <c r="H207" i="18"/>
  <c r="I207" i="18" s="1"/>
  <c r="G207" i="18"/>
  <c r="F207" i="18"/>
  <c r="E207" i="18"/>
  <c r="D207" i="18"/>
  <c r="B207" i="18"/>
  <c r="C207" i="18" s="1"/>
  <c r="A207" i="18"/>
  <c r="M206" i="18"/>
  <c r="E206" i="18"/>
  <c r="D206" i="18"/>
  <c r="C206" i="18"/>
  <c r="B206" i="18"/>
  <c r="A206" i="18" s="1"/>
  <c r="B205" i="18"/>
  <c r="M204" i="18"/>
  <c r="F204" i="18"/>
  <c r="E204" i="18"/>
  <c r="H204" i="18" s="1"/>
  <c r="D204" i="18"/>
  <c r="C204" i="18"/>
  <c r="B204" i="18"/>
  <c r="A204" i="18"/>
  <c r="D203" i="18"/>
  <c r="B203" i="18"/>
  <c r="M202" i="18"/>
  <c r="I202" i="18"/>
  <c r="H202" i="18"/>
  <c r="G202" i="18"/>
  <c r="K202" i="18" s="1"/>
  <c r="F202" i="18"/>
  <c r="E202" i="18"/>
  <c r="B202" i="18"/>
  <c r="D202" i="18" s="1"/>
  <c r="A202" i="18"/>
  <c r="M201" i="18"/>
  <c r="F201" i="18"/>
  <c r="E201" i="18"/>
  <c r="D201" i="18"/>
  <c r="C201" i="18"/>
  <c r="B201" i="18"/>
  <c r="A201" i="18" s="1"/>
  <c r="C200" i="18"/>
  <c r="B200" i="18"/>
  <c r="A200" i="18"/>
  <c r="M199" i="18"/>
  <c r="H199" i="18"/>
  <c r="I199" i="18" s="1"/>
  <c r="G199" i="18"/>
  <c r="K199" i="18" s="1"/>
  <c r="F199" i="18"/>
  <c r="E199" i="18"/>
  <c r="D199" i="18"/>
  <c r="B199" i="18"/>
  <c r="C199" i="18" s="1"/>
  <c r="A199" i="18"/>
  <c r="M198" i="18"/>
  <c r="E198" i="18"/>
  <c r="D198" i="18"/>
  <c r="C198" i="18"/>
  <c r="B198" i="18"/>
  <c r="A198" i="18" s="1"/>
  <c r="B197" i="18"/>
  <c r="M196" i="18"/>
  <c r="F196" i="18"/>
  <c r="E196" i="18"/>
  <c r="D196" i="18"/>
  <c r="C196" i="18"/>
  <c r="B196" i="18"/>
  <c r="A196" i="18"/>
  <c r="B195" i="18"/>
  <c r="M194" i="18"/>
  <c r="H194" i="18"/>
  <c r="G194" i="18"/>
  <c r="K194" i="18" s="1"/>
  <c r="F194" i="18"/>
  <c r="E194" i="18"/>
  <c r="B194" i="18"/>
  <c r="D194" i="18" s="1"/>
  <c r="A194" i="18"/>
  <c r="M193" i="18"/>
  <c r="F193" i="18"/>
  <c r="E193" i="18"/>
  <c r="D193" i="18"/>
  <c r="C193" i="18"/>
  <c r="B193" i="18"/>
  <c r="A193" i="18" s="1"/>
  <c r="C192" i="18"/>
  <c r="B192" i="18"/>
  <c r="A192" i="18"/>
  <c r="M191" i="18"/>
  <c r="H191" i="18"/>
  <c r="I191" i="18" s="1"/>
  <c r="G191" i="18"/>
  <c r="F191" i="18"/>
  <c r="E191" i="18"/>
  <c r="D191" i="18"/>
  <c r="B191" i="18"/>
  <c r="C191" i="18" s="1"/>
  <c r="A191" i="18"/>
  <c r="M190" i="18"/>
  <c r="E190" i="18"/>
  <c r="D190" i="18"/>
  <c r="C190" i="18"/>
  <c r="B190" i="18"/>
  <c r="A190" i="18" s="1"/>
  <c r="B189" i="18"/>
  <c r="M188" i="18"/>
  <c r="G188" i="18"/>
  <c r="K188" i="18" s="1"/>
  <c r="F188" i="18"/>
  <c r="E188" i="18"/>
  <c r="H188" i="18" s="1"/>
  <c r="D188" i="18"/>
  <c r="C188" i="18"/>
  <c r="B188" i="18"/>
  <c r="A188" i="18"/>
  <c r="D187" i="18"/>
  <c r="B187" i="18"/>
  <c r="M186" i="18"/>
  <c r="H186" i="18"/>
  <c r="G186" i="18"/>
  <c r="K186" i="18" s="1"/>
  <c r="F186" i="18"/>
  <c r="E186" i="18"/>
  <c r="B186" i="18"/>
  <c r="D186" i="18" s="1"/>
  <c r="A186" i="18"/>
  <c r="M185" i="18"/>
  <c r="F185" i="18"/>
  <c r="E185" i="18"/>
  <c r="D185" i="18"/>
  <c r="C185" i="18"/>
  <c r="B185" i="18"/>
  <c r="A185" i="18" s="1"/>
  <c r="C184" i="18"/>
  <c r="B184" i="18"/>
  <c r="A184" i="18"/>
  <c r="M183" i="18"/>
  <c r="H183" i="18"/>
  <c r="I183" i="18" s="1"/>
  <c r="G183" i="18"/>
  <c r="K183" i="18" s="1"/>
  <c r="F183" i="18"/>
  <c r="E183" i="18"/>
  <c r="D183" i="18"/>
  <c r="B183" i="18"/>
  <c r="C183" i="18" s="1"/>
  <c r="A183" i="18"/>
  <c r="M182" i="18"/>
  <c r="E182" i="18"/>
  <c r="D182" i="18"/>
  <c r="C182" i="18"/>
  <c r="B182" i="18"/>
  <c r="A182" i="18" s="1"/>
  <c r="B181" i="18"/>
  <c r="M180" i="18"/>
  <c r="G180" i="18"/>
  <c r="K180" i="18" s="1"/>
  <c r="F180" i="18"/>
  <c r="E180" i="18"/>
  <c r="H180" i="18" s="1"/>
  <c r="D180" i="18"/>
  <c r="C180" i="18"/>
  <c r="B180" i="18"/>
  <c r="A180" i="18"/>
  <c r="D179" i="18"/>
  <c r="B179" i="18"/>
  <c r="M178" i="18"/>
  <c r="H178" i="18"/>
  <c r="G178" i="18"/>
  <c r="K178" i="18" s="1"/>
  <c r="F178" i="18"/>
  <c r="E178" i="18"/>
  <c r="B178" i="18"/>
  <c r="D178" i="18" s="1"/>
  <c r="A178" i="18"/>
  <c r="M177" i="18"/>
  <c r="F177" i="18"/>
  <c r="E177" i="18"/>
  <c r="D177" i="18"/>
  <c r="C177" i="18"/>
  <c r="B177" i="18"/>
  <c r="A177" i="18" s="1"/>
  <c r="C176" i="18"/>
  <c r="B176" i="18"/>
  <c r="A176" i="18"/>
  <c r="M175" i="18"/>
  <c r="H175" i="18"/>
  <c r="I175" i="18" s="1"/>
  <c r="G175" i="18"/>
  <c r="K175" i="18" s="1"/>
  <c r="F175" i="18"/>
  <c r="E175" i="18"/>
  <c r="D175" i="18"/>
  <c r="B175" i="18"/>
  <c r="C175" i="18" s="1"/>
  <c r="A175" i="18"/>
  <c r="M174" i="18"/>
  <c r="E174" i="18"/>
  <c r="D174" i="18"/>
  <c r="C174" i="18"/>
  <c r="B174" i="18"/>
  <c r="A174" i="18" s="1"/>
  <c r="B173" i="18"/>
  <c r="M172" i="18"/>
  <c r="G172" i="18"/>
  <c r="K172" i="18" s="1"/>
  <c r="F172" i="18"/>
  <c r="E172" i="18"/>
  <c r="H172" i="18" s="1"/>
  <c r="D172" i="18"/>
  <c r="C172" i="18"/>
  <c r="B172" i="18"/>
  <c r="A172" i="18"/>
  <c r="D171" i="18"/>
  <c r="B171" i="18"/>
  <c r="M170" i="18"/>
  <c r="H170" i="18"/>
  <c r="G170" i="18"/>
  <c r="K170" i="18" s="1"/>
  <c r="F170" i="18"/>
  <c r="E170" i="18"/>
  <c r="B170" i="18"/>
  <c r="D170" i="18" s="1"/>
  <c r="A170" i="18"/>
  <c r="M169" i="18"/>
  <c r="F169" i="18"/>
  <c r="E169" i="18"/>
  <c r="D169" i="18"/>
  <c r="C169" i="18"/>
  <c r="B169" i="18"/>
  <c r="A169" i="18" s="1"/>
  <c r="C168" i="18"/>
  <c r="B168" i="18"/>
  <c r="A168" i="18"/>
  <c r="M167" i="18"/>
  <c r="H167" i="18"/>
  <c r="I167" i="18" s="1"/>
  <c r="G167" i="18"/>
  <c r="K167" i="18" s="1"/>
  <c r="F167" i="18"/>
  <c r="E167" i="18"/>
  <c r="D167" i="18"/>
  <c r="B167" i="18"/>
  <c r="C167" i="18" s="1"/>
  <c r="A167" i="18"/>
  <c r="M166" i="18"/>
  <c r="E166" i="18"/>
  <c r="D166" i="18"/>
  <c r="C166" i="18"/>
  <c r="B166" i="18"/>
  <c r="A166" i="18" s="1"/>
  <c r="B165" i="18"/>
  <c r="M164" i="18"/>
  <c r="F164" i="18"/>
  <c r="E164" i="18"/>
  <c r="H164" i="18" s="1"/>
  <c r="D164" i="18"/>
  <c r="C164" i="18"/>
  <c r="B164" i="18"/>
  <c r="A164" i="18"/>
  <c r="B163" i="18"/>
  <c r="M162" i="18"/>
  <c r="H162" i="18"/>
  <c r="G162" i="18"/>
  <c r="F162" i="18"/>
  <c r="E162" i="18"/>
  <c r="B162" i="18"/>
  <c r="D162" i="18" s="1"/>
  <c r="A162" i="18"/>
  <c r="M161" i="18"/>
  <c r="F161" i="18"/>
  <c r="E161" i="18"/>
  <c r="D161" i="18"/>
  <c r="C161" i="18"/>
  <c r="B161" i="18"/>
  <c r="A161" i="18" s="1"/>
  <c r="C160" i="18"/>
  <c r="B160" i="18"/>
  <c r="A160" i="18"/>
  <c r="M159" i="18"/>
  <c r="H159" i="18"/>
  <c r="I159" i="18" s="1"/>
  <c r="G159" i="18"/>
  <c r="F159" i="18"/>
  <c r="E159" i="18"/>
  <c r="D159" i="18"/>
  <c r="B159" i="18"/>
  <c r="C159" i="18" s="1"/>
  <c r="A159" i="18"/>
  <c r="M158" i="18"/>
  <c r="E158" i="18"/>
  <c r="D158" i="18"/>
  <c r="C158" i="18"/>
  <c r="B158" i="18"/>
  <c r="A158" i="18" s="1"/>
  <c r="B157" i="18"/>
  <c r="M156" i="18"/>
  <c r="F156" i="18"/>
  <c r="E156" i="18"/>
  <c r="H156" i="18" s="1"/>
  <c r="D156" i="18"/>
  <c r="C156" i="18"/>
  <c r="B156" i="18"/>
  <c r="A156" i="18"/>
  <c r="B155" i="18"/>
  <c r="M154" i="18"/>
  <c r="I154" i="18"/>
  <c r="H154" i="18"/>
  <c r="G154" i="18"/>
  <c r="K154" i="18" s="1"/>
  <c r="F154" i="18"/>
  <c r="E154" i="18"/>
  <c r="B154" i="18"/>
  <c r="D154" i="18" s="1"/>
  <c r="A154" i="18"/>
  <c r="M153" i="18"/>
  <c r="F153" i="18"/>
  <c r="E153" i="18"/>
  <c r="D153" i="18"/>
  <c r="C153" i="18"/>
  <c r="B153" i="18"/>
  <c r="A153" i="18" s="1"/>
  <c r="C152" i="18"/>
  <c r="B152" i="18"/>
  <c r="A152" i="18"/>
  <c r="M151" i="18"/>
  <c r="H151" i="18"/>
  <c r="I151" i="18" s="1"/>
  <c r="G151" i="18"/>
  <c r="F151" i="18"/>
  <c r="E151" i="18"/>
  <c r="D151" i="18"/>
  <c r="B151" i="18"/>
  <c r="C151" i="18" s="1"/>
  <c r="A151" i="18"/>
  <c r="M150" i="18"/>
  <c r="E150" i="18"/>
  <c r="D150" i="18"/>
  <c r="C150" i="18"/>
  <c r="B150" i="18"/>
  <c r="A150" i="18" s="1"/>
  <c r="B149" i="18"/>
  <c r="M148" i="18"/>
  <c r="F148" i="18"/>
  <c r="E148" i="18"/>
  <c r="H148" i="18" s="1"/>
  <c r="D148" i="18"/>
  <c r="C148" i="18"/>
  <c r="B148" i="18"/>
  <c r="A148" i="18"/>
  <c r="B147" i="18"/>
  <c r="M146" i="18"/>
  <c r="I146" i="18"/>
  <c r="H146" i="18"/>
  <c r="G146" i="18"/>
  <c r="K146" i="18" s="1"/>
  <c r="F146" i="18"/>
  <c r="E146" i="18"/>
  <c r="B146" i="18"/>
  <c r="D146" i="18" s="1"/>
  <c r="A146" i="18"/>
  <c r="M145" i="18"/>
  <c r="F145" i="18"/>
  <c r="E145" i="18"/>
  <c r="D145" i="18"/>
  <c r="C145" i="18"/>
  <c r="B145" i="18"/>
  <c r="A145" i="18" s="1"/>
  <c r="C144" i="18"/>
  <c r="B144" i="18"/>
  <c r="A144" i="18"/>
  <c r="M143" i="18"/>
  <c r="H143" i="18"/>
  <c r="I143" i="18" s="1"/>
  <c r="G143" i="18"/>
  <c r="F143" i="18"/>
  <c r="E143" i="18"/>
  <c r="D143" i="18"/>
  <c r="B143" i="18"/>
  <c r="C143" i="18" s="1"/>
  <c r="A143" i="18"/>
  <c r="M142" i="18"/>
  <c r="E142" i="18"/>
  <c r="D142" i="18"/>
  <c r="C142" i="18"/>
  <c r="B142" i="18"/>
  <c r="A142" i="18" s="1"/>
  <c r="B141" i="18"/>
  <c r="M140" i="18"/>
  <c r="F140" i="18"/>
  <c r="E140" i="18"/>
  <c r="H140" i="18" s="1"/>
  <c r="D140" i="18"/>
  <c r="C140" i="18"/>
  <c r="B140" i="18"/>
  <c r="A140" i="18"/>
  <c r="D139" i="18"/>
  <c r="B139" i="18"/>
  <c r="M138" i="18"/>
  <c r="I138" i="18"/>
  <c r="H138" i="18"/>
  <c r="G138" i="18"/>
  <c r="K138" i="18" s="1"/>
  <c r="F138" i="18"/>
  <c r="E138" i="18"/>
  <c r="B138" i="18"/>
  <c r="D138" i="18" s="1"/>
  <c r="A138" i="18"/>
  <c r="M137" i="18"/>
  <c r="F137" i="18"/>
  <c r="E137" i="18"/>
  <c r="D137" i="18"/>
  <c r="C137" i="18"/>
  <c r="B137" i="18"/>
  <c r="A137" i="18" s="1"/>
  <c r="C136" i="18"/>
  <c r="B136" i="18"/>
  <c r="A136" i="18"/>
  <c r="M135" i="18"/>
  <c r="H135" i="18"/>
  <c r="I135" i="18" s="1"/>
  <c r="G135" i="18"/>
  <c r="K135" i="18" s="1"/>
  <c r="F135" i="18"/>
  <c r="E135" i="18"/>
  <c r="D135" i="18"/>
  <c r="B135" i="18"/>
  <c r="C135" i="18" s="1"/>
  <c r="A135" i="18"/>
  <c r="M134" i="18"/>
  <c r="E134" i="18"/>
  <c r="D134" i="18"/>
  <c r="C134" i="18"/>
  <c r="B134" i="18"/>
  <c r="A134" i="18" s="1"/>
  <c r="B133" i="18"/>
  <c r="M132" i="18"/>
  <c r="F132" i="18"/>
  <c r="E132" i="18"/>
  <c r="D132" i="18"/>
  <c r="C132" i="18"/>
  <c r="B132" i="18"/>
  <c r="A132" i="18"/>
  <c r="B131" i="18"/>
  <c r="M130" i="18"/>
  <c r="H130" i="18"/>
  <c r="G130" i="18"/>
  <c r="K130" i="18" s="1"/>
  <c r="F130" i="18"/>
  <c r="E130" i="18"/>
  <c r="B130" i="18"/>
  <c r="D130" i="18" s="1"/>
  <c r="A130" i="18"/>
  <c r="M129" i="18"/>
  <c r="F129" i="18"/>
  <c r="E129" i="18"/>
  <c r="D129" i="18"/>
  <c r="C129" i="18"/>
  <c r="B129" i="18"/>
  <c r="A129" i="18" s="1"/>
  <c r="B128" i="18"/>
  <c r="A128" i="18"/>
  <c r="M127" i="18"/>
  <c r="H127" i="18"/>
  <c r="G127" i="18"/>
  <c r="K127" i="18" s="1"/>
  <c r="F127" i="18"/>
  <c r="E127" i="18"/>
  <c r="D127" i="18"/>
  <c r="B127" i="18"/>
  <c r="C127" i="18" s="1"/>
  <c r="A127" i="18"/>
  <c r="M126" i="18"/>
  <c r="E126" i="18"/>
  <c r="D126" i="18"/>
  <c r="C126" i="18"/>
  <c r="B126" i="18"/>
  <c r="A126" i="18" s="1"/>
  <c r="B125" i="18"/>
  <c r="M124" i="18"/>
  <c r="F124" i="18"/>
  <c r="E124" i="18"/>
  <c r="H124" i="18" s="1"/>
  <c r="D124" i="18"/>
  <c r="C124" i="18"/>
  <c r="B124" i="18"/>
  <c r="A124" i="18"/>
  <c r="C123" i="18"/>
  <c r="B123" i="18"/>
  <c r="M122" i="18"/>
  <c r="I122" i="18"/>
  <c r="H122" i="18"/>
  <c r="G122" i="18"/>
  <c r="K122" i="18" s="1"/>
  <c r="F122" i="18"/>
  <c r="E122" i="18"/>
  <c r="B122" i="18"/>
  <c r="D122" i="18" s="1"/>
  <c r="A122" i="18"/>
  <c r="M121" i="18"/>
  <c r="F121" i="18"/>
  <c r="E121" i="18"/>
  <c r="D121" i="18"/>
  <c r="C121" i="18"/>
  <c r="B121" i="18"/>
  <c r="A121" i="18" s="1"/>
  <c r="C120" i="18"/>
  <c r="B120" i="18"/>
  <c r="A120" i="18"/>
  <c r="M119" i="18"/>
  <c r="H119" i="18"/>
  <c r="I119" i="18" s="1"/>
  <c r="G119" i="18"/>
  <c r="F119" i="18"/>
  <c r="E119" i="18"/>
  <c r="D119" i="18"/>
  <c r="B119" i="18"/>
  <c r="C119" i="18" s="1"/>
  <c r="A119" i="18"/>
  <c r="M118" i="18"/>
  <c r="E118" i="18"/>
  <c r="D118" i="18"/>
  <c r="C118" i="18"/>
  <c r="B118" i="18"/>
  <c r="A118" i="18" s="1"/>
  <c r="B117" i="18"/>
  <c r="A117" i="18"/>
  <c r="M116" i="18"/>
  <c r="F116" i="18"/>
  <c r="E116" i="18"/>
  <c r="H116" i="18" s="1"/>
  <c r="D116" i="18"/>
  <c r="C116" i="18"/>
  <c r="B116" i="18"/>
  <c r="A116" i="18"/>
  <c r="B115" i="18"/>
  <c r="M114" i="18"/>
  <c r="I114" i="18"/>
  <c r="H114" i="18"/>
  <c r="G114" i="18"/>
  <c r="K114" i="18" s="1"/>
  <c r="F114" i="18"/>
  <c r="E114" i="18"/>
  <c r="B114" i="18"/>
  <c r="D114" i="18" s="1"/>
  <c r="A114" i="18"/>
  <c r="M113" i="18"/>
  <c r="F113" i="18"/>
  <c r="E113" i="18"/>
  <c r="D113" i="18"/>
  <c r="C113" i="18"/>
  <c r="B113" i="18"/>
  <c r="A113" i="18" s="1"/>
  <c r="C112" i="18"/>
  <c r="B112" i="18"/>
  <c r="A112" i="18" s="1"/>
  <c r="M111" i="18"/>
  <c r="H111" i="18"/>
  <c r="G111" i="18"/>
  <c r="K111" i="18" s="1"/>
  <c r="F111" i="18"/>
  <c r="E111" i="18"/>
  <c r="D111" i="18"/>
  <c r="B111" i="18"/>
  <c r="C111" i="18" s="1"/>
  <c r="A111" i="18"/>
  <c r="M110" i="18"/>
  <c r="E110" i="18"/>
  <c r="D110" i="18"/>
  <c r="C110" i="18"/>
  <c r="B110" i="18"/>
  <c r="A110" i="18" s="1"/>
  <c r="B109" i="18"/>
  <c r="A109" i="18" s="1"/>
  <c r="M108" i="18"/>
  <c r="G108" i="18"/>
  <c r="K108" i="18" s="1"/>
  <c r="F108" i="18"/>
  <c r="E108" i="18"/>
  <c r="H108" i="18" s="1"/>
  <c r="D108" i="18"/>
  <c r="C108" i="18"/>
  <c r="B108" i="18"/>
  <c r="A108" i="18"/>
  <c r="B107" i="18"/>
  <c r="M106" i="18"/>
  <c r="H106" i="18"/>
  <c r="I106" i="18" s="1"/>
  <c r="G106" i="18"/>
  <c r="K106" i="18" s="1"/>
  <c r="F106" i="18"/>
  <c r="E106" i="18"/>
  <c r="B106" i="18"/>
  <c r="D106" i="18" s="1"/>
  <c r="A106" i="18"/>
  <c r="M105" i="18"/>
  <c r="F105" i="18"/>
  <c r="E105" i="18"/>
  <c r="D105" i="18"/>
  <c r="C105" i="18"/>
  <c r="B105" i="18"/>
  <c r="A105" i="18" s="1"/>
  <c r="C104" i="18"/>
  <c r="B104" i="18"/>
  <c r="A104" i="18" s="1"/>
  <c r="M103" i="18"/>
  <c r="H103" i="18"/>
  <c r="G103" i="18"/>
  <c r="F103" i="18"/>
  <c r="E103" i="18"/>
  <c r="D103" i="18"/>
  <c r="B103" i="18"/>
  <c r="C103" i="18" s="1"/>
  <c r="A103" i="18"/>
  <c r="M102" i="18"/>
  <c r="E102" i="18"/>
  <c r="D102" i="18"/>
  <c r="C102" i="18"/>
  <c r="B102" i="18"/>
  <c r="A102" i="18" s="1"/>
  <c r="B101" i="18"/>
  <c r="A101" i="18"/>
  <c r="M100" i="18"/>
  <c r="G100" i="18"/>
  <c r="K100" i="18" s="1"/>
  <c r="F100" i="18"/>
  <c r="E100" i="18"/>
  <c r="H100" i="18" s="1"/>
  <c r="D100" i="18"/>
  <c r="C100" i="18"/>
  <c r="B100" i="18"/>
  <c r="A100" i="18"/>
  <c r="B99" i="18"/>
  <c r="M98" i="18"/>
  <c r="H98" i="18"/>
  <c r="G98" i="18"/>
  <c r="F98" i="18"/>
  <c r="E98" i="18"/>
  <c r="B98" i="18"/>
  <c r="D98" i="18" s="1"/>
  <c r="A98" i="18"/>
  <c r="M97" i="18"/>
  <c r="F97" i="18"/>
  <c r="E97" i="18"/>
  <c r="D97" i="18"/>
  <c r="C97" i="18"/>
  <c r="B97" i="18"/>
  <c r="A97" i="18" s="1"/>
  <c r="B96" i="18"/>
  <c r="M95" i="18"/>
  <c r="H95" i="18"/>
  <c r="G95" i="18"/>
  <c r="F95" i="18"/>
  <c r="E95" i="18"/>
  <c r="D95" i="18"/>
  <c r="B95" i="18"/>
  <c r="C95" i="18" s="1"/>
  <c r="A95" i="18"/>
  <c r="M94" i="18"/>
  <c r="E94" i="18"/>
  <c r="D94" i="18"/>
  <c r="C94" i="18"/>
  <c r="B94" i="18"/>
  <c r="A94" i="18" s="1"/>
  <c r="B93" i="18"/>
  <c r="A93" i="18"/>
  <c r="M92" i="18"/>
  <c r="G92" i="18"/>
  <c r="F92" i="18"/>
  <c r="E92" i="18"/>
  <c r="H92" i="18" s="1"/>
  <c r="D92" i="18"/>
  <c r="C92" i="18"/>
  <c r="B92" i="18"/>
  <c r="A92" i="18"/>
  <c r="D91" i="18"/>
  <c r="C91" i="18"/>
  <c r="B91" i="18"/>
  <c r="A91" i="18"/>
  <c r="M90" i="18"/>
  <c r="H90" i="18"/>
  <c r="G90" i="18"/>
  <c r="F90" i="18"/>
  <c r="E90" i="18"/>
  <c r="B90" i="18"/>
  <c r="D90" i="18" s="1"/>
  <c r="A90" i="18"/>
  <c r="M89" i="18"/>
  <c r="F89" i="18"/>
  <c r="E89" i="18"/>
  <c r="D89" i="18"/>
  <c r="C89" i="18"/>
  <c r="B89" i="18"/>
  <c r="A89" i="18" s="1"/>
  <c r="C88" i="18"/>
  <c r="B88" i="18"/>
  <c r="A88" i="18" s="1"/>
  <c r="M87" i="18"/>
  <c r="F87" i="18"/>
  <c r="E87" i="18"/>
  <c r="D87" i="18"/>
  <c r="B87" i="18"/>
  <c r="C87" i="18" s="1"/>
  <c r="A87" i="18"/>
  <c r="E86" i="18"/>
  <c r="B86" i="18"/>
  <c r="A86" i="18"/>
  <c r="F85" i="18"/>
  <c r="B85" i="18"/>
  <c r="A85" i="18"/>
  <c r="M84" i="18"/>
  <c r="G84" i="18"/>
  <c r="K84" i="18" s="1"/>
  <c r="F84" i="18"/>
  <c r="E84" i="18"/>
  <c r="H84" i="18" s="1"/>
  <c r="D84" i="18"/>
  <c r="C84" i="18"/>
  <c r="B84" i="18"/>
  <c r="A84" i="18"/>
  <c r="B83" i="18"/>
  <c r="A83" i="18" s="1"/>
  <c r="M82" i="18"/>
  <c r="F82" i="18"/>
  <c r="E82" i="18"/>
  <c r="H82" i="18" s="1"/>
  <c r="B82" i="18"/>
  <c r="D82" i="18" s="1"/>
  <c r="A82" i="18"/>
  <c r="M81" i="18"/>
  <c r="B81" i="18"/>
  <c r="C80" i="18"/>
  <c r="B80" i="18"/>
  <c r="A80" i="18"/>
  <c r="M79" i="18"/>
  <c r="F79" i="18"/>
  <c r="E79" i="18"/>
  <c r="H79" i="18" s="1"/>
  <c r="D79" i="18"/>
  <c r="B79" i="18"/>
  <c r="C79" i="18" s="1"/>
  <c r="A79" i="18"/>
  <c r="E78" i="18"/>
  <c r="D78" i="18"/>
  <c r="C78" i="18"/>
  <c r="B78" i="18"/>
  <c r="A78" i="18" s="1"/>
  <c r="F77" i="18"/>
  <c r="B77" i="18"/>
  <c r="A77" i="18" s="1"/>
  <c r="M76" i="18"/>
  <c r="F76" i="18"/>
  <c r="E76" i="18"/>
  <c r="D76" i="18"/>
  <c r="C76" i="18"/>
  <c r="B76" i="18"/>
  <c r="A76" i="18"/>
  <c r="B75" i="18"/>
  <c r="A75" i="18"/>
  <c r="M74" i="18"/>
  <c r="H74" i="18"/>
  <c r="I74" i="18" s="1"/>
  <c r="G74" i="18"/>
  <c r="K74" i="18" s="1"/>
  <c r="F74" i="18"/>
  <c r="E74" i="18"/>
  <c r="B74" i="18"/>
  <c r="D74" i="18" s="1"/>
  <c r="A74" i="18"/>
  <c r="B73" i="18"/>
  <c r="B72" i="18"/>
  <c r="A72" i="18"/>
  <c r="M71" i="18"/>
  <c r="H71" i="18"/>
  <c r="F71" i="18"/>
  <c r="E71" i="18"/>
  <c r="G71" i="18" s="1"/>
  <c r="K71" i="18" s="1"/>
  <c r="D71" i="18"/>
  <c r="B71" i="18"/>
  <c r="C71" i="18" s="1"/>
  <c r="A71" i="18"/>
  <c r="B70" i="18"/>
  <c r="F69" i="18"/>
  <c r="B69" i="18"/>
  <c r="A69" i="18"/>
  <c r="M68" i="18"/>
  <c r="F68" i="18"/>
  <c r="E68" i="18"/>
  <c r="H68" i="18" s="1"/>
  <c r="D68" i="18"/>
  <c r="C68" i="18"/>
  <c r="B68" i="18"/>
  <c r="A68" i="18"/>
  <c r="D67" i="18"/>
  <c r="C67" i="18"/>
  <c r="B67" i="18"/>
  <c r="A67" i="18" s="1"/>
  <c r="M66" i="18"/>
  <c r="H66" i="18"/>
  <c r="I66" i="18" s="1"/>
  <c r="G66" i="18"/>
  <c r="F66" i="18"/>
  <c r="E66" i="18"/>
  <c r="B66" i="18"/>
  <c r="D66" i="18" s="1"/>
  <c r="A66" i="18"/>
  <c r="F65" i="18"/>
  <c r="E65" i="18"/>
  <c r="B65" i="18"/>
  <c r="C64" i="18"/>
  <c r="B64" i="18"/>
  <c r="A64" i="18"/>
  <c r="M63" i="18"/>
  <c r="H63" i="18"/>
  <c r="G63" i="18"/>
  <c r="K63" i="18" s="1"/>
  <c r="F63" i="18"/>
  <c r="E63" i="18"/>
  <c r="D63" i="18"/>
  <c r="B63" i="18"/>
  <c r="C63" i="18" s="1"/>
  <c r="A63" i="18"/>
  <c r="B62" i="18"/>
  <c r="A62" i="18" s="1"/>
  <c r="B61" i="18"/>
  <c r="A61" i="18"/>
  <c r="M60" i="18"/>
  <c r="F60" i="18"/>
  <c r="E60" i="18"/>
  <c r="H60" i="18" s="1"/>
  <c r="D60" i="18"/>
  <c r="C60" i="18"/>
  <c r="B60" i="18"/>
  <c r="A60" i="18"/>
  <c r="B59" i="18"/>
  <c r="M58" i="18"/>
  <c r="F58" i="18"/>
  <c r="E58" i="18"/>
  <c r="H58" i="18" s="1"/>
  <c r="B58" i="18"/>
  <c r="D58" i="18" s="1"/>
  <c r="A58" i="18"/>
  <c r="F57" i="18"/>
  <c r="E57" i="18"/>
  <c r="D57" i="18"/>
  <c r="C57" i="18"/>
  <c r="B57" i="18"/>
  <c r="C56" i="18"/>
  <c r="B56" i="18"/>
  <c r="A56" i="18" s="1"/>
  <c r="M55" i="18"/>
  <c r="F55" i="18"/>
  <c r="E55" i="18"/>
  <c r="D55" i="18"/>
  <c r="B55" i="18"/>
  <c r="C55" i="18" s="1"/>
  <c r="A55" i="18"/>
  <c r="E54" i="18"/>
  <c r="B54" i="18"/>
  <c r="A54" i="18"/>
  <c r="F53" i="18"/>
  <c r="B53" i="18"/>
  <c r="A53" i="18"/>
  <c r="M52" i="18"/>
  <c r="G52" i="18"/>
  <c r="K52" i="18" s="1"/>
  <c r="F52" i="18"/>
  <c r="E52" i="18"/>
  <c r="H52" i="18" s="1"/>
  <c r="D52" i="18"/>
  <c r="C52" i="18"/>
  <c r="B52" i="18"/>
  <c r="A52" i="18"/>
  <c r="B51" i="18"/>
  <c r="A51" i="18" s="1"/>
  <c r="M50" i="18"/>
  <c r="F50" i="18"/>
  <c r="E50" i="18"/>
  <c r="H50" i="18" s="1"/>
  <c r="B50" i="18"/>
  <c r="D50" i="18" s="1"/>
  <c r="A50" i="18"/>
  <c r="M49" i="18"/>
  <c r="B49" i="18"/>
  <c r="C48" i="18"/>
  <c r="B48" i="18"/>
  <c r="A48" i="18"/>
  <c r="M47" i="18"/>
  <c r="F47" i="18"/>
  <c r="E47" i="18"/>
  <c r="H47" i="18" s="1"/>
  <c r="D47" i="18"/>
  <c r="B47" i="18"/>
  <c r="C47" i="18" s="1"/>
  <c r="A47" i="18"/>
  <c r="E46" i="18"/>
  <c r="D46" i="18"/>
  <c r="C46" i="18"/>
  <c r="B46" i="18"/>
  <c r="A46" i="18" s="1"/>
  <c r="F45" i="18"/>
  <c r="B45" i="18"/>
  <c r="A45" i="18" s="1"/>
  <c r="M44" i="18"/>
  <c r="F44" i="18"/>
  <c r="E44" i="18"/>
  <c r="D44" i="18"/>
  <c r="C44" i="18"/>
  <c r="B44" i="18"/>
  <c r="A44" i="18"/>
  <c r="B43" i="18"/>
  <c r="A43" i="18"/>
  <c r="M42" i="18"/>
  <c r="H42" i="18"/>
  <c r="I42" i="18" s="1"/>
  <c r="G42" i="18"/>
  <c r="K42" i="18" s="1"/>
  <c r="F42" i="18"/>
  <c r="E42" i="18"/>
  <c r="B42" i="18"/>
  <c r="D42" i="18" s="1"/>
  <c r="A42" i="18"/>
  <c r="B41" i="18"/>
  <c r="B40" i="18"/>
  <c r="A40" i="18"/>
  <c r="M39" i="18"/>
  <c r="H39" i="18"/>
  <c r="F39" i="18"/>
  <c r="E39" i="18"/>
  <c r="G39" i="18" s="1"/>
  <c r="K39" i="18" s="1"/>
  <c r="D39" i="18"/>
  <c r="B39" i="18"/>
  <c r="C39" i="18" s="1"/>
  <c r="A39" i="18"/>
  <c r="M38" i="18"/>
  <c r="B38" i="18"/>
  <c r="F37" i="18"/>
  <c r="B37" i="18"/>
  <c r="A37" i="18"/>
  <c r="M36" i="18"/>
  <c r="F36" i="18"/>
  <c r="E36" i="18"/>
  <c r="H36" i="18" s="1"/>
  <c r="D36" i="18"/>
  <c r="C36" i="18"/>
  <c r="B36" i="18"/>
  <c r="A36" i="18"/>
  <c r="D35" i="18"/>
  <c r="C35" i="18"/>
  <c r="B35" i="18"/>
  <c r="A35" i="18" s="1"/>
  <c r="M34" i="18"/>
  <c r="H34" i="18"/>
  <c r="I34" i="18" s="1"/>
  <c r="G34" i="18"/>
  <c r="F34" i="18"/>
  <c r="E34" i="18"/>
  <c r="B34" i="18"/>
  <c r="D34" i="18" s="1"/>
  <c r="A34" i="18"/>
  <c r="F33" i="18"/>
  <c r="E33" i="18"/>
  <c r="B33" i="18"/>
  <c r="C32" i="18"/>
  <c r="B32" i="18"/>
  <c r="A32" i="18"/>
  <c r="M31" i="18"/>
  <c r="H31" i="18"/>
  <c r="G31" i="18"/>
  <c r="K31" i="18" s="1"/>
  <c r="F31" i="18"/>
  <c r="E31" i="18"/>
  <c r="D31" i="18"/>
  <c r="B31" i="18"/>
  <c r="C31" i="18" s="1"/>
  <c r="A31" i="18"/>
  <c r="B30" i="18"/>
  <c r="A30" i="18" s="1"/>
  <c r="B29" i="18"/>
  <c r="A29" i="18"/>
  <c r="M28" i="18"/>
  <c r="F28" i="18"/>
  <c r="E28" i="18"/>
  <c r="H28" i="18" s="1"/>
  <c r="D28" i="18"/>
  <c r="C28" i="18"/>
  <c r="B28" i="18"/>
  <c r="A28" i="18"/>
  <c r="M27" i="18"/>
  <c r="H27" i="18"/>
  <c r="E27" i="18"/>
  <c r="D27" i="18"/>
  <c r="C27" i="18"/>
  <c r="B27" i="18"/>
  <c r="A27" i="18" s="1"/>
  <c r="M26" i="18"/>
  <c r="H26" i="18"/>
  <c r="G26" i="18"/>
  <c r="F26" i="18"/>
  <c r="E26" i="18"/>
  <c r="B26" i="18"/>
  <c r="A26" i="18"/>
  <c r="B25" i="18"/>
  <c r="C24" i="18"/>
  <c r="B24" i="18"/>
  <c r="A24" i="18"/>
  <c r="E23" i="18"/>
  <c r="M23" i="18" s="1"/>
  <c r="B23" i="18"/>
  <c r="C23" i="18" s="1"/>
  <c r="A23" i="18"/>
  <c r="B22" i="18"/>
  <c r="A22" i="18"/>
  <c r="B21" i="18"/>
  <c r="G20" i="18"/>
  <c r="E20" i="18"/>
  <c r="C20" i="18"/>
  <c r="B20" i="18"/>
  <c r="A20" i="18"/>
  <c r="B19" i="18"/>
  <c r="H18" i="18"/>
  <c r="I18" i="18" s="1"/>
  <c r="G18" i="18"/>
  <c r="E18" i="18"/>
  <c r="B18" i="18"/>
  <c r="M18" i="18" s="1"/>
  <c r="A18" i="18"/>
  <c r="E17" i="18"/>
  <c r="M17" i="18" s="1"/>
  <c r="C17" i="18"/>
  <c r="B17" i="18"/>
  <c r="A17" i="18" s="1"/>
  <c r="B16" i="18"/>
  <c r="E15" i="18"/>
  <c r="C15" i="18"/>
  <c r="B15" i="18"/>
  <c r="A15" i="18"/>
  <c r="B14" i="18"/>
  <c r="B13" i="18"/>
  <c r="A13" i="18"/>
  <c r="E12" i="18"/>
  <c r="C12" i="18"/>
  <c r="B12" i="18"/>
  <c r="A12" i="18" s="1"/>
  <c r="C11" i="18"/>
  <c r="B11" i="18"/>
  <c r="A11" i="18"/>
  <c r="H10" i="18"/>
  <c r="I10" i="18" s="1"/>
  <c r="G10" i="18"/>
  <c r="E10" i="18"/>
  <c r="M10" i="18" s="1"/>
  <c r="B10" i="18"/>
  <c r="A10" i="18"/>
  <c r="E9" i="18"/>
  <c r="C9" i="18"/>
  <c r="B9" i="18"/>
  <c r="A9" i="18" s="1"/>
  <c r="B8" i="18"/>
  <c r="E7" i="18"/>
  <c r="C7" i="18"/>
  <c r="B7" i="18"/>
  <c r="A7" i="18"/>
  <c r="B6" i="18"/>
  <c r="B5" i="18"/>
  <c r="A5" i="18"/>
  <c r="A2" i="18"/>
  <c r="A2" i="17"/>
  <c r="M1004" i="16"/>
  <c r="K1004" i="16"/>
  <c r="H1004" i="16"/>
  <c r="G1004" i="16"/>
  <c r="E1004" i="16"/>
  <c r="C1004" i="16"/>
  <c r="B1004" i="16"/>
  <c r="L1004" i="16" s="1"/>
  <c r="N1003" i="16"/>
  <c r="M1003" i="16"/>
  <c r="K1003" i="16"/>
  <c r="I1003" i="16"/>
  <c r="H1003" i="16"/>
  <c r="F1003" i="16"/>
  <c r="E1003" i="16"/>
  <c r="C1003" i="16"/>
  <c r="B1003" i="16"/>
  <c r="J1003" i="16" s="1"/>
  <c r="A1003" i="16"/>
  <c r="N1002" i="16"/>
  <c r="L1002" i="16"/>
  <c r="K1002" i="16"/>
  <c r="I1002" i="16"/>
  <c r="H1002" i="16"/>
  <c r="G1002" i="16"/>
  <c r="F1002" i="16"/>
  <c r="D1002" i="16"/>
  <c r="C1002" i="16"/>
  <c r="B1002" i="16"/>
  <c r="M1002" i="16" s="1"/>
  <c r="A1002" i="16"/>
  <c r="I1001" i="16"/>
  <c r="G1001" i="16"/>
  <c r="B1001" i="16"/>
  <c r="N1001" i="16" s="1"/>
  <c r="A1001" i="16"/>
  <c r="M1000" i="16"/>
  <c r="K1000" i="16"/>
  <c r="H1000" i="16"/>
  <c r="G1000" i="16"/>
  <c r="E1000" i="16"/>
  <c r="C1000" i="16"/>
  <c r="B1000" i="16"/>
  <c r="L1000" i="16" s="1"/>
  <c r="N999" i="16"/>
  <c r="M999" i="16"/>
  <c r="K999" i="16"/>
  <c r="I999" i="16"/>
  <c r="H999" i="16"/>
  <c r="F999" i="16"/>
  <c r="E999" i="16"/>
  <c r="C999" i="16"/>
  <c r="B999" i="16"/>
  <c r="J999" i="16" s="1"/>
  <c r="A999" i="16"/>
  <c r="N998" i="16"/>
  <c r="L998" i="16"/>
  <c r="K998" i="16"/>
  <c r="I998" i="16"/>
  <c r="H998" i="16"/>
  <c r="G998" i="16"/>
  <c r="F998" i="16"/>
  <c r="D998" i="16"/>
  <c r="C998" i="16"/>
  <c r="B998" i="16"/>
  <c r="M998" i="16" s="1"/>
  <c r="A998" i="16"/>
  <c r="I997" i="16"/>
  <c r="G997" i="16"/>
  <c r="B997" i="16"/>
  <c r="N997" i="16" s="1"/>
  <c r="A997" i="16"/>
  <c r="M996" i="16"/>
  <c r="K996" i="16"/>
  <c r="H996" i="16"/>
  <c r="G996" i="16"/>
  <c r="E996" i="16"/>
  <c r="C996" i="16"/>
  <c r="B996" i="16"/>
  <c r="L996" i="16" s="1"/>
  <c r="N995" i="16"/>
  <c r="M995" i="16"/>
  <c r="K995" i="16"/>
  <c r="I995" i="16"/>
  <c r="H995" i="16"/>
  <c r="F995" i="16"/>
  <c r="E995" i="16"/>
  <c r="C995" i="16"/>
  <c r="B995" i="16"/>
  <c r="J995" i="16" s="1"/>
  <c r="A995" i="16"/>
  <c r="N994" i="16"/>
  <c r="L994" i="16"/>
  <c r="K994" i="16"/>
  <c r="I994" i="16"/>
  <c r="H994" i="16"/>
  <c r="G994" i="16"/>
  <c r="F994" i="16"/>
  <c r="D994" i="16"/>
  <c r="C994" i="16"/>
  <c r="B994" i="16"/>
  <c r="M994" i="16" s="1"/>
  <c r="A994" i="16"/>
  <c r="I993" i="16"/>
  <c r="G993" i="16"/>
  <c r="B993" i="16"/>
  <c r="N993" i="16" s="1"/>
  <c r="A993" i="16"/>
  <c r="M992" i="16"/>
  <c r="K992" i="16"/>
  <c r="H992" i="16"/>
  <c r="G992" i="16"/>
  <c r="E992" i="16"/>
  <c r="C992" i="16"/>
  <c r="B992" i="16"/>
  <c r="L992" i="16" s="1"/>
  <c r="N991" i="16"/>
  <c r="M991" i="16"/>
  <c r="K991" i="16"/>
  <c r="I991" i="16"/>
  <c r="H991" i="16"/>
  <c r="F991" i="16"/>
  <c r="E991" i="16"/>
  <c r="C991" i="16"/>
  <c r="B991" i="16"/>
  <c r="J991" i="16" s="1"/>
  <c r="A991" i="16"/>
  <c r="N990" i="16"/>
  <c r="L990" i="16"/>
  <c r="K990" i="16"/>
  <c r="I990" i="16"/>
  <c r="H990" i="16"/>
  <c r="G990" i="16"/>
  <c r="F990" i="16"/>
  <c r="D990" i="16"/>
  <c r="C990" i="16"/>
  <c r="B990" i="16"/>
  <c r="M990" i="16" s="1"/>
  <c r="A990" i="16"/>
  <c r="I989" i="16"/>
  <c r="G989" i="16"/>
  <c r="B989" i="16"/>
  <c r="N989" i="16" s="1"/>
  <c r="A989" i="16"/>
  <c r="M988" i="16"/>
  <c r="K988" i="16"/>
  <c r="H988" i="16"/>
  <c r="G988" i="16"/>
  <c r="E988" i="16"/>
  <c r="C988" i="16"/>
  <c r="B988" i="16"/>
  <c r="L988" i="16" s="1"/>
  <c r="N987" i="16"/>
  <c r="M987" i="16"/>
  <c r="K987" i="16"/>
  <c r="I987" i="16"/>
  <c r="H987" i="16"/>
  <c r="F987" i="16"/>
  <c r="E987" i="16"/>
  <c r="C987" i="16"/>
  <c r="B987" i="16"/>
  <c r="J987" i="16" s="1"/>
  <c r="A987" i="16"/>
  <c r="N986" i="16"/>
  <c r="L986" i="16"/>
  <c r="K986" i="16"/>
  <c r="I986" i="16"/>
  <c r="H986" i="16"/>
  <c r="G986" i="16"/>
  <c r="F986" i="16"/>
  <c r="D986" i="16"/>
  <c r="C986" i="16"/>
  <c r="B986" i="16"/>
  <c r="M986" i="16" s="1"/>
  <c r="A986" i="16"/>
  <c r="I985" i="16"/>
  <c r="G985" i="16"/>
  <c r="B985" i="16"/>
  <c r="N985" i="16" s="1"/>
  <c r="A985" i="16"/>
  <c r="M984" i="16"/>
  <c r="K984" i="16"/>
  <c r="H984" i="16"/>
  <c r="G984" i="16"/>
  <c r="E984" i="16"/>
  <c r="C984" i="16"/>
  <c r="B984" i="16"/>
  <c r="L984" i="16" s="1"/>
  <c r="N983" i="16"/>
  <c r="M983" i="16"/>
  <c r="K983" i="16"/>
  <c r="I983" i="16"/>
  <c r="H983" i="16"/>
  <c r="F983" i="16"/>
  <c r="E983" i="16"/>
  <c r="C983" i="16"/>
  <c r="B983" i="16"/>
  <c r="J983" i="16" s="1"/>
  <c r="A983" i="16"/>
  <c r="N982" i="16"/>
  <c r="L982" i="16"/>
  <c r="K982" i="16"/>
  <c r="I982" i="16"/>
  <c r="H982" i="16"/>
  <c r="G982" i="16"/>
  <c r="F982" i="16"/>
  <c r="D982" i="16"/>
  <c r="C982" i="16"/>
  <c r="B982" i="16"/>
  <c r="M982" i="16" s="1"/>
  <c r="A982" i="16"/>
  <c r="I981" i="16"/>
  <c r="G981" i="16"/>
  <c r="B981" i="16"/>
  <c r="N981" i="16" s="1"/>
  <c r="A981" i="16"/>
  <c r="M980" i="16"/>
  <c r="K980" i="16"/>
  <c r="H980" i="16"/>
  <c r="G980" i="16"/>
  <c r="E980" i="16"/>
  <c r="C980" i="16"/>
  <c r="B980" i="16"/>
  <c r="L980" i="16" s="1"/>
  <c r="N979" i="16"/>
  <c r="M979" i="16"/>
  <c r="K979" i="16"/>
  <c r="I979" i="16"/>
  <c r="H979" i="16"/>
  <c r="F979" i="16"/>
  <c r="E979" i="16"/>
  <c r="C979" i="16"/>
  <c r="B979" i="16"/>
  <c r="J979" i="16" s="1"/>
  <c r="A979" i="16"/>
  <c r="N978" i="16"/>
  <c r="L978" i="16"/>
  <c r="K978" i="16"/>
  <c r="I978" i="16"/>
  <c r="H978" i="16"/>
  <c r="G978" i="16"/>
  <c r="F978" i="16"/>
  <c r="D978" i="16"/>
  <c r="C978" i="16"/>
  <c r="B978" i="16"/>
  <c r="M978" i="16" s="1"/>
  <c r="A978" i="16"/>
  <c r="I977" i="16"/>
  <c r="G977" i="16"/>
  <c r="B977" i="16"/>
  <c r="N977" i="16" s="1"/>
  <c r="A977" i="16"/>
  <c r="M976" i="16"/>
  <c r="K976" i="16"/>
  <c r="H976" i="16"/>
  <c r="G976" i="16"/>
  <c r="E976" i="16"/>
  <c r="C976" i="16"/>
  <c r="B976" i="16"/>
  <c r="L976" i="16" s="1"/>
  <c r="N975" i="16"/>
  <c r="M975" i="16"/>
  <c r="K975" i="16"/>
  <c r="I975" i="16"/>
  <c r="H975" i="16"/>
  <c r="F975" i="16"/>
  <c r="E975" i="16"/>
  <c r="C975" i="16"/>
  <c r="B975" i="16"/>
  <c r="J975" i="16" s="1"/>
  <c r="A975" i="16"/>
  <c r="N974" i="16"/>
  <c r="L974" i="16"/>
  <c r="K974" i="16"/>
  <c r="I974" i="16"/>
  <c r="H974" i="16"/>
  <c r="G974" i="16"/>
  <c r="F974" i="16"/>
  <c r="D974" i="16"/>
  <c r="C974" i="16"/>
  <c r="B974" i="16"/>
  <c r="M974" i="16" s="1"/>
  <c r="A974" i="16"/>
  <c r="I973" i="16"/>
  <c r="G973" i="16"/>
  <c r="B973" i="16"/>
  <c r="N973" i="16" s="1"/>
  <c r="A973" i="16"/>
  <c r="M972" i="16"/>
  <c r="K972" i="16"/>
  <c r="H972" i="16"/>
  <c r="G972" i="16"/>
  <c r="E972" i="16"/>
  <c r="C972" i="16"/>
  <c r="B972" i="16"/>
  <c r="L972" i="16" s="1"/>
  <c r="N971" i="16"/>
  <c r="M971" i="16"/>
  <c r="K971" i="16"/>
  <c r="I971" i="16"/>
  <c r="H971" i="16"/>
  <c r="F971" i="16"/>
  <c r="E971" i="16"/>
  <c r="C971" i="16"/>
  <c r="B971" i="16"/>
  <c r="J971" i="16" s="1"/>
  <c r="A971" i="16"/>
  <c r="N970" i="16"/>
  <c r="L970" i="16"/>
  <c r="K970" i="16"/>
  <c r="I970" i="16"/>
  <c r="H970" i="16"/>
  <c r="G970" i="16"/>
  <c r="F970" i="16"/>
  <c r="D970" i="16"/>
  <c r="C970" i="16"/>
  <c r="B970" i="16"/>
  <c r="M970" i="16" s="1"/>
  <c r="A970" i="16"/>
  <c r="I969" i="16"/>
  <c r="G969" i="16"/>
  <c r="B969" i="16"/>
  <c r="N969" i="16" s="1"/>
  <c r="A969" i="16"/>
  <c r="M968" i="16"/>
  <c r="K968" i="16"/>
  <c r="H968" i="16"/>
  <c r="G968" i="16"/>
  <c r="E968" i="16"/>
  <c r="C968" i="16"/>
  <c r="B968" i="16"/>
  <c r="L968" i="16" s="1"/>
  <c r="N967" i="16"/>
  <c r="M967" i="16"/>
  <c r="K967" i="16"/>
  <c r="I967" i="16"/>
  <c r="H967" i="16"/>
  <c r="F967" i="16"/>
  <c r="E967" i="16"/>
  <c r="C967" i="16"/>
  <c r="B967" i="16"/>
  <c r="J967" i="16" s="1"/>
  <c r="A967" i="16"/>
  <c r="N966" i="16"/>
  <c r="L966" i="16"/>
  <c r="K966" i="16"/>
  <c r="I966" i="16"/>
  <c r="H966" i="16"/>
  <c r="G966" i="16"/>
  <c r="F966" i="16"/>
  <c r="D966" i="16"/>
  <c r="C966" i="16"/>
  <c r="B966" i="16"/>
  <c r="M966" i="16" s="1"/>
  <c r="A966" i="16"/>
  <c r="I965" i="16"/>
  <c r="G965" i="16"/>
  <c r="B965" i="16"/>
  <c r="N965" i="16" s="1"/>
  <c r="A965" i="16"/>
  <c r="M964" i="16"/>
  <c r="K964" i="16"/>
  <c r="H964" i="16"/>
  <c r="G964" i="16"/>
  <c r="E964" i="16"/>
  <c r="C964" i="16"/>
  <c r="B964" i="16"/>
  <c r="L964" i="16" s="1"/>
  <c r="N963" i="16"/>
  <c r="M963" i="16"/>
  <c r="K963" i="16"/>
  <c r="I963" i="16"/>
  <c r="H963" i="16"/>
  <c r="F963" i="16"/>
  <c r="E963" i="16"/>
  <c r="C963" i="16"/>
  <c r="B963" i="16"/>
  <c r="J963" i="16" s="1"/>
  <c r="A963" i="16"/>
  <c r="N962" i="16"/>
  <c r="L962" i="16"/>
  <c r="K962" i="16"/>
  <c r="I962" i="16"/>
  <c r="H962" i="16"/>
  <c r="G962" i="16"/>
  <c r="F962" i="16"/>
  <c r="D962" i="16"/>
  <c r="C962" i="16"/>
  <c r="B962" i="16"/>
  <c r="M962" i="16" s="1"/>
  <c r="A962" i="16"/>
  <c r="I961" i="16"/>
  <c r="G961" i="16"/>
  <c r="B961" i="16"/>
  <c r="N961" i="16" s="1"/>
  <c r="A961" i="16"/>
  <c r="M960" i="16"/>
  <c r="K960" i="16"/>
  <c r="H960" i="16"/>
  <c r="G960" i="16"/>
  <c r="E960" i="16"/>
  <c r="C960" i="16"/>
  <c r="B960" i="16"/>
  <c r="L960" i="16" s="1"/>
  <c r="N959" i="16"/>
  <c r="M959" i="16"/>
  <c r="K959" i="16"/>
  <c r="I959" i="16"/>
  <c r="H959" i="16"/>
  <c r="F959" i="16"/>
  <c r="E959" i="16"/>
  <c r="C959" i="16"/>
  <c r="B959" i="16"/>
  <c r="J959" i="16" s="1"/>
  <c r="A959" i="16"/>
  <c r="N958" i="16"/>
  <c r="L958" i="16"/>
  <c r="K958" i="16"/>
  <c r="I958" i="16"/>
  <c r="H958" i="16"/>
  <c r="G958" i="16"/>
  <c r="F958" i="16"/>
  <c r="D958" i="16"/>
  <c r="C958" i="16"/>
  <c r="B958" i="16"/>
  <c r="M958" i="16" s="1"/>
  <c r="A958" i="16"/>
  <c r="I957" i="16"/>
  <c r="G957" i="16"/>
  <c r="B957" i="16"/>
  <c r="N957" i="16" s="1"/>
  <c r="A957" i="16"/>
  <c r="M956" i="16"/>
  <c r="K956" i="16"/>
  <c r="H956" i="16"/>
  <c r="G956" i="16"/>
  <c r="E956" i="16"/>
  <c r="C956" i="16"/>
  <c r="B956" i="16"/>
  <c r="L956" i="16" s="1"/>
  <c r="N955" i="16"/>
  <c r="M955" i="16"/>
  <c r="K955" i="16"/>
  <c r="I955" i="16"/>
  <c r="H955" i="16"/>
  <c r="F955" i="16"/>
  <c r="E955" i="16"/>
  <c r="C955" i="16"/>
  <c r="B955" i="16"/>
  <c r="J955" i="16" s="1"/>
  <c r="A955" i="16"/>
  <c r="N954" i="16"/>
  <c r="L954" i="16"/>
  <c r="K954" i="16"/>
  <c r="I954" i="16"/>
  <c r="H954" i="16"/>
  <c r="G954" i="16"/>
  <c r="F954" i="16"/>
  <c r="D954" i="16"/>
  <c r="C954" i="16"/>
  <c r="B954" i="16"/>
  <c r="M954" i="16" s="1"/>
  <c r="A954" i="16"/>
  <c r="I953" i="16"/>
  <c r="G953" i="16"/>
  <c r="B953" i="16"/>
  <c r="N953" i="16" s="1"/>
  <c r="A953" i="16"/>
  <c r="M952" i="16"/>
  <c r="K952" i="16"/>
  <c r="H952" i="16"/>
  <c r="G952" i="16"/>
  <c r="E952" i="16"/>
  <c r="C952" i="16"/>
  <c r="B952" i="16"/>
  <c r="L952" i="16" s="1"/>
  <c r="N951" i="16"/>
  <c r="M951" i="16"/>
  <c r="K951" i="16"/>
  <c r="I951" i="16"/>
  <c r="H951" i="16"/>
  <c r="F951" i="16"/>
  <c r="E951" i="16"/>
  <c r="C951" i="16"/>
  <c r="B951" i="16"/>
  <c r="J951" i="16" s="1"/>
  <c r="A951" i="16"/>
  <c r="N950" i="16"/>
  <c r="L950" i="16"/>
  <c r="K950" i="16"/>
  <c r="I950" i="16"/>
  <c r="H950" i="16"/>
  <c r="G950" i="16"/>
  <c r="F950" i="16"/>
  <c r="D950" i="16"/>
  <c r="C950" i="16"/>
  <c r="B950" i="16"/>
  <c r="M950" i="16" s="1"/>
  <c r="A950" i="16"/>
  <c r="I949" i="16"/>
  <c r="G949" i="16"/>
  <c r="B949" i="16"/>
  <c r="N949" i="16" s="1"/>
  <c r="A949" i="16"/>
  <c r="M948" i="16"/>
  <c r="K948" i="16"/>
  <c r="H948" i="16"/>
  <c r="G948" i="16"/>
  <c r="E948" i="16"/>
  <c r="C948" i="16"/>
  <c r="B948" i="16"/>
  <c r="L948" i="16" s="1"/>
  <c r="N947" i="16"/>
  <c r="M947" i="16"/>
  <c r="K947" i="16"/>
  <c r="I947" i="16"/>
  <c r="H947" i="16"/>
  <c r="F947" i="16"/>
  <c r="E947" i="16"/>
  <c r="C947" i="16"/>
  <c r="B947" i="16"/>
  <c r="J947" i="16" s="1"/>
  <c r="A947" i="16"/>
  <c r="N946" i="16"/>
  <c r="L946" i="16"/>
  <c r="K946" i="16"/>
  <c r="I946" i="16"/>
  <c r="H946" i="16"/>
  <c r="G946" i="16"/>
  <c r="F946" i="16"/>
  <c r="D946" i="16"/>
  <c r="C946" i="16"/>
  <c r="B946" i="16"/>
  <c r="M946" i="16" s="1"/>
  <c r="A946" i="16"/>
  <c r="I945" i="16"/>
  <c r="G945" i="16"/>
  <c r="B945" i="16"/>
  <c r="N945" i="16" s="1"/>
  <c r="A945" i="16"/>
  <c r="M944" i="16"/>
  <c r="K944" i="16"/>
  <c r="H944" i="16"/>
  <c r="G944" i="16"/>
  <c r="E944" i="16"/>
  <c r="C944" i="16"/>
  <c r="B944" i="16"/>
  <c r="L944" i="16" s="1"/>
  <c r="N943" i="16"/>
  <c r="M943" i="16"/>
  <c r="K943" i="16"/>
  <c r="I943" i="16"/>
  <c r="H943" i="16"/>
  <c r="F943" i="16"/>
  <c r="E943" i="16"/>
  <c r="C943" i="16"/>
  <c r="B943" i="16"/>
  <c r="J943" i="16" s="1"/>
  <c r="A943" i="16"/>
  <c r="N942" i="16"/>
  <c r="L942" i="16"/>
  <c r="K942" i="16"/>
  <c r="I942" i="16"/>
  <c r="H942" i="16"/>
  <c r="G942" i="16"/>
  <c r="F942" i="16"/>
  <c r="D942" i="16"/>
  <c r="C942" i="16"/>
  <c r="B942" i="16"/>
  <c r="M942" i="16" s="1"/>
  <c r="A942" i="16"/>
  <c r="I941" i="16"/>
  <c r="G941" i="16"/>
  <c r="B941" i="16"/>
  <c r="N941" i="16" s="1"/>
  <c r="A941" i="16"/>
  <c r="M940" i="16"/>
  <c r="K940" i="16"/>
  <c r="H940" i="16"/>
  <c r="G940" i="16"/>
  <c r="E940" i="16"/>
  <c r="C940" i="16"/>
  <c r="B940" i="16"/>
  <c r="L940" i="16" s="1"/>
  <c r="N939" i="16"/>
  <c r="M939" i="16"/>
  <c r="K939" i="16"/>
  <c r="I939" i="16"/>
  <c r="H939" i="16"/>
  <c r="F939" i="16"/>
  <c r="E939" i="16"/>
  <c r="C939" i="16"/>
  <c r="B939" i="16"/>
  <c r="J939" i="16" s="1"/>
  <c r="A939" i="16"/>
  <c r="N938" i="16"/>
  <c r="L938" i="16"/>
  <c r="K938" i="16"/>
  <c r="I938" i="16"/>
  <c r="H938" i="16"/>
  <c r="G938" i="16"/>
  <c r="F938" i="16"/>
  <c r="D938" i="16"/>
  <c r="C938" i="16"/>
  <c r="B938" i="16"/>
  <c r="M938" i="16" s="1"/>
  <c r="A938" i="16"/>
  <c r="I937" i="16"/>
  <c r="G937" i="16"/>
  <c r="B937" i="16"/>
  <c r="N937" i="16" s="1"/>
  <c r="A937" i="16"/>
  <c r="M936" i="16"/>
  <c r="K936" i="16"/>
  <c r="H936" i="16"/>
  <c r="G936" i="16"/>
  <c r="E936" i="16"/>
  <c r="C936" i="16"/>
  <c r="B936" i="16"/>
  <c r="L936" i="16" s="1"/>
  <c r="N935" i="16"/>
  <c r="M935" i="16"/>
  <c r="K935" i="16"/>
  <c r="I935" i="16"/>
  <c r="H935" i="16"/>
  <c r="F935" i="16"/>
  <c r="E935" i="16"/>
  <c r="C935" i="16"/>
  <c r="B935" i="16"/>
  <c r="J935" i="16" s="1"/>
  <c r="A935" i="16"/>
  <c r="N934" i="16"/>
  <c r="L934" i="16"/>
  <c r="K934" i="16"/>
  <c r="I934" i="16"/>
  <c r="H934" i="16"/>
  <c r="G934" i="16"/>
  <c r="F934" i="16"/>
  <c r="D934" i="16"/>
  <c r="C934" i="16"/>
  <c r="B934" i="16"/>
  <c r="M934" i="16" s="1"/>
  <c r="A934" i="16"/>
  <c r="I933" i="16"/>
  <c r="G933" i="16"/>
  <c r="B933" i="16"/>
  <c r="N933" i="16" s="1"/>
  <c r="A933" i="16"/>
  <c r="M932" i="16"/>
  <c r="K932" i="16"/>
  <c r="H932" i="16"/>
  <c r="G932" i="16"/>
  <c r="E932" i="16"/>
  <c r="C932" i="16"/>
  <c r="B932" i="16"/>
  <c r="L932" i="16" s="1"/>
  <c r="N931" i="16"/>
  <c r="M931" i="16"/>
  <c r="K931" i="16"/>
  <c r="I931" i="16"/>
  <c r="H931" i="16"/>
  <c r="F931" i="16"/>
  <c r="E931" i="16"/>
  <c r="C931" i="16"/>
  <c r="B931" i="16"/>
  <c r="J931" i="16" s="1"/>
  <c r="A931" i="16"/>
  <c r="N930" i="16"/>
  <c r="L930" i="16"/>
  <c r="K930" i="16"/>
  <c r="I930" i="16"/>
  <c r="H930" i="16"/>
  <c r="G930" i="16"/>
  <c r="F930" i="16"/>
  <c r="D930" i="16"/>
  <c r="C930" i="16"/>
  <c r="B930" i="16"/>
  <c r="M930" i="16" s="1"/>
  <c r="A930" i="16"/>
  <c r="I929" i="16"/>
  <c r="G929" i="16"/>
  <c r="B929" i="16"/>
  <c r="N929" i="16" s="1"/>
  <c r="A929" i="16"/>
  <c r="M928" i="16"/>
  <c r="K928" i="16"/>
  <c r="H928" i="16"/>
  <c r="G928" i="16"/>
  <c r="E928" i="16"/>
  <c r="C928" i="16"/>
  <c r="B928" i="16"/>
  <c r="L928" i="16" s="1"/>
  <c r="N927" i="16"/>
  <c r="M927" i="16"/>
  <c r="K927" i="16"/>
  <c r="I927" i="16"/>
  <c r="H927" i="16"/>
  <c r="F927" i="16"/>
  <c r="E927" i="16"/>
  <c r="C927" i="16"/>
  <c r="B927" i="16"/>
  <c r="J927" i="16" s="1"/>
  <c r="A927" i="16"/>
  <c r="N926" i="16"/>
  <c r="L926" i="16"/>
  <c r="K926" i="16"/>
  <c r="I926" i="16"/>
  <c r="H926" i="16"/>
  <c r="G926" i="16"/>
  <c r="F926" i="16"/>
  <c r="D926" i="16"/>
  <c r="C926" i="16"/>
  <c r="B926" i="16"/>
  <c r="M926" i="16" s="1"/>
  <c r="A926" i="16"/>
  <c r="I925" i="16"/>
  <c r="G925" i="16"/>
  <c r="B925" i="16"/>
  <c r="N925" i="16" s="1"/>
  <c r="A925" i="16"/>
  <c r="M924" i="16"/>
  <c r="K924" i="16"/>
  <c r="H924" i="16"/>
  <c r="G924" i="16"/>
  <c r="E924" i="16"/>
  <c r="C924" i="16"/>
  <c r="B924" i="16"/>
  <c r="L924" i="16" s="1"/>
  <c r="N923" i="16"/>
  <c r="M923" i="16"/>
  <c r="K923" i="16"/>
  <c r="I923" i="16"/>
  <c r="H923" i="16"/>
  <c r="F923" i="16"/>
  <c r="E923" i="16"/>
  <c r="C923" i="16"/>
  <c r="B923" i="16"/>
  <c r="J923" i="16" s="1"/>
  <c r="A923" i="16"/>
  <c r="N922" i="16"/>
  <c r="L922" i="16"/>
  <c r="K922" i="16"/>
  <c r="I922" i="16"/>
  <c r="H922" i="16"/>
  <c r="G922" i="16"/>
  <c r="F922" i="16"/>
  <c r="D922" i="16"/>
  <c r="C922" i="16"/>
  <c r="B922" i="16"/>
  <c r="M922" i="16" s="1"/>
  <c r="A922" i="16"/>
  <c r="I921" i="16"/>
  <c r="G921" i="16"/>
  <c r="B921" i="16"/>
  <c r="N921" i="16" s="1"/>
  <c r="A921" i="16"/>
  <c r="M920" i="16"/>
  <c r="K920" i="16"/>
  <c r="H920" i="16"/>
  <c r="G920" i="16"/>
  <c r="E920" i="16"/>
  <c r="C920" i="16"/>
  <c r="B920" i="16"/>
  <c r="L920" i="16" s="1"/>
  <c r="N919" i="16"/>
  <c r="M919" i="16"/>
  <c r="K919" i="16"/>
  <c r="I919" i="16"/>
  <c r="H919" i="16"/>
  <c r="F919" i="16"/>
  <c r="E919" i="16"/>
  <c r="C919" i="16"/>
  <c r="B919" i="16"/>
  <c r="J919" i="16" s="1"/>
  <c r="A919" i="16"/>
  <c r="N918" i="16"/>
  <c r="L918" i="16"/>
  <c r="K918" i="16"/>
  <c r="I918" i="16"/>
  <c r="H918" i="16"/>
  <c r="G918" i="16"/>
  <c r="F918" i="16"/>
  <c r="D918" i="16"/>
  <c r="C918" i="16"/>
  <c r="B918" i="16"/>
  <c r="M918" i="16" s="1"/>
  <c r="A918" i="16"/>
  <c r="I917" i="16"/>
  <c r="G917" i="16"/>
  <c r="B917" i="16"/>
  <c r="N917" i="16" s="1"/>
  <c r="A917" i="16"/>
  <c r="M916" i="16"/>
  <c r="K916" i="16"/>
  <c r="H916" i="16"/>
  <c r="G916" i="16"/>
  <c r="E916" i="16"/>
  <c r="C916" i="16"/>
  <c r="B916" i="16"/>
  <c r="L916" i="16" s="1"/>
  <c r="N915" i="16"/>
  <c r="M915" i="16"/>
  <c r="K915" i="16"/>
  <c r="I915" i="16"/>
  <c r="H915" i="16"/>
  <c r="F915" i="16"/>
  <c r="E915" i="16"/>
  <c r="C915" i="16"/>
  <c r="B915" i="16"/>
  <c r="J915" i="16" s="1"/>
  <c r="A915" i="16"/>
  <c r="N914" i="16"/>
  <c r="L914" i="16"/>
  <c r="K914" i="16"/>
  <c r="I914" i="16"/>
  <c r="H914" i="16"/>
  <c r="G914" i="16"/>
  <c r="F914" i="16"/>
  <c r="D914" i="16"/>
  <c r="C914" i="16"/>
  <c r="B914" i="16"/>
  <c r="M914" i="16" s="1"/>
  <c r="A914" i="16"/>
  <c r="I913" i="16"/>
  <c r="G913" i="16"/>
  <c r="B913" i="16"/>
  <c r="N913" i="16" s="1"/>
  <c r="A913" i="16"/>
  <c r="M912" i="16"/>
  <c r="K912" i="16"/>
  <c r="H912" i="16"/>
  <c r="G912" i="16"/>
  <c r="E912" i="16"/>
  <c r="C912" i="16"/>
  <c r="B912" i="16"/>
  <c r="L912" i="16" s="1"/>
  <c r="N911" i="16"/>
  <c r="M911" i="16"/>
  <c r="K911" i="16"/>
  <c r="I911" i="16"/>
  <c r="H911" i="16"/>
  <c r="F911" i="16"/>
  <c r="E911" i="16"/>
  <c r="C911" i="16"/>
  <c r="B911" i="16"/>
  <c r="J911" i="16" s="1"/>
  <c r="A911" i="16"/>
  <c r="N910" i="16"/>
  <c r="L910" i="16"/>
  <c r="K910" i="16"/>
  <c r="I910" i="16"/>
  <c r="H910" i="16"/>
  <c r="G910" i="16"/>
  <c r="F910" i="16"/>
  <c r="D910" i="16"/>
  <c r="C910" i="16"/>
  <c r="B910" i="16"/>
  <c r="M910" i="16" s="1"/>
  <c r="A910" i="16"/>
  <c r="I909" i="16"/>
  <c r="G909" i="16"/>
  <c r="B909" i="16"/>
  <c r="N909" i="16" s="1"/>
  <c r="A909" i="16"/>
  <c r="M908" i="16"/>
  <c r="K908" i="16"/>
  <c r="H908" i="16"/>
  <c r="G908" i="16"/>
  <c r="E908" i="16"/>
  <c r="C908" i="16"/>
  <c r="B908" i="16"/>
  <c r="L908" i="16" s="1"/>
  <c r="N907" i="16"/>
  <c r="M907" i="16"/>
  <c r="K907" i="16"/>
  <c r="I907" i="16"/>
  <c r="H907" i="16"/>
  <c r="F907" i="16"/>
  <c r="E907" i="16"/>
  <c r="C907" i="16"/>
  <c r="B907" i="16"/>
  <c r="J907" i="16" s="1"/>
  <c r="A907" i="16"/>
  <c r="N906" i="16"/>
  <c r="L906" i="16"/>
  <c r="K906" i="16"/>
  <c r="I906" i="16"/>
  <c r="H906" i="16"/>
  <c r="G906" i="16"/>
  <c r="F906" i="16"/>
  <c r="D906" i="16"/>
  <c r="C906" i="16"/>
  <c r="B906" i="16"/>
  <c r="M906" i="16" s="1"/>
  <c r="A906" i="16"/>
  <c r="I905" i="16"/>
  <c r="G905" i="16"/>
  <c r="B905" i="16"/>
  <c r="N905" i="16" s="1"/>
  <c r="A905" i="16"/>
  <c r="M904" i="16"/>
  <c r="K904" i="16"/>
  <c r="H904" i="16"/>
  <c r="G904" i="16"/>
  <c r="E904" i="16"/>
  <c r="C904" i="16"/>
  <c r="B904" i="16"/>
  <c r="L904" i="16" s="1"/>
  <c r="N903" i="16"/>
  <c r="M903" i="16"/>
  <c r="K903" i="16"/>
  <c r="I903" i="16"/>
  <c r="H903" i="16"/>
  <c r="F903" i="16"/>
  <c r="E903" i="16"/>
  <c r="C903" i="16"/>
  <c r="B903" i="16"/>
  <c r="J903" i="16" s="1"/>
  <c r="A903" i="16"/>
  <c r="N902" i="16"/>
  <c r="L902" i="16"/>
  <c r="K902" i="16"/>
  <c r="I902" i="16"/>
  <c r="H902" i="16"/>
  <c r="G902" i="16"/>
  <c r="F902" i="16"/>
  <c r="D902" i="16"/>
  <c r="C902" i="16"/>
  <c r="B902" i="16"/>
  <c r="M902" i="16" s="1"/>
  <c r="A902" i="16"/>
  <c r="B901" i="16"/>
  <c r="A901" i="16" s="1"/>
  <c r="M900" i="16"/>
  <c r="K900" i="16"/>
  <c r="H900" i="16"/>
  <c r="G900" i="16"/>
  <c r="E900" i="16"/>
  <c r="C900" i="16"/>
  <c r="B900" i="16"/>
  <c r="L900" i="16" s="1"/>
  <c r="N899" i="16"/>
  <c r="M899" i="16"/>
  <c r="K899" i="16"/>
  <c r="I899" i="16"/>
  <c r="H899" i="16"/>
  <c r="F899" i="16"/>
  <c r="E899" i="16"/>
  <c r="C899" i="16"/>
  <c r="B899" i="16"/>
  <c r="J899" i="16" s="1"/>
  <c r="A899" i="16"/>
  <c r="N898" i="16"/>
  <c r="L898" i="16"/>
  <c r="K898" i="16"/>
  <c r="I898" i="16"/>
  <c r="H898" i="16"/>
  <c r="G898" i="16"/>
  <c r="F898" i="16"/>
  <c r="D898" i="16"/>
  <c r="C898" i="16"/>
  <c r="B898" i="16"/>
  <c r="M898" i="16" s="1"/>
  <c r="A898" i="16"/>
  <c r="J897" i="16"/>
  <c r="I897" i="16"/>
  <c r="G897" i="16"/>
  <c r="B897" i="16"/>
  <c r="A897" i="16"/>
  <c r="M896" i="16"/>
  <c r="K896" i="16"/>
  <c r="H896" i="16"/>
  <c r="G896" i="16"/>
  <c r="E896" i="16"/>
  <c r="C896" i="16"/>
  <c r="B896" i="16"/>
  <c r="L896" i="16" s="1"/>
  <c r="N895" i="16"/>
  <c r="M895" i="16"/>
  <c r="K895" i="16"/>
  <c r="I895" i="16"/>
  <c r="H895" i="16"/>
  <c r="F895" i="16"/>
  <c r="E895" i="16"/>
  <c r="C895" i="16"/>
  <c r="B895" i="16"/>
  <c r="J895" i="16" s="1"/>
  <c r="A895" i="16"/>
  <c r="N894" i="16"/>
  <c r="L894" i="16"/>
  <c r="K894" i="16"/>
  <c r="I894" i="16"/>
  <c r="H894" i="16"/>
  <c r="G894" i="16"/>
  <c r="F894" i="16"/>
  <c r="D894" i="16"/>
  <c r="C894" i="16"/>
  <c r="B894" i="16"/>
  <c r="M894" i="16" s="1"/>
  <c r="A894" i="16"/>
  <c r="B893" i="16"/>
  <c r="M892" i="16"/>
  <c r="K892" i="16"/>
  <c r="H892" i="16"/>
  <c r="G892" i="16"/>
  <c r="E892" i="16"/>
  <c r="C892" i="16"/>
  <c r="B892" i="16"/>
  <c r="L892" i="16" s="1"/>
  <c r="N891" i="16"/>
  <c r="M891" i="16"/>
  <c r="K891" i="16"/>
  <c r="I891" i="16"/>
  <c r="H891" i="16"/>
  <c r="F891" i="16"/>
  <c r="E891" i="16"/>
  <c r="C891" i="16"/>
  <c r="B891" i="16"/>
  <c r="J891" i="16" s="1"/>
  <c r="A891" i="16"/>
  <c r="N890" i="16"/>
  <c r="L890" i="16"/>
  <c r="K890" i="16"/>
  <c r="I890" i="16"/>
  <c r="H890" i="16"/>
  <c r="G890" i="16"/>
  <c r="F890" i="16"/>
  <c r="D890" i="16"/>
  <c r="C890" i="16"/>
  <c r="B890" i="16"/>
  <c r="M890" i="16" s="1"/>
  <c r="A890" i="16"/>
  <c r="J889" i="16"/>
  <c r="I889" i="16"/>
  <c r="G889" i="16"/>
  <c r="B889" i="16"/>
  <c r="A889" i="16"/>
  <c r="M888" i="16"/>
  <c r="K888" i="16"/>
  <c r="H888" i="16"/>
  <c r="G888" i="16"/>
  <c r="E888" i="16"/>
  <c r="C888" i="16"/>
  <c r="B888" i="16"/>
  <c r="L888" i="16" s="1"/>
  <c r="N887" i="16"/>
  <c r="M887" i="16"/>
  <c r="K887" i="16"/>
  <c r="I887" i="16"/>
  <c r="H887" i="16"/>
  <c r="F887" i="16"/>
  <c r="E887" i="16"/>
  <c r="C887" i="16"/>
  <c r="B887" i="16"/>
  <c r="J887" i="16" s="1"/>
  <c r="A887" i="16"/>
  <c r="N886" i="16"/>
  <c r="L886" i="16"/>
  <c r="K886" i="16"/>
  <c r="I886" i="16"/>
  <c r="H886" i="16"/>
  <c r="G886" i="16"/>
  <c r="F886" i="16"/>
  <c r="D886" i="16"/>
  <c r="C886" i="16"/>
  <c r="B886" i="16"/>
  <c r="M886" i="16" s="1"/>
  <c r="A886" i="16"/>
  <c r="B885" i="16"/>
  <c r="M884" i="16"/>
  <c r="K884" i="16"/>
  <c r="H884" i="16"/>
  <c r="G884" i="16"/>
  <c r="E884" i="16"/>
  <c r="C884" i="16"/>
  <c r="B884" i="16"/>
  <c r="L884" i="16" s="1"/>
  <c r="N883" i="16"/>
  <c r="M883" i="16"/>
  <c r="K883" i="16"/>
  <c r="I883" i="16"/>
  <c r="H883" i="16"/>
  <c r="F883" i="16"/>
  <c r="E883" i="16"/>
  <c r="C883" i="16"/>
  <c r="B883" i="16"/>
  <c r="J883" i="16" s="1"/>
  <c r="A883" i="16"/>
  <c r="N882" i="16"/>
  <c r="L882" i="16"/>
  <c r="K882" i="16"/>
  <c r="I882" i="16"/>
  <c r="H882" i="16"/>
  <c r="G882" i="16"/>
  <c r="F882" i="16"/>
  <c r="D882" i="16"/>
  <c r="C882" i="16"/>
  <c r="B882" i="16"/>
  <c r="M882" i="16" s="1"/>
  <c r="A882" i="16"/>
  <c r="J881" i="16"/>
  <c r="G881" i="16"/>
  <c r="B881" i="16"/>
  <c r="A881" i="16" s="1"/>
  <c r="M880" i="16"/>
  <c r="K880" i="16"/>
  <c r="H880" i="16"/>
  <c r="G880" i="16"/>
  <c r="E880" i="16"/>
  <c r="C880" i="16"/>
  <c r="B880" i="16"/>
  <c r="L880" i="16" s="1"/>
  <c r="N879" i="16"/>
  <c r="M879" i="16"/>
  <c r="K879" i="16"/>
  <c r="I879" i="16"/>
  <c r="H879" i="16"/>
  <c r="F879" i="16"/>
  <c r="E879" i="16"/>
  <c r="C879" i="16"/>
  <c r="B879" i="16"/>
  <c r="J879" i="16" s="1"/>
  <c r="A879" i="16"/>
  <c r="N878" i="16"/>
  <c r="L878" i="16"/>
  <c r="K878" i="16"/>
  <c r="I878" i="16"/>
  <c r="H878" i="16"/>
  <c r="G878" i="16"/>
  <c r="F878" i="16"/>
  <c r="D878" i="16"/>
  <c r="C878" i="16"/>
  <c r="B878" i="16"/>
  <c r="M878" i="16" s="1"/>
  <c r="A878" i="16"/>
  <c r="I877" i="16"/>
  <c r="G877" i="16"/>
  <c r="B877" i="16"/>
  <c r="J877" i="16" s="1"/>
  <c r="A877" i="16"/>
  <c r="M876" i="16"/>
  <c r="K876" i="16"/>
  <c r="H876" i="16"/>
  <c r="G876" i="16"/>
  <c r="E876" i="16"/>
  <c r="C876" i="16"/>
  <c r="B876" i="16"/>
  <c r="L876" i="16" s="1"/>
  <c r="N875" i="16"/>
  <c r="M875" i="16"/>
  <c r="K875" i="16"/>
  <c r="I875" i="16"/>
  <c r="H875" i="16"/>
  <c r="F875" i="16"/>
  <c r="E875" i="16"/>
  <c r="C875" i="16"/>
  <c r="B875" i="16"/>
  <c r="J875" i="16" s="1"/>
  <c r="A875" i="16"/>
  <c r="N874" i="16"/>
  <c r="L874" i="16"/>
  <c r="K874" i="16"/>
  <c r="I874" i="16"/>
  <c r="H874" i="16"/>
  <c r="G874" i="16"/>
  <c r="F874" i="16"/>
  <c r="D874" i="16"/>
  <c r="C874" i="16"/>
  <c r="B874" i="16"/>
  <c r="M874" i="16" s="1"/>
  <c r="A874" i="16"/>
  <c r="M873" i="16"/>
  <c r="J873" i="16"/>
  <c r="I873" i="16"/>
  <c r="G873" i="16"/>
  <c r="E873" i="16"/>
  <c r="B873" i="16"/>
  <c r="A873" i="16"/>
  <c r="M872" i="16"/>
  <c r="K872" i="16"/>
  <c r="H872" i="16"/>
  <c r="G872" i="16"/>
  <c r="E872" i="16"/>
  <c r="C872" i="16"/>
  <c r="B872" i="16"/>
  <c r="L872" i="16" s="1"/>
  <c r="N871" i="16"/>
  <c r="M871" i="16"/>
  <c r="K871" i="16"/>
  <c r="I871" i="16"/>
  <c r="H871" i="16"/>
  <c r="F871" i="16"/>
  <c r="E871" i="16"/>
  <c r="C871" i="16"/>
  <c r="B871" i="16"/>
  <c r="J871" i="16" s="1"/>
  <c r="A871" i="16"/>
  <c r="N870" i="16"/>
  <c r="L870" i="16"/>
  <c r="K870" i="16"/>
  <c r="I870" i="16"/>
  <c r="H870" i="16"/>
  <c r="G870" i="16"/>
  <c r="F870" i="16"/>
  <c r="D870" i="16"/>
  <c r="C870" i="16"/>
  <c r="B870" i="16"/>
  <c r="M870" i="16" s="1"/>
  <c r="A870" i="16"/>
  <c r="B869" i="16"/>
  <c r="M868" i="16"/>
  <c r="K868" i="16"/>
  <c r="H868" i="16"/>
  <c r="G868" i="16"/>
  <c r="E868" i="16"/>
  <c r="C868" i="16"/>
  <c r="B868" i="16"/>
  <c r="L868" i="16" s="1"/>
  <c r="N867" i="16"/>
  <c r="M867" i="16"/>
  <c r="K867" i="16"/>
  <c r="I867" i="16"/>
  <c r="H867" i="16"/>
  <c r="F867" i="16"/>
  <c r="E867" i="16"/>
  <c r="C867" i="16"/>
  <c r="B867" i="16"/>
  <c r="J867" i="16" s="1"/>
  <c r="A867" i="16"/>
  <c r="N866" i="16"/>
  <c r="L866" i="16"/>
  <c r="K866" i="16"/>
  <c r="I866" i="16"/>
  <c r="H866" i="16"/>
  <c r="G866" i="16"/>
  <c r="F866" i="16"/>
  <c r="D866" i="16"/>
  <c r="C866" i="16"/>
  <c r="B866" i="16"/>
  <c r="M866" i="16" s="1"/>
  <c r="A866" i="16"/>
  <c r="M865" i="16"/>
  <c r="I865" i="16"/>
  <c r="B865" i="16"/>
  <c r="J865" i="16" s="1"/>
  <c r="A865" i="16"/>
  <c r="M864" i="16"/>
  <c r="K864" i="16"/>
  <c r="H864" i="16"/>
  <c r="G864" i="16"/>
  <c r="E864" i="16"/>
  <c r="C864" i="16"/>
  <c r="B864" i="16"/>
  <c r="L864" i="16" s="1"/>
  <c r="N863" i="16"/>
  <c r="M863" i="16"/>
  <c r="K863" i="16"/>
  <c r="I863" i="16"/>
  <c r="H863" i="16"/>
  <c r="F863" i="16"/>
  <c r="E863" i="16"/>
  <c r="C863" i="16"/>
  <c r="B863" i="16"/>
  <c r="J863" i="16" s="1"/>
  <c r="A863" i="16"/>
  <c r="N862" i="16"/>
  <c r="L862" i="16"/>
  <c r="K862" i="16"/>
  <c r="I862" i="16"/>
  <c r="H862" i="16"/>
  <c r="G862" i="16"/>
  <c r="F862" i="16"/>
  <c r="D862" i="16"/>
  <c r="C862" i="16"/>
  <c r="B862" i="16"/>
  <c r="M862" i="16" s="1"/>
  <c r="A862" i="16"/>
  <c r="B861" i="16"/>
  <c r="M860" i="16"/>
  <c r="K860" i="16"/>
  <c r="H860" i="16"/>
  <c r="G860" i="16"/>
  <c r="E860" i="16"/>
  <c r="C860" i="16"/>
  <c r="B860" i="16"/>
  <c r="L860" i="16" s="1"/>
  <c r="N859" i="16"/>
  <c r="M859" i="16"/>
  <c r="K859" i="16"/>
  <c r="I859" i="16"/>
  <c r="H859" i="16"/>
  <c r="F859" i="16"/>
  <c r="E859" i="16"/>
  <c r="C859" i="16"/>
  <c r="B859" i="16"/>
  <c r="J859" i="16" s="1"/>
  <c r="A859" i="16"/>
  <c r="N858" i="16"/>
  <c r="L858" i="16"/>
  <c r="K858" i="16"/>
  <c r="I858" i="16"/>
  <c r="H858" i="16"/>
  <c r="G858" i="16"/>
  <c r="F858" i="16"/>
  <c r="D858" i="16"/>
  <c r="C858" i="16"/>
  <c r="B858" i="16"/>
  <c r="M858" i="16" s="1"/>
  <c r="A858" i="16"/>
  <c r="M857" i="16"/>
  <c r="I857" i="16"/>
  <c r="E857" i="16"/>
  <c r="B857" i="16"/>
  <c r="A857" i="16" s="1"/>
  <c r="M856" i="16"/>
  <c r="K856" i="16"/>
  <c r="H856" i="16"/>
  <c r="G856" i="16"/>
  <c r="E856" i="16"/>
  <c r="C856" i="16"/>
  <c r="B856" i="16"/>
  <c r="L856" i="16" s="1"/>
  <c r="N855" i="16"/>
  <c r="M855" i="16"/>
  <c r="K855" i="16"/>
  <c r="I855" i="16"/>
  <c r="H855" i="16"/>
  <c r="F855" i="16"/>
  <c r="E855" i="16"/>
  <c r="C855" i="16"/>
  <c r="B855" i="16"/>
  <c r="J855" i="16" s="1"/>
  <c r="A855" i="16"/>
  <c r="N854" i="16"/>
  <c r="L854" i="16"/>
  <c r="K854" i="16"/>
  <c r="I854" i="16"/>
  <c r="H854" i="16"/>
  <c r="G854" i="16"/>
  <c r="F854" i="16"/>
  <c r="D854" i="16"/>
  <c r="C854" i="16"/>
  <c r="B854" i="16"/>
  <c r="M854" i="16" s="1"/>
  <c r="A854" i="16"/>
  <c r="J853" i="16"/>
  <c r="B853" i="16"/>
  <c r="A853" i="16" s="1"/>
  <c r="M852" i="16"/>
  <c r="K852" i="16"/>
  <c r="H852" i="16"/>
  <c r="G852" i="16"/>
  <c r="E852" i="16"/>
  <c r="C852" i="16"/>
  <c r="B852" i="16"/>
  <c r="L852" i="16" s="1"/>
  <c r="N851" i="16"/>
  <c r="M851" i="16"/>
  <c r="K851" i="16"/>
  <c r="I851" i="16"/>
  <c r="H851" i="16"/>
  <c r="F851" i="16"/>
  <c r="E851" i="16"/>
  <c r="C851" i="16"/>
  <c r="B851" i="16"/>
  <c r="J851" i="16" s="1"/>
  <c r="A851" i="16"/>
  <c r="N850" i="16"/>
  <c r="L850" i="16"/>
  <c r="K850" i="16"/>
  <c r="I850" i="16"/>
  <c r="H850" i="16"/>
  <c r="G850" i="16"/>
  <c r="F850" i="16"/>
  <c r="D850" i="16"/>
  <c r="C850" i="16"/>
  <c r="B850" i="16"/>
  <c r="M850" i="16" s="1"/>
  <c r="A850" i="16"/>
  <c r="M849" i="16"/>
  <c r="J849" i="16"/>
  <c r="I849" i="16"/>
  <c r="G849" i="16"/>
  <c r="E849" i="16"/>
  <c r="B849" i="16"/>
  <c r="A849" i="16"/>
  <c r="M848" i="16"/>
  <c r="K848" i="16"/>
  <c r="H848" i="16"/>
  <c r="G848" i="16"/>
  <c r="E848" i="16"/>
  <c r="C848" i="16"/>
  <c r="B848" i="16"/>
  <c r="L848" i="16" s="1"/>
  <c r="N847" i="16"/>
  <c r="M847" i="16"/>
  <c r="K847" i="16"/>
  <c r="I847" i="16"/>
  <c r="H847" i="16"/>
  <c r="F847" i="16"/>
  <c r="E847" i="16"/>
  <c r="C847" i="16"/>
  <c r="B847" i="16"/>
  <c r="J847" i="16" s="1"/>
  <c r="A847" i="16"/>
  <c r="N846" i="16"/>
  <c r="L846" i="16"/>
  <c r="K846" i="16"/>
  <c r="I846" i="16"/>
  <c r="H846" i="16"/>
  <c r="G846" i="16"/>
  <c r="F846" i="16"/>
  <c r="D846" i="16"/>
  <c r="C846" i="16"/>
  <c r="B846" i="16"/>
  <c r="M846" i="16" s="1"/>
  <c r="A846" i="16"/>
  <c r="J845" i="16"/>
  <c r="G845" i="16"/>
  <c r="B845" i="16"/>
  <c r="A845" i="16" s="1"/>
  <c r="M844" i="16"/>
  <c r="K844" i="16"/>
  <c r="H844" i="16"/>
  <c r="G844" i="16"/>
  <c r="E844" i="16"/>
  <c r="C844" i="16"/>
  <c r="B844" i="16"/>
  <c r="L844" i="16" s="1"/>
  <c r="N843" i="16"/>
  <c r="M843" i="16"/>
  <c r="K843" i="16"/>
  <c r="I843" i="16"/>
  <c r="H843" i="16"/>
  <c r="F843" i="16"/>
  <c r="E843" i="16"/>
  <c r="C843" i="16"/>
  <c r="B843" i="16"/>
  <c r="J843" i="16" s="1"/>
  <c r="A843" i="16"/>
  <c r="N842" i="16"/>
  <c r="L842" i="16"/>
  <c r="K842" i="16"/>
  <c r="I842" i="16"/>
  <c r="H842" i="16"/>
  <c r="G842" i="16"/>
  <c r="F842" i="16"/>
  <c r="D842" i="16"/>
  <c r="C842" i="16"/>
  <c r="B842" i="16"/>
  <c r="M842" i="16" s="1"/>
  <c r="A842" i="16"/>
  <c r="M841" i="16"/>
  <c r="J841" i="16"/>
  <c r="I841" i="16"/>
  <c r="G841" i="16"/>
  <c r="E841" i="16"/>
  <c r="B841" i="16"/>
  <c r="A841" i="16"/>
  <c r="M840" i="16"/>
  <c r="K840" i="16"/>
  <c r="H840" i="16"/>
  <c r="G840" i="16"/>
  <c r="E840" i="16"/>
  <c r="C840" i="16"/>
  <c r="B840" i="16"/>
  <c r="L840" i="16" s="1"/>
  <c r="N839" i="16"/>
  <c r="M839" i="16"/>
  <c r="K839" i="16"/>
  <c r="I839" i="16"/>
  <c r="H839" i="16"/>
  <c r="F839" i="16"/>
  <c r="E839" i="16"/>
  <c r="C839" i="16"/>
  <c r="B839" i="16"/>
  <c r="J839" i="16" s="1"/>
  <c r="A839" i="16"/>
  <c r="N838" i="16"/>
  <c r="L838" i="16"/>
  <c r="K838" i="16"/>
  <c r="I838" i="16"/>
  <c r="H838" i="16"/>
  <c r="G838" i="16"/>
  <c r="F838" i="16"/>
  <c r="D838" i="16"/>
  <c r="C838" i="16"/>
  <c r="B838" i="16"/>
  <c r="M838" i="16" s="1"/>
  <c r="A838" i="16"/>
  <c r="B837" i="16"/>
  <c r="M836" i="16"/>
  <c r="K836" i="16"/>
  <c r="H836" i="16"/>
  <c r="G836" i="16"/>
  <c r="E836" i="16"/>
  <c r="C836" i="16"/>
  <c r="B836" i="16"/>
  <c r="L836" i="16" s="1"/>
  <c r="N835" i="16"/>
  <c r="M835" i="16"/>
  <c r="K835" i="16"/>
  <c r="I835" i="16"/>
  <c r="H835" i="16"/>
  <c r="F835" i="16"/>
  <c r="E835" i="16"/>
  <c r="C835" i="16"/>
  <c r="B835" i="16"/>
  <c r="J835" i="16" s="1"/>
  <c r="A835" i="16"/>
  <c r="N834" i="16"/>
  <c r="L834" i="16"/>
  <c r="K834" i="16"/>
  <c r="I834" i="16"/>
  <c r="H834" i="16"/>
  <c r="G834" i="16"/>
  <c r="F834" i="16"/>
  <c r="D834" i="16"/>
  <c r="C834" i="16"/>
  <c r="B834" i="16"/>
  <c r="M834" i="16" s="1"/>
  <c r="A834" i="16"/>
  <c r="M833" i="16"/>
  <c r="I833" i="16"/>
  <c r="E833" i="16"/>
  <c r="B833" i="16"/>
  <c r="J833" i="16" s="1"/>
  <c r="A833" i="16"/>
  <c r="M832" i="16"/>
  <c r="K832" i="16"/>
  <c r="H832" i="16"/>
  <c r="G832" i="16"/>
  <c r="E832" i="16"/>
  <c r="C832" i="16"/>
  <c r="B832" i="16"/>
  <c r="L832" i="16" s="1"/>
  <c r="N831" i="16"/>
  <c r="M831" i="16"/>
  <c r="K831" i="16"/>
  <c r="I831" i="16"/>
  <c r="H831" i="16"/>
  <c r="F831" i="16"/>
  <c r="E831" i="16"/>
  <c r="C831" i="16"/>
  <c r="B831" i="16"/>
  <c r="J831" i="16" s="1"/>
  <c r="A831" i="16"/>
  <c r="N830" i="16"/>
  <c r="L830" i="16"/>
  <c r="K830" i="16"/>
  <c r="I830" i="16"/>
  <c r="H830" i="16"/>
  <c r="G830" i="16"/>
  <c r="F830" i="16"/>
  <c r="D830" i="16"/>
  <c r="C830" i="16"/>
  <c r="B830" i="16"/>
  <c r="M830" i="16" s="1"/>
  <c r="A830" i="16"/>
  <c r="B829" i="16"/>
  <c r="M828" i="16"/>
  <c r="K828" i="16"/>
  <c r="H828" i="16"/>
  <c r="G828" i="16"/>
  <c r="E828" i="16"/>
  <c r="C828" i="16"/>
  <c r="B828" i="16"/>
  <c r="L828" i="16" s="1"/>
  <c r="N827" i="16"/>
  <c r="M827" i="16"/>
  <c r="K827" i="16"/>
  <c r="I827" i="16"/>
  <c r="H827" i="16"/>
  <c r="F827" i="16"/>
  <c r="E827" i="16"/>
  <c r="C827" i="16"/>
  <c r="B827" i="16"/>
  <c r="J827" i="16" s="1"/>
  <c r="A827" i="16"/>
  <c r="N826" i="16"/>
  <c r="L826" i="16"/>
  <c r="K826" i="16"/>
  <c r="I826" i="16"/>
  <c r="H826" i="16"/>
  <c r="G826" i="16"/>
  <c r="F826" i="16"/>
  <c r="D826" i="16"/>
  <c r="C826" i="16"/>
  <c r="B826" i="16"/>
  <c r="M826" i="16" s="1"/>
  <c r="A826" i="16"/>
  <c r="M825" i="16"/>
  <c r="I825" i="16"/>
  <c r="E825" i="16"/>
  <c r="B825" i="16"/>
  <c r="J825" i="16" s="1"/>
  <c r="A825" i="16"/>
  <c r="M824" i="16"/>
  <c r="K824" i="16"/>
  <c r="H824" i="16"/>
  <c r="G824" i="16"/>
  <c r="E824" i="16"/>
  <c r="C824" i="16"/>
  <c r="B824" i="16"/>
  <c r="L824" i="16" s="1"/>
  <c r="N823" i="16"/>
  <c r="M823" i="16"/>
  <c r="K823" i="16"/>
  <c r="I823" i="16"/>
  <c r="H823" i="16"/>
  <c r="F823" i="16"/>
  <c r="E823" i="16"/>
  <c r="C823" i="16"/>
  <c r="B823" i="16"/>
  <c r="J823" i="16" s="1"/>
  <c r="A823" i="16"/>
  <c r="N822" i="16"/>
  <c r="L822" i="16"/>
  <c r="K822" i="16"/>
  <c r="I822" i="16"/>
  <c r="H822" i="16"/>
  <c r="G822" i="16"/>
  <c r="F822" i="16"/>
  <c r="D822" i="16"/>
  <c r="C822" i="16"/>
  <c r="B822" i="16"/>
  <c r="M822" i="16" s="1"/>
  <c r="A822" i="16"/>
  <c r="L821" i="16"/>
  <c r="B821" i="16"/>
  <c r="M820" i="16"/>
  <c r="K820" i="16"/>
  <c r="J820" i="16"/>
  <c r="H820" i="16"/>
  <c r="G820" i="16"/>
  <c r="E820" i="16"/>
  <c r="C820" i="16"/>
  <c r="B820" i="16"/>
  <c r="N819" i="16"/>
  <c r="M819" i="16"/>
  <c r="K819" i="16"/>
  <c r="I819" i="16"/>
  <c r="H819" i="16"/>
  <c r="F819" i="16"/>
  <c r="E819" i="16"/>
  <c r="C819" i="16"/>
  <c r="B819" i="16"/>
  <c r="J819" i="16" s="1"/>
  <c r="A819" i="16"/>
  <c r="N818" i="16"/>
  <c r="L818" i="16"/>
  <c r="K818" i="16"/>
  <c r="I818" i="16"/>
  <c r="H818" i="16"/>
  <c r="G818" i="16"/>
  <c r="F818" i="16"/>
  <c r="D818" i="16"/>
  <c r="C818" i="16"/>
  <c r="B818" i="16"/>
  <c r="M818" i="16" s="1"/>
  <c r="A818" i="16"/>
  <c r="L817" i="16"/>
  <c r="I817" i="16"/>
  <c r="B817" i="16"/>
  <c r="M817" i="16" s="1"/>
  <c r="M816" i="16"/>
  <c r="J816" i="16"/>
  <c r="G816" i="16"/>
  <c r="C816" i="16"/>
  <c r="B816" i="16"/>
  <c r="K816" i="16" s="1"/>
  <c r="N815" i="16"/>
  <c r="M815" i="16"/>
  <c r="K815" i="16"/>
  <c r="I815" i="16"/>
  <c r="H815" i="16"/>
  <c r="F815" i="16"/>
  <c r="E815" i="16"/>
  <c r="C815" i="16"/>
  <c r="B815" i="16"/>
  <c r="J815" i="16" s="1"/>
  <c r="A815" i="16"/>
  <c r="N814" i="16"/>
  <c r="L814" i="16"/>
  <c r="K814" i="16"/>
  <c r="I814" i="16"/>
  <c r="H814" i="16"/>
  <c r="G814" i="16"/>
  <c r="F814" i="16"/>
  <c r="D814" i="16"/>
  <c r="C814" i="16"/>
  <c r="B814" i="16"/>
  <c r="M814" i="16" s="1"/>
  <c r="A814" i="16"/>
  <c r="L813" i="16"/>
  <c r="I813" i="16"/>
  <c r="E813" i="16"/>
  <c r="B813" i="16"/>
  <c r="M813" i="16" s="1"/>
  <c r="M812" i="16"/>
  <c r="K812" i="16"/>
  <c r="J812" i="16"/>
  <c r="G812" i="16"/>
  <c r="C812" i="16"/>
  <c r="B812" i="16"/>
  <c r="H812" i="16" s="1"/>
  <c r="N811" i="16"/>
  <c r="M811" i="16"/>
  <c r="K811" i="16"/>
  <c r="I811" i="16"/>
  <c r="H811" i="16"/>
  <c r="F811" i="16"/>
  <c r="E811" i="16"/>
  <c r="C811" i="16"/>
  <c r="B811" i="16"/>
  <c r="J811" i="16" s="1"/>
  <c r="A811" i="16"/>
  <c r="N810" i="16"/>
  <c r="L810" i="16"/>
  <c r="K810" i="16"/>
  <c r="I810" i="16"/>
  <c r="H810" i="16"/>
  <c r="G810" i="16"/>
  <c r="F810" i="16"/>
  <c r="D810" i="16"/>
  <c r="C810" i="16"/>
  <c r="B810" i="16"/>
  <c r="M810" i="16" s="1"/>
  <c r="A810" i="16"/>
  <c r="B809" i="16"/>
  <c r="M808" i="16"/>
  <c r="K808" i="16"/>
  <c r="J808" i="16"/>
  <c r="H808" i="16"/>
  <c r="G808" i="16"/>
  <c r="C808" i="16"/>
  <c r="B808" i="16"/>
  <c r="E808" i="16" s="1"/>
  <c r="N807" i="16"/>
  <c r="M807" i="16"/>
  <c r="K807" i="16"/>
  <c r="I807" i="16"/>
  <c r="H807" i="16"/>
  <c r="F807" i="16"/>
  <c r="E807" i="16"/>
  <c r="C807" i="16"/>
  <c r="B807" i="16"/>
  <c r="J807" i="16" s="1"/>
  <c r="A807" i="16"/>
  <c r="N806" i="16"/>
  <c r="L806" i="16"/>
  <c r="K806" i="16"/>
  <c r="I806" i="16"/>
  <c r="H806" i="16"/>
  <c r="G806" i="16"/>
  <c r="F806" i="16"/>
  <c r="D806" i="16"/>
  <c r="C806" i="16"/>
  <c r="B806" i="16"/>
  <c r="M806" i="16" s="1"/>
  <c r="A806" i="16"/>
  <c r="B805" i="16"/>
  <c r="M804" i="16"/>
  <c r="K804" i="16"/>
  <c r="J804" i="16"/>
  <c r="H804" i="16"/>
  <c r="G804" i="16"/>
  <c r="E804" i="16"/>
  <c r="C804" i="16"/>
  <c r="B804" i="16"/>
  <c r="D804" i="16" s="1"/>
  <c r="N803" i="16"/>
  <c r="K803" i="16"/>
  <c r="J803" i="16"/>
  <c r="I803" i="16"/>
  <c r="F803" i="16"/>
  <c r="C803" i="16"/>
  <c r="B803" i="16"/>
  <c r="H803" i="16" s="1"/>
  <c r="A803" i="16"/>
  <c r="N802" i="16"/>
  <c r="L802" i="16"/>
  <c r="K802" i="16"/>
  <c r="I802" i="16"/>
  <c r="H802" i="16"/>
  <c r="G802" i="16"/>
  <c r="F802" i="16"/>
  <c r="D802" i="16"/>
  <c r="C802" i="16"/>
  <c r="B802" i="16"/>
  <c r="M802" i="16" s="1"/>
  <c r="A802" i="16"/>
  <c r="N801" i="16"/>
  <c r="L801" i="16"/>
  <c r="J801" i="16"/>
  <c r="I801" i="16"/>
  <c r="G801" i="16"/>
  <c r="F801" i="16"/>
  <c r="D801" i="16"/>
  <c r="B801" i="16"/>
  <c r="E801" i="16" s="1"/>
  <c r="A801" i="16"/>
  <c r="J800" i="16"/>
  <c r="G800" i="16"/>
  <c r="B800" i="16"/>
  <c r="K800" i="16" s="1"/>
  <c r="M799" i="16"/>
  <c r="B799" i="16"/>
  <c r="N798" i="16"/>
  <c r="L798" i="16"/>
  <c r="K798" i="16"/>
  <c r="I798" i="16"/>
  <c r="H798" i="16"/>
  <c r="G798" i="16"/>
  <c r="F798" i="16"/>
  <c r="D798" i="16"/>
  <c r="C798" i="16"/>
  <c r="B798" i="16"/>
  <c r="M798" i="16" s="1"/>
  <c r="A798" i="16"/>
  <c r="J797" i="16"/>
  <c r="G797" i="16"/>
  <c r="B797" i="16"/>
  <c r="L797" i="16" s="1"/>
  <c r="M796" i="16"/>
  <c r="K796" i="16"/>
  <c r="J796" i="16"/>
  <c r="H796" i="16"/>
  <c r="G796" i="16"/>
  <c r="E796" i="16"/>
  <c r="D796" i="16"/>
  <c r="C796" i="16"/>
  <c r="B796" i="16"/>
  <c r="N795" i="16"/>
  <c r="K795" i="16"/>
  <c r="I795" i="16"/>
  <c r="H795" i="16"/>
  <c r="F795" i="16"/>
  <c r="C795" i="16"/>
  <c r="B795" i="16"/>
  <c r="J795" i="16" s="1"/>
  <c r="A795" i="16"/>
  <c r="N794" i="16"/>
  <c r="L794" i="16"/>
  <c r="K794" i="16"/>
  <c r="I794" i="16"/>
  <c r="H794" i="16"/>
  <c r="G794" i="16"/>
  <c r="F794" i="16"/>
  <c r="D794" i="16"/>
  <c r="C794" i="16"/>
  <c r="B794" i="16"/>
  <c r="M794" i="16" s="1"/>
  <c r="A794" i="16"/>
  <c r="N793" i="16"/>
  <c r="L793" i="16"/>
  <c r="J793" i="16"/>
  <c r="I793" i="16"/>
  <c r="G793" i="16"/>
  <c r="F793" i="16"/>
  <c r="E793" i="16"/>
  <c r="D793" i="16"/>
  <c r="B793" i="16"/>
  <c r="A793" i="16"/>
  <c r="J792" i="16"/>
  <c r="G792" i="16"/>
  <c r="D792" i="16"/>
  <c r="B792" i="16"/>
  <c r="K792" i="16" s="1"/>
  <c r="J791" i="16"/>
  <c r="H791" i="16"/>
  <c r="B791" i="16"/>
  <c r="K791" i="16" s="1"/>
  <c r="N790" i="16"/>
  <c r="L790" i="16"/>
  <c r="K790" i="16"/>
  <c r="I790" i="16"/>
  <c r="H790" i="16"/>
  <c r="G790" i="16"/>
  <c r="F790" i="16"/>
  <c r="D790" i="16"/>
  <c r="C790" i="16"/>
  <c r="B790" i="16"/>
  <c r="M790" i="16" s="1"/>
  <c r="A790" i="16"/>
  <c r="J789" i="16"/>
  <c r="G789" i="16"/>
  <c r="E789" i="16"/>
  <c r="B789" i="16"/>
  <c r="L789" i="16" s="1"/>
  <c r="M788" i="16"/>
  <c r="K788" i="16"/>
  <c r="H788" i="16"/>
  <c r="E788" i="16"/>
  <c r="C788" i="16"/>
  <c r="B788" i="16"/>
  <c r="J788" i="16" s="1"/>
  <c r="N787" i="16"/>
  <c r="K787" i="16"/>
  <c r="J787" i="16"/>
  <c r="I787" i="16"/>
  <c r="H787" i="16"/>
  <c r="F787" i="16"/>
  <c r="E787" i="16"/>
  <c r="C787" i="16"/>
  <c r="B787" i="16"/>
  <c r="A787" i="16"/>
  <c r="N786" i="16"/>
  <c r="L786" i="16"/>
  <c r="K786" i="16"/>
  <c r="I786" i="16"/>
  <c r="H786" i="16"/>
  <c r="G786" i="16"/>
  <c r="F786" i="16"/>
  <c r="D786" i="16"/>
  <c r="C786" i="16"/>
  <c r="B786" i="16"/>
  <c r="M786" i="16" s="1"/>
  <c r="A786" i="16"/>
  <c r="N785" i="16"/>
  <c r="L785" i="16"/>
  <c r="I785" i="16"/>
  <c r="F785" i="16"/>
  <c r="D785" i="16"/>
  <c r="B785" i="16"/>
  <c r="J785" i="16" s="1"/>
  <c r="A785" i="16"/>
  <c r="L784" i="16"/>
  <c r="D784" i="16"/>
  <c r="B784" i="16"/>
  <c r="J783" i="16"/>
  <c r="H783" i="16"/>
  <c r="E783" i="16"/>
  <c r="B783" i="16"/>
  <c r="K783" i="16" s="1"/>
  <c r="N782" i="16"/>
  <c r="L782" i="16"/>
  <c r="K782" i="16"/>
  <c r="I782" i="16"/>
  <c r="H782" i="16"/>
  <c r="G782" i="16"/>
  <c r="F782" i="16"/>
  <c r="D782" i="16"/>
  <c r="C782" i="16"/>
  <c r="B782" i="16"/>
  <c r="M782" i="16" s="1"/>
  <c r="A782" i="16"/>
  <c r="M781" i="16"/>
  <c r="E781" i="16"/>
  <c r="B781" i="16"/>
  <c r="M780" i="16"/>
  <c r="K780" i="16"/>
  <c r="J780" i="16"/>
  <c r="H780" i="16"/>
  <c r="E780" i="16"/>
  <c r="C780" i="16"/>
  <c r="B780" i="16"/>
  <c r="G780" i="16" s="1"/>
  <c r="N779" i="16"/>
  <c r="K779" i="16"/>
  <c r="I779" i="16"/>
  <c r="F779" i="16"/>
  <c r="C779" i="16"/>
  <c r="B779" i="16"/>
  <c r="J779" i="16" s="1"/>
  <c r="A779" i="16"/>
  <c r="N778" i="16"/>
  <c r="L778" i="16"/>
  <c r="K778" i="16"/>
  <c r="I778" i="16"/>
  <c r="H778" i="16"/>
  <c r="G778" i="16"/>
  <c r="F778" i="16"/>
  <c r="D778" i="16"/>
  <c r="C778" i="16"/>
  <c r="B778" i="16"/>
  <c r="M778" i="16" s="1"/>
  <c r="A778" i="16"/>
  <c r="N777" i="16"/>
  <c r="L777" i="16"/>
  <c r="J777" i="16"/>
  <c r="I777" i="16"/>
  <c r="F777" i="16"/>
  <c r="D777" i="16"/>
  <c r="B777" i="16"/>
  <c r="G777" i="16" s="1"/>
  <c r="A777" i="16"/>
  <c r="J776" i="16"/>
  <c r="B776" i="16"/>
  <c r="M775" i="16"/>
  <c r="B775" i="16"/>
  <c r="N774" i="16"/>
  <c r="L774" i="16"/>
  <c r="K774" i="16"/>
  <c r="I774" i="16"/>
  <c r="H774" i="16"/>
  <c r="G774" i="16"/>
  <c r="F774" i="16"/>
  <c r="D774" i="16"/>
  <c r="C774" i="16"/>
  <c r="B774" i="16"/>
  <c r="M774" i="16" s="1"/>
  <c r="A774" i="16"/>
  <c r="B773" i="16"/>
  <c r="M772" i="16"/>
  <c r="K772" i="16"/>
  <c r="J772" i="16"/>
  <c r="H772" i="16"/>
  <c r="G772" i="16"/>
  <c r="E772" i="16"/>
  <c r="C772" i="16"/>
  <c r="B772" i="16"/>
  <c r="D772" i="16" s="1"/>
  <c r="N771" i="16"/>
  <c r="K771" i="16"/>
  <c r="J771" i="16"/>
  <c r="I771" i="16"/>
  <c r="F771" i="16"/>
  <c r="C771" i="16"/>
  <c r="B771" i="16"/>
  <c r="H771" i="16" s="1"/>
  <c r="A771" i="16"/>
  <c r="N770" i="16"/>
  <c r="L770" i="16"/>
  <c r="K770" i="16"/>
  <c r="I770" i="16"/>
  <c r="H770" i="16"/>
  <c r="G770" i="16"/>
  <c r="F770" i="16"/>
  <c r="D770" i="16"/>
  <c r="C770" i="16"/>
  <c r="B770" i="16"/>
  <c r="M770" i="16" s="1"/>
  <c r="A770" i="16"/>
  <c r="N769" i="16"/>
  <c r="L769" i="16"/>
  <c r="J769" i="16"/>
  <c r="I769" i="16"/>
  <c r="G769" i="16"/>
  <c r="F769" i="16"/>
  <c r="D769" i="16"/>
  <c r="B769" i="16"/>
  <c r="E769" i="16" s="1"/>
  <c r="A769" i="16"/>
  <c r="J768" i="16"/>
  <c r="G768" i="16"/>
  <c r="B768" i="16"/>
  <c r="K768" i="16" s="1"/>
  <c r="M767" i="16"/>
  <c r="B767" i="16"/>
  <c r="N766" i="16"/>
  <c r="L766" i="16"/>
  <c r="K766" i="16"/>
  <c r="I766" i="16"/>
  <c r="H766" i="16"/>
  <c r="G766" i="16"/>
  <c r="F766" i="16"/>
  <c r="D766" i="16"/>
  <c r="C766" i="16"/>
  <c r="B766" i="16"/>
  <c r="M766" i="16" s="1"/>
  <c r="A766" i="16"/>
  <c r="J765" i="16"/>
  <c r="G765" i="16"/>
  <c r="B765" i="16"/>
  <c r="L765" i="16" s="1"/>
  <c r="M764" i="16"/>
  <c r="K764" i="16"/>
  <c r="J764" i="16"/>
  <c r="H764" i="16"/>
  <c r="G764" i="16"/>
  <c r="E764" i="16"/>
  <c r="D764" i="16"/>
  <c r="C764" i="16"/>
  <c r="B764" i="16"/>
  <c r="N763" i="16"/>
  <c r="K763" i="16"/>
  <c r="I763" i="16"/>
  <c r="H763" i="16"/>
  <c r="F763" i="16"/>
  <c r="C763" i="16"/>
  <c r="B763" i="16"/>
  <c r="J763" i="16" s="1"/>
  <c r="A763" i="16"/>
  <c r="N762" i="16"/>
  <c r="L762" i="16"/>
  <c r="K762" i="16"/>
  <c r="I762" i="16"/>
  <c r="H762" i="16"/>
  <c r="G762" i="16"/>
  <c r="F762" i="16"/>
  <c r="D762" i="16"/>
  <c r="C762" i="16"/>
  <c r="B762" i="16"/>
  <c r="M762" i="16" s="1"/>
  <c r="A762" i="16"/>
  <c r="N761" i="16"/>
  <c r="L761" i="16"/>
  <c r="J761" i="16"/>
  <c r="I761" i="16"/>
  <c r="G761" i="16"/>
  <c r="F761" i="16"/>
  <c r="E761" i="16"/>
  <c r="D761" i="16"/>
  <c r="B761" i="16"/>
  <c r="A761" i="16"/>
  <c r="J760" i="16"/>
  <c r="G760" i="16"/>
  <c r="D760" i="16"/>
  <c r="B760" i="16"/>
  <c r="K760" i="16" s="1"/>
  <c r="J759" i="16"/>
  <c r="H759" i="16"/>
  <c r="B759" i="16"/>
  <c r="K759" i="16" s="1"/>
  <c r="N758" i="16"/>
  <c r="L758" i="16"/>
  <c r="K758" i="16"/>
  <c r="I758" i="16"/>
  <c r="H758" i="16"/>
  <c r="G758" i="16"/>
  <c r="F758" i="16"/>
  <c r="D758" i="16"/>
  <c r="C758" i="16"/>
  <c r="B758" i="16"/>
  <c r="M758" i="16" s="1"/>
  <c r="A758" i="16"/>
  <c r="J757" i="16"/>
  <c r="G757" i="16"/>
  <c r="E757" i="16"/>
  <c r="B757" i="16"/>
  <c r="L757" i="16" s="1"/>
  <c r="M756" i="16"/>
  <c r="K756" i="16"/>
  <c r="H756" i="16"/>
  <c r="E756" i="16"/>
  <c r="C756" i="16"/>
  <c r="B756" i="16"/>
  <c r="J756" i="16" s="1"/>
  <c r="N755" i="16"/>
  <c r="K755" i="16"/>
  <c r="I755" i="16"/>
  <c r="G755" i="16"/>
  <c r="F755" i="16"/>
  <c r="E755" i="16"/>
  <c r="C755" i="16"/>
  <c r="B755" i="16"/>
  <c r="L755" i="16" s="1"/>
  <c r="A755" i="16"/>
  <c r="N754" i="16"/>
  <c r="M754" i="16"/>
  <c r="L754" i="16"/>
  <c r="K754" i="16"/>
  <c r="I754" i="16"/>
  <c r="H754" i="16"/>
  <c r="G754" i="16"/>
  <c r="F754" i="16"/>
  <c r="E754" i="16"/>
  <c r="D754" i="16"/>
  <c r="C754" i="16"/>
  <c r="B754" i="16"/>
  <c r="J754" i="16" s="1"/>
  <c r="A754" i="16"/>
  <c r="M753" i="16"/>
  <c r="K753" i="16"/>
  <c r="I753" i="16"/>
  <c r="G753" i="16"/>
  <c r="E753" i="16"/>
  <c r="C753" i="16"/>
  <c r="B753" i="16"/>
  <c r="N753" i="16" s="1"/>
  <c r="A753" i="16"/>
  <c r="M752" i="16"/>
  <c r="K752" i="16"/>
  <c r="I752" i="16"/>
  <c r="H752" i="16"/>
  <c r="G752" i="16"/>
  <c r="E752" i="16"/>
  <c r="C752" i="16"/>
  <c r="B752" i="16"/>
  <c r="L752" i="16" s="1"/>
  <c r="A752" i="16"/>
  <c r="N751" i="16"/>
  <c r="M751" i="16"/>
  <c r="K751" i="16"/>
  <c r="I751" i="16"/>
  <c r="G751" i="16"/>
  <c r="F751" i="16"/>
  <c r="E751" i="16"/>
  <c r="C751" i="16"/>
  <c r="B751" i="16"/>
  <c r="J751" i="16" s="1"/>
  <c r="A751" i="16"/>
  <c r="N750" i="16"/>
  <c r="M750" i="16"/>
  <c r="L750" i="16"/>
  <c r="K750" i="16"/>
  <c r="I750" i="16"/>
  <c r="H750" i="16"/>
  <c r="G750" i="16"/>
  <c r="F750" i="16"/>
  <c r="E750" i="16"/>
  <c r="D750" i="16"/>
  <c r="C750" i="16"/>
  <c r="B750" i="16"/>
  <c r="J750" i="16" s="1"/>
  <c r="A750" i="16"/>
  <c r="M749" i="16"/>
  <c r="K749" i="16"/>
  <c r="I749" i="16"/>
  <c r="G749" i="16"/>
  <c r="E749" i="16"/>
  <c r="C749" i="16"/>
  <c r="B749" i="16"/>
  <c r="N749" i="16" s="1"/>
  <c r="A749" i="16"/>
  <c r="M748" i="16"/>
  <c r="K748" i="16"/>
  <c r="I748" i="16"/>
  <c r="H748" i="16"/>
  <c r="G748" i="16"/>
  <c r="E748" i="16"/>
  <c r="C748" i="16"/>
  <c r="B748" i="16"/>
  <c r="L748" i="16" s="1"/>
  <c r="A748" i="16"/>
  <c r="N747" i="16"/>
  <c r="M747" i="16"/>
  <c r="K747" i="16"/>
  <c r="I747" i="16"/>
  <c r="G747" i="16"/>
  <c r="F747" i="16"/>
  <c r="E747" i="16"/>
  <c r="C747" i="16"/>
  <c r="B747" i="16"/>
  <c r="J747" i="16" s="1"/>
  <c r="A747" i="16"/>
  <c r="N746" i="16"/>
  <c r="M746" i="16"/>
  <c r="L746" i="16"/>
  <c r="K746" i="16"/>
  <c r="I746" i="16"/>
  <c r="H746" i="16"/>
  <c r="G746" i="16"/>
  <c r="F746" i="16"/>
  <c r="E746" i="16"/>
  <c r="D746" i="16"/>
  <c r="C746" i="16"/>
  <c r="B746" i="16"/>
  <c r="J746" i="16" s="1"/>
  <c r="A746" i="16"/>
  <c r="M745" i="16"/>
  <c r="K745" i="16"/>
  <c r="I745" i="16"/>
  <c r="G745" i="16"/>
  <c r="E745" i="16"/>
  <c r="C745" i="16"/>
  <c r="B745" i="16"/>
  <c r="N745" i="16" s="1"/>
  <c r="A745" i="16"/>
  <c r="M744" i="16"/>
  <c r="K744" i="16"/>
  <c r="I744" i="16"/>
  <c r="H744" i="16"/>
  <c r="G744" i="16"/>
  <c r="E744" i="16"/>
  <c r="C744" i="16"/>
  <c r="B744" i="16"/>
  <c r="L744" i="16" s="1"/>
  <c r="A744" i="16"/>
  <c r="N743" i="16"/>
  <c r="M743" i="16"/>
  <c r="K743" i="16"/>
  <c r="I743" i="16"/>
  <c r="G743" i="16"/>
  <c r="F743" i="16"/>
  <c r="E743" i="16"/>
  <c r="C743" i="16"/>
  <c r="B743" i="16"/>
  <c r="J743" i="16" s="1"/>
  <c r="A743" i="16"/>
  <c r="N742" i="16"/>
  <c r="M742" i="16"/>
  <c r="L742" i="16"/>
  <c r="K742" i="16"/>
  <c r="I742" i="16"/>
  <c r="H742" i="16"/>
  <c r="G742" i="16"/>
  <c r="F742" i="16"/>
  <c r="E742" i="16"/>
  <c r="D742" i="16"/>
  <c r="C742" i="16"/>
  <c r="B742" i="16"/>
  <c r="J742" i="16" s="1"/>
  <c r="A742" i="16"/>
  <c r="M741" i="16"/>
  <c r="K741" i="16"/>
  <c r="I741" i="16"/>
  <c r="G741" i="16"/>
  <c r="E741" i="16"/>
  <c r="C741" i="16"/>
  <c r="B741" i="16"/>
  <c r="N741" i="16" s="1"/>
  <c r="A741" i="16"/>
  <c r="M740" i="16"/>
  <c r="K740" i="16"/>
  <c r="I740" i="16"/>
  <c r="H740" i="16"/>
  <c r="G740" i="16"/>
  <c r="E740" i="16"/>
  <c r="C740" i="16"/>
  <c r="B740" i="16"/>
  <c r="L740" i="16" s="1"/>
  <c r="A740" i="16"/>
  <c r="N739" i="16"/>
  <c r="M739" i="16"/>
  <c r="K739" i="16"/>
  <c r="I739" i="16"/>
  <c r="H739" i="16"/>
  <c r="G739" i="16"/>
  <c r="F739" i="16"/>
  <c r="E739" i="16"/>
  <c r="C739" i="16"/>
  <c r="B739" i="16"/>
  <c r="J739" i="16" s="1"/>
  <c r="A739" i="16"/>
  <c r="N738" i="16"/>
  <c r="M738" i="16"/>
  <c r="L738" i="16"/>
  <c r="K738" i="16"/>
  <c r="I738" i="16"/>
  <c r="H738" i="16"/>
  <c r="G738" i="16"/>
  <c r="F738" i="16"/>
  <c r="E738" i="16"/>
  <c r="D738" i="16"/>
  <c r="C738" i="16"/>
  <c r="B738" i="16"/>
  <c r="J738" i="16" s="1"/>
  <c r="A738" i="16"/>
  <c r="M737" i="16"/>
  <c r="K737" i="16"/>
  <c r="I737" i="16"/>
  <c r="G737" i="16"/>
  <c r="E737" i="16"/>
  <c r="C737" i="16"/>
  <c r="B737" i="16"/>
  <c r="N737" i="16" s="1"/>
  <c r="A737" i="16"/>
  <c r="M736" i="16"/>
  <c r="K736" i="16"/>
  <c r="I736" i="16"/>
  <c r="H736" i="16"/>
  <c r="G736" i="16"/>
  <c r="E736" i="16"/>
  <c r="C736" i="16"/>
  <c r="B736" i="16"/>
  <c r="L736" i="16" s="1"/>
  <c r="A736" i="16"/>
  <c r="N735" i="16"/>
  <c r="M735" i="16"/>
  <c r="K735" i="16"/>
  <c r="I735" i="16"/>
  <c r="H735" i="16"/>
  <c r="G735" i="16"/>
  <c r="F735" i="16"/>
  <c r="E735" i="16"/>
  <c r="C735" i="16"/>
  <c r="B735" i="16"/>
  <c r="J735" i="16" s="1"/>
  <c r="A735" i="16"/>
  <c r="N734" i="16"/>
  <c r="M734" i="16"/>
  <c r="L734" i="16"/>
  <c r="K734" i="16"/>
  <c r="I734" i="16"/>
  <c r="H734" i="16"/>
  <c r="G734" i="16"/>
  <c r="F734" i="16"/>
  <c r="E734" i="16"/>
  <c r="D734" i="16"/>
  <c r="C734" i="16"/>
  <c r="B734" i="16"/>
  <c r="J734" i="16" s="1"/>
  <c r="A734" i="16"/>
  <c r="M733" i="16"/>
  <c r="K733" i="16"/>
  <c r="I733" i="16"/>
  <c r="G733" i="16"/>
  <c r="E733" i="16"/>
  <c r="C733" i="16"/>
  <c r="B733" i="16"/>
  <c r="N733" i="16" s="1"/>
  <c r="A733" i="16"/>
  <c r="M732" i="16"/>
  <c r="K732" i="16"/>
  <c r="I732" i="16"/>
  <c r="H732" i="16"/>
  <c r="G732" i="16"/>
  <c r="E732" i="16"/>
  <c r="C732" i="16"/>
  <c r="B732" i="16"/>
  <c r="L732" i="16" s="1"/>
  <c r="A732" i="16"/>
  <c r="N731" i="16"/>
  <c r="M731" i="16"/>
  <c r="K731" i="16"/>
  <c r="I731" i="16"/>
  <c r="H731" i="16"/>
  <c r="G731" i="16"/>
  <c r="F731" i="16"/>
  <c r="E731" i="16"/>
  <c r="C731" i="16"/>
  <c r="B731" i="16"/>
  <c r="J731" i="16" s="1"/>
  <c r="A731" i="16"/>
  <c r="N730" i="16"/>
  <c r="M730" i="16"/>
  <c r="L730" i="16"/>
  <c r="K730" i="16"/>
  <c r="I730" i="16"/>
  <c r="H730" i="16"/>
  <c r="G730" i="16"/>
  <c r="F730" i="16"/>
  <c r="E730" i="16"/>
  <c r="D730" i="16"/>
  <c r="C730" i="16"/>
  <c r="B730" i="16"/>
  <c r="J730" i="16" s="1"/>
  <c r="A730" i="16"/>
  <c r="M729" i="16"/>
  <c r="K729" i="16"/>
  <c r="I729" i="16"/>
  <c r="G729" i="16"/>
  <c r="E729" i="16"/>
  <c r="C729" i="16"/>
  <c r="B729" i="16"/>
  <c r="N729" i="16" s="1"/>
  <c r="A729" i="16"/>
  <c r="M728" i="16"/>
  <c r="K728" i="16"/>
  <c r="I728" i="16"/>
  <c r="H728" i="16"/>
  <c r="G728" i="16"/>
  <c r="E728" i="16"/>
  <c r="C728" i="16"/>
  <c r="B728" i="16"/>
  <c r="L728" i="16" s="1"/>
  <c r="A728" i="16"/>
  <c r="N727" i="16"/>
  <c r="M727" i="16"/>
  <c r="K727" i="16"/>
  <c r="I727" i="16"/>
  <c r="H727" i="16"/>
  <c r="G727" i="16"/>
  <c r="F727" i="16"/>
  <c r="E727" i="16"/>
  <c r="C727" i="16"/>
  <c r="B727" i="16"/>
  <c r="J727" i="16" s="1"/>
  <c r="A727" i="16"/>
  <c r="N726" i="16"/>
  <c r="M726" i="16"/>
  <c r="L726" i="16"/>
  <c r="K726" i="16"/>
  <c r="I726" i="16"/>
  <c r="H726" i="16"/>
  <c r="G726" i="16"/>
  <c r="F726" i="16"/>
  <c r="E726" i="16"/>
  <c r="D726" i="16"/>
  <c r="C726" i="16"/>
  <c r="B726" i="16"/>
  <c r="J726" i="16" s="1"/>
  <c r="A726" i="16"/>
  <c r="M725" i="16"/>
  <c r="K725" i="16"/>
  <c r="I725" i="16"/>
  <c r="G725" i="16"/>
  <c r="E725" i="16"/>
  <c r="C725" i="16"/>
  <c r="B725" i="16"/>
  <c r="N725" i="16" s="1"/>
  <c r="A725" i="16"/>
  <c r="M724" i="16"/>
  <c r="K724" i="16"/>
  <c r="I724" i="16"/>
  <c r="H724" i="16"/>
  <c r="G724" i="16"/>
  <c r="E724" i="16"/>
  <c r="C724" i="16"/>
  <c r="B724" i="16"/>
  <c r="L724" i="16" s="1"/>
  <c r="A724" i="16"/>
  <c r="N723" i="16"/>
  <c r="M723" i="16"/>
  <c r="K723" i="16"/>
  <c r="I723" i="16"/>
  <c r="H723" i="16"/>
  <c r="G723" i="16"/>
  <c r="F723" i="16"/>
  <c r="E723" i="16"/>
  <c r="C723" i="16"/>
  <c r="B723" i="16"/>
  <c r="J723" i="16" s="1"/>
  <c r="A723" i="16"/>
  <c r="N722" i="16"/>
  <c r="M722" i="16"/>
  <c r="L722" i="16"/>
  <c r="K722" i="16"/>
  <c r="I722" i="16"/>
  <c r="H722" i="16"/>
  <c r="G722" i="16"/>
  <c r="F722" i="16"/>
  <c r="E722" i="16"/>
  <c r="D722" i="16"/>
  <c r="C722" i="16"/>
  <c r="B722" i="16"/>
  <c r="J722" i="16" s="1"/>
  <c r="A722" i="16"/>
  <c r="M721" i="16"/>
  <c r="K721" i="16"/>
  <c r="I721" i="16"/>
  <c r="G721" i="16"/>
  <c r="E721" i="16"/>
  <c r="C721" i="16"/>
  <c r="B721" i="16"/>
  <c r="N721" i="16" s="1"/>
  <c r="A721" i="16"/>
  <c r="M720" i="16"/>
  <c r="K720" i="16"/>
  <c r="I720" i="16"/>
  <c r="H720" i="16"/>
  <c r="G720" i="16"/>
  <c r="E720" i="16"/>
  <c r="C720" i="16"/>
  <c r="B720" i="16"/>
  <c r="L720" i="16" s="1"/>
  <c r="A720" i="16"/>
  <c r="N719" i="16"/>
  <c r="M719" i="16"/>
  <c r="K719" i="16"/>
  <c r="I719" i="16"/>
  <c r="H719" i="16"/>
  <c r="G719" i="16"/>
  <c r="F719" i="16"/>
  <c r="E719" i="16"/>
  <c r="C719" i="16"/>
  <c r="B719" i="16"/>
  <c r="J719" i="16" s="1"/>
  <c r="A719" i="16"/>
  <c r="N718" i="16"/>
  <c r="M718" i="16"/>
  <c r="L718" i="16"/>
  <c r="K718" i="16"/>
  <c r="I718" i="16"/>
  <c r="H718" i="16"/>
  <c r="G718" i="16"/>
  <c r="F718" i="16"/>
  <c r="E718" i="16"/>
  <c r="D718" i="16"/>
  <c r="C718" i="16"/>
  <c r="B718" i="16"/>
  <c r="J718" i="16" s="1"/>
  <c r="A718" i="16"/>
  <c r="M717" i="16"/>
  <c r="K717" i="16"/>
  <c r="I717" i="16"/>
  <c r="G717" i="16"/>
  <c r="E717" i="16"/>
  <c r="C717" i="16"/>
  <c r="B717" i="16"/>
  <c r="N717" i="16" s="1"/>
  <c r="A717" i="16"/>
  <c r="M716" i="16"/>
  <c r="K716" i="16"/>
  <c r="I716" i="16"/>
  <c r="H716" i="16"/>
  <c r="G716" i="16"/>
  <c r="E716" i="16"/>
  <c r="C716" i="16"/>
  <c r="B716" i="16"/>
  <c r="L716" i="16" s="1"/>
  <c r="A716" i="16"/>
  <c r="N715" i="16"/>
  <c r="M715" i="16"/>
  <c r="K715" i="16"/>
  <c r="I715" i="16"/>
  <c r="H715" i="16"/>
  <c r="G715" i="16"/>
  <c r="F715" i="16"/>
  <c r="E715" i="16"/>
  <c r="C715" i="16"/>
  <c r="B715" i="16"/>
  <c r="J715" i="16" s="1"/>
  <c r="A715" i="16"/>
  <c r="N714" i="16"/>
  <c r="M714" i="16"/>
  <c r="L714" i="16"/>
  <c r="K714" i="16"/>
  <c r="I714" i="16"/>
  <c r="H714" i="16"/>
  <c r="G714" i="16"/>
  <c r="F714" i="16"/>
  <c r="E714" i="16"/>
  <c r="D714" i="16"/>
  <c r="C714" i="16"/>
  <c r="B714" i="16"/>
  <c r="J714" i="16" s="1"/>
  <c r="A714" i="16"/>
  <c r="M713" i="16"/>
  <c r="K713" i="16"/>
  <c r="I713" i="16"/>
  <c r="G713" i="16"/>
  <c r="E713" i="16"/>
  <c r="C713" i="16"/>
  <c r="B713" i="16"/>
  <c r="N713" i="16" s="1"/>
  <c r="A713" i="16"/>
  <c r="M712" i="16"/>
  <c r="K712" i="16"/>
  <c r="I712" i="16"/>
  <c r="H712" i="16"/>
  <c r="G712" i="16"/>
  <c r="E712" i="16"/>
  <c r="C712" i="16"/>
  <c r="B712" i="16"/>
  <c r="L712" i="16" s="1"/>
  <c r="A712" i="16"/>
  <c r="N711" i="16"/>
  <c r="M711" i="16"/>
  <c r="K711" i="16"/>
  <c r="I711" i="16"/>
  <c r="H711" i="16"/>
  <c r="G711" i="16"/>
  <c r="F711" i="16"/>
  <c r="E711" i="16"/>
  <c r="C711" i="16"/>
  <c r="B711" i="16"/>
  <c r="J711" i="16" s="1"/>
  <c r="A711" i="16"/>
  <c r="N710" i="16"/>
  <c r="M710" i="16"/>
  <c r="L710" i="16"/>
  <c r="K710" i="16"/>
  <c r="I710" i="16"/>
  <c r="H710" i="16"/>
  <c r="G710" i="16"/>
  <c r="F710" i="16"/>
  <c r="E710" i="16"/>
  <c r="D710" i="16"/>
  <c r="C710" i="16"/>
  <c r="B710" i="16"/>
  <c r="J710" i="16" s="1"/>
  <c r="A710" i="16"/>
  <c r="M709" i="16"/>
  <c r="K709" i="16"/>
  <c r="I709" i="16"/>
  <c r="G709" i="16"/>
  <c r="E709" i="16"/>
  <c r="C709" i="16"/>
  <c r="B709" i="16"/>
  <c r="N709" i="16" s="1"/>
  <c r="A709" i="16"/>
  <c r="M708" i="16"/>
  <c r="K708" i="16"/>
  <c r="I708" i="16"/>
  <c r="H708" i="16"/>
  <c r="G708" i="16"/>
  <c r="E708" i="16"/>
  <c r="C708" i="16"/>
  <c r="B708" i="16"/>
  <c r="L708" i="16" s="1"/>
  <c r="A708" i="16"/>
  <c r="N707" i="16"/>
  <c r="M707" i="16"/>
  <c r="K707" i="16"/>
  <c r="I707" i="16"/>
  <c r="H707" i="16"/>
  <c r="G707" i="16"/>
  <c r="F707" i="16"/>
  <c r="E707" i="16"/>
  <c r="C707" i="16"/>
  <c r="B707" i="16"/>
  <c r="J707" i="16" s="1"/>
  <c r="A707" i="16"/>
  <c r="N706" i="16"/>
  <c r="M706" i="16"/>
  <c r="L706" i="16"/>
  <c r="K706" i="16"/>
  <c r="I706" i="16"/>
  <c r="H706" i="16"/>
  <c r="G706" i="16"/>
  <c r="F706" i="16"/>
  <c r="E706" i="16"/>
  <c r="D706" i="16"/>
  <c r="C706" i="16"/>
  <c r="B706" i="16"/>
  <c r="J706" i="16" s="1"/>
  <c r="A706" i="16"/>
  <c r="M705" i="16"/>
  <c r="K705" i="16"/>
  <c r="I705" i="16"/>
  <c r="G705" i="16"/>
  <c r="E705" i="16"/>
  <c r="C705" i="16"/>
  <c r="B705" i="16"/>
  <c r="N705" i="16" s="1"/>
  <c r="A705" i="16"/>
  <c r="M704" i="16"/>
  <c r="K704" i="16"/>
  <c r="I704" i="16"/>
  <c r="H704" i="16"/>
  <c r="G704" i="16"/>
  <c r="E704" i="16"/>
  <c r="C704" i="16"/>
  <c r="B704" i="16"/>
  <c r="L704" i="16" s="1"/>
  <c r="A704" i="16"/>
  <c r="N703" i="16"/>
  <c r="M703" i="16"/>
  <c r="K703" i="16"/>
  <c r="I703" i="16"/>
  <c r="H703" i="16"/>
  <c r="G703" i="16"/>
  <c r="F703" i="16"/>
  <c r="E703" i="16"/>
  <c r="C703" i="16"/>
  <c r="B703" i="16"/>
  <c r="J703" i="16" s="1"/>
  <c r="A703" i="16"/>
  <c r="N702" i="16"/>
  <c r="M702" i="16"/>
  <c r="L702" i="16"/>
  <c r="K702" i="16"/>
  <c r="I702" i="16"/>
  <c r="H702" i="16"/>
  <c r="G702" i="16"/>
  <c r="F702" i="16"/>
  <c r="E702" i="16"/>
  <c r="D702" i="16"/>
  <c r="C702" i="16"/>
  <c r="B702" i="16"/>
  <c r="J702" i="16" s="1"/>
  <c r="A702" i="16"/>
  <c r="M701" i="16"/>
  <c r="K701" i="16"/>
  <c r="I701" i="16"/>
  <c r="G701" i="16"/>
  <c r="E701" i="16"/>
  <c r="C701" i="16"/>
  <c r="B701" i="16"/>
  <c r="N701" i="16" s="1"/>
  <c r="A701" i="16"/>
  <c r="M700" i="16"/>
  <c r="K700" i="16"/>
  <c r="I700" i="16"/>
  <c r="H700" i="16"/>
  <c r="G700" i="16"/>
  <c r="E700" i="16"/>
  <c r="C700" i="16"/>
  <c r="B700" i="16"/>
  <c r="L700" i="16" s="1"/>
  <c r="A700" i="16"/>
  <c r="N699" i="16"/>
  <c r="M699" i="16"/>
  <c r="K699" i="16"/>
  <c r="I699" i="16"/>
  <c r="H699" i="16"/>
  <c r="G699" i="16"/>
  <c r="F699" i="16"/>
  <c r="E699" i="16"/>
  <c r="C699" i="16"/>
  <c r="B699" i="16"/>
  <c r="J699" i="16" s="1"/>
  <c r="A699" i="16"/>
  <c r="N698" i="16"/>
  <c r="M698" i="16"/>
  <c r="L698" i="16"/>
  <c r="K698" i="16"/>
  <c r="I698" i="16"/>
  <c r="H698" i="16"/>
  <c r="G698" i="16"/>
  <c r="F698" i="16"/>
  <c r="E698" i="16"/>
  <c r="D698" i="16"/>
  <c r="C698" i="16"/>
  <c r="B698" i="16"/>
  <c r="J698" i="16" s="1"/>
  <c r="A698" i="16"/>
  <c r="M697" i="16"/>
  <c r="K697" i="16"/>
  <c r="I697" i="16"/>
  <c r="G697" i="16"/>
  <c r="E697" i="16"/>
  <c r="C697" i="16"/>
  <c r="B697" i="16"/>
  <c r="N697" i="16" s="1"/>
  <c r="A697" i="16"/>
  <c r="M696" i="16"/>
  <c r="K696" i="16"/>
  <c r="I696" i="16"/>
  <c r="H696" i="16"/>
  <c r="G696" i="16"/>
  <c r="E696" i="16"/>
  <c r="C696" i="16"/>
  <c r="B696" i="16"/>
  <c r="L696" i="16" s="1"/>
  <c r="A696" i="16"/>
  <c r="N695" i="16"/>
  <c r="M695" i="16"/>
  <c r="K695" i="16"/>
  <c r="I695" i="16"/>
  <c r="H695" i="16"/>
  <c r="G695" i="16"/>
  <c r="F695" i="16"/>
  <c r="E695" i="16"/>
  <c r="C695" i="16"/>
  <c r="B695" i="16"/>
  <c r="J695" i="16" s="1"/>
  <c r="A695" i="16"/>
  <c r="N694" i="16"/>
  <c r="M694" i="16"/>
  <c r="L694" i="16"/>
  <c r="K694" i="16"/>
  <c r="I694" i="16"/>
  <c r="H694" i="16"/>
  <c r="G694" i="16"/>
  <c r="F694" i="16"/>
  <c r="E694" i="16"/>
  <c r="D694" i="16"/>
  <c r="C694" i="16"/>
  <c r="B694" i="16"/>
  <c r="J694" i="16" s="1"/>
  <c r="A694" i="16"/>
  <c r="M693" i="16"/>
  <c r="K693" i="16"/>
  <c r="I693" i="16"/>
  <c r="G693" i="16"/>
  <c r="E693" i="16"/>
  <c r="C693" i="16"/>
  <c r="B693" i="16"/>
  <c r="N693" i="16" s="1"/>
  <c r="A693" i="16"/>
  <c r="M692" i="16"/>
  <c r="K692" i="16"/>
  <c r="I692" i="16"/>
  <c r="H692" i="16"/>
  <c r="G692" i="16"/>
  <c r="E692" i="16"/>
  <c r="C692" i="16"/>
  <c r="B692" i="16"/>
  <c r="L692" i="16" s="1"/>
  <c r="A692" i="16"/>
  <c r="N691" i="16"/>
  <c r="M691" i="16"/>
  <c r="K691" i="16"/>
  <c r="I691" i="16"/>
  <c r="H691" i="16"/>
  <c r="G691" i="16"/>
  <c r="F691" i="16"/>
  <c r="E691" i="16"/>
  <c r="C691" i="16"/>
  <c r="B691" i="16"/>
  <c r="J691" i="16" s="1"/>
  <c r="A691" i="16"/>
  <c r="N690" i="16"/>
  <c r="M690" i="16"/>
  <c r="L690" i="16"/>
  <c r="K690" i="16"/>
  <c r="I690" i="16"/>
  <c r="H690" i="16"/>
  <c r="G690" i="16"/>
  <c r="F690" i="16"/>
  <c r="E690" i="16"/>
  <c r="D690" i="16"/>
  <c r="C690" i="16"/>
  <c r="B690" i="16"/>
  <c r="J690" i="16" s="1"/>
  <c r="A690" i="16"/>
  <c r="M689" i="16"/>
  <c r="K689" i="16"/>
  <c r="I689" i="16"/>
  <c r="G689" i="16"/>
  <c r="E689" i="16"/>
  <c r="C689" i="16"/>
  <c r="B689" i="16"/>
  <c r="N689" i="16" s="1"/>
  <c r="A689" i="16"/>
  <c r="M688" i="16"/>
  <c r="K688" i="16"/>
  <c r="I688" i="16"/>
  <c r="H688" i="16"/>
  <c r="G688" i="16"/>
  <c r="E688" i="16"/>
  <c r="C688" i="16"/>
  <c r="B688" i="16"/>
  <c r="L688" i="16" s="1"/>
  <c r="A688" i="16"/>
  <c r="N687" i="16"/>
  <c r="M687" i="16"/>
  <c r="K687" i="16"/>
  <c r="I687" i="16"/>
  <c r="H687" i="16"/>
  <c r="G687" i="16"/>
  <c r="F687" i="16"/>
  <c r="E687" i="16"/>
  <c r="C687" i="16"/>
  <c r="B687" i="16"/>
  <c r="J687" i="16" s="1"/>
  <c r="A687" i="16"/>
  <c r="N686" i="16"/>
  <c r="M686" i="16"/>
  <c r="L686" i="16"/>
  <c r="K686" i="16"/>
  <c r="I686" i="16"/>
  <c r="H686" i="16"/>
  <c r="G686" i="16"/>
  <c r="F686" i="16"/>
  <c r="E686" i="16"/>
  <c r="D686" i="16"/>
  <c r="C686" i="16"/>
  <c r="B686" i="16"/>
  <c r="J686" i="16" s="1"/>
  <c r="A686" i="16"/>
  <c r="M685" i="16"/>
  <c r="K685" i="16"/>
  <c r="I685" i="16"/>
  <c r="G685" i="16"/>
  <c r="E685" i="16"/>
  <c r="C685" i="16"/>
  <c r="B685" i="16"/>
  <c r="N685" i="16" s="1"/>
  <c r="A685" i="16"/>
  <c r="M684" i="16"/>
  <c r="K684" i="16"/>
  <c r="I684" i="16"/>
  <c r="H684" i="16"/>
  <c r="G684" i="16"/>
  <c r="E684" i="16"/>
  <c r="C684" i="16"/>
  <c r="B684" i="16"/>
  <c r="L684" i="16" s="1"/>
  <c r="A684" i="16"/>
  <c r="N683" i="16"/>
  <c r="M683" i="16"/>
  <c r="K683" i="16"/>
  <c r="I683" i="16"/>
  <c r="H683" i="16"/>
  <c r="G683" i="16"/>
  <c r="F683" i="16"/>
  <c r="E683" i="16"/>
  <c r="C683" i="16"/>
  <c r="B683" i="16"/>
  <c r="J683" i="16" s="1"/>
  <c r="A683" i="16"/>
  <c r="N682" i="16"/>
  <c r="M682" i="16"/>
  <c r="L682" i="16"/>
  <c r="K682" i="16"/>
  <c r="I682" i="16"/>
  <c r="H682" i="16"/>
  <c r="G682" i="16"/>
  <c r="F682" i="16"/>
  <c r="E682" i="16"/>
  <c r="D682" i="16"/>
  <c r="C682" i="16"/>
  <c r="B682" i="16"/>
  <c r="J682" i="16" s="1"/>
  <c r="A682" i="16"/>
  <c r="M681" i="16"/>
  <c r="K681" i="16"/>
  <c r="I681" i="16"/>
  <c r="G681" i="16"/>
  <c r="E681" i="16"/>
  <c r="C681" i="16"/>
  <c r="B681" i="16"/>
  <c r="N681" i="16" s="1"/>
  <c r="A681" i="16"/>
  <c r="M680" i="16"/>
  <c r="K680" i="16"/>
  <c r="I680" i="16"/>
  <c r="H680" i="16"/>
  <c r="G680" i="16"/>
  <c r="E680" i="16"/>
  <c r="C680" i="16"/>
  <c r="B680" i="16"/>
  <c r="L680" i="16" s="1"/>
  <c r="A680" i="16"/>
  <c r="N679" i="16"/>
  <c r="M679" i="16"/>
  <c r="K679" i="16"/>
  <c r="I679" i="16"/>
  <c r="H679" i="16"/>
  <c r="G679" i="16"/>
  <c r="F679" i="16"/>
  <c r="E679" i="16"/>
  <c r="C679" i="16"/>
  <c r="B679" i="16"/>
  <c r="J679" i="16" s="1"/>
  <c r="A679" i="16"/>
  <c r="N678" i="16"/>
  <c r="M678" i="16"/>
  <c r="L678" i="16"/>
  <c r="K678" i="16"/>
  <c r="I678" i="16"/>
  <c r="H678" i="16"/>
  <c r="G678" i="16"/>
  <c r="F678" i="16"/>
  <c r="E678" i="16"/>
  <c r="D678" i="16"/>
  <c r="C678" i="16"/>
  <c r="B678" i="16"/>
  <c r="J678" i="16" s="1"/>
  <c r="A678" i="16"/>
  <c r="M677" i="16"/>
  <c r="K677" i="16"/>
  <c r="I677" i="16"/>
  <c r="G677" i="16"/>
  <c r="E677" i="16"/>
  <c r="C677" i="16"/>
  <c r="B677" i="16"/>
  <c r="N677" i="16" s="1"/>
  <c r="A677" i="16"/>
  <c r="M676" i="16"/>
  <c r="K676" i="16"/>
  <c r="I676" i="16"/>
  <c r="H676" i="16"/>
  <c r="G676" i="16"/>
  <c r="E676" i="16"/>
  <c r="C676" i="16"/>
  <c r="B676" i="16"/>
  <c r="L676" i="16" s="1"/>
  <c r="A676" i="16"/>
  <c r="N675" i="16"/>
  <c r="M675" i="16"/>
  <c r="K675" i="16"/>
  <c r="I675" i="16"/>
  <c r="H675" i="16"/>
  <c r="G675" i="16"/>
  <c r="F675" i="16"/>
  <c r="E675" i="16"/>
  <c r="C675" i="16"/>
  <c r="B675" i="16"/>
  <c r="J675" i="16" s="1"/>
  <c r="A675" i="16"/>
  <c r="N674" i="16"/>
  <c r="M674" i="16"/>
  <c r="L674" i="16"/>
  <c r="K674" i="16"/>
  <c r="I674" i="16"/>
  <c r="H674" i="16"/>
  <c r="G674" i="16"/>
  <c r="F674" i="16"/>
  <c r="E674" i="16"/>
  <c r="D674" i="16"/>
  <c r="C674" i="16"/>
  <c r="B674" i="16"/>
  <c r="J674" i="16" s="1"/>
  <c r="A674" i="16"/>
  <c r="M673" i="16"/>
  <c r="K673" i="16"/>
  <c r="I673" i="16"/>
  <c r="G673" i="16"/>
  <c r="E673" i="16"/>
  <c r="C673" i="16"/>
  <c r="B673" i="16"/>
  <c r="N673" i="16" s="1"/>
  <c r="A673" i="16"/>
  <c r="M672" i="16"/>
  <c r="K672" i="16"/>
  <c r="I672" i="16"/>
  <c r="H672" i="16"/>
  <c r="G672" i="16"/>
  <c r="E672" i="16"/>
  <c r="C672" i="16"/>
  <c r="B672" i="16"/>
  <c r="L672" i="16" s="1"/>
  <c r="A672" i="16"/>
  <c r="N671" i="16"/>
  <c r="M671" i="16"/>
  <c r="K671" i="16"/>
  <c r="I671" i="16"/>
  <c r="H671" i="16"/>
  <c r="G671" i="16"/>
  <c r="F671" i="16"/>
  <c r="E671" i="16"/>
  <c r="C671" i="16"/>
  <c r="B671" i="16"/>
  <c r="J671" i="16" s="1"/>
  <c r="A671" i="16"/>
  <c r="N670" i="16"/>
  <c r="M670" i="16"/>
  <c r="L670" i="16"/>
  <c r="K670" i="16"/>
  <c r="I670" i="16"/>
  <c r="H670" i="16"/>
  <c r="G670" i="16"/>
  <c r="F670" i="16"/>
  <c r="E670" i="16"/>
  <c r="D670" i="16"/>
  <c r="C670" i="16"/>
  <c r="B670" i="16"/>
  <c r="J670" i="16" s="1"/>
  <c r="A670" i="16"/>
  <c r="M669" i="16"/>
  <c r="K669" i="16"/>
  <c r="I669" i="16"/>
  <c r="G669" i="16"/>
  <c r="E669" i="16"/>
  <c r="C669" i="16"/>
  <c r="B669" i="16"/>
  <c r="N669" i="16" s="1"/>
  <c r="A669" i="16"/>
  <c r="M668" i="16"/>
  <c r="K668" i="16"/>
  <c r="I668" i="16"/>
  <c r="H668" i="16"/>
  <c r="G668" i="16"/>
  <c r="E668" i="16"/>
  <c r="C668" i="16"/>
  <c r="B668" i="16"/>
  <c r="L668" i="16" s="1"/>
  <c r="A668" i="16"/>
  <c r="N667" i="16"/>
  <c r="M667" i="16"/>
  <c r="K667" i="16"/>
  <c r="I667" i="16"/>
  <c r="H667" i="16"/>
  <c r="G667" i="16"/>
  <c r="F667" i="16"/>
  <c r="E667" i="16"/>
  <c r="C667" i="16"/>
  <c r="B667" i="16"/>
  <c r="J667" i="16" s="1"/>
  <c r="A667" i="16"/>
  <c r="N666" i="16"/>
  <c r="M666" i="16"/>
  <c r="L666" i="16"/>
  <c r="K666" i="16"/>
  <c r="I666" i="16"/>
  <c r="H666" i="16"/>
  <c r="G666" i="16"/>
  <c r="F666" i="16"/>
  <c r="E666" i="16"/>
  <c r="D666" i="16"/>
  <c r="C666" i="16"/>
  <c r="B666" i="16"/>
  <c r="J666" i="16" s="1"/>
  <c r="A666" i="16"/>
  <c r="M665" i="16"/>
  <c r="K665" i="16"/>
  <c r="I665" i="16"/>
  <c r="G665" i="16"/>
  <c r="E665" i="16"/>
  <c r="C665" i="16"/>
  <c r="B665" i="16"/>
  <c r="N665" i="16" s="1"/>
  <c r="A665" i="16"/>
  <c r="M664" i="16"/>
  <c r="K664" i="16"/>
  <c r="I664" i="16"/>
  <c r="H664" i="16"/>
  <c r="G664" i="16"/>
  <c r="E664" i="16"/>
  <c r="C664" i="16"/>
  <c r="B664" i="16"/>
  <c r="L664" i="16" s="1"/>
  <c r="A664" i="16"/>
  <c r="N663" i="16"/>
  <c r="M663" i="16"/>
  <c r="K663" i="16"/>
  <c r="I663" i="16"/>
  <c r="H663" i="16"/>
  <c r="G663" i="16"/>
  <c r="F663" i="16"/>
  <c r="E663" i="16"/>
  <c r="C663" i="16"/>
  <c r="B663" i="16"/>
  <c r="J663" i="16" s="1"/>
  <c r="A663" i="16"/>
  <c r="N662" i="16"/>
  <c r="M662" i="16"/>
  <c r="L662" i="16"/>
  <c r="K662" i="16"/>
  <c r="I662" i="16"/>
  <c r="H662" i="16"/>
  <c r="G662" i="16"/>
  <c r="F662" i="16"/>
  <c r="E662" i="16"/>
  <c r="D662" i="16"/>
  <c r="C662" i="16"/>
  <c r="B662" i="16"/>
  <c r="J662" i="16" s="1"/>
  <c r="A662" i="16"/>
  <c r="M661" i="16"/>
  <c r="K661" i="16"/>
  <c r="I661" i="16"/>
  <c r="G661" i="16"/>
  <c r="E661" i="16"/>
  <c r="C661" i="16"/>
  <c r="B661" i="16"/>
  <c r="N661" i="16" s="1"/>
  <c r="A661" i="16"/>
  <c r="M660" i="16"/>
  <c r="K660" i="16"/>
  <c r="I660" i="16"/>
  <c r="H660" i="16"/>
  <c r="G660" i="16"/>
  <c r="E660" i="16"/>
  <c r="C660" i="16"/>
  <c r="B660" i="16"/>
  <c r="L660" i="16" s="1"/>
  <c r="A660" i="16"/>
  <c r="N659" i="16"/>
  <c r="M659" i="16"/>
  <c r="K659" i="16"/>
  <c r="I659" i="16"/>
  <c r="H659" i="16"/>
  <c r="G659" i="16"/>
  <c r="F659" i="16"/>
  <c r="E659" i="16"/>
  <c r="C659" i="16"/>
  <c r="B659" i="16"/>
  <c r="J659" i="16" s="1"/>
  <c r="A659" i="16"/>
  <c r="N658" i="16"/>
  <c r="M658" i="16"/>
  <c r="L658" i="16"/>
  <c r="K658" i="16"/>
  <c r="I658" i="16"/>
  <c r="H658" i="16"/>
  <c r="G658" i="16"/>
  <c r="F658" i="16"/>
  <c r="E658" i="16"/>
  <c r="D658" i="16"/>
  <c r="C658" i="16"/>
  <c r="B658" i="16"/>
  <c r="J658" i="16" s="1"/>
  <c r="A658" i="16"/>
  <c r="M657" i="16"/>
  <c r="K657" i="16"/>
  <c r="I657" i="16"/>
  <c r="G657" i="16"/>
  <c r="E657" i="16"/>
  <c r="C657" i="16"/>
  <c r="B657" i="16"/>
  <c r="N657" i="16" s="1"/>
  <c r="A657" i="16"/>
  <c r="M656" i="16"/>
  <c r="K656" i="16"/>
  <c r="I656" i="16"/>
  <c r="H656" i="16"/>
  <c r="G656" i="16"/>
  <c r="E656" i="16"/>
  <c r="C656" i="16"/>
  <c r="B656" i="16"/>
  <c r="L656" i="16" s="1"/>
  <c r="A656" i="16"/>
  <c r="N655" i="16"/>
  <c r="M655" i="16"/>
  <c r="K655" i="16"/>
  <c r="I655" i="16"/>
  <c r="H655" i="16"/>
  <c r="G655" i="16"/>
  <c r="F655" i="16"/>
  <c r="E655" i="16"/>
  <c r="C655" i="16"/>
  <c r="B655" i="16"/>
  <c r="J655" i="16" s="1"/>
  <c r="A655" i="16"/>
  <c r="N654" i="16"/>
  <c r="M654" i="16"/>
  <c r="L654" i="16"/>
  <c r="K654" i="16"/>
  <c r="I654" i="16"/>
  <c r="H654" i="16"/>
  <c r="G654" i="16"/>
  <c r="F654" i="16"/>
  <c r="E654" i="16"/>
  <c r="D654" i="16"/>
  <c r="C654" i="16"/>
  <c r="B654" i="16"/>
  <c r="J654" i="16" s="1"/>
  <c r="A654" i="16"/>
  <c r="M653" i="16"/>
  <c r="K653" i="16"/>
  <c r="I653" i="16"/>
  <c r="G653" i="16"/>
  <c r="E653" i="16"/>
  <c r="C653" i="16"/>
  <c r="B653" i="16"/>
  <c r="N653" i="16" s="1"/>
  <c r="A653" i="16"/>
  <c r="M652" i="16"/>
  <c r="K652" i="16"/>
  <c r="I652" i="16"/>
  <c r="H652" i="16"/>
  <c r="G652" i="16"/>
  <c r="E652" i="16"/>
  <c r="C652" i="16"/>
  <c r="B652" i="16"/>
  <c r="L652" i="16" s="1"/>
  <c r="A652" i="16"/>
  <c r="N651" i="16"/>
  <c r="M651" i="16"/>
  <c r="K651" i="16"/>
  <c r="I651" i="16"/>
  <c r="H651" i="16"/>
  <c r="G651" i="16"/>
  <c r="F651" i="16"/>
  <c r="E651" i="16"/>
  <c r="C651" i="16"/>
  <c r="B651" i="16"/>
  <c r="J651" i="16" s="1"/>
  <c r="A651" i="16"/>
  <c r="N650" i="16"/>
  <c r="M650" i="16"/>
  <c r="L650" i="16"/>
  <c r="K650" i="16"/>
  <c r="I650" i="16"/>
  <c r="H650" i="16"/>
  <c r="G650" i="16"/>
  <c r="F650" i="16"/>
  <c r="E650" i="16"/>
  <c r="D650" i="16"/>
  <c r="C650" i="16"/>
  <c r="B650" i="16"/>
  <c r="J650" i="16" s="1"/>
  <c r="A650" i="16"/>
  <c r="M649" i="16"/>
  <c r="K649" i="16"/>
  <c r="I649" i="16"/>
  <c r="G649" i="16"/>
  <c r="E649" i="16"/>
  <c r="C649" i="16"/>
  <c r="B649" i="16"/>
  <c r="N649" i="16" s="1"/>
  <c r="A649" i="16"/>
  <c r="M648" i="16"/>
  <c r="K648" i="16"/>
  <c r="I648" i="16"/>
  <c r="H648" i="16"/>
  <c r="G648" i="16"/>
  <c r="E648" i="16"/>
  <c r="C648" i="16"/>
  <c r="B648" i="16"/>
  <c r="L648" i="16" s="1"/>
  <c r="A648" i="16"/>
  <c r="N647" i="16"/>
  <c r="M647" i="16"/>
  <c r="K647" i="16"/>
  <c r="I647" i="16"/>
  <c r="H647" i="16"/>
  <c r="G647" i="16"/>
  <c r="F647" i="16"/>
  <c r="E647" i="16"/>
  <c r="C647" i="16"/>
  <c r="B647" i="16"/>
  <c r="J647" i="16" s="1"/>
  <c r="A647" i="16"/>
  <c r="N646" i="16"/>
  <c r="M646" i="16"/>
  <c r="L646" i="16"/>
  <c r="K646" i="16"/>
  <c r="I646" i="16"/>
  <c r="H646" i="16"/>
  <c r="G646" i="16"/>
  <c r="F646" i="16"/>
  <c r="E646" i="16"/>
  <c r="D646" i="16"/>
  <c r="C646" i="16"/>
  <c r="B646" i="16"/>
  <c r="J646" i="16" s="1"/>
  <c r="A646" i="16"/>
  <c r="M645" i="16"/>
  <c r="K645" i="16"/>
  <c r="I645" i="16"/>
  <c r="G645" i="16"/>
  <c r="E645" i="16"/>
  <c r="C645" i="16"/>
  <c r="B645" i="16"/>
  <c r="N645" i="16" s="1"/>
  <c r="A645" i="16"/>
  <c r="M644" i="16"/>
  <c r="K644" i="16"/>
  <c r="I644" i="16"/>
  <c r="H644" i="16"/>
  <c r="G644" i="16"/>
  <c r="E644" i="16"/>
  <c r="C644" i="16"/>
  <c r="B644" i="16"/>
  <c r="L644" i="16" s="1"/>
  <c r="A644" i="16"/>
  <c r="N643" i="16"/>
  <c r="M643" i="16"/>
  <c r="K643" i="16"/>
  <c r="I643" i="16"/>
  <c r="H643" i="16"/>
  <c r="G643" i="16"/>
  <c r="F643" i="16"/>
  <c r="E643" i="16"/>
  <c r="C643" i="16"/>
  <c r="B643" i="16"/>
  <c r="J643" i="16" s="1"/>
  <c r="A643" i="16"/>
  <c r="N642" i="16"/>
  <c r="M642" i="16"/>
  <c r="L642" i="16"/>
  <c r="K642" i="16"/>
  <c r="I642" i="16"/>
  <c r="H642" i="16"/>
  <c r="G642" i="16"/>
  <c r="F642" i="16"/>
  <c r="E642" i="16"/>
  <c r="D642" i="16"/>
  <c r="C642" i="16"/>
  <c r="B642" i="16"/>
  <c r="J642" i="16" s="1"/>
  <c r="A642" i="16"/>
  <c r="M641" i="16"/>
  <c r="K641" i="16"/>
  <c r="I641" i="16"/>
  <c r="G641" i="16"/>
  <c r="E641" i="16"/>
  <c r="C641" i="16"/>
  <c r="B641" i="16"/>
  <c r="N641" i="16" s="1"/>
  <c r="A641" i="16"/>
  <c r="M640" i="16"/>
  <c r="K640" i="16"/>
  <c r="I640" i="16"/>
  <c r="H640" i="16"/>
  <c r="G640" i="16"/>
  <c r="E640" i="16"/>
  <c r="C640" i="16"/>
  <c r="B640" i="16"/>
  <c r="L640" i="16" s="1"/>
  <c r="A640" i="16"/>
  <c r="N639" i="16"/>
  <c r="M639" i="16"/>
  <c r="K639" i="16"/>
  <c r="I639" i="16"/>
  <c r="H639" i="16"/>
  <c r="G639" i="16"/>
  <c r="F639" i="16"/>
  <c r="E639" i="16"/>
  <c r="C639" i="16"/>
  <c r="B639" i="16"/>
  <c r="J639" i="16" s="1"/>
  <c r="A639" i="16"/>
  <c r="N638" i="16"/>
  <c r="M638" i="16"/>
  <c r="L638" i="16"/>
  <c r="K638" i="16"/>
  <c r="I638" i="16"/>
  <c r="H638" i="16"/>
  <c r="G638" i="16"/>
  <c r="F638" i="16"/>
  <c r="E638" i="16"/>
  <c r="D638" i="16"/>
  <c r="C638" i="16"/>
  <c r="B638" i="16"/>
  <c r="J638" i="16" s="1"/>
  <c r="A638" i="16"/>
  <c r="M637" i="16"/>
  <c r="K637" i="16"/>
  <c r="I637" i="16"/>
  <c r="G637" i="16"/>
  <c r="E637" i="16"/>
  <c r="C637" i="16"/>
  <c r="B637" i="16"/>
  <c r="N637" i="16" s="1"/>
  <c r="A637" i="16"/>
  <c r="M636" i="16"/>
  <c r="K636" i="16"/>
  <c r="I636" i="16"/>
  <c r="H636" i="16"/>
  <c r="G636" i="16"/>
  <c r="E636" i="16"/>
  <c r="C636" i="16"/>
  <c r="B636" i="16"/>
  <c r="L636" i="16" s="1"/>
  <c r="A636" i="16"/>
  <c r="N635" i="16"/>
  <c r="M635" i="16"/>
  <c r="K635" i="16"/>
  <c r="I635" i="16"/>
  <c r="H635" i="16"/>
  <c r="G635" i="16"/>
  <c r="F635" i="16"/>
  <c r="E635" i="16"/>
  <c r="C635" i="16"/>
  <c r="B635" i="16"/>
  <c r="J635" i="16" s="1"/>
  <c r="A635" i="16"/>
  <c r="N634" i="16"/>
  <c r="M634" i="16"/>
  <c r="L634" i="16"/>
  <c r="K634" i="16"/>
  <c r="I634" i="16"/>
  <c r="H634" i="16"/>
  <c r="G634" i="16"/>
  <c r="F634" i="16"/>
  <c r="E634" i="16"/>
  <c r="D634" i="16"/>
  <c r="C634" i="16"/>
  <c r="B634" i="16"/>
  <c r="J634" i="16" s="1"/>
  <c r="A634" i="16"/>
  <c r="M633" i="16"/>
  <c r="K633" i="16"/>
  <c r="I633" i="16"/>
  <c r="G633" i="16"/>
  <c r="E633" i="16"/>
  <c r="C633" i="16"/>
  <c r="B633" i="16"/>
  <c r="N633" i="16" s="1"/>
  <c r="A633" i="16"/>
  <c r="M632" i="16"/>
  <c r="K632" i="16"/>
  <c r="I632" i="16"/>
  <c r="H632" i="16"/>
  <c r="G632" i="16"/>
  <c r="E632" i="16"/>
  <c r="C632" i="16"/>
  <c r="B632" i="16"/>
  <c r="L632" i="16" s="1"/>
  <c r="A632" i="16"/>
  <c r="N631" i="16"/>
  <c r="M631" i="16"/>
  <c r="K631" i="16"/>
  <c r="I631" i="16"/>
  <c r="H631" i="16"/>
  <c r="G631" i="16"/>
  <c r="F631" i="16"/>
  <c r="E631" i="16"/>
  <c r="C631" i="16"/>
  <c r="B631" i="16"/>
  <c r="J631" i="16" s="1"/>
  <c r="A631" i="16"/>
  <c r="N630" i="16"/>
  <c r="M630" i="16"/>
  <c r="L630" i="16"/>
  <c r="K630" i="16"/>
  <c r="I630" i="16"/>
  <c r="H630" i="16"/>
  <c r="G630" i="16"/>
  <c r="F630" i="16"/>
  <c r="E630" i="16"/>
  <c r="D630" i="16"/>
  <c r="C630" i="16"/>
  <c r="B630" i="16"/>
  <c r="J630" i="16" s="1"/>
  <c r="A630" i="16"/>
  <c r="M629" i="16"/>
  <c r="K629" i="16"/>
  <c r="I629" i="16"/>
  <c r="G629" i="16"/>
  <c r="E629" i="16"/>
  <c r="C629" i="16"/>
  <c r="B629" i="16"/>
  <c r="N629" i="16" s="1"/>
  <c r="A629" i="16"/>
  <c r="M628" i="16"/>
  <c r="K628" i="16"/>
  <c r="I628" i="16"/>
  <c r="H628" i="16"/>
  <c r="G628" i="16"/>
  <c r="E628" i="16"/>
  <c r="C628" i="16"/>
  <c r="B628" i="16"/>
  <c r="L628" i="16" s="1"/>
  <c r="A628" i="16"/>
  <c r="N627" i="16"/>
  <c r="M627" i="16"/>
  <c r="K627" i="16"/>
  <c r="I627" i="16"/>
  <c r="H627" i="16"/>
  <c r="G627" i="16"/>
  <c r="F627" i="16"/>
  <c r="E627" i="16"/>
  <c r="C627" i="16"/>
  <c r="B627" i="16"/>
  <c r="J627" i="16" s="1"/>
  <c r="A627" i="16"/>
  <c r="N626" i="16"/>
  <c r="M626" i="16"/>
  <c r="L626" i="16"/>
  <c r="K626" i="16"/>
  <c r="I626" i="16"/>
  <c r="H626" i="16"/>
  <c r="G626" i="16"/>
  <c r="F626" i="16"/>
  <c r="E626" i="16"/>
  <c r="D626" i="16"/>
  <c r="C626" i="16"/>
  <c r="B626" i="16"/>
  <c r="J626" i="16" s="1"/>
  <c r="A626" i="16"/>
  <c r="M625" i="16"/>
  <c r="K625" i="16"/>
  <c r="I625" i="16"/>
  <c r="G625" i="16"/>
  <c r="E625" i="16"/>
  <c r="C625" i="16"/>
  <c r="B625" i="16"/>
  <c r="N625" i="16" s="1"/>
  <c r="A625" i="16"/>
  <c r="M624" i="16"/>
  <c r="K624" i="16"/>
  <c r="I624" i="16"/>
  <c r="H624" i="16"/>
  <c r="G624" i="16"/>
  <c r="E624" i="16"/>
  <c r="C624" i="16"/>
  <c r="B624" i="16"/>
  <c r="L624" i="16" s="1"/>
  <c r="A624" i="16"/>
  <c r="N623" i="16"/>
  <c r="M623" i="16"/>
  <c r="K623" i="16"/>
  <c r="I623" i="16"/>
  <c r="H623" i="16"/>
  <c r="G623" i="16"/>
  <c r="F623" i="16"/>
  <c r="E623" i="16"/>
  <c r="C623" i="16"/>
  <c r="B623" i="16"/>
  <c r="J623" i="16" s="1"/>
  <c r="A623" i="16"/>
  <c r="N622" i="16"/>
  <c r="M622" i="16"/>
  <c r="L622" i="16"/>
  <c r="K622" i="16"/>
  <c r="I622" i="16"/>
  <c r="H622" i="16"/>
  <c r="G622" i="16"/>
  <c r="F622" i="16"/>
  <c r="E622" i="16"/>
  <c r="D622" i="16"/>
  <c r="C622" i="16"/>
  <c r="B622" i="16"/>
  <c r="J622" i="16" s="1"/>
  <c r="A622" i="16"/>
  <c r="M621" i="16"/>
  <c r="K621" i="16"/>
  <c r="I621" i="16"/>
  <c r="G621" i="16"/>
  <c r="E621" i="16"/>
  <c r="C621" i="16"/>
  <c r="B621" i="16"/>
  <c r="N621" i="16" s="1"/>
  <c r="A621" i="16"/>
  <c r="M620" i="16"/>
  <c r="K620" i="16"/>
  <c r="I620" i="16"/>
  <c r="H620" i="16"/>
  <c r="G620" i="16"/>
  <c r="E620" i="16"/>
  <c r="C620" i="16"/>
  <c r="B620" i="16"/>
  <c r="L620" i="16" s="1"/>
  <c r="A620" i="16"/>
  <c r="N619" i="16"/>
  <c r="M619" i="16"/>
  <c r="K619" i="16"/>
  <c r="I619" i="16"/>
  <c r="H619" i="16"/>
  <c r="G619" i="16"/>
  <c r="F619" i="16"/>
  <c r="E619" i="16"/>
  <c r="C619" i="16"/>
  <c r="B619" i="16"/>
  <c r="J619" i="16" s="1"/>
  <c r="A619" i="16"/>
  <c r="N618" i="16"/>
  <c r="M618" i="16"/>
  <c r="L618" i="16"/>
  <c r="K618" i="16"/>
  <c r="I618" i="16"/>
  <c r="H618" i="16"/>
  <c r="G618" i="16"/>
  <c r="F618" i="16"/>
  <c r="E618" i="16"/>
  <c r="D618" i="16"/>
  <c r="C618" i="16"/>
  <c r="B618" i="16"/>
  <c r="J618" i="16" s="1"/>
  <c r="A618" i="16"/>
  <c r="M617" i="16"/>
  <c r="K617" i="16"/>
  <c r="I617" i="16"/>
  <c r="G617" i="16"/>
  <c r="E617" i="16"/>
  <c r="C617" i="16"/>
  <c r="B617" i="16"/>
  <c r="N617" i="16" s="1"/>
  <c r="A617" i="16"/>
  <c r="M616" i="16"/>
  <c r="K616" i="16"/>
  <c r="I616" i="16"/>
  <c r="H616" i="16"/>
  <c r="G616" i="16"/>
  <c r="E616" i="16"/>
  <c r="C616" i="16"/>
  <c r="B616" i="16"/>
  <c r="L616" i="16" s="1"/>
  <c r="A616" i="16"/>
  <c r="N615" i="16"/>
  <c r="M615" i="16"/>
  <c r="K615" i="16"/>
  <c r="I615" i="16"/>
  <c r="H615" i="16"/>
  <c r="G615" i="16"/>
  <c r="F615" i="16"/>
  <c r="E615" i="16"/>
  <c r="C615" i="16"/>
  <c r="B615" i="16"/>
  <c r="J615" i="16" s="1"/>
  <c r="A615" i="16"/>
  <c r="N614" i="16"/>
  <c r="M614" i="16"/>
  <c r="L614" i="16"/>
  <c r="K614" i="16"/>
  <c r="I614" i="16"/>
  <c r="H614" i="16"/>
  <c r="G614" i="16"/>
  <c r="F614" i="16"/>
  <c r="E614" i="16"/>
  <c r="D614" i="16"/>
  <c r="C614" i="16"/>
  <c r="B614" i="16"/>
  <c r="J614" i="16" s="1"/>
  <c r="A614" i="16"/>
  <c r="M613" i="16"/>
  <c r="K613" i="16"/>
  <c r="I613" i="16"/>
  <c r="G613" i="16"/>
  <c r="E613" i="16"/>
  <c r="C613" i="16"/>
  <c r="B613" i="16"/>
  <c r="N613" i="16" s="1"/>
  <c r="A613" i="16"/>
  <c r="M612" i="16"/>
  <c r="K612" i="16"/>
  <c r="I612" i="16"/>
  <c r="H612" i="16"/>
  <c r="G612" i="16"/>
  <c r="E612" i="16"/>
  <c r="C612" i="16"/>
  <c r="B612" i="16"/>
  <c r="L612" i="16" s="1"/>
  <c r="A612" i="16"/>
  <c r="N611" i="16"/>
  <c r="M611" i="16"/>
  <c r="K611" i="16"/>
  <c r="I611" i="16"/>
  <c r="H611" i="16"/>
  <c r="G611" i="16"/>
  <c r="F611" i="16"/>
  <c r="E611" i="16"/>
  <c r="C611" i="16"/>
  <c r="B611" i="16"/>
  <c r="J611" i="16" s="1"/>
  <c r="A611" i="16"/>
  <c r="N610" i="16"/>
  <c r="M610" i="16"/>
  <c r="L610" i="16"/>
  <c r="K610" i="16"/>
  <c r="I610" i="16"/>
  <c r="H610" i="16"/>
  <c r="G610" i="16"/>
  <c r="F610" i="16"/>
  <c r="E610" i="16"/>
  <c r="D610" i="16"/>
  <c r="C610" i="16"/>
  <c r="B610" i="16"/>
  <c r="J610" i="16" s="1"/>
  <c r="A610" i="16"/>
  <c r="M609" i="16"/>
  <c r="K609" i="16"/>
  <c r="I609" i="16"/>
  <c r="G609" i="16"/>
  <c r="E609" i="16"/>
  <c r="C609" i="16"/>
  <c r="B609" i="16"/>
  <c r="N609" i="16" s="1"/>
  <c r="A609" i="16"/>
  <c r="M608" i="16"/>
  <c r="K608" i="16"/>
  <c r="I608" i="16"/>
  <c r="H608" i="16"/>
  <c r="G608" i="16"/>
  <c r="E608" i="16"/>
  <c r="C608" i="16"/>
  <c r="B608" i="16"/>
  <c r="L608" i="16" s="1"/>
  <c r="A608" i="16"/>
  <c r="N607" i="16"/>
  <c r="M607" i="16"/>
  <c r="K607" i="16"/>
  <c r="I607" i="16"/>
  <c r="H607" i="16"/>
  <c r="G607" i="16"/>
  <c r="F607" i="16"/>
  <c r="E607" i="16"/>
  <c r="C607" i="16"/>
  <c r="B607" i="16"/>
  <c r="J607" i="16" s="1"/>
  <c r="A607" i="16"/>
  <c r="N606" i="16"/>
  <c r="M606" i="16"/>
  <c r="L606" i="16"/>
  <c r="K606" i="16"/>
  <c r="I606" i="16"/>
  <c r="H606" i="16"/>
  <c r="G606" i="16"/>
  <c r="F606" i="16"/>
  <c r="E606" i="16"/>
  <c r="D606" i="16"/>
  <c r="C606" i="16"/>
  <c r="B606" i="16"/>
  <c r="J606" i="16" s="1"/>
  <c r="A606" i="16"/>
  <c r="M605" i="16"/>
  <c r="K605" i="16"/>
  <c r="I605" i="16"/>
  <c r="G605" i="16"/>
  <c r="E605" i="16"/>
  <c r="C605" i="16"/>
  <c r="B605" i="16"/>
  <c r="N605" i="16" s="1"/>
  <c r="A605" i="16"/>
  <c r="M604" i="16"/>
  <c r="K604" i="16"/>
  <c r="I604" i="16"/>
  <c r="H604" i="16"/>
  <c r="G604" i="16"/>
  <c r="E604" i="16"/>
  <c r="C604" i="16"/>
  <c r="B604" i="16"/>
  <c r="L604" i="16" s="1"/>
  <c r="A604" i="16"/>
  <c r="N603" i="16"/>
  <c r="M603" i="16"/>
  <c r="K603" i="16"/>
  <c r="I603" i="16"/>
  <c r="H603" i="16"/>
  <c r="G603" i="16"/>
  <c r="F603" i="16"/>
  <c r="E603" i="16"/>
  <c r="C603" i="16"/>
  <c r="B603" i="16"/>
  <c r="J603" i="16" s="1"/>
  <c r="A603" i="16"/>
  <c r="N602" i="16"/>
  <c r="M602" i="16"/>
  <c r="L602" i="16"/>
  <c r="K602" i="16"/>
  <c r="I602" i="16"/>
  <c r="H602" i="16"/>
  <c r="G602" i="16"/>
  <c r="F602" i="16"/>
  <c r="E602" i="16"/>
  <c r="D602" i="16"/>
  <c r="C602" i="16"/>
  <c r="B602" i="16"/>
  <c r="J602" i="16" s="1"/>
  <c r="A602" i="16"/>
  <c r="M601" i="16"/>
  <c r="K601" i="16"/>
  <c r="I601" i="16"/>
  <c r="G601" i="16"/>
  <c r="E601" i="16"/>
  <c r="C601" i="16"/>
  <c r="B601" i="16"/>
  <c r="N601" i="16" s="1"/>
  <c r="A601" i="16"/>
  <c r="M600" i="16"/>
  <c r="K600" i="16"/>
  <c r="I600" i="16"/>
  <c r="H600" i="16"/>
  <c r="G600" i="16"/>
  <c r="E600" i="16"/>
  <c r="C600" i="16"/>
  <c r="B600" i="16"/>
  <c r="L600" i="16" s="1"/>
  <c r="A600" i="16"/>
  <c r="N599" i="16"/>
  <c r="M599" i="16"/>
  <c r="K599" i="16"/>
  <c r="I599" i="16"/>
  <c r="H599" i="16"/>
  <c r="G599" i="16"/>
  <c r="F599" i="16"/>
  <c r="E599" i="16"/>
  <c r="C599" i="16"/>
  <c r="B599" i="16"/>
  <c r="J599" i="16" s="1"/>
  <c r="A599" i="16"/>
  <c r="N598" i="16"/>
  <c r="M598" i="16"/>
  <c r="L598" i="16"/>
  <c r="K598" i="16"/>
  <c r="I598" i="16"/>
  <c r="H598" i="16"/>
  <c r="G598" i="16"/>
  <c r="F598" i="16"/>
  <c r="E598" i="16"/>
  <c r="D598" i="16"/>
  <c r="C598" i="16"/>
  <c r="B598" i="16"/>
  <c r="J598" i="16" s="1"/>
  <c r="A598" i="16"/>
  <c r="M597" i="16"/>
  <c r="K597" i="16"/>
  <c r="I597" i="16"/>
  <c r="G597" i="16"/>
  <c r="E597" i="16"/>
  <c r="C597" i="16"/>
  <c r="B597" i="16"/>
  <c r="N597" i="16" s="1"/>
  <c r="A597" i="16"/>
  <c r="M596" i="16"/>
  <c r="K596" i="16"/>
  <c r="I596" i="16"/>
  <c r="H596" i="16"/>
  <c r="G596" i="16"/>
  <c r="E596" i="16"/>
  <c r="C596" i="16"/>
  <c r="B596" i="16"/>
  <c r="L596" i="16" s="1"/>
  <c r="A596" i="16"/>
  <c r="N595" i="16"/>
  <c r="M595" i="16"/>
  <c r="K595" i="16"/>
  <c r="I595" i="16"/>
  <c r="H595" i="16"/>
  <c r="G595" i="16"/>
  <c r="F595" i="16"/>
  <c r="E595" i="16"/>
  <c r="C595" i="16"/>
  <c r="B595" i="16"/>
  <c r="J595" i="16" s="1"/>
  <c r="A595" i="16"/>
  <c r="N594" i="16"/>
  <c r="M594" i="16"/>
  <c r="L594" i="16"/>
  <c r="K594" i="16"/>
  <c r="I594" i="16"/>
  <c r="H594" i="16"/>
  <c r="G594" i="16"/>
  <c r="F594" i="16"/>
  <c r="E594" i="16"/>
  <c r="D594" i="16"/>
  <c r="C594" i="16"/>
  <c r="B594" i="16"/>
  <c r="J594" i="16" s="1"/>
  <c r="A594" i="16"/>
  <c r="M593" i="16"/>
  <c r="K593" i="16"/>
  <c r="I593" i="16"/>
  <c r="G593" i="16"/>
  <c r="E593" i="16"/>
  <c r="C593" i="16"/>
  <c r="B593" i="16"/>
  <c r="N593" i="16" s="1"/>
  <c r="A593" i="16"/>
  <c r="M592" i="16"/>
  <c r="K592" i="16"/>
  <c r="I592" i="16"/>
  <c r="H592" i="16"/>
  <c r="G592" i="16"/>
  <c r="E592" i="16"/>
  <c r="C592" i="16"/>
  <c r="B592" i="16"/>
  <c r="L592" i="16" s="1"/>
  <c r="A592" i="16"/>
  <c r="N591" i="16"/>
  <c r="M591" i="16"/>
  <c r="K591" i="16"/>
  <c r="I591" i="16"/>
  <c r="H591" i="16"/>
  <c r="G591" i="16"/>
  <c r="F591" i="16"/>
  <c r="E591" i="16"/>
  <c r="C591" i="16"/>
  <c r="B591" i="16"/>
  <c r="J591" i="16" s="1"/>
  <c r="A591" i="16"/>
  <c r="N590" i="16"/>
  <c r="M590" i="16"/>
  <c r="L590" i="16"/>
  <c r="K590" i="16"/>
  <c r="I590" i="16"/>
  <c r="H590" i="16"/>
  <c r="G590" i="16"/>
  <c r="F590" i="16"/>
  <c r="E590" i="16"/>
  <c r="D590" i="16"/>
  <c r="C590" i="16"/>
  <c r="B590" i="16"/>
  <c r="J590" i="16" s="1"/>
  <c r="A590" i="16"/>
  <c r="M589" i="16"/>
  <c r="K589" i="16"/>
  <c r="I589" i="16"/>
  <c r="G589" i="16"/>
  <c r="E589" i="16"/>
  <c r="C589" i="16"/>
  <c r="B589" i="16"/>
  <c r="N589" i="16" s="1"/>
  <c r="A589" i="16"/>
  <c r="M588" i="16"/>
  <c r="K588" i="16"/>
  <c r="I588" i="16"/>
  <c r="H588" i="16"/>
  <c r="G588" i="16"/>
  <c r="E588" i="16"/>
  <c r="C588" i="16"/>
  <c r="B588" i="16"/>
  <c r="L588" i="16" s="1"/>
  <c r="A588" i="16"/>
  <c r="N587" i="16"/>
  <c r="M587" i="16"/>
  <c r="K587" i="16"/>
  <c r="I587" i="16"/>
  <c r="H587" i="16"/>
  <c r="G587" i="16"/>
  <c r="F587" i="16"/>
  <c r="E587" i="16"/>
  <c r="C587" i="16"/>
  <c r="B587" i="16"/>
  <c r="J587" i="16" s="1"/>
  <c r="A587" i="16"/>
  <c r="N586" i="16"/>
  <c r="M586" i="16"/>
  <c r="L586" i="16"/>
  <c r="K586" i="16"/>
  <c r="I586" i="16"/>
  <c r="H586" i="16"/>
  <c r="G586" i="16"/>
  <c r="F586" i="16"/>
  <c r="E586" i="16"/>
  <c r="D586" i="16"/>
  <c r="C586" i="16"/>
  <c r="B586" i="16"/>
  <c r="J586" i="16" s="1"/>
  <c r="A586" i="16"/>
  <c r="M585" i="16"/>
  <c r="K585" i="16"/>
  <c r="I585" i="16"/>
  <c r="G585" i="16"/>
  <c r="E585" i="16"/>
  <c r="C585" i="16"/>
  <c r="B585" i="16"/>
  <c r="N585" i="16" s="1"/>
  <c r="A585" i="16"/>
  <c r="M584" i="16"/>
  <c r="K584" i="16"/>
  <c r="I584" i="16"/>
  <c r="H584" i="16"/>
  <c r="G584" i="16"/>
  <c r="E584" i="16"/>
  <c r="C584" i="16"/>
  <c r="B584" i="16"/>
  <c r="L584" i="16" s="1"/>
  <c r="A584" i="16"/>
  <c r="N583" i="16"/>
  <c r="M583" i="16"/>
  <c r="K583" i="16"/>
  <c r="I583" i="16"/>
  <c r="H583" i="16"/>
  <c r="G583" i="16"/>
  <c r="F583" i="16"/>
  <c r="E583" i="16"/>
  <c r="C583" i="16"/>
  <c r="B583" i="16"/>
  <c r="J583" i="16" s="1"/>
  <c r="A583" i="16"/>
  <c r="N582" i="16"/>
  <c r="M582" i="16"/>
  <c r="L582" i="16"/>
  <c r="K582" i="16"/>
  <c r="I582" i="16"/>
  <c r="H582" i="16"/>
  <c r="G582" i="16"/>
  <c r="F582" i="16"/>
  <c r="E582" i="16"/>
  <c r="D582" i="16"/>
  <c r="C582" i="16"/>
  <c r="B582" i="16"/>
  <c r="J582" i="16" s="1"/>
  <c r="A582" i="16"/>
  <c r="M581" i="16"/>
  <c r="K581" i="16"/>
  <c r="I581" i="16"/>
  <c r="G581" i="16"/>
  <c r="E581" i="16"/>
  <c r="C581" i="16"/>
  <c r="B581" i="16"/>
  <c r="N581" i="16" s="1"/>
  <c r="A581" i="16"/>
  <c r="M580" i="16"/>
  <c r="K580" i="16"/>
  <c r="I580" i="16"/>
  <c r="H580" i="16"/>
  <c r="G580" i="16"/>
  <c r="E580" i="16"/>
  <c r="C580" i="16"/>
  <c r="B580" i="16"/>
  <c r="L580" i="16" s="1"/>
  <c r="A580" i="16"/>
  <c r="N579" i="16"/>
  <c r="M579" i="16"/>
  <c r="K579" i="16"/>
  <c r="I579" i="16"/>
  <c r="H579" i="16"/>
  <c r="G579" i="16"/>
  <c r="F579" i="16"/>
  <c r="E579" i="16"/>
  <c r="C579" i="16"/>
  <c r="B579" i="16"/>
  <c r="J579" i="16" s="1"/>
  <c r="A579" i="16"/>
  <c r="N578" i="16"/>
  <c r="M578" i="16"/>
  <c r="L578" i="16"/>
  <c r="K578" i="16"/>
  <c r="I578" i="16"/>
  <c r="H578" i="16"/>
  <c r="G578" i="16"/>
  <c r="F578" i="16"/>
  <c r="E578" i="16"/>
  <c r="D578" i="16"/>
  <c r="C578" i="16"/>
  <c r="B578" i="16"/>
  <c r="J578" i="16" s="1"/>
  <c r="A578" i="16"/>
  <c r="M577" i="16"/>
  <c r="K577" i="16"/>
  <c r="I577" i="16"/>
  <c r="G577" i="16"/>
  <c r="E577" i="16"/>
  <c r="C577" i="16"/>
  <c r="B577" i="16"/>
  <c r="N577" i="16" s="1"/>
  <c r="A577" i="16"/>
  <c r="M576" i="16"/>
  <c r="K576" i="16"/>
  <c r="I576" i="16"/>
  <c r="H576" i="16"/>
  <c r="G576" i="16"/>
  <c r="E576" i="16"/>
  <c r="C576" i="16"/>
  <c r="B576" i="16"/>
  <c r="L576" i="16" s="1"/>
  <c r="A576" i="16"/>
  <c r="N575" i="16"/>
  <c r="M575" i="16"/>
  <c r="K575" i="16"/>
  <c r="I575" i="16"/>
  <c r="H575" i="16"/>
  <c r="G575" i="16"/>
  <c r="F575" i="16"/>
  <c r="E575" i="16"/>
  <c r="C575" i="16"/>
  <c r="B575" i="16"/>
  <c r="J575" i="16" s="1"/>
  <c r="A575" i="16"/>
  <c r="N574" i="16"/>
  <c r="M574" i="16"/>
  <c r="L574" i="16"/>
  <c r="K574" i="16"/>
  <c r="I574" i="16"/>
  <c r="H574" i="16"/>
  <c r="G574" i="16"/>
  <c r="F574" i="16"/>
  <c r="E574" i="16"/>
  <c r="D574" i="16"/>
  <c r="C574" i="16"/>
  <c r="B574" i="16"/>
  <c r="J574" i="16" s="1"/>
  <c r="A574" i="16"/>
  <c r="M573" i="16"/>
  <c r="K573" i="16"/>
  <c r="I573" i="16"/>
  <c r="G573" i="16"/>
  <c r="E573" i="16"/>
  <c r="C573" i="16"/>
  <c r="B573" i="16"/>
  <c r="N573" i="16" s="1"/>
  <c r="A573" i="16"/>
  <c r="M572" i="16"/>
  <c r="K572" i="16"/>
  <c r="I572" i="16"/>
  <c r="H572" i="16"/>
  <c r="G572" i="16"/>
  <c r="E572" i="16"/>
  <c r="C572" i="16"/>
  <c r="B572" i="16"/>
  <c r="L572" i="16" s="1"/>
  <c r="A572" i="16"/>
  <c r="N571" i="16"/>
  <c r="M571" i="16"/>
  <c r="K571" i="16"/>
  <c r="I571" i="16"/>
  <c r="H571" i="16"/>
  <c r="G571" i="16"/>
  <c r="F571" i="16"/>
  <c r="E571" i="16"/>
  <c r="C571" i="16"/>
  <c r="B571" i="16"/>
  <c r="J571" i="16" s="1"/>
  <c r="A571" i="16"/>
  <c r="N570" i="16"/>
  <c r="M570" i="16"/>
  <c r="L570" i="16"/>
  <c r="K570" i="16"/>
  <c r="I570" i="16"/>
  <c r="H570" i="16"/>
  <c r="G570" i="16"/>
  <c r="F570" i="16"/>
  <c r="E570" i="16"/>
  <c r="D570" i="16"/>
  <c r="C570" i="16"/>
  <c r="B570" i="16"/>
  <c r="J570" i="16" s="1"/>
  <c r="A570" i="16"/>
  <c r="M569" i="16"/>
  <c r="K569" i="16"/>
  <c r="I569" i="16"/>
  <c r="G569" i="16"/>
  <c r="E569" i="16"/>
  <c r="C569" i="16"/>
  <c r="B569" i="16"/>
  <c r="N569" i="16" s="1"/>
  <c r="A569" i="16"/>
  <c r="M568" i="16"/>
  <c r="K568" i="16"/>
  <c r="I568" i="16"/>
  <c r="H568" i="16"/>
  <c r="G568" i="16"/>
  <c r="E568" i="16"/>
  <c r="C568" i="16"/>
  <c r="B568" i="16"/>
  <c r="L568" i="16" s="1"/>
  <c r="A568" i="16"/>
  <c r="N567" i="16"/>
  <c r="M567" i="16"/>
  <c r="K567" i="16"/>
  <c r="I567" i="16"/>
  <c r="H567" i="16"/>
  <c r="G567" i="16"/>
  <c r="F567" i="16"/>
  <c r="E567" i="16"/>
  <c r="C567" i="16"/>
  <c r="B567" i="16"/>
  <c r="J567" i="16" s="1"/>
  <c r="A567" i="16"/>
  <c r="N566" i="16"/>
  <c r="M566" i="16"/>
  <c r="L566" i="16"/>
  <c r="K566" i="16"/>
  <c r="I566" i="16"/>
  <c r="H566" i="16"/>
  <c r="G566" i="16"/>
  <c r="F566" i="16"/>
  <c r="E566" i="16"/>
  <c r="D566" i="16"/>
  <c r="C566" i="16"/>
  <c r="B566" i="16"/>
  <c r="J566" i="16" s="1"/>
  <c r="A566" i="16"/>
  <c r="M565" i="16"/>
  <c r="K565" i="16"/>
  <c r="I565" i="16"/>
  <c r="G565" i="16"/>
  <c r="E565" i="16"/>
  <c r="C565" i="16"/>
  <c r="B565" i="16"/>
  <c r="N565" i="16" s="1"/>
  <c r="A565" i="16"/>
  <c r="M564" i="16"/>
  <c r="K564" i="16"/>
  <c r="I564" i="16"/>
  <c r="H564" i="16"/>
  <c r="G564" i="16"/>
  <c r="E564" i="16"/>
  <c r="C564" i="16"/>
  <c r="B564" i="16"/>
  <c r="L564" i="16" s="1"/>
  <c r="A564" i="16"/>
  <c r="N563" i="16"/>
  <c r="M563" i="16"/>
  <c r="K563" i="16"/>
  <c r="I563" i="16"/>
  <c r="H563" i="16"/>
  <c r="G563" i="16"/>
  <c r="F563" i="16"/>
  <c r="E563" i="16"/>
  <c r="C563" i="16"/>
  <c r="B563" i="16"/>
  <c r="J563" i="16" s="1"/>
  <c r="A563" i="16"/>
  <c r="N562" i="16"/>
  <c r="M562" i="16"/>
  <c r="L562" i="16"/>
  <c r="K562" i="16"/>
  <c r="I562" i="16"/>
  <c r="H562" i="16"/>
  <c r="G562" i="16"/>
  <c r="F562" i="16"/>
  <c r="E562" i="16"/>
  <c r="D562" i="16"/>
  <c r="C562" i="16"/>
  <c r="B562" i="16"/>
  <c r="J562" i="16" s="1"/>
  <c r="A562" i="16"/>
  <c r="M561" i="16"/>
  <c r="K561" i="16"/>
  <c r="I561" i="16"/>
  <c r="G561" i="16"/>
  <c r="E561" i="16"/>
  <c r="C561" i="16"/>
  <c r="B561" i="16"/>
  <c r="N561" i="16" s="1"/>
  <c r="A561" i="16"/>
  <c r="M560" i="16"/>
  <c r="K560" i="16"/>
  <c r="I560" i="16"/>
  <c r="H560" i="16"/>
  <c r="G560" i="16"/>
  <c r="E560" i="16"/>
  <c r="C560" i="16"/>
  <c r="B560" i="16"/>
  <c r="L560" i="16" s="1"/>
  <c r="A560" i="16"/>
  <c r="N559" i="16"/>
  <c r="M559" i="16"/>
  <c r="K559" i="16"/>
  <c r="I559" i="16"/>
  <c r="H559" i="16"/>
  <c r="G559" i="16"/>
  <c r="F559" i="16"/>
  <c r="E559" i="16"/>
  <c r="C559" i="16"/>
  <c r="B559" i="16"/>
  <c r="J559" i="16" s="1"/>
  <c r="A559" i="16"/>
  <c r="N558" i="16"/>
  <c r="M558" i="16"/>
  <c r="L558" i="16"/>
  <c r="K558" i="16"/>
  <c r="I558" i="16"/>
  <c r="H558" i="16"/>
  <c r="G558" i="16"/>
  <c r="F558" i="16"/>
  <c r="E558" i="16"/>
  <c r="D558" i="16"/>
  <c r="C558" i="16"/>
  <c r="B558" i="16"/>
  <c r="J558" i="16" s="1"/>
  <c r="A558" i="16"/>
  <c r="M557" i="16"/>
  <c r="K557" i="16"/>
  <c r="I557" i="16"/>
  <c r="G557" i="16"/>
  <c r="E557" i="16"/>
  <c r="C557" i="16"/>
  <c r="B557" i="16"/>
  <c r="N557" i="16" s="1"/>
  <c r="A557" i="16"/>
  <c r="M556" i="16"/>
  <c r="K556" i="16"/>
  <c r="I556" i="16"/>
  <c r="H556" i="16"/>
  <c r="G556" i="16"/>
  <c r="E556" i="16"/>
  <c r="C556" i="16"/>
  <c r="B556" i="16"/>
  <c r="L556" i="16" s="1"/>
  <c r="A556" i="16"/>
  <c r="N555" i="16"/>
  <c r="M555" i="16"/>
  <c r="K555" i="16"/>
  <c r="I555" i="16"/>
  <c r="H555" i="16"/>
  <c r="G555" i="16"/>
  <c r="F555" i="16"/>
  <c r="E555" i="16"/>
  <c r="C555" i="16"/>
  <c r="B555" i="16"/>
  <c r="J555" i="16" s="1"/>
  <c r="A555" i="16"/>
  <c r="N554" i="16"/>
  <c r="M554" i="16"/>
  <c r="L554" i="16"/>
  <c r="K554" i="16"/>
  <c r="I554" i="16"/>
  <c r="H554" i="16"/>
  <c r="G554" i="16"/>
  <c r="F554" i="16"/>
  <c r="E554" i="16"/>
  <c r="D554" i="16"/>
  <c r="C554" i="16"/>
  <c r="B554" i="16"/>
  <c r="J554" i="16" s="1"/>
  <c r="A554" i="16"/>
  <c r="M553" i="16"/>
  <c r="K553" i="16"/>
  <c r="I553" i="16"/>
  <c r="G553" i="16"/>
  <c r="E553" i="16"/>
  <c r="C553" i="16"/>
  <c r="B553" i="16"/>
  <c r="N553" i="16" s="1"/>
  <c r="A553" i="16"/>
  <c r="M552" i="16"/>
  <c r="K552" i="16"/>
  <c r="I552" i="16"/>
  <c r="H552" i="16"/>
  <c r="G552" i="16"/>
  <c r="E552" i="16"/>
  <c r="C552" i="16"/>
  <c r="B552" i="16"/>
  <c r="L552" i="16" s="1"/>
  <c r="A552" i="16"/>
  <c r="N551" i="16"/>
  <c r="M551" i="16"/>
  <c r="K551" i="16"/>
  <c r="I551" i="16"/>
  <c r="H551" i="16"/>
  <c r="G551" i="16"/>
  <c r="F551" i="16"/>
  <c r="E551" i="16"/>
  <c r="C551" i="16"/>
  <c r="B551" i="16"/>
  <c r="J551" i="16" s="1"/>
  <c r="A551" i="16"/>
  <c r="N550" i="16"/>
  <c r="M550" i="16"/>
  <c r="L550" i="16"/>
  <c r="K550" i="16"/>
  <c r="I550" i="16"/>
  <c r="H550" i="16"/>
  <c r="G550" i="16"/>
  <c r="F550" i="16"/>
  <c r="E550" i="16"/>
  <c r="D550" i="16"/>
  <c r="C550" i="16"/>
  <c r="B550" i="16"/>
  <c r="J550" i="16" s="1"/>
  <c r="A550" i="16"/>
  <c r="M549" i="16"/>
  <c r="K549" i="16"/>
  <c r="I549" i="16"/>
  <c r="G549" i="16"/>
  <c r="E549" i="16"/>
  <c r="C549" i="16"/>
  <c r="B549" i="16"/>
  <c r="N549" i="16" s="1"/>
  <c r="A549" i="16"/>
  <c r="M548" i="16"/>
  <c r="K548" i="16"/>
  <c r="I548" i="16"/>
  <c r="H548" i="16"/>
  <c r="G548" i="16"/>
  <c r="E548" i="16"/>
  <c r="C548" i="16"/>
  <c r="B548" i="16"/>
  <c r="L548" i="16" s="1"/>
  <c r="A548" i="16"/>
  <c r="N547" i="16"/>
  <c r="M547" i="16"/>
  <c r="K547" i="16"/>
  <c r="I547" i="16"/>
  <c r="H547" i="16"/>
  <c r="G547" i="16"/>
  <c r="F547" i="16"/>
  <c r="E547" i="16"/>
  <c r="C547" i="16"/>
  <c r="B547" i="16"/>
  <c r="J547" i="16" s="1"/>
  <c r="A547" i="16"/>
  <c r="N546" i="16"/>
  <c r="M546" i="16"/>
  <c r="L546" i="16"/>
  <c r="K546" i="16"/>
  <c r="I546" i="16"/>
  <c r="H546" i="16"/>
  <c r="G546" i="16"/>
  <c r="F546" i="16"/>
  <c r="E546" i="16"/>
  <c r="D546" i="16"/>
  <c r="C546" i="16"/>
  <c r="B546" i="16"/>
  <c r="J546" i="16" s="1"/>
  <c r="A546" i="16"/>
  <c r="M545" i="16"/>
  <c r="K545" i="16"/>
  <c r="I545" i="16"/>
  <c r="G545" i="16"/>
  <c r="E545" i="16"/>
  <c r="C545" i="16"/>
  <c r="B545" i="16"/>
  <c r="N545" i="16" s="1"/>
  <c r="A545" i="16"/>
  <c r="M544" i="16"/>
  <c r="K544" i="16"/>
  <c r="I544" i="16"/>
  <c r="H544" i="16"/>
  <c r="G544" i="16"/>
  <c r="E544" i="16"/>
  <c r="C544" i="16"/>
  <c r="B544" i="16"/>
  <c r="L544" i="16" s="1"/>
  <c r="A544" i="16"/>
  <c r="N543" i="16"/>
  <c r="M543" i="16"/>
  <c r="K543" i="16"/>
  <c r="I543" i="16"/>
  <c r="H543" i="16"/>
  <c r="G543" i="16"/>
  <c r="F543" i="16"/>
  <c r="E543" i="16"/>
  <c r="C543" i="16"/>
  <c r="B543" i="16"/>
  <c r="J543" i="16" s="1"/>
  <c r="A543" i="16"/>
  <c r="N542" i="16"/>
  <c r="M542" i="16"/>
  <c r="L542" i="16"/>
  <c r="K542" i="16"/>
  <c r="I542" i="16"/>
  <c r="H542" i="16"/>
  <c r="G542" i="16"/>
  <c r="F542" i="16"/>
  <c r="E542" i="16"/>
  <c r="D542" i="16"/>
  <c r="C542" i="16"/>
  <c r="B542" i="16"/>
  <c r="J542" i="16" s="1"/>
  <c r="A542" i="16"/>
  <c r="M541" i="16"/>
  <c r="K541" i="16"/>
  <c r="I541" i="16"/>
  <c r="G541" i="16"/>
  <c r="E541" i="16"/>
  <c r="C541" i="16"/>
  <c r="B541" i="16"/>
  <c r="N541" i="16" s="1"/>
  <c r="A541" i="16"/>
  <c r="M540" i="16"/>
  <c r="K540" i="16"/>
  <c r="I540" i="16"/>
  <c r="H540" i="16"/>
  <c r="G540" i="16"/>
  <c r="E540" i="16"/>
  <c r="C540" i="16"/>
  <c r="B540" i="16"/>
  <c r="L540" i="16" s="1"/>
  <c r="A540" i="16"/>
  <c r="N539" i="16"/>
  <c r="M539" i="16"/>
  <c r="K539" i="16"/>
  <c r="I539" i="16"/>
  <c r="H539" i="16"/>
  <c r="G539" i="16"/>
  <c r="F539" i="16"/>
  <c r="E539" i="16"/>
  <c r="C539" i="16"/>
  <c r="B539" i="16"/>
  <c r="J539" i="16" s="1"/>
  <c r="A539" i="16"/>
  <c r="N538" i="16"/>
  <c r="M538" i="16"/>
  <c r="L538" i="16"/>
  <c r="K538" i="16"/>
  <c r="I538" i="16"/>
  <c r="H538" i="16"/>
  <c r="G538" i="16"/>
  <c r="F538" i="16"/>
  <c r="E538" i="16"/>
  <c r="D538" i="16"/>
  <c r="C538" i="16"/>
  <c r="B538" i="16"/>
  <c r="J538" i="16" s="1"/>
  <c r="A538" i="16"/>
  <c r="M537" i="16"/>
  <c r="K537" i="16"/>
  <c r="I537" i="16"/>
  <c r="G537" i="16"/>
  <c r="E537" i="16"/>
  <c r="C537" i="16"/>
  <c r="B537" i="16"/>
  <c r="N537" i="16" s="1"/>
  <c r="A537" i="16"/>
  <c r="M536" i="16"/>
  <c r="K536" i="16"/>
  <c r="I536" i="16"/>
  <c r="H536" i="16"/>
  <c r="G536" i="16"/>
  <c r="E536" i="16"/>
  <c r="C536" i="16"/>
  <c r="B536" i="16"/>
  <c r="L536" i="16" s="1"/>
  <c r="A536" i="16"/>
  <c r="N535" i="16"/>
  <c r="M535" i="16"/>
  <c r="K535" i="16"/>
  <c r="I535" i="16"/>
  <c r="H535" i="16"/>
  <c r="G535" i="16"/>
  <c r="F535" i="16"/>
  <c r="E535" i="16"/>
  <c r="C535" i="16"/>
  <c r="B535" i="16"/>
  <c r="J535" i="16" s="1"/>
  <c r="A535" i="16"/>
  <c r="N534" i="16"/>
  <c r="M534" i="16"/>
  <c r="L534" i="16"/>
  <c r="K534" i="16"/>
  <c r="I534" i="16"/>
  <c r="H534" i="16"/>
  <c r="G534" i="16"/>
  <c r="F534" i="16"/>
  <c r="E534" i="16"/>
  <c r="D534" i="16"/>
  <c r="C534" i="16"/>
  <c r="B534" i="16"/>
  <c r="J534" i="16" s="1"/>
  <c r="A534" i="16"/>
  <c r="M533" i="16"/>
  <c r="K533" i="16"/>
  <c r="I533" i="16"/>
  <c r="G533" i="16"/>
  <c r="E533" i="16"/>
  <c r="C533" i="16"/>
  <c r="B533" i="16"/>
  <c r="N533" i="16" s="1"/>
  <c r="A533" i="16"/>
  <c r="M532" i="16"/>
  <c r="K532" i="16"/>
  <c r="I532" i="16"/>
  <c r="H532" i="16"/>
  <c r="G532" i="16"/>
  <c r="E532" i="16"/>
  <c r="C532" i="16"/>
  <c r="B532" i="16"/>
  <c r="L532" i="16" s="1"/>
  <c r="A532" i="16"/>
  <c r="N531" i="16"/>
  <c r="M531" i="16"/>
  <c r="K531" i="16"/>
  <c r="I531" i="16"/>
  <c r="H531" i="16"/>
  <c r="G531" i="16"/>
  <c r="F531" i="16"/>
  <c r="E531" i="16"/>
  <c r="C531" i="16"/>
  <c r="B531" i="16"/>
  <c r="J531" i="16" s="1"/>
  <c r="A531" i="16"/>
  <c r="N530" i="16"/>
  <c r="M530" i="16"/>
  <c r="L530" i="16"/>
  <c r="K530" i="16"/>
  <c r="I530" i="16"/>
  <c r="H530" i="16"/>
  <c r="G530" i="16"/>
  <c r="F530" i="16"/>
  <c r="E530" i="16"/>
  <c r="D530" i="16"/>
  <c r="C530" i="16"/>
  <c r="B530" i="16"/>
  <c r="J530" i="16" s="1"/>
  <c r="A530" i="16"/>
  <c r="M529" i="16"/>
  <c r="K529" i="16"/>
  <c r="J529" i="16"/>
  <c r="I529" i="16"/>
  <c r="G529" i="16"/>
  <c r="C529" i="16"/>
  <c r="B529" i="16"/>
  <c r="A529" i="16"/>
  <c r="M528" i="16"/>
  <c r="K528" i="16"/>
  <c r="I528" i="16"/>
  <c r="H528" i="16"/>
  <c r="G528" i="16"/>
  <c r="E528" i="16"/>
  <c r="C528" i="16"/>
  <c r="B528" i="16"/>
  <c r="L528" i="16" s="1"/>
  <c r="A528" i="16"/>
  <c r="N527" i="16"/>
  <c r="M527" i="16"/>
  <c r="K527" i="16"/>
  <c r="I527" i="16"/>
  <c r="H527" i="16"/>
  <c r="G527" i="16"/>
  <c r="F527" i="16"/>
  <c r="E527" i="16"/>
  <c r="C527" i="16"/>
  <c r="B527" i="16"/>
  <c r="J527" i="16" s="1"/>
  <c r="A527" i="16"/>
  <c r="N526" i="16"/>
  <c r="M526" i="16"/>
  <c r="L526" i="16"/>
  <c r="K526" i="16"/>
  <c r="I526" i="16"/>
  <c r="H526" i="16"/>
  <c r="G526" i="16"/>
  <c r="F526" i="16"/>
  <c r="E526" i="16"/>
  <c r="D526" i="16"/>
  <c r="C526" i="16"/>
  <c r="B526" i="16"/>
  <c r="J526" i="16" s="1"/>
  <c r="A526" i="16"/>
  <c r="M525" i="16"/>
  <c r="K525" i="16"/>
  <c r="J525" i="16"/>
  <c r="G525" i="16"/>
  <c r="C525" i="16"/>
  <c r="B525" i="16"/>
  <c r="A525" i="16"/>
  <c r="M524" i="16"/>
  <c r="K524" i="16"/>
  <c r="I524" i="16"/>
  <c r="H524" i="16"/>
  <c r="G524" i="16"/>
  <c r="E524" i="16"/>
  <c r="C524" i="16"/>
  <c r="B524" i="16"/>
  <c r="L524" i="16" s="1"/>
  <c r="A524" i="16"/>
  <c r="N523" i="16"/>
  <c r="M523" i="16"/>
  <c r="K523" i="16"/>
  <c r="I523" i="16"/>
  <c r="H523" i="16"/>
  <c r="G523" i="16"/>
  <c r="F523" i="16"/>
  <c r="E523" i="16"/>
  <c r="C523" i="16"/>
  <c r="B523" i="16"/>
  <c r="J523" i="16" s="1"/>
  <c r="A523" i="16"/>
  <c r="N522" i="16"/>
  <c r="M522" i="16"/>
  <c r="L522" i="16"/>
  <c r="K522" i="16"/>
  <c r="I522" i="16"/>
  <c r="H522" i="16"/>
  <c r="G522" i="16"/>
  <c r="F522" i="16"/>
  <c r="E522" i="16"/>
  <c r="D522" i="16"/>
  <c r="C522" i="16"/>
  <c r="B522" i="16"/>
  <c r="J522" i="16" s="1"/>
  <c r="A522" i="16"/>
  <c r="G521" i="16"/>
  <c r="C521" i="16"/>
  <c r="B521" i="16"/>
  <c r="M521" i="16" s="1"/>
  <c r="M520" i="16"/>
  <c r="K520" i="16"/>
  <c r="I520" i="16"/>
  <c r="H520" i="16"/>
  <c r="G520" i="16"/>
  <c r="E520" i="16"/>
  <c r="C520" i="16"/>
  <c r="B520" i="16"/>
  <c r="L520" i="16" s="1"/>
  <c r="A520" i="16"/>
  <c r="N519" i="16"/>
  <c r="M519" i="16"/>
  <c r="K519" i="16"/>
  <c r="I519" i="16"/>
  <c r="H519" i="16"/>
  <c r="G519" i="16"/>
  <c r="F519" i="16"/>
  <c r="E519" i="16"/>
  <c r="C519" i="16"/>
  <c r="B519" i="16"/>
  <c r="J519" i="16" s="1"/>
  <c r="A519" i="16"/>
  <c r="N518" i="16"/>
  <c r="M518" i="16"/>
  <c r="L518" i="16"/>
  <c r="K518" i="16"/>
  <c r="I518" i="16"/>
  <c r="H518" i="16"/>
  <c r="G518" i="16"/>
  <c r="F518" i="16"/>
  <c r="E518" i="16"/>
  <c r="D518" i="16"/>
  <c r="C518" i="16"/>
  <c r="B518" i="16"/>
  <c r="J518" i="16" s="1"/>
  <c r="A518" i="16"/>
  <c r="M517" i="16"/>
  <c r="K517" i="16"/>
  <c r="J517" i="16"/>
  <c r="I517" i="16"/>
  <c r="G517" i="16"/>
  <c r="E517" i="16"/>
  <c r="C517" i="16"/>
  <c r="B517" i="16"/>
  <c r="A517" i="16"/>
  <c r="M516" i="16"/>
  <c r="K516" i="16"/>
  <c r="I516" i="16"/>
  <c r="H516" i="16"/>
  <c r="G516" i="16"/>
  <c r="E516" i="16"/>
  <c r="C516" i="16"/>
  <c r="B516" i="16"/>
  <c r="L516" i="16" s="1"/>
  <c r="A516" i="16"/>
  <c r="N515" i="16"/>
  <c r="M515" i="16"/>
  <c r="K515" i="16"/>
  <c r="I515" i="16"/>
  <c r="H515" i="16"/>
  <c r="G515" i="16"/>
  <c r="F515" i="16"/>
  <c r="E515" i="16"/>
  <c r="C515" i="16"/>
  <c r="B515" i="16"/>
  <c r="J515" i="16" s="1"/>
  <c r="A515" i="16"/>
  <c r="N514" i="16"/>
  <c r="M514" i="16"/>
  <c r="L514" i="16"/>
  <c r="K514" i="16"/>
  <c r="I514" i="16"/>
  <c r="H514" i="16"/>
  <c r="G514" i="16"/>
  <c r="F514" i="16"/>
  <c r="E514" i="16"/>
  <c r="D514" i="16"/>
  <c r="C514" i="16"/>
  <c r="B514" i="16"/>
  <c r="J514" i="16" s="1"/>
  <c r="A514" i="16"/>
  <c r="M513" i="16"/>
  <c r="K513" i="16"/>
  <c r="J513" i="16"/>
  <c r="I513" i="16"/>
  <c r="G513" i="16"/>
  <c r="C513" i="16"/>
  <c r="B513" i="16"/>
  <c r="A513" i="16"/>
  <c r="M512" i="16"/>
  <c r="K512" i="16"/>
  <c r="I512" i="16"/>
  <c r="H512" i="16"/>
  <c r="G512" i="16"/>
  <c r="E512" i="16"/>
  <c r="C512" i="16"/>
  <c r="B512" i="16"/>
  <c r="L512" i="16" s="1"/>
  <c r="A512" i="16"/>
  <c r="N511" i="16"/>
  <c r="M511" i="16"/>
  <c r="K511" i="16"/>
  <c r="I511" i="16"/>
  <c r="H511" i="16"/>
  <c r="G511" i="16"/>
  <c r="F511" i="16"/>
  <c r="E511" i="16"/>
  <c r="C511" i="16"/>
  <c r="B511" i="16"/>
  <c r="J511" i="16" s="1"/>
  <c r="A511" i="16"/>
  <c r="N510" i="16"/>
  <c r="M510" i="16"/>
  <c r="L510" i="16"/>
  <c r="K510" i="16"/>
  <c r="I510" i="16"/>
  <c r="H510" i="16"/>
  <c r="G510" i="16"/>
  <c r="F510" i="16"/>
  <c r="E510" i="16"/>
  <c r="D510" i="16"/>
  <c r="C510" i="16"/>
  <c r="B510" i="16"/>
  <c r="J510" i="16" s="1"/>
  <c r="A510" i="16"/>
  <c r="M509" i="16"/>
  <c r="K509" i="16"/>
  <c r="J509" i="16"/>
  <c r="G509" i="16"/>
  <c r="C509" i="16"/>
  <c r="B509" i="16"/>
  <c r="A509" i="16"/>
  <c r="M508" i="16"/>
  <c r="K508" i="16"/>
  <c r="I508" i="16"/>
  <c r="H508" i="16"/>
  <c r="G508" i="16"/>
  <c r="E508" i="16"/>
  <c r="C508" i="16"/>
  <c r="B508" i="16"/>
  <c r="L508" i="16" s="1"/>
  <c r="A508" i="16"/>
  <c r="N507" i="16"/>
  <c r="M507" i="16"/>
  <c r="K507" i="16"/>
  <c r="I507" i="16"/>
  <c r="H507" i="16"/>
  <c r="G507" i="16"/>
  <c r="F507" i="16"/>
  <c r="E507" i="16"/>
  <c r="C507" i="16"/>
  <c r="B507" i="16"/>
  <c r="J507" i="16" s="1"/>
  <c r="A507" i="16"/>
  <c r="N506" i="16"/>
  <c r="M506" i="16"/>
  <c r="L506" i="16"/>
  <c r="K506" i="16"/>
  <c r="I506" i="16"/>
  <c r="H506" i="16"/>
  <c r="G506" i="16"/>
  <c r="F506" i="16"/>
  <c r="E506" i="16"/>
  <c r="D506" i="16"/>
  <c r="C506" i="16"/>
  <c r="B506" i="16"/>
  <c r="J506" i="16" s="1"/>
  <c r="A506" i="16"/>
  <c r="C505" i="16"/>
  <c r="B505" i="16"/>
  <c r="M505" i="16" s="1"/>
  <c r="M504" i="16"/>
  <c r="K504" i="16"/>
  <c r="I504" i="16"/>
  <c r="H504" i="16"/>
  <c r="G504" i="16"/>
  <c r="E504" i="16"/>
  <c r="C504" i="16"/>
  <c r="B504" i="16"/>
  <c r="L504" i="16" s="1"/>
  <c r="A504" i="16"/>
  <c r="N503" i="16"/>
  <c r="M503" i="16"/>
  <c r="K503" i="16"/>
  <c r="I503" i="16"/>
  <c r="H503" i="16"/>
  <c r="G503" i="16"/>
  <c r="F503" i="16"/>
  <c r="E503" i="16"/>
  <c r="C503" i="16"/>
  <c r="B503" i="16"/>
  <c r="J503" i="16" s="1"/>
  <c r="A503" i="16"/>
  <c r="N502" i="16"/>
  <c r="M502" i="16"/>
  <c r="L502" i="16"/>
  <c r="K502" i="16"/>
  <c r="I502" i="16"/>
  <c r="H502" i="16"/>
  <c r="G502" i="16"/>
  <c r="F502" i="16"/>
  <c r="E502" i="16"/>
  <c r="D502" i="16"/>
  <c r="C502" i="16"/>
  <c r="B502" i="16"/>
  <c r="J502" i="16" s="1"/>
  <c r="A502" i="16"/>
  <c r="M501" i="16"/>
  <c r="K501" i="16"/>
  <c r="J501" i="16"/>
  <c r="I501" i="16"/>
  <c r="G501" i="16"/>
  <c r="E501" i="16"/>
  <c r="C501" i="16"/>
  <c r="B501" i="16"/>
  <c r="A501" i="16"/>
  <c r="M500" i="16"/>
  <c r="K500" i="16"/>
  <c r="I500" i="16"/>
  <c r="H500" i="16"/>
  <c r="G500" i="16"/>
  <c r="E500" i="16"/>
  <c r="C500" i="16"/>
  <c r="B500" i="16"/>
  <c r="L500" i="16" s="1"/>
  <c r="A500" i="16"/>
  <c r="N499" i="16"/>
  <c r="M499" i="16"/>
  <c r="K499" i="16"/>
  <c r="I499" i="16"/>
  <c r="H499" i="16"/>
  <c r="G499" i="16"/>
  <c r="F499" i="16"/>
  <c r="E499" i="16"/>
  <c r="C499" i="16"/>
  <c r="B499" i="16"/>
  <c r="J499" i="16" s="1"/>
  <c r="A499" i="16"/>
  <c r="N498" i="16"/>
  <c r="M498" i="16"/>
  <c r="L498" i="16"/>
  <c r="K498" i="16"/>
  <c r="I498" i="16"/>
  <c r="H498" i="16"/>
  <c r="G498" i="16"/>
  <c r="F498" i="16"/>
  <c r="E498" i="16"/>
  <c r="D498" i="16"/>
  <c r="C498" i="16"/>
  <c r="B498" i="16"/>
  <c r="J498" i="16" s="1"/>
  <c r="A498" i="16"/>
  <c r="M497" i="16"/>
  <c r="K497" i="16"/>
  <c r="J497" i="16"/>
  <c r="I497" i="16"/>
  <c r="G497" i="16"/>
  <c r="C497" i="16"/>
  <c r="B497" i="16"/>
  <c r="A497" i="16"/>
  <c r="M496" i="16"/>
  <c r="K496" i="16"/>
  <c r="I496" i="16"/>
  <c r="H496" i="16"/>
  <c r="G496" i="16"/>
  <c r="E496" i="16"/>
  <c r="C496" i="16"/>
  <c r="B496" i="16"/>
  <c r="L496" i="16" s="1"/>
  <c r="A496" i="16"/>
  <c r="N495" i="16"/>
  <c r="M495" i="16"/>
  <c r="K495" i="16"/>
  <c r="I495" i="16"/>
  <c r="H495" i="16"/>
  <c r="G495" i="16"/>
  <c r="F495" i="16"/>
  <c r="E495" i="16"/>
  <c r="C495" i="16"/>
  <c r="B495" i="16"/>
  <c r="J495" i="16" s="1"/>
  <c r="A495" i="16"/>
  <c r="N494" i="16"/>
  <c r="M494" i="16"/>
  <c r="L494" i="16"/>
  <c r="K494" i="16"/>
  <c r="I494" i="16"/>
  <c r="H494" i="16"/>
  <c r="G494" i="16"/>
  <c r="F494" i="16"/>
  <c r="E494" i="16"/>
  <c r="D494" i="16"/>
  <c r="C494" i="16"/>
  <c r="B494" i="16"/>
  <c r="J494" i="16" s="1"/>
  <c r="A494" i="16"/>
  <c r="M493" i="16"/>
  <c r="K493" i="16"/>
  <c r="J493" i="16"/>
  <c r="G493" i="16"/>
  <c r="C493" i="16"/>
  <c r="B493" i="16"/>
  <c r="A493" i="16"/>
  <c r="M492" i="16"/>
  <c r="K492" i="16"/>
  <c r="I492" i="16"/>
  <c r="H492" i="16"/>
  <c r="G492" i="16"/>
  <c r="E492" i="16"/>
  <c r="C492" i="16"/>
  <c r="B492" i="16"/>
  <c r="L492" i="16" s="1"/>
  <c r="A492" i="16"/>
  <c r="N491" i="16"/>
  <c r="M491" i="16"/>
  <c r="K491" i="16"/>
  <c r="I491" i="16"/>
  <c r="H491" i="16"/>
  <c r="G491" i="16"/>
  <c r="F491" i="16"/>
  <c r="E491" i="16"/>
  <c r="C491" i="16"/>
  <c r="B491" i="16"/>
  <c r="J491" i="16" s="1"/>
  <c r="A491" i="16"/>
  <c r="N490" i="16"/>
  <c r="M490" i="16"/>
  <c r="L490" i="16"/>
  <c r="K490" i="16"/>
  <c r="I490" i="16"/>
  <c r="H490" i="16"/>
  <c r="G490" i="16"/>
  <c r="F490" i="16"/>
  <c r="E490" i="16"/>
  <c r="D490" i="16"/>
  <c r="C490" i="16"/>
  <c r="B490" i="16"/>
  <c r="J490" i="16" s="1"/>
  <c r="A490" i="16"/>
  <c r="C489" i="16"/>
  <c r="B489" i="16"/>
  <c r="M489" i="16" s="1"/>
  <c r="M488" i="16"/>
  <c r="K488" i="16"/>
  <c r="I488" i="16"/>
  <c r="H488" i="16"/>
  <c r="G488" i="16"/>
  <c r="E488" i="16"/>
  <c r="C488" i="16"/>
  <c r="B488" i="16"/>
  <c r="L488" i="16" s="1"/>
  <c r="A488" i="16"/>
  <c r="N487" i="16"/>
  <c r="M487" i="16"/>
  <c r="K487" i="16"/>
  <c r="I487" i="16"/>
  <c r="H487" i="16"/>
  <c r="G487" i="16"/>
  <c r="F487" i="16"/>
  <c r="E487" i="16"/>
  <c r="C487" i="16"/>
  <c r="B487" i="16"/>
  <c r="J487" i="16" s="1"/>
  <c r="A487" i="16"/>
  <c r="N486" i="16"/>
  <c r="M486" i="16"/>
  <c r="L486" i="16"/>
  <c r="K486" i="16"/>
  <c r="I486" i="16"/>
  <c r="H486" i="16"/>
  <c r="G486" i="16"/>
  <c r="F486" i="16"/>
  <c r="E486" i="16"/>
  <c r="D486" i="16"/>
  <c r="C486" i="16"/>
  <c r="B486" i="16"/>
  <c r="J486" i="16" s="1"/>
  <c r="A486" i="16"/>
  <c r="M485" i="16"/>
  <c r="K485" i="16"/>
  <c r="J485" i="16"/>
  <c r="I485" i="16"/>
  <c r="G485" i="16"/>
  <c r="E485" i="16"/>
  <c r="C485" i="16"/>
  <c r="B485" i="16"/>
  <c r="A485" i="16"/>
  <c r="M484" i="16"/>
  <c r="K484" i="16"/>
  <c r="I484" i="16"/>
  <c r="H484" i="16"/>
  <c r="G484" i="16"/>
  <c r="E484" i="16"/>
  <c r="C484" i="16"/>
  <c r="B484" i="16"/>
  <c r="L484" i="16" s="1"/>
  <c r="A484" i="16"/>
  <c r="N483" i="16"/>
  <c r="M483" i="16"/>
  <c r="K483" i="16"/>
  <c r="I483" i="16"/>
  <c r="H483" i="16"/>
  <c r="G483" i="16"/>
  <c r="F483" i="16"/>
  <c r="E483" i="16"/>
  <c r="C483" i="16"/>
  <c r="B483" i="16"/>
  <c r="J483" i="16" s="1"/>
  <c r="A483" i="16"/>
  <c r="N482" i="16"/>
  <c r="M482" i="16"/>
  <c r="L482" i="16"/>
  <c r="K482" i="16"/>
  <c r="I482" i="16"/>
  <c r="H482" i="16"/>
  <c r="G482" i="16"/>
  <c r="F482" i="16"/>
  <c r="E482" i="16"/>
  <c r="D482" i="16"/>
  <c r="C482" i="16"/>
  <c r="B482" i="16"/>
  <c r="J482" i="16" s="1"/>
  <c r="A482" i="16"/>
  <c r="M481" i="16"/>
  <c r="K481" i="16"/>
  <c r="J481" i="16"/>
  <c r="I481" i="16"/>
  <c r="G481" i="16"/>
  <c r="C481" i="16"/>
  <c r="B481" i="16"/>
  <c r="A481" i="16"/>
  <c r="M480" i="16"/>
  <c r="K480" i="16"/>
  <c r="I480" i="16"/>
  <c r="H480" i="16"/>
  <c r="G480" i="16"/>
  <c r="E480" i="16"/>
  <c r="C480" i="16"/>
  <c r="B480" i="16"/>
  <c r="L480" i="16" s="1"/>
  <c r="A480" i="16"/>
  <c r="N479" i="16"/>
  <c r="M479" i="16"/>
  <c r="K479" i="16"/>
  <c r="I479" i="16"/>
  <c r="H479" i="16"/>
  <c r="G479" i="16"/>
  <c r="F479" i="16"/>
  <c r="E479" i="16"/>
  <c r="C479" i="16"/>
  <c r="B479" i="16"/>
  <c r="J479" i="16" s="1"/>
  <c r="A479" i="16"/>
  <c r="N478" i="16"/>
  <c r="M478" i="16"/>
  <c r="L478" i="16"/>
  <c r="K478" i="16"/>
  <c r="I478" i="16"/>
  <c r="H478" i="16"/>
  <c r="G478" i="16"/>
  <c r="F478" i="16"/>
  <c r="E478" i="16"/>
  <c r="D478" i="16"/>
  <c r="C478" i="16"/>
  <c r="B478" i="16"/>
  <c r="J478" i="16" s="1"/>
  <c r="A478" i="16"/>
  <c r="M477" i="16"/>
  <c r="K477" i="16"/>
  <c r="J477" i="16"/>
  <c r="G477" i="16"/>
  <c r="C477" i="16"/>
  <c r="B477" i="16"/>
  <c r="A477" i="16"/>
  <c r="M476" i="16"/>
  <c r="K476" i="16"/>
  <c r="I476" i="16"/>
  <c r="H476" i="16"/>
  <c r="G476" i="16"/>
  <c r="E476" i="16"/>
  <c r="C476" i="16"/>
  <c r="B476" i="16"/>
  <c r="L476" i="16" s="1"/>
  <c r="A476" i="16"/>
  <c r="N475" i="16"/>
  <c r="M475" i="16"/>
  <c r="K475" i="16"/>
  <c r="I475" i="16"/>
  <c r="H475" i="16"/>
  <c r="G475" i="16"/>
  <c r="F475" i="16"/>
  <c r="E475" i="16"/>
  <c r="C475" i="16"/>
  <c r="B475" i="16"/>
  <c r="J475" i="16" s="1"/>
  <c r="A475" i="16"/>
  <c r="N474" i="16"/>
  <c r="M474" i="16"/>
  <c r="L474" i="16"/>
  <c r="K474" i="16"/>
  <c r="I474" i="16"/>
  <c r="H474" i="16"/>
  <c r="G474" i="16"/>
  <c r="F474" i="16"/>
  <c r="E474" i="16"/>
  <c r="D474" i="16"/>
  <c r="C474" i="16"/>
  <c r="B474" i="16"/>
  <c r="J474" i="16" s="1"/>
  <c r="A474" i="16"/>
  <c r="C473" i="16"/>
  <c r="B473" i="16"/>
  <c r="M473" i="16" s="1"/>
  <c r="M472" i="16"/>
  <c r="K472" i="16"/>
  <c r="I472" i="16"/>
  <c r="H472" i="16"/>
  <c r="G472" i="16"/>
  <c r="E472" i="16"/>
  <c r="C472" i="16"/>
  <c r="B472" i="16"/>
  <c r="L472" i="16" s="1"/>
  <c r="A472" i="16"/>
  <c r="N471" i="16"/>
  <c r="M471" i="16"/>
  <c r="K471" i="16"/>
  <c r="I471" i="16"/>
  <c r="H471" i="16"/>
  <c r="G471" i="16"/>
  <c r="F471" i="16"/>
  <c r="E471" i="16"/>
  <c r="C471" i="16"/>
  <c r="B471" i="16"/>
  <c r="J471" i="16" s="1"/>
  <c r="A471" i="16"/>
  <c r="N470" i="16"/>
  <c r="M470" i="16"/>
  <c r="L470" i="16"/>
  <c r="K470" i="16"/>
  <c r="I470" i="16"/>
  <c r="H470" i="16"/>
  <c r="G470" i="16"/>
  <c r="F470" i="16"/>
  <c r="E470" i="16"/>
  <c r="D470" i="16"/>
  <c r="C470" i="16"/>
  <c r="B470" i="16"/>
  <c r="J470" i="16" s="1"/>
  <c r="A470" i="16"/>
  <c r="M469" i="16"/>
  <c r="K469" i="16"/>
  <c r="J469" i="16"/>
  <c r="I469" i="16"/>
  <c r="G469" i="16"/>
  <c r="E469" i="16"/>
  <c r="C469" i="16"/>
  <c r="B469" i="16"/>
  <c r="A469" i="16"/>
  <c r="M468" i="16"/>
  <c r="K468" i="16"/>
  <c r="I468" i="16"/>
  <c r="H468" i="16"/>
  <c r="G468" i="16"/>
  <c r="E468" i="16"/>
  <c r="C468" i="16"/>
  <c r="B468" i="16"/>
  <c r="L468" i="16" s="1"/>
  <c r="A468" i="16"/>
  <c r="N467" i="16"/>
  <c r="M467" i="16"/>
  <c r="K467" i="16"/>
  <c r="I467" i="16"/>
  <c r="H467" i="16"/>
  <c r="G467" i="16"/>
  <c r="F467" i="16"/>
  <c r="E467" i="16"/>
  <c r="C467" i="16"/>
  <c r="B467" i="16"/>
  <c r="J467" i="16" s="1"/>
  <c r="A467" i="16"/>
  <c r="N466" i="16"/>
  <c r="M466" i="16"/>
  <c r="L466" i="16"/>
  <c r="K466" i="16"/>
  <c r="I466" i="16"/>
  <c r="H466" i="16"/>
  <c r="G466" i="16"/>
  <c r="F466" i="16"/>
  <c r="E466" i="16"/>
  <c r="D466" i="16"/>
  <c r="C466" i="16"/>
  <c r="B466" i="16"/>
  <c r="J466" i="16" s="1"/>
  <c r="A466" i="16"/>
  <c r="M465" i="16"/>
  <c r="J465" i="16"/>
  <c r="I465" i="16"/>
  <c r="G465" i="16"/>
  <c r="C465" i="16"/>
  <c r="B465" i="16"/>
  <c r="K465" i="16" s="1"/>
  <c r="A465" i="16"/>
  <c r="M464" i="16"/>
  <c r="K464" i="16"/>
  <c r="I464" i="16"/>
  <c r="H464" i="16"/>
  <c r="G464" i="16"/>
  <c r="E464" i="16"/>
  <c r="C464" i="16"/>
  <c r="B464" i="16"/>
  <c r="L464" i="16" s="1"/>
  <c r="A464" i="16"/>
  <c r="N463" i="16"/>
  <c r="M463" i="16"/>
  <c r="K463" i="16"/>
  <c r="I463" i="16"/>
  <c r="H463" i="16"/>
  <c r="G463" i="16"/>
  <c r="F463" i="16"/>
  <c r="E463" i="16"/>
  <c r="C463" i="16"/>
  <c r="B463" i="16"/>
  <c r="J463" i="16" s="1"/>
  <c r="A463" i="16"/>
  <c r="N462" i="16"/>
  <c r="M462" i="16"/>
  <c r="L462" i="16"/>
  <c r="K462" i="16"/>
  <c r="I462" i="16"/>
  <c r="H462" i="16"/>
  <c r="G462" i="16"/>
  <c r="F462" i="16"/>
  <c r="E462" i="16"/>
  <c r="D462" i="16"/>
  <c r="C462" i="16"/>
  <c r="B462" i="16"/>
  <c r="J462" i="16" s="1"/>
  <c r="A462" i="16"/>
  <c r="M461" i="16"/>
  <c r="K461" i="16"/>
  <c r="G461" i="16"/>
  <c r="C461" i="16"/>
  <c r="B461" i="16"/>
  <c r="A461" i="16"/>
  <c r="M460" i="16"/>
  <c r="K460" i="16"/>
  <c r="I460" i="16"/>
  <c r="H460" i="16"/>
  <c r="G460" i="16"/>
  <c r="E460" i="16"/>
  <c r="C460" i="16"/>
  <c r="B460" i="16"/>
  <c r="L460" i="16" s="1"/>
  <c r="A460" i="16"/>
  <c r="N459" i="16"/>
  <c r="M459" i="16"/>
  <c r="K459" i="16"/>
  <c r="I459" i="16"/>
  <c r="H459" i="16"/>
  <c r="G459" i="16"/>
  <c r="F459" i="16"/>
  <c r="E459" i="16"/>
  <c r="C459" i="16"/>
  <c r="B459" i="16"/>
  <c r="J459" i="16" s="1"/>
  <c r="A459" i="16"/>
  <c r="N458" i="16"/>
  <c r="M458" i="16"/>
  <c r="L458" i="16"/>
  <c r="K458" i="16"/>
  <c r="I458" i="16"/>
  <c r="H458" i="16"/>
  <c r="G458" i="16"/>
  <c r="F458" i="16"/>
  <c r="E458" i="16"/>
  <c r="D458" i="16"/>
  <c r="C458" i="16"/>
  <c r="B458" i="16"/>
  <c r="J458" i="16" s="1"/>
  <c r="A458" i="16"/>
  <c r="C457" i="16"/>
  <c r="B457" i="16"/>
  <c r="M457" i="16" s="1"/>
  <c r="M456" i="16"/>
  <c r="K456" i="16"/>
  <c r="I456" i="16"/>
  <c r="H456" i="16"/>
  <c r="G456" i="16"/>
  <c r="E456" i="16"/>
  <c r="C456" i="16"/>
  <c r="B456" i="16"/>
  <c r="L456" i="16" s="1"/>
  <c r="A456" i="16"/>
  <c r="N455" i="16"/>
  <c r="M455" i="16"/>
  <c r="K455" i="16"/>
  <c r="I455" i="16"/>
  <c r="H455" i="16"/>
  <c r="G455" i="16"/>
  <c r="F455" i="16"/>
  <c r="E455" i="16"/>
  <c r="C455" i="16"/>
  <c r="B455" i="16"/>
  <c r="J455" i="16" s="1"/>
  <c r="A455" i="16"/>
  <c r="N454" i="16"/>
  <c r="M454" i="16"/>
  <c r="L454" i="16"/>
  <c r="K454" i="16"/>
  <c r="I454" i="16"/>
  <c r="H454" i="16"/>
  <c r="G454" i="16"/>
  <c r="F454" i="16"/>
  <c r="E454" i="16"/>
  <c r="D454" i="16"/>
  <c r="C454" i="16"/>
  <c r="B454" i="16"/>
  <c r="J454" i="16" s="1"/>
  <c r="A454" i="16"/>
  <c r="M453" i="16"/>
  <c r="K453" i="16"/>
  <c r="J453" i="16"/>
  <c r="I453" i="16"/>
  <c r="G453" i="16"/>
  <c r="E453" i="16"/>
  <c r="C453" i="16"/>
  <c r="B453" i="16"/>
  <c r="A453" i="16"/>
  <c r="M452" i="16"/>
  <c r="K452" i="16"/>
  <c r="I452" i="16"/>
  <c r="H452" i="16"/>
  <c r="G452" i="16"/>
  <c r="E452" i="16"/>
  <c r="C452" i="16"/>
  <c r="B452" i="16"/>
  <c r="L452" i="16" s="1"/>
  <c r="A452" i="16"/>
  <c r="N451" i="16"/>
  <c r="M451" i="16"/>
  <c r="K451" i="16"/>
  <c r="I451" i="16"/>
  <c r="H451" i="16"/>
  <c r="G451" i="16"/>
  <c r="F451" i="16"/>
  <c r="E451" i="16"/>
  <c r="C451" i="16"/>
  <c r="B451" i="16"/>
  <c r="J451" i="16" s="1"/>
  <c r="A451" i="16"/>
  <c r="N450" i="16"/>
  <c r="M450" i="16"/>
  <c r="L450" i="16"/>
  <c r="K450" i="16"/>
  <c r="I450" i="16"/>
  <c r="H450" i="16"/>
  <c r="G450" i="16"/>
  <c r="F450" i="16"/>
  <c r="E450" i="16"/>
  <c r="D450" i="16"/>
  <c r="C450" i="16"/>
  <c r="B450" i="16"/>
  <c r="J450" i="16" s="1"/>
  <c r="A450" i="16"/>
  <c r="M449" i="16"/>
  <c r="J449" i="16"/>
  <c r="I449" i="16"/>
  <c r="B449" i="16"/>
  <c r="K449" i="16" s="1"/>
  <c r="A449" i="16"/>
  <c r="M448" i="16"/>
  <c r="K448" i="16"/>
  <c r="I448" i="16"/>
  <c r="H448" i="16"/>
  <c r="G448" i="16"/>
  <c r="E448" i="16"/>
  <c r="C448" i="16"/>
  <c r="B448" i="16"/>
  <c r="L448" i="16" s="1"/>
  <c r="A448" i="16"/>
  <c r="N447" i="16"/>
  <c r="M447" i="16"/>
  <c r="K447" i="16"/>
  <c r="I447" i="16"/>
  <c r="H447" i="16"/>
  <c r="G447" i="16"/>
  <c r="F447" i="16"/>
  <c r="E447" i="16"/>
  <c r="C447" i="16"/>
  <c r="B447" i="16"/>
  <c r="J447" i="16" s="1"/>
  <c r="A447" i="16"/>
  <c r="N446" i="16"/>
  <c r="M446" i="16"/>
  <c r="L446" i="16"/>
  <c r="K446" i="16"/>
  <c r="I446" i="16"/>
  <c r="H446" i="16"/>
  <c r="G446" i="16"/>
  <c r="F446" i="16"/>
  <c r="E446" i="16"/>
  <c r="D446" i="16"/>
  <c r="C446" i="16"/>
  <c r="B446" i="16"/>
  <c r="J446" i="16" s="1"/>
  <c r="A446" i="16"/>
  <c r="M445" i="16"/>
  <c r="E445" i="16"/>
  <c r="C445" i="16"/>
  <c r="B445" i="16"/>
  <c r="K445" i="16" s="1"/>
  <c r="K444" i="16"/>
  <c r="J444" i="16"/>
  <c r="I444" i="16"/>
  <c r="H444" i="16"/>
  <c r="G444" i="16"/>
  <c r="E444" i="16"/>
  <c r="C444" i="16"/>
  <c r="B444" i="16"/>
  <c r="A444" i="16"/>
  <c r="N443" i="16"/>
  <c r="M443" i="16"/>
  <c r="K443" i="16"/>
  <c r="I443" i="16"/>
  <c r="H443" i="16"/>
  <c r="G443" i="16"/>
  <c r="F443" i="16"/>
  <c r="E443" i="16"/>
  <c r="C443" i="16"/>
  <c r="B443" i="16"/>
  <c r="J443" i="16" s="1"/>
  <c r="A443" i="16"/>
  <c r="N442" i="16"/>
  <c r="M442" i="16"/>
  <c r="L442" i="16"/>
  <c r="K442" i="16"/>
  <c r="I442" i="16"/>
  <c r="H442" i="16"/>
  <c r="G442" i="16"/>
  <c r="F442" i="16"/>
  <c r="E442" i="16"/>
  <c r="D442" i="16"/>
  <c r="C442" i="16"/>
  <c r="B442" i="16"/>
  <c r="J442" i="16" s="1"/>
  <c r="A442" i="16"/>
  <c r="J441" i="16"/>
  <c r="B441" i="16"/>
  <c r="K441" i="16" s="1"/>
  <c r="M440" i="16"/>
  <c r="B440" i="16"/>
  <c r="N439" i="16"/>
  <c r="M439" i="16"/>
  <c r="K439" i="16"/>
  <c r="I439" i="16"/>
  <c r="H439" i="16"/>
  <c r="G439" i="16"/>
  <c r="F439" i="16"/>
  <c r="E439" i="16"/>
  <c r="C439" i="16"/>
  <c r="B439" i="16"/>
  <c r="J439" i="16" s="1"/>
  <c r="A439" i="16"/>
  <c r="N438" i="16"/>
  <c r="M438" i="16"/>
  <c r="L438" i="16"/>
  <c r="K438" i="16"/>
  <c r="I438" i="16"/>
  <c r="H438" i="16"/>
  <c r="G438" i="16"/>
  <c r="F438" i="16"/>
  <c r="E438" i="16"/>
  <c r="D438" i="16"/>
  <c r="C438" i="16"/>
  <c r="B438" i="16"/>
  <c r="J438" i="16" s="1"/>
  <c r="A438" i="16"/>
  <c r="M437" i="16"/>
  <c r="K437" i="16"/>
  <c r="J437" i="16"/>
  <c r="I437" i="16"/>
  <c r="G437" i="16"/>
  <c r="E437" i="16"/>
  <c r="D437" i="16"/>
  <c r="C437" i="16"/>
  <c r="B437" i="16"/>
  <c r="A437" i="16"/>
  <c r="K436" i="16"/>
  <c r="I436" i="16"/>
  <c r="H436" i="16"/>
  <c r="C436" i="16"/>
  <c r="B436" i="16"/>
  <c r="J436" i="16" s="1"/>
  <c r="A436" i="16"/>
  <c r="N435" i="16"/>
  <c r="M435" i="16"/>
  <c r="K435" i="16"/>
  <c r="I435" i="16"/>
  <c r="H435" i="16"/>
  <c r="G435" i="16"/>
  <c r="F435" i="16"/>
  <c r="E435" i="16"/>
  <c r="C435" i="16"/>
  <c r="B435" i="16"/>
  <c r="J435" i="16" s="1"/>
  <c r="A435" i="16"/>
  <c r="N434" i="16"/>
  <c r="M434" i="16"/>
  <c r="L434" i="16"/>
  <c r="K434" i="16"/>
  <c r="I434" i="16"/>
  <c r="H434" i="16"/>
  <c r="G434" i="16"/>
  <c r="F434" i="16"/>
  <c r="E434" i="16"/>
  <c r="D434" i="16"/>
  <c r="C434" i="16"/>
  <c r="B434" i="16"/>
  <c r="J434" i="16" s="1"/>
  <c r="A434" i="16"/>
  <c r="B433" i="16"/>
  <c r="H432" i="16"/>
  <c r="E432" i="16"/>
  <c r="C432" i="16"/>
  <c r="B432" i="16"/>
  <c r="K432" i="16" s="1"/>
  <c r="N431" i="16"/>
  <c r="M431" i="16"/>
  <c r="K431" i="16"/>
  <c r="I431" i="16"/>
  <c r="H431" i="16"/>
  <c r="G431" i="16"/>
  <c r="F431" i="16"/>
  <c r="E431" i="16"/>
  <c r="C431" i="16"/>
  <c r="B431" i="16"/>
  <c r="J431" i="16" s="1"/>
  <c r="A431" i="16"/>
  <c r="N430" i="16"/>
  <c r="M430" i="16"/>
  <c r="L430" i="16"/>
  <c r="K430" i="16"/>
  <c r="I430" i="16"/>
  <c r="H430" i="16"/>
  <c r="G430" i="16"/>
  <c r="F430" i="16"/>
  <c r="E430" i="16"/>
  <c r="D430" i="16"/>
  <c r="C430" i="16"/>
  <c r="B430" i="16"/>
  <c r="J430" i="16" s="1"/>
  <c r="A430" i="16"/>
  <c r="K429" i="16"/>
  <c r="I429" i="16"/>
  <c r="G429" i="16"/>
  <c r="E429" i="16"/>
  <c r="B429" i="16"/>
  <c r="J429" i="16" s="1"/>
  <c r="A429" i="16"/>
  <c r="K428" i="16"/>
  <c r="J428" i="16"/>
  <c r="I428" i="16"/>
  <c r="G428" i="16"/>
  <c r="E428" i="16"/>
  <c r="C428" i="16"/>
  <c r="B428" i="16"/>
  <c r="A428" i="16"/>
  <c r="N427" i="16"/>
  <c r="M427" i="16"/>
  <c r="K427" i="16"/>
  <c r="I427" i="16"/>
  <c r="H427" i="16"/>
  <c r="G427" i="16"/>
  <c r="F427" i="16"/>
  <c r="E427" i="16"/>
  <c r="C427" i="16"/>
  <c r="B427" i="16"/>
  <c r="J427" i="16" s="1"/>
  <c r="A427" i="16"/>
  <c r="N426" i="16"/>
  <c r="M426" i="16"/>
  <c r="L426" i="16"/>
  <c r="K426" i="16"/>
  <c r="I426" i="16"/>
  <c r="H426" i="16"/>
  <c r="G426" i="16"/>
  <c r="F426" i="16"/>
  <c r="E426" i="16"/>
  <c r="D426" i="16"/>
  <c r="C426" i="16"/>
  <c r="B426" i="16"/>
  <c r="J426" i="16" s="1"/>
  <c r="A426" i="16"/>
  <c r="M425" i="16"/>
  <c r="G425" i="16"/>
  <c r="D425" i="16"/>
  <c r="C425" i="16"/>
  <c r="B425" i="16"/>
  <c r="K425" i="16" s="1"/>
  <c r="J424" i="16"/>
  <c r="H424" i="16"/>
  <c r="G424" i="16"/>
  <c r="E424" i="16"/>
  <c r="B424" i="16"/>
  <c r="K424" i="16" s="1"/>
  <c r="A424" i="16"/>
  <c r="N423" i="16"/>
  <c r="M423" i="16"/>
  <c r="K423" i="16"/>
  <c r="I423" i="16"/>
  <c r="H423" i="16"/>
  <c r="G423" i="16"/>
  <c r="F423" i="16"/>
  <c r="E423" i="16"/>
  <c r="C423" i="16"/>
  <c r="B423" i="16"/>
  <c r="J423" i="16" s="1"/>
  <c r="A423" i="16"/>
  <c r="N422" i="16"/>
  <c r="M422" i="16"/>
  <c r="L422" i="16"/>
  <c r="K422" i="16"/>
  <c r="I422" i="16"/>
  <c r="H422" i="16"/>
  <c r="G422" i="16"/>
  <c r="F422" i="16"/>
  <c r="E422" i="16"/>
  <c r="D422" i="16"/>
  <c r="C422" i="16"/>
  <c r="B422" i="16"/>
  <c r="J422" i="16" s="1"/>
  <c r="A422" i="16"/>
  <c r="M421" i="16"/>
  <c r="K421" i="16"/>
  <c r="J421" i="16"/>
  <c r="I421" i="16"/>
  <c r="E421" i="16"/>
  <c r="D421" i="16"/>
  <c r="C421" i="16"/>
  <c r="B421" i="16"/>
  <c r="A421" i="16"/>
  <c r="G420" i="16"/>
  <c r="C420" i="16"/>
  <c r="B420" i="16"/>
  <c r="K420" i="16" s="1"/>
  <c r="N419" i="16"/>
  <c r="M419" i="16"/>
  <c r="K419" i="16"/>
  <c r="I419" i="16"/>
  <c r="H419" i="16"/>
  <c r="G419" i="16"/>
  <c r="F419" i="16"/>
  <c r="E419" i="16"/>
  <c r="C419" i="16"/>
  <c r="B419" i="16"/>
  <c r="J419" i="16" s="1"/>
  <c r="A419" i="16"/>
  <c r="N418" i="16"/>
  <c r="M418" i="16"/>
  <c r="L418" i="16"/>
  <c r="K418" i="16"/>
  <c r="I418" i="16"/>
  <c r="H418" i="16"/>
  <c r="G418" i="16"/>
  <c r="F418" i="16"/>
  <c r="E418" i="16"/>
  <c r="D418" i="16"/>
  <c r="C418" i="16"/>
  <c r="B418" i="16"/>
  <c r="J418" i="16" s="1"/>
  <c r="A418" i="16"/>
  <c r="J417" i="16"/>
  <c r="G417" i="16"/>
  <c r="E417" i="16"/>
  <c r="D417" i="16"/>
  <c r="B417" i="16"/>
  <c r="K417" i="16" s="1"/>
  <c r="J416" i="16"/>
  <c r="B416" i="16"/>
  <c r="K416" i="16" s="1"/>
  <c r="N415" i="16"/>
  <c r="F415" i="16"/>
  <c r="C415" i="16"/>
  <c r="B415" i="16"/>
  <c r="K415" i="16" s="1"/>
  <c r="N414" i="16"/>
  <c r="M414" i="16"/>
  <c r="L414" i="16"/>
  <c r="K414" i="16"/>
  <c r="I414" i="16"/>
  <c r="H414" i="16"/>
  <c r="G414" i="16"/>
  <c r="F414" i="16"/>
  <c r="E414" i="16"/>
  <c r="D414" i="16"/>
  <c r="C414" i="16"/>
  <c r="B414" i="16"/>
  <c r="J414" i="16" s="1"/>
  <c r="A414" i="16"/>
  <c r="N413" i="16"/>
  <c r="M413" i="16"/>
  <c r="L413" i="16"/>
  <c r="J413" i="16"/>
  <c r="I413" i="16"/>
  <c r="G413" i="16"/>
  <c r="F413" i="16"/>
  <c r="E413" i="16"/>
  <c r="D413" i="16"/>
  <c r="C413" i="16"/>
  <c r="B413" i="16"/>
  <c r="H413" i="16" s="1"/>
  <c r="A413" i="16"/>
  <c r="M412" i="16"/>
  <c r="L412" i="16"/>
  <c r="J412" i="16"/>
  <c r="I412" i="16"/>
  <c r="H412" i="16"/>
  <c r="E412" i="16"/>
  <c r="D412" i="16"/>
  <c r="C412" i="16"/>
  <c r="B412" i="16"/>
  <c r="A412" i="16"/>
  <c r="N411" i="16"/>
  <c r="M411" i="16"/>
  <c r="J411" i="16"/>
  <c r="I411" i="16"/>
  <c r="H411" i="16"/>
  <c r="G411" i="16"/>
  <c r="F411" i="16"/>
  <c r="E411" i="16"/>
  <c r="C411" i="16"/>
  <c r="B411" i="16"/>
  <c r="A411" i="16"/>
  <c r="N410" i="16"/>
  <c r="M410" i="16"/>
  <c r="L410" i="16"/>
  <c r="K410" i="16"/>
  <c r="I410" i="16"/>
  <c r="H410" i="16"/>
  <c r="G410" i="16"/>
  <c r="F410" i="16"/>
  <c r="E410" i="16"/>
  <c r="D410" i="16"/>
  <c r="C410" i="16"/>
  <c r="B410" i="16"/>
  <c r="J410" i="16" s="1"/>
  <c r="A410" i="16"/>
  <c r="J409" i="16"/>
  <c r="G409" i="16"/>
  <c r="F409" i="16"/>
  <c r="B409" i="16"/>
  <c r="H409" i="16" s="1"/>
  <c r="A409" i="16"/>
  <c r="L408" i="16"/>
  <c r="E408" i="16"/>
  <c r="C408" i="16"/>
  <c r="B408" i="16"/>
  <c r="J408" i="16" s="1"/>
  <c r="J407" i="16"/>
  <c r="H407" i="16"/>
  <c r="G407" i="16"/>
  <c r="B407" i="16"/>
  <c r="I407" i="16" s="1"/>
  <c r="A407" i="16"/>
  <c r="N406" i="16"/>
  <c r="M406" i="16"/>
  <c r="L406" i="16"/>
  <c r="K406" i="16"/>
  <c r="I406" i="16"/>
  <c r="H406" i="16"/>
  <c r="G406" i="16"/>
  <c r="F406" i="16"/>
  <c r="E406" i="16"/>
  <c r="D406" i="16"/>
  <c r="C406" i="16"/>
  <c r="B406" i="16"/>
  <c r="J406" i="16" s="1"/>
  <c r="A406" i="16"/>
  <c r="N405" i="16"/>
  <c r="M405" i="16"/>
  <c r="L405" i="16"/>
  <c r="J405" i="16"/>
  <c r="I405" i="16"/>
  <c r="G405" i="16"/>
  <c r="E405" i="16"/>
  <c r="D405" i="16"/>
  <c r="C405" i="16"/>
  <c r="B405" i="16"/>
  <c r="H405" i="16" s="1"/>
  <c r="A405" i="16"/>
  <c r="M404" i="16"/>
  <c r="L404" i="16"/>
  <c r="J404" i="16"/>
  <c r="I404" i="16"/>
  <c r="H404" i="16"/>
  <c r="G404" i="16"/>
  <c r="E404" i="16"/>
  <c r="D404" i="16"/>
  <c r="C404" i="16"/>
  <c r="B404" i="16"/>
  <c r="A404" i="16"/>
  <c r="N403" i="16"/>
  <c r="M403" i="16"/>
  <c r="J403" i="16"/>
  <c r="I403" i="16"/>
  <c r="H403" i="16"/>
  <c r="F403" i="16"/>
  <c r="E403" i="16"/>
  <c r="C403" i="16"/>
  <c r="B403" i="16"/>
  <c r="A403" i="16"/>
  <c r="N402" i="16"/>
  <c r="M402" i="16"/>
  <c r="L402" i="16"/>
  <c r="K402" i="16"/>
  <c r="I402" i="16"/>
  <c r="H402" i="16"/>
  <c r="G402" i="16"/>
  <c r="F402" i="16"/>
  <c r="E402" i="16"/>
  <c r="D402" i="16"/>
  <c r="C402" i="16"/>
  <c r="B402" i="16"/>
  <c r="J402" i="16" s="1"/>
  <c r="A402" i="16"/>
  <c r="N401" i="16"/>
  <c r="L401" i="16"/>
  <c r="E401" i="16"/>
  <c r="C401" i="16"/>
  <c r="B401" i="16"/>
  <c r="H401" i="16" s="1"/>
  <c r="J400" i="16"/>
  <c r="H400" i="16"/>
  <c r="G400" i="16"/>
  <c r="B400" i="16"/>
  <c r="I400" i="16" s="1"/>
  <c r="A400" i="16"/>
  <c r="M399" i="16"/>
  <c r="F399" i="16"/>
  <c r="C399" i="16"/>
  <c r="B399" i="16"/>
  <c r="J399" i="16" s="1"/>
  <c r="N398" i="16"/>
  <c r="M398" i="16"/>
  <c r="L398" i="16"/>
  <c r="K398" i="16"/>
  <c r="I398" i="16"/>
  <c r="H398" i="16"/>
  <c r="G398" i="16"/>
  <c r="F398" i="16"/>
  <c r="E398" i="16"/>
  <c r="D398" i="16"/>
  <c r="C398" i="16"/>
  <c r="B398" i="16"/>
  <c r="J398" i="16" s="1"/>
  <c r="A398" i="16"/>
  <c r="N397" i="16"/>
  <c r="M397" i="16"/>
  <c r="L397" i="16"/>
  <c r="J397" i="16"/>
  <c r="I397" i="16"/>
  <c r="G397" i="16"/>
  <c r="F397" i="16"/>
  <c r="E397" i="16"/>
  <c r="D397" i="16"/>
  <c r="C397" i="16"/>
  <c r="B397" i="16"/>
  <c r="H397" i="16" s="1"/>
  <c r="A397" i="16"/>
  <c r="M396" i="16"/>
  <c r="L396" i="16"/>
  <c r="J396" i="16"/>
  <c r="I396" i="16"/>
  <c r="H396" i="16"/>
  <c r="E396" i="16"/>
  <c r="D396" i="16"/>
  <c r="C396" i="16"/>
  <c r="B396" i="16"/>
  <c r="A396" i="16"/>
  <c r="N395" i="16"/>
  <c r="M395" i="16"/>
  <c r="J395" i="16"/>
  <c r="I395" i="16"/>
  <c r="H395" i="16"/>
  <c r="G395" i="16"/>
  <c r="F395" i="16"/>
  <c r="E395" i="16"/>
  <c r="C395" i="16"/>
  <c r="B395" i="16"/>
  <c r="A395" i="16"/>
  <c r="N394" i="16"/>
  <c r="M394" i="16"/>
  <c r="L394" i="16"/>
  <c r="K394" i="16"/>
  <c r="I394" i="16"/>
  <c r="H394" i="16"/>
  <c r="G394" i="16"/>
  <c r="F394" i="16"/>
  <c r="E394" i="16"/>
  <c r="D394" i="16"/>
  <c r="C394" i="16"/>
  <c r="B394" i="16"/>
  <c r="J394" i="16" s="1"/>
  <c r="A394" i="16"/>
  <c r="J393" i="16"/>
  <c r="G393" i="16"/>
  <c r="F393" i="16"/>
  <c r="B393" i="16"/>
  <c r="H393" i="16" s="1"/>
  <c r="A393" i="16"/>
  <c r="L392" i="16"/>
  <c r="E392" i="16"/>
  <c r="C392" i="16"/>
  <c r="B392" i="16"/>
  <c r="J392" i="16" s="1"/>
  <c r="J391" i="16"/>
  <c r="H391" i="16"/>
  <c r="G391" i="16"/>
  <c r="B391" i="16"/>
  <c r="I391" i="16" s="1"/>
  <c r="A391" i="16"/>
  <c r="N390" i="16"/>
  <c r="M390" i="16"/>
  <c r="L390" i="16"/>
  <c r="K390" i="16"/>
  <c r="I390" i="16"/>
  <c r="H390" i="16"/>
  <c r="G390" i="16"/>
  <c r="F390" i="16"/>
  <c r="E390" i="16"/>
  <c r="D390" i="16"/>
  <c r="C390" i="16"/>
  <c r="B390" i="16"/>
  <c r="J390" i="16" s="1"/>
  <c r="A390" i="16"/>
  <c r="M389" i="16"/>
  <c r="L389" i="16"/>
  <c r="J389" i="16"/>
  <c r="I389" i="16"/>
  <c r="G389" i="16"/>
  <c r="D389" i="16"/>
  <c r="C389" i="16"/>
  <c r="B389" i="16"/>
  <c r="H389" i="16" s="1"/>
  <c r="A389" i="16"/>
  <c r="N388" i="16"/>
  <c r="I388" i="16"/>
  <c r="G388" i="16"/>
  <c r="F388" i="16"/>
  <c r="B388" i="16"/>
  <c r="M388" i="16" s="1"/>
  <c r="A388" i="16"/>
  <c r="N387" i="16"/>
  <c r="M387" i="16"/>
  <c r="L387" i="16"/>
  <c r="K387" i="16"/>
  <c r="I387" i="16"/>
  <c r="H387" i="16"/>
  <c r="G387" i="16"/>
  <c r="F387" i="16"/>
  <c r="E387" i="16"/>
  <c r="D387" i="16"/>
  <c r="C387" i="16"/>
  <c r="B387" i="16"/>
  <c r="J387" i="16" s="1"/>
  <c r="A387" i="16"/>
  <c r="M386" i="16"/>
  <c r="K386" i="16"/>
  <c r="E386" i="16"/>
  <c r="C386" i="16"/>
  <c r="B386" i="16"/>
  <c r="J386" i="16" s="1"/>
  <c r="L385" i="16"/>
  <c r="K385" i="16"/>
  <c r="I385" i="16"/>
  <c r="H385" i="16"/>
  <c r="G385" i="16"/>
  <c r="D385" i="16"/>
  <c r="C385" i="16"/>
  <c r="B385" i="16"/>
  <c r="N385" i="16" s="1"/>
  <c r="A385" i="16"/>
  <c r="N384" i="16"/>
  <c r="I384" i="16"/>
  <c r="G384" i="16"/>
  <c r="F384" i="16"/>
  <c r="B384" i="16"/>
  <c r="M384" i="16" s="1"/>
  <c r="A384" i="16"/>
  <c r="N383" i="16"/>
  <c r="M383" i="16"/>
  <c r="L383" i="16"/>
  <c r="K383" i="16"/>
  <c r="I383" i="16"/>
  <c r="H383" i="16"/>
  <c r="G383" i="16"/>
  <c r="F383" i="16"/>
  <c r="E383" i="16"/>
  <c r="D383" i="16"/>
  <c r="C383" i="16"/>
  <c r="B383" i="16"/>
  <c r="J383" i="16" s="1"/>
  <c r="A383" i="16"/>
  <c r="M382" i="16"/>
  <c r="K382" i="16"/>
  <c r="E382" i="16"/>
  <c r="C382" i="16"/>
  <c r="B382" i="16"/>
  <c r="J382" i="16" s="1"/>
  <c r="L381" i="16"/>
  <c r="K381" i="16"/>
  <c r="I381" i="16"/>
  <c r="H381" i="16"/>
  <c r="G381" i="16"/>
  <c r="D381" i="16"/>
  <c r="C381" i="16"/>
  <c r="B381" i="16"/>
  <c r="N381" i="16" s="1"/>
  <c r="A381" i="16"/>
  <c r="N380" i="16"/>
  <c r="I380" i="16"/>
  <c r="G380" i="16"/>
  <c r="F380" i="16"/>
  <c r="B380" i="16"/>
  <c r="M380" i="16" s="1"/>
  <c r="A380" i="16"/>
  <c r="N379" i="16"/>
  <c r="M379" i="16"/>
  <c r="L379" i="16"/>
  <c r="K379" i="16"/>
  <c r="I379" i="16"/>
  <c r="H379" i="16"/>
  <c r="G379" i="16"/>
  <c r="F379" i="16"/>
  <c r="E379" i="16"/>
  <c r="D379" i="16"/>
  <c r="C379" i="16"/>
  <c r="B379" i="16"/>
  <c r="J379" i="16" s="1"/>
  <c r="A379" i="16"/>
  <c r="M378" i="16"/>
  <c r="K378" i="16"/>
  <c r="E378" i="16"/>
  <c r="C378" i="16"/>
  <c r="B378" i="16"/>
  <c r="J378" i="16" s="1"/>
  <c r="L377" i="16"/>
  <c r="K377" i="16"/>
  <c r="I377" i="16"/>
  <c r="H377" i="16"/>
  <c r="G377" i="16"/>
  <c r="D377" i="16"/>
  <c r="C377" i="16"/>
  <c r="B377" i="16"/>
  <c r="N377" i="16" s="1"/>
  <c r="A377" i="16"/>
  <c r="N376" i="16"/>
  <c r="I376" i="16"/>
  <c r="G376" i="16"/>
  <c r="F376" i="16"/>
  <c r="B376" i="16"/>
  <c r="M376" i="16" s="1"/>
  <c r="A376" i="16"/>
  <c r="N375" i="16"/>
  <c r="M375" i="16"/>
  <c r="L375" i="16"/>
  <c r="K375" i="16"/>
  <c r="I375" i="16"/>
  <c r="H375" i="16"/>
  <c r="G375" i="16"/>
  <c r="F375" i="16"/>
  <c r="E375" i="16"/>
  <c r="D375" i="16"/>
  <c r="C375" i="16"/>
  <c r="B375" i="16"/>
  <c r="J375" i="16" s="1"/>
  <c r="A375" i="16"/>
  <c r="M374" i="16"/>
  <c r="K374" i="16"/>
  <c r="E374" i="16"/>
  <c r="C374" i="16"/>
  <c r="B374" i="16"/>
  <c r="J374" i="16" s="1"/>
  <c r="L373" i="16"/>
  <c r="K373" i="16"/>
  <c r="I373" i="16"/>
  <c r="H373" i="16"/>
  <c r="G373" i="16"/>
  <c r="D373" i="16"/>
  <c r="C373" i="16"/>
  <c r="B373" i="16"/>
  <c r="N373" i="16" s="1"/>
  <c r="A373" i="16"/>
  <c r="N372" i="16"/>
  <c r="I372" i="16"/>
  <c r="G372" i="16"/>
  <c r="F372" i="16"/>
  <c r="B372" i="16"/>
  <c r="M372" i="16" s="1"/>
  <c r="A372" i="16"/>
  <c r="N371" i="16"/>
  <c r="M371" i="16"/>
  <c r="L371" i="16"/>
  <c r="K371" i="16"/>
  <c r="I371" i="16"/>
  <c r="H371" i="16"/>
  <c r="G371" i="16"/>
  <c r="F371" i="16"/>
  <c r="E371" i="16"/>
  <c r="D371" i="16"/>
  <c r="C371" i="16"/>
  <c r="B371" i="16"/>
  <c r="J371" i="16" s="1"/>
  <c r="A371" i="16"/>
  <c r="M370" i="16"/>
  <c r="K370" i="16"/>
  <c r="E370" i="16"/>
  <c r="C370" i="16"/>
  <c r="B370" i="16"/>
  <c r="J370" i="16" s="1"/>
  <c r="L369" i="16"/>
  <c r="K369" i="16"/>
  <c r="I369" i="16"/>
  <c r="H369" i="16"/>
  <c r="G369" i="16"/>
  <c r="D369" i="16"/>
  <c r="C369" i="16"/>
  <c r="B369" i="16"/>
  <c r="N369" i="16" s="1"/>
  <c r="A369" i="16"/>
  <c r="N368" i="16"/>
  <c r="I368" i="16"/>
  <c r="G368" i="16"/>
  <c r="F368" i="16"/>
  <c r="B368" i="16"/>
  <c r="M368" i="16" s="1"/>
  <c r="A368" i="16"/>
  <c r="N367" i="16"/>
  <c r="M367" i="16"/>
  <c r="L367" i="16"/>
  <c r="K367" i="16"/>
  <c r="I367" i="16"/>
  <c r="H367" i="16"/>
  <c r="G367" i="16"/>
  <c r="F367" i="16"/>
  <c r="E367" i="16"/>
  <c r="D367" i="16"/>
  <c r="C367" i="16"/>
  <c r="B367" i="16"/>
  <c r="J367" i="16" s="1"/>
  <c r="A367" i="16"/>
  <c r="M366" i="16"/>
  <c r="K366" i="16"/>
  <c r="E366" i="16"/>
  <c r="C366" i="16"/>
  <c r="B366" i="16"/>
  <c r="J366" i="16" s="1"/>
  <c r="L365" i="16"/>
  <c r="K365" i="16"/>
  <c r="I365" i="16"/>
  <c r="H365" i="16"/>
  <c r="G365" i="16"/>
  <c r="D365" i="16"/>
  <c r="C365" i="16"/>
  <c r="B365" i="16"/>
  <c r="N365" i="16" s="1"/>
  <c r="A365" i="16"/>
  <c r="N364" i="16"/>
  <c r="I364" i="16"/>
  <c r="G364" i="16"/>
  <c r="F364" i="16"/>
  <c r="B364" i="16"/>
  <c r="M364" i="16" s="1"/>
  <c r="A364" i="16"/>
  <c r="N363" i="16"/>
  <c r="M363" i="16"/>
  <c r="L363" i="16"/>
  <c r="K363" i="16"/>
  <c r="I363" i="16"/>
  <c r="H363" i="16"/>
  <c r="G363" i="16"/>
  <c r="F363" i="16"/>
  <c r="E363" i="16"/>
  <c r="D363" i="16"/>
  <c r="C363" i="16"/>
  <c r="B363" i="16"/>
  <c r="J363" i="16" s="1"/>
  <c r="A363" i="16"/>
  <c r="M362" i="16"/>
  <c r="K362" i="16"/>
  <c r="E362" i="16"/>
  <c r="C362" i="16"/>
  <c r="B362" i="16"/>
  <c r="J362" i="16" s="1"/>
  <c r="L361" i="16"/>
  <c r="K361" i="16"/>
  <c r="I361" i="16"/>
  <c r="H361" i="16"/>
  <c r="G361" i="16"/>
  <c r="D361" i="16"/>
  <c r="C361" i="16"/>
  <c r="B361" i="16"/>
  <c r="N361" i="16" s="1"/>
  <c r="A361" i="16"/>
  <c r="N360" i="16"/>
  <c r="I360" i="16"/>
  <c r="G360" i="16"/>
  <c r="F360" i="16"/>
  <c r="B360" i="16"/>
  <c r="M360" i="16" s="1"/>
  <c r="A360" i="16"/>
  <c r="N359" i="16"/>
  <c r="M359" i="16"/>
  <c r="L359" i="16"/>
  <c r="K359" i="16"/>
  <c r="I359" i="16"/>
  <c r="H359" i="16"/>
  <c r="G359" i="16"/>
  <c r="F359" i="16"/>
  <c r="E359" i="16"/>
  <c r="D359" i="16"/>
  <c r="C359" i="16"/>
  <c r="B359" i="16"/>
  <c r="J359" i="16" s="1"/>
  <c r="A359" i="16"/>
  <c r="M358" i="16"/>
  <c r="K358" i="16"/>
  <c r="E358" i="16"/>
  <c r="C358" i="16"/>
  <c r="B358" i="16"/>
  <c r="J358" i="16" s="1"/>
  <c r="L357" i="16"/>
  <c r="K357" i="16"/>
  <c r="I357" i="16"/>
  <c r="H357" i="16"/>
  <c r="G357" i="16"/>
  <c r="D357" i="16"/>
  <c r="C357" i="16"/>
  <c r="B357" i="16"/>
  <c r="N357" i="16" s="1"/>
  <c r="A357" i="16"/>
  <c r="N356" i="16"/>
  <c r="I356" i="16"/>
  <c r="G356" i="16"/>
  <c r="F356" i="16"/>
  <c r="B356" i="16"/>
  <c r="M356" i="16" s="1"/>
  <c r="A356" i="16"/>
  <c r="N355" i="16"/>
  <c r="M355" i="16"/>
  <c r="L355" i="16"/>
  <c r="K355" i="16"/>
  <c r="I355" i="16"/>
  <c r="H355" i="16"/>
  <c r="G355" i="16"/>
  <c r="F355" i="16"/>
  <c r="E355" i="16"/>
  <c r="D355" i="16"/>
  <c r="C355" i="16"/>
  <c r="B355" i="16"/>
  <c r="J355" i="16" s="1"/>
  <c r="A355" i="16"/>
  <c r="M354" i="16"/>
  <c r="K354" i="16"/>
  <c r="E354" i="16"/>
  <c r="C354" i="16"/>
  <c r="B354" i="16"/>
  <c r="J354" i="16" s="1"/>
  <c r="L353" i="16"/>
  <c r="K353" i="16"/>
  <c r="I353" i="16"/>
  <c r="H353" i="16"/>
  <c r="G353" i="16"/>
  <c r="D353" i="16"/>
  <c r="C353" i="16"/>
  <c r="B353" i="16"/>
  <c r="N353" i="16" s="1"/>
  <c r="A353" i="16"/>
  <c r="N352" i="16"/>
  <c r="I352" i="16"/>
  <c r="G352" i="16"/>
  <c r="F352" i="16"/>
  <c r="B352" i="16"/>
  <c r="M352" i="16" s="1"/>
  <c r="A352" i="16"/>
  <c r="N351" i="16"/>
  <c r="M351" i="16"/>
  <c r="L351" i="16"/>
  <c r="K351" i="16"/>
  <c r="I351" i="16"/>
  <c r="H351" i="16"/>
  <c r="G351" i="16"/>
  <c r="F351" i="16"/>
  <c r="E351" i="16"/>
  <c r="D351" i="16"/>
  <c r="C351" i="16"/>
  <c r="B351" i="16"/>
  <c r="J351" i="16" s="1"/>
  <c r="A351" i="16"/>
  <c r="M350" i="16"/>
  <c r="K350" i="16"/>
  <c r="E350" i="16"/>
  <c r="C350" i="16"/>
  <c r="B350" i="16"/>
  <c r="J350" i="16" s="1"/>
  <c r="L349" i="16"/>
  <c r="K349" i="16"/>
  <c r="I349" i="16"/>
  <c r="H349" i="16"/>
  <c r="G349" i="16"/>
  <c r="D349" i="16"/>
  <c r="C349" i="16"/>
  <c r="B349" i="16"/>
  <c r="N349" i="16" s="1"/>
  <c r="A349" i="16"/>
  <c r="N348" i="16"/>
  <c r="I348" i="16"/>
  <c r="G348" i="16"/>
  <c r="F348" i="16"/>
  <c r="B348" i="16"/>
  <c r="M348" i="16" s="1"/>
  <c r="A348" i="16"/>
  <c r="N347" i="16"/>
  <c r="M347" i="16"/>
  <c r="L347" i="16"/>
  <c r="K347" i="16"/>
  <c r="I347" i="16"/>
  <c r="H347" i="16"/>
  <c r="G347" i="16"/>
  <c r="F347" i="16"/>
  <c r="E347" i="16"/>
  <c r="D347" i="16"/>
  <c r="C347" i="16"/>
  <c r="B347" i="16"/>
  <c r="J347" i="16" s="1"/>
  <c r="A347" i="16"/>
  <c r="M346" i="16"/>
  <c r="K346" i="16"/>
  <c r="E346" i="16"/>
  <c r="C346" i="16"/>
  <c r="B346" i="16"/>
  <c r="J346" i="16" s="1"/>
  <c r="L345" i="16"/>
  <c r="K345" i="16"/>
  <c r="I345" i="16"/>
  <c r="H345" i="16"/>
  <c r="G345" i="16"/>
  <c r="D345" i="16"/>
  <c r="C345" i="16"/>
  <c r="B345" i="16"/>
  <c r="N345" i="16" s="1"/>
  <c r="A345" i="16"/>
  <c r="N344" i="16"/>
  <c r="I344" i="16"/>
  <c r="G344" i="16"/>
  <c r="F344" i="16"/>
  <c r="B344" i="16"/>
  <c r="M344" i="16" s="1"/>
  <c r="A344" i="16"/>
  <c r="N343" i="16"/>
  <c r="M343" i="16"/>
  <c r="L343" i="16"/>
  <c r="K343" i="16"/>
  <c r="I343" i="16"/>
  <c r="H343" i="16"/>
  <c r="G343" i="16"/>
  <c r="F343" i="16"/>
  <c r="E343" i="16"/>
  <c r="D343" i="16"/>
  <c r="C343" i="16"/>
  <c r="B343" i="16"/>
  <c r="J343" i="16" s="1"/>
  <c r="A343" i="16"/>
  <c r="M342" i="16"/>
  <c r="K342" i="16"/>
  <c r="E342" i="16"/>
  <c r="C342" i="16"/>
  <c r="B342" i="16"/>
  <c r="J342" i="16" s="1"/>
  <c r="L341" i="16"/>
  <c r="K341" i="16"/>
  <c r="I341" i="16"/>
  <c r="H341" i="16"/>
  <c r="G341" i="16"/>
  <c r="D341" i="16"/>
  <c r="C341" i="16"/>
  <c r="B341" i="16"/>
  <c r="N341" i="16" s="1"/>
  <c r="A341" i="16"/>
  <c r="N340" i="16"/>
  <c r="I340" i="16"/>
  <c r="G340" i="16"/>
  <c r="F340" i="16"/>
  <c r="B340" i="16"/>
  <c r="M340" i="16" s="1"/>
  <c r="A340" i="16"/>
  <c r="N339" i="16"/>
  <c r="M339" i="16"/>
  <c r="L339" i="16"/>
  <c r="K339" i="16"/>
  <c r="I339" i="16"/>
  <c r="H339" i="16"/>
  <c r="G339" i="16"/>
  <c r="F339" i="16"/>
  <c r="E339" i="16"/>
  <c r="D339" i="16"/>
  <c r="C339" i="16"/>
  <c r="B339" i="16"/>
  <c r="J339" i="16" s="1"/>
  <c r="A339" i="16"/>
  <c r="M338" i="16"/>
  <c r="K338" i="16"/>
  <c r="E338" i="16"/>
  <c r="C338" i="16"/>
  <c r="B338" i="16"/>
  <c r="J338" i="16" s="1"/>
  <c r="L337" i="16"/>
  <c r="K337" i="16"/>
  <c r="I337" i="16"/>
  <c r="H337" i="16"/>
  <c r="G337" i="16"/>
  <c r="D337" i="16"/>
  <c r="C337" i="16"/>
  <c r="B337" i="16"/>
  <c r="N337" i="16" s="1"/>
  <c r="A337" i="16"/>
  <c r="N336" i="16"/>
  <c r="I336" i="16"/>
  <c r="G336" i="16"/>
  <c r="F336" i="16"/>
  <c r="B336" i="16"/>
  <c r="M336" i="16" s="1"/>
  <c r="A336" i="16"/>
  <c r="N335" i="16"/>
  <c r="M335" i="16"/>
  <c r="L335" i="16"/>
  <c r="K335" i="16"/>
  <c r="I335" i="16"/>
  <c r="H335" i="16"/>
  <c r="G335" i="16"/>
  <c r="F335" i="16"/>
  <c r="E335" i="16"/>
  <c r="D335" i="16"/>
  <c r="C335" i="16"/>
  <c r="B335" i="16"/>
  <c r="J335" i="16" s="1"/>
  <c r="A335" i="16"/>
  <c r="M334" i="16"/>
  <c r="K334" i="16"/>
  <c r="E334" i="16"/>
  <c r="C334" i="16"/>
  <c r="B334" i="16"/>
  <c r="J334" i="16" s="1"/>
  <c r="L333" i="16"/>
  <c r="K333" i="16"/>
  <c r="I333" i="16"/>
  <c r="H333" i="16"/>
  <c r="G333" i="16"/>
  <c r="D333" i="16"/>
  <c r="C333" i="16"/>
  <c r="B333" i="16"/>
  <c r="N333" i="16" s="1"/>
  <c r="A333" i="16"/>
  <c r="N332" i="16"/>
  <c r="I332" i="16"/>
  <c r="G332" i="16"/>
  <c r="F332" i="16"/>
  <c r="B332" i="16"/>
  <c r="M332" i="16" s="1"/>
  <c r="A332" i="16"/>
  <c r="M331" i="16"/>
  <c r="L331" i="16"/>
  <c r="K331" i="16"/>
  <c r="H331" i="16"/>
  <c r="G331" i="16"/>
  <c r="E331" i="16"/>
  <c r="D331" i="16"/>
  <c r="C331" i="16"/>
  <c r="B331" i="16"/>
  <c r="J331" i="16" s="1"/>
  <c r="M330" i="16"/>
  <c r="K330" i="16"/>
  <c r="E330" i="16"/>
  <c r="C330" i="16"/>
  <c r="B330" i="16"/>
  <c r="J330" i="16" s="1"/>
  <c r="N329" i="16"/>
  <c r="L329" i="16"/>
  <c r="K329" i="16"/>
  <c r="I329" i="16"/>
  <c r="H329" i="16"/>
  <c r="G329" i="16"/>
  <c r="F329" i="16"/>
  <c r="D329" i="16"/>
  <c r="C329" i="16"/>
  <c r="B329" i="16"/>
  <c r="M329" i="16" s="1"/>
  <c r="A329" i="16"/>
  <c r="N328" i="16"/>
  <c r="I328" i="16"/>
  <c r="G328" i="16"/>
  <c r="F328" i="16"/>
  <c r="B328" i="16"/>
  <c r="M328" i="16" s="1"/>
  <c r="A328" i="16"/>
  <c r="M327" i="16"/>
  <c r="L327" i="16"/>
  <c r="K327" i="16"/>
  <c r="H327" i="16"/>
  <c r="G327" i="16"/>
  <c r="E327" i="16"/>
  <c r="D327" i="16"/>
  <c r="C327" i="16"/>
  <c r="B327" i="16"/>
  <c r="J327" i="16" s="1"/>
  <c r="M326" i="16"/>
  <c r="K326" i="16"/>
  <c r="E326" i="16"/>
  <c r="C326" i="16"/>
  <c r="B326" i="16"/>
  <c r="J326" i="16" s="1"/>
  <c r="N325" i="16"/>
  <c r="L325" i="16"/>
  <c r="K325" i="16"/>
  <c r="I325" i="16"/>
  <c r="H325" i="16"/>
  <c r="G325" i="16"/>
  <c r="F325" i="16"/>
  <c r="D325" i="16"/>
  <c r="C325" i="16"/>
  <c r="B325" i="16"/>
  <c r="M325" i="16" s="1"/>
  <c r="A325" i="16"/>
  <c r="N324" i="16"/>
  <c r="I324" i="16"/>
  <c r="G324" i="16"/>
  <c r="F324" i="16"/>
  <c r="B324" i="16"/>
  <c r="M324" i="16" s="1"/>
  <c r="A324" i="16"/>
  <c r="M323" i="16"/>
  <c r="L323" i="16"/>
  <c r="K323" i="16"/>
  <c r="H323" i="16"/>
  <c r="G323" i="16"/>
  <c r="E323" i="16"/>
  <c r="D323" i="16"/>
  <c r="C323" i="16"/>
  <c r="B323" i="16"/>
  <c r="J323" i="16" s="1"/>
  <c r="M322" i="16"/>
  <c r="K322" i="16"/>
  <c r="E322" i="16"/>
  <c r="C322" i="16"/>
  <c r="B322" i="16"/>
  <c r="J322" i="16" s="1"/>
  <c r="N321" i="16"/>
  <c r="L321" i="16"/>
  <c r="K321" i="16"/>
  <c r="I321" i="16"/>
  <c r="H321" i="16"/>
  <c r="G321" i="16"/>
  <c r="F321" i="16"/>
  <c r="D321" i="16"/>
  <c r="C321" i="16"/>
  <c r="B321" i="16"/>
  <c r="M321" i="16" s="1"/>
  <c r="A321" i="16"/>
  <c r="N320" i="16"/>
  <c r="I320" i="16"/>
  <c r="G320" i="16"/>
  <c r="F320" i="16"/>
  <c r="B320" i="16"/>
  <c r="M320" i="16" s="1"/>
  <c r="A320" i="16"/>
  <c r="M319" i="16"/>
  <c r="L319" i="16"/>
  <c r="K319" i="16"/>
  <c r="H319" i="16"/>
  <c r="G319" i="16"/>
  <c r="E319" i="16"/>
  <c r="D319" i="16"/>
  <c r="C319" i="16"/>
  <c r="B319" i="16"/>
  <c r="J319" i="16" s="1"/>
  <c r="M318" i="16"/>
  <c r="K318" i="16"/>
  <c r="E318" i="16"/>
  <c r="C318" i="16"/>
  <c r="B318" i="16"/>
  <c r="J318" i="16" s="1"/>
  <c r="N317" i="16"/>
  <c r="L317" i="16"/>
  <c r="K317" i="16"/>
  <c r="I317" i="16"/>
  <c r="H317" i="16"/>
  <c r="G317" i="16"/>
  <c r="F317" i="16"/>
  <c r="D317" i="16"/>
  <c r="C317" i="16"/>
  <c r="B317" i="16"/>
  <c r="M317" i="16" s="1"/>
  <c r="A317" i="16"/>
  <c r="N316" i="16"/>
  <c r="I316" i="16"/>
  <c r="G316" i="16"/>
  <c r="F316" i="16"/>
  <c r="B316" i="16"/>
  <c r="M316" i="16" s="1"/>
  <c r="A316" i="16"/>
  <c r="M315" i="16"/>
  <c r="L315" i="16"/>
  <c r="K315" i="16"/>
  <c r="H315" i="16"/>
  <c r="G315" i="16"/>
  <c r="E315" i="16"/>
  <c r="D315" i="16"/>
  <c r="C315" i="16"/>
  <c r="B315" i="16"/>
  <c r="J315" i="16" s="1"/>
  <c r="M314" i="16"/>
  <c r="K314" i="16"/>
  <c r="E314" i="16"/>
  <c r="C314" i="16"/>
  <c r="B314" i="16"/>
  <c r="J314" i="16" s="1"/>
  <c r="N313" i="16"/>
  <c r="L313" i="16"/>
  <c r="K313" i="16"/>
  <c r="I313" i="16"/>
  <c r="H313" i="16"/>
  <c r="G313" i="16"/>
  <c r="F313" i="16"/>
  <c r="D313" i="16"/>
  <c r="C313" i="16"/>
  <c r="B313" i="16"/>
  <c r="M313" i="16" s="1"/>
  <c r="A313" i="16"/>
  <c r="N312" i="16"/>
  <c r="I312" i="16"/>
  <c r="G312" i="16"/>
  <c r="F312" i="16"/>
  <c r="B312" i="16"/>
  <c r="M312" i="16" s="1"/>
  <c r="A312" i="16"/>
  <c r="M311" i="16"/>
  <c r="L311" i="16"/>
  <c r="K311" i="16"/>
  <c r="H311" i="16"/>
  <c r="G311" i="16"/>
  <c r="E311" i="16"/>
  <c r="D311" i="16"/>
  <c r="C311" i="16"/>
  <c r="B311" i="16"/>
  <c r="J311" i="16" s="1"/>
  <c r="M310" i="16"/>
  <c r="K310" i="16"/>
  <c r="E310" i="16"/>
  <c r="C310" i="16"/>
  <c r="B310" i="16"/>
  <c r="J310" i="16" s="1"/>
  <c r="N309" i="16"/>
  <c r="L309" i="16"/>
  <c r="K309" i="16"/>
  <c r="I309" i="16"/>
  <c r="H309" i="16"/>
  <c r="G309" i="16"/>
  <c r="F309" i="16"/>
  <c r="D309" i="16"/>
  <c r="C309" i="16"/>
  <c r="B309" i="16"/>
  <c r="M309" i="16" s="1"/>
  <c r="A309" i="16"/>
  <c r="N308" i="16"/>
  <c r="I308" i="16"/>
  <c r="G308" i="16"/>
  <c r="F308" i="16"/>
  <c r="B308" i="16"/>
  <c r="M308" i="16" s="1"/>
  <c r="A308" i="16"/>
  <c r="M307" i="16"/>
  <c r="L307" i="16"/>
  <c r="K307" i="16"/>
  <c r="H307" i="16"/>
  <c r="G307" i="16"/>
  <c r="E307" i="16"/>
  <c r="D307" i="16"/>
  <c r="C307" i="16"/>
  <c r="B307" i="16"/>
  <c r="J307" i="16" s="1"/>
  <c r="M306" i="16"/>
  <c r="K306" i="16"/>
  <c r="E306" i="16"/>
  <c r="C306" i="16"/>
  <c r="B306" i="16"/>
  <c r="J306" i="16" s="1"/>
  <c r="N305" i="16"/>
  <c r="L305" i="16"/>
  <c r="K305" i="16"/>
  <c r="I305" i="16"/>
  <c r="H305" i="16"/>
  <c r="G305" i="16"/>
  <c r="F305" i="16"/>
  <c r="D305" i="16"/>
  <c r="C305" i="16"/>
  <c r="B305" i="16"/>
  <c r="M305" i="16" s="1"/>
  <c r="A305" i="16"/>
  <c r="N304" i="16"/>
  <c r="I304" i="16"/>
  <c r="G304" i="16"/>
  <c r="F304" i="16"/>
  <c r="B304" i="16"/>
  <c r="M304" i="16" s="1"/>
  <c r="A304" i="16"/>
  <c r="M303" i="16"/>
  <c r="L303" i="16"/>
  <c r="K303" i="16"/>
  <c r="H303" i="16"/>
  <c r="G303" i="16"/>
  <c r="E303" i="16"/>
  <c r="D303" i="16"/>
  <c r="C303" i="16"/>
  <c r="B303" i="16"/>
  <c r="J303" i="16" s="1"/>
  <c r="M302" i="16"/>
  <c r="K302" i="16"/>
  <c r="E302" i="16"/>
  <c r="C302" i="16"/>
  <c r="B302" i="16"/>
  <c r="J302" i="16" s="1"/>
  <c r="N301" i="16"/>
  <c r="L301" i="16"/>
  <c r="K301" i="16"/>
  <c r="I301" i="16"/>
  <c r="H301" i="16"/>
  <c r="G301" i="16"/>
  <c r="F301" i="16"/>
  <c r="D301" i="16"/>
  <c r="C301" i="16"/>
  <c r="B301" i="16"/>
  <c r="M301" i="16" s="1"/>
  <c r="A301" i="16"/>
  <c r="N300" i="16"/>
  <c r="I300" i="16"/>
  <c r="G300" i="16"/>
  <c r="F300" i="16"/>
  <c r="B300" i="16"/>
  <c r="M300" i="16" s="1"/>
  <c r="A300" i="16"/>
  <c r="M299" i="16"/>
  <c r="L299" i="16"/>
  <c r="K299" i="16"/>
  <c r="H299" i="16"/>
  <c r="G299" i="16"/>
  <c r="E299" i="16"/>
  <c r="D299" i="16"/>
  <c r="C299" i="16"/>
  <c r="B299" i="16"/>
  <c r="J299" i="16" s="1"/>
  <c r="M298" i="16"/>
  <c r="K298" i="16"/>
  <c r="E298" i="16"/>
  <c r="C298" i="16"/>
  <c r="B298" i="16"/>
  <c r="J298" i="16" s="1"/>
  <c r="N297" i="16"/>
  <c r="L297" i="16"/>
  <c r="K297" i="16"/>
  <c r="I297" i="16"/>
  <c r="H297" i="16"/>
  <c r="G297" i="16"/>
  <c r="F297" i="16"/>
  <c r="D297" i="16"/>
  <c r="C297" i="16"/>
  <c r="B297" i="16"/>
  <c r="M297" i="16" s="1"/>
  <c r="A297" i="16"/>
  <c r="N296" i="16"/>
  <c r="I296" i="16"/>
  <c r="G296" i="16"/>
  <c r="F296" i="16"/>
  <c r="B296" i="16"/>
  <c r="M296" i="16" s="1"/>
  <c r="A296" i="16"/>
  <c r="M295" i="16"/>
  <c r="L295" i="16"/>
  <c r="K295" i="16"/>
  <c r="H295" i="16"/>
  <c r="G295" i="16"/>
  <c r="E295" i="16"/>
  <c r="D295" i="16"/>
  <c r="C295" i="16"/>
  <c r="B295" i="16"/>
  <c r="J295" i="16" s="1"/>
  <c r="M294" i="16"/>
  <c r="K294" i="16"/>
  <c r="E294" i="16"/>
  <c r="C294" i="16"/>
  <c r="B294" i="16"/>
  <c r="J294" i="16" s="1"/>
  <c r="N293" i="16"/>
  <c r="L293" i="16"/>
  <c r="K293" i="16"/>
  <c r="I293" i="16"/>
  <c r="H293" i="16"/>
  <c r="G293" i="16"/>
  <c r="F293" i="16"/>
  <c r="D293" i="16"/>
  <c r="C293" i="16"/>
  <c r="B293" i="16"/>
  <c r="M293" i="16" s="1"/>
  <c r="A293" i="16"/>
  <c r="N292" i="16"/>
  <c r="I292" i="16"/>
  <c r="G292" i="16"/>
  <c r="F292" i="16"/>
  <c r="B292" i="16"/>
  <c r="M292" i="16" s="1"/>
  <c r="A292" i="16"/>
  <c r="M291" i="16"/>
  <c r="L291" i="16"/>
  <c r="K291" i="16"/>
  <c r="H291" i="16"/>
  <c r="G291" i="16"/>
  <c r="E291" i="16"/>
  <c r="D291" i="16"/>
  <c r="C291" i="16"/>
  <c r="B291" i="16"/>
  <c r="J291" i="16" s="1"/>
  <c r="M290" i="16"/>
  <c r="K290" i="16"/>
  <c r="E290" i="16"/>
  <c r="C290" i="16"/>
  <c r="B290" i="16"/>
  <c r="J290" i="16" s="1"/>
  <c r="N289" i="16"/>
  <c r="L289" i="16"/>
  <c r="K289" i="16"/>
  <c r="I289" i="16"/>
  <c r="H289" i="16"/>
  <c r="G289" i="16"/>
  <c r="F289" i="16"/>
  <c r="D289" i="16"/>
  <c r="C289" i="16"/>
  <c r="B289" i="16"/>
  <c r="M289" i="16" s="1"/>
  <c r="A289" i="16"/>
  <c r="N288" i="16"/>
  <c r="I288" i="16"/>
  <c r="G288" i="16"/>
  <c r="F288" i="16"/>
  <c r="B288" i="16"/>
  <c r="M288" i="16" s="1"/>
  <c r="A288" i="16"/>
  <c r="M287" i="16"/>
  <c r="L287" i="16"/>
  <c r="K287" i="16"/>
  <c r="H287" i="16"/>
  <c r="G287" i="16"/>
  <c r="E287" i="16"/>
  <c r="D287" i="16"/>
  <c r="C287" i="16"/>
  <c r="B287" i="16"/>
  <c r="J287" i="16" s="1"/>
  <c r="M286" i="16"/>
  <c r="K286" i="16"/>
  <c r="E286" i="16"/>
  <c r="C286" i="16"/>
  <c r="B286" i="16"/>
  <c r="J286" i="16" s="1"/>
  <c r="N285" i="16"/>
  <c r="L285" i="16"/>
  <c r="K285" i="16"/>
  <c r="I285" i="16"/>
  <c r="H285" i="16"/>
  <c r="G285" i="16"/>
  <c r="F285" i="16"/>
  <c r="D285" i="16"/>
  <c r="C285" i="16"/>
  <c r="B285" i="16"/>
  <c r="M285" i="16" s="1"/>
  <c r="A285" i="16"/>
  <c r="N284" i="16"/>
  <c r="I284" i="16"/>
  <c r="G284" i="16"/>
  <c r="F284" i="16"/>
  <c r="B284" i="16"/>
  <c r="M284" i="16" s="1"/>
  <c r="A284" i="16"/>
  <c r="M283" i="16"/>
  <c r="L283" i="16"/>
  <c r="K283" i="16"/>
  <c r="H283" i="16"/>
  <c r="G283" i="16"/>
  <c r="E283" i="16"/>
  <c r="D283" i="16"/>
  <c r="C283" i="16"/>
  <c r="B283" i="16"/>
  <c r="J283" i="16" s="1"/>
  <c r="M282" i="16"/>
  <c r="K282" i="16"/>
  <c r="E282" i="16"/>
  <c r="C282" i="16"/>
  <c r="B282" i="16"/>
  <c r="J282" i="16" s="1"/>
  <c r="N281" i="16"/>
  <c r="L281" i="16"/>
  <c r="K281" i="16"/>
  <c r="I281" i="16"/>
  <c r="H281" i="16"/>
  <c r="G281" i="16"/>
  <c r="F281" i="16"/>
  <c r="D281" i="16"/>
  <c r="C281" i="16"/>
  <c r="B281" i="16"/>
  <c r="M281" i="16" s="1"/>
  <c r="A281" i="16"/>
  <c r="N280" i="16"/>
  <c r="I280" i="16"/>
  <c r="G280" i="16"/>
  <c r="F280" i="16"/>
  <c r="B280" i="16"/>
  <c r="M280" i="16" s="1"/>
  <c r="A280" i="16"/>
  <c r="M279" i="16"/>
  <c r="L279" i="16"/>
  <c r="K279" i="16"/>
  <c r="H279" i="16"/>
  <c r="G279" i="16"/>
  <c r="E279" i="16"/>
  <c r="D279" i="16"/>
  <c r="C279" i="16"/>
  <c r="B279" i="16"/>
  <c r="J279" i="16" s="1"/>
  <c r="M278" i="16"/>
  <c r="K278" i="16"/>
  <c r="E278" i="16"/>
  <c r="C278" i="16"/>
  <c r="B278" i="16"/>
  <c r="J278" i="16" s="1"/>
  <c r="N277" i="16"/>
  <c r="L277" i="16"/>
  <c r="K277" i="16"/>
  <c r="I277" i="16"/>
  <c r="H277" i="16"/>
  <c r="G277" i="16"/>
  <c r="F277" i="16"/>
  <c r="D277" i="16"/>
  <c r="C277" i="16"/>
  <c r="B277" i="16"/>
  <c r="M277" i="16" s="1"/>
  <c r="A277" i="16"/>
  <c r="N276" i="16"/>
  <c r="I276" i="16"/>
  <c r="G276" i="16"/>
  <c r="F276" i="16"/>
  <c r="B276" i="16"/>
  <c r="M276" i="16" s="1"/>
  <c r="A276" i="16"/>
  <c r="M275" i="16"/>
  <c r="L275" i="16"/>
  <c r="K275" i="16"/>
  <c r="H275" i="16"/>
  <c r="G275" i="16"/>
  <c r="E275" i="16"/>
  <c r="D275" i="16"/>
  <c r="C275" i="16"/>
  <c r="B275" i="16"/>
  <c r="J275" i="16" s="1"/>
  <c r="M274" i="16"/>
  <c r="K274" i="16"/>
  <c r="E274" i="16"/>
  <c r="C274" i="16"/>
  <c r="B274" i="16"/>
  <c r="J274" i="16" s="1"/>
  <c r="N273" i="16"/>
  <c r="L273" i="16"/>
  <c r="K273" i="16"/>
  <c r="I273" i="16"/>
  <c r="H273" i="16"/>
  <c r="G273" i="16"/>
  <c r="F273" i="16"/>
  <c r="D273" i="16"/>
  <c r="C273" i="16"/>
  <c r="B273" i="16"/>
  <c r="M273" i="16" s="1"/>
  <c r="A273" i="16"/>
  <c r="N272" i="16"/>
  <c r="I272" i="16"/>
  <c r="G272" i="16"/>
  <c r="F272" i="16"/>
  <c r="B272" i="16"/>
  <c r="M272" i="16" s="1"/>
  <c r="A272" i="16"/>
  <c r="M271" i="16"/>
  <c r="L271" i="16"/>
  <c r="K271" i="16"/>
  <c r="H271" i="16"/>
  <c r="G271" i="16"/>
  <c r="E271" i="16"/>
  <c r="D271" i="16"/>
  <c r="C271" i="16"/>
  <c r="B271" i="16"/>
  <c r="J271" i="16" s="1"/>
  <c r="M270" i="16"/>
  <c r="K270" i="16"/>
  <c r="E270" i="16"/>
  <c r="C270" i="16"/>
  <c r="B270" i="16"/>
  <c r="J270" i="16" s="1"/>
  <c r="N269" i="16"/>
  <c r="M269" i="16"/>
  <c r="L269" i="16"/>
  <c r="K269" i="16"/>
  <c r="I269" i="16"/>
  <c r="H269" i="16"/>
  <c r="G269" i="16"/>
  <c r="F269" i="16"/>
  <c r="E269" i="16"/>
  <c r="D269" i="16"/>
  <c r="C269" i="16"/>
  <c r="B269" i="16"/>
  <c r="J269" i="16" s="1"/>
  <c r="A269" i="16"/>
  <c r="N268" i="16"/>
  <c r="I268" i="16"/>
  <c r="G268" i="16"/>
  <c r="F268" i="16"/>
  <c r="B268" i="16"/>
  <c r="M268" i="16" s="1"/>
  <c r="A268" i="16"/>
  <c r="M267" i="16"/>
  <c r="L267" i="16"/>
  <c r="K267" i="16"/>
  <c r="H267" i="16"/>
  <c r="G267" i="16"/>
  <c r="E267" i="16"/>
  <c r="D267" i="16"/>
  <c r="C267" i="16"/>
  <c r="B267" i="16"/>
  <c r="J267" i="16" s="1"/>
  <c r="M266" i="16"/>
  <c r="K266" i="16"/>
  <c r="E266" i="16"/>
  <c r="C266" i="16"/>
  <c r="B266" i="16"/>
  <c r="J266" i="16" s="1"/>
  <c r="N265" i="16"/>
  <c r="M265" i="16"/>
  <c r="L265" i="16"/>
  <c r="K265" i="16"/>
  <c r="I265" i="16"/>
  <c r="H265" i="16"/>
  <c r="G265" i="16"/>
  <c r="F265" i="16"/>
  <c r="E265" i="16"/>
  <c r="D265" i="16"/>
  <c r="C265" i="16"/>
  <c r="B265" i="16"/>
  <c r="J265" i="16" s="1"/>
  <c r="A265" i="16"/>
  <c r="N264" i="16"/>
  <c r="I264" i="16"/>
  <c r="G264" i="16"/>
  <c r="F264" i="16"/>
  <c r="B264" i="16"/>
  <c r="M264" i="16" s="1"/>
  <c r="A264" i="16"/>
  <c r="M263" i="16"/>
  <c r="L263" i="16"/>
  <c r="K263" i="16"/>
  <c r="H263" i="16"/>
  <c r="G263" i="16"/>
  <c r="E263" i="16"/>
  <c r="D263" i="16"/>
  <c r="C263" i="16"/>
  <c r="B263" i="16"/>
  <c r="J263" i="16" s="1"/>
  <c r="M262" i="16"/>
  <c r="K262" i="16"/>
  <c r="E262" i="16"/>
  <c r="C262" i="16"/>
  <c r="B262" i="16"/>
  <c r="J262" i="16" s="1"/>
  <c r="N261" i="16"/>
  <c r="L261" i="16"/>
  <c r="K261" i="16"/>
  <c r="I261" i="16"/>
  <c r="H261" i="16"/>
  <c r="G261" i="16"/>
  <c r="F261" i="16"/>
  <c r="D261" i="16"/>
  <c r="C261" i="16"/>
  <c r="B261" i="16"/>
  <c r="M261" i="16" s="1"/>
  <c r="A261" i="16"/>
  <c r="N260" i="16"/>
  <c r="I260" i="16"/>
  <c r="G260" i="16"/>
  <c r="F260" i="16"/>
  <c r="B260" i="16"/>
  <c r="M260" i="16" s="1"/>
  <c r="A260" i="16"/>
  <c r="M259" i="16"/>
  <c r="L259" i="16"/>
  <c r="K259" i="16"/>
  <c r="H259" i="16"/>
  <c r="G259" i="16"/>
  <c r="E259" i="16"/>
  <c r="D259" i="16"/>
  <c r="C259" i="16"/>
  <c r="B259" i="16"/>
  <c r="J259" i="16" s="1"/>
  <c r="M258" i="16"/>
  <c r="K258" i="16"/>
  <c r="E258" i="16"/>
  <c r="C258" i="16"/>
  <c r="B258" i="16"/>
  <c r="J258" i="16" s="1"/>
  <c r="N257" i="16"/>
  <c r="L257" i="16"/>
  <c r="K257" i="16"/>
  <c r="I257" i="16"/>
  <c r="H257" i="16"/>
  <c r="G257" i="16"/>
  <c r="F257" i="16"/>
  <c r="D257" i="16"/>
  <c r="C257" i="16"/>
  <c r="B257" i="16"/>
  <c r="M257" i="16" s="1"/>
  <c r="A257" i="16"/>
  <c r="N256" i="16"/>
  <c r="I256" i="16"/>
  <c r="G256" i="16"/>
  <c r="F256" i="16"/>
  <c r="B256" i="16"/>
  <c r="M256" i="16" s="1"/>
  <c r="A256" i="16"/>
  <c r="M255" i="16"/>
  <c r="L255" i="16"/>
  <c r="K255" i="16"/>
  <c r="H255" i="16"/>
  <c r="G255" i="16"/>
  <c r="E255" i="16"/>
  <c r="D255" i="16"/>
  <c r="C255" i="16"/>
  <c r="B255" i="16"/>
  <c r="J255" i="16" s="1"/>
  <c r="M254" i="16"/>
  <c r="K254" i="16"/>
  <c r="E254" i="16"/>
  <c r="C254" i="16"/>
  <c r="B254" i="16"/>
  <c r="J254" i="16" s="1"/>
  <c r="N253" i="16"/>
  <c r="L253" i="16"/>
  <c r="K253" i="16"/>
  <c r="I253" i="16"/>
  <c r="H253" i="16"/>
  <c r="G253" i="16"/>
  <c r="F253" i="16"/>
  <c r="D253" i="16"/>
  <c r="C253" i="16"/>
  <c r="B253" i="16"/>
  <c r="M253" i="16" s="1"/>
  <c r="A253" i="16"/>
  <c r="N252" i="16"/>
  <c r="I252" i="16"/>
  <c r="G252" i="16"/>
  <c r="F252" i="16"/>
  <c r="B252" i="16"/>
  <c r="M252" i="16" s="1"/>
  <c r="A252" i="16"/>
  <c r="M251" i="16"/>
  <c r="L251" i="16"/>
  <c r="K251" i="16"/>
  <c r="H251" i="16"/>
  <c r="G251" i="16"/>
  <c r="E251" i="16"/>
  <c r="D251" i="16"/>
  <c r="C251" i="16"/>
  <c r="B251" i="16"/>
  <c r="J251" i="16" s="1"/>
  <c r="M250" i="16"/>
  <c r="K250" i="16"/>
  <c r="E250" i="16"/>
  <c r="C250" i="16"/>
  <c r="B250" i="16"/>
  <c r="J250" i="16" s="1"/>
  <c r="N249" i="16"/>
  <c r="L249" i="16"/>
  <c r="K249" i="16"/>
  <c r="I249" i="16"/>
  <c r="H249" i="16"/>
  <c r="G249" i="16"/>
  <c r="F249" i="16"/>
  <c r="D249" i="16"/>
  <c r="C249" i="16"/>
  <c r="B249" i="16"/>
  <c r="M249" i="16" s="1"/>
  <c r="A249" i="16"/>
  <c r="N248" i="16"/>
  <c r="I248" i="16"/>
  <c r="G248" i="16"/>
  <c r="F248" i="16"/>
  <c r="B248" i="16"/>
  <c r="M248" i="16" s="1"/>
  <c r="A248" i="16"/>
  <c r="M247" i="16"/>
  <c r="L247" i="16"/>
  <c r="K247" i="16"/>
  <c r="H247" i="16"/>
  <c r="G247" i="16"/>
  <c r="E247" i="16"/>
  <c r="D247" i="16"/>
  <c r="C247" i="16"/>
  <c r="B247" i="16"/>
  <c r="J247" i="16" s="1"/>
  <c r="M246" i="16"/>
  <c r="K246" i="16"/>
  <c r="E246" i="16"/>
  <c r="C246" i="16"/>
  <c r="B246" i="16"/>
  <c r="J246" i="16" s="1"/>
  <c r="N245" i="16"/>
  <c r="L245" i="16"/>
  <c r="K245" i="16"/>
  <c r="I245" i="16"/>
  <c r="H245" i="16"/>
  <c r="G245" i="16"/>
  <c r="F245" i="16"/>
  <c r="D245" i="16"/>
  <c r="C245" i="16"/>
  <c r="B245" i="16"/>
  <c r="M245" i="16" s="1"/>
  <c r="A245" i="16"/>
  <c r="N244" i="16"/>
  <c r="I244" i="16"/>
  <c r="G244" i="16"/>
  <c r="F244" i="16"/>
  <c r="B244" i="16"/>
  <c r="M244" i="16" s="1"/>
  <c r="A244" i="16"/>
  <c r="M243" i="16"/>
  <c r="L243" i="16"/>
  <c r="K243" i="16"/>
  <c r="H243" i="16"/>
  <c r="G243" i="16"/>
  <c r="E243" i="16"/>
  <c r="D243" i="16"/>
  <c r="C243" i="16"/>
  <c r="B243" i="16"/>
  <c r="J243" i="16" s="1"/>
  <c r="M242" i="16"/>
  <c r="K242" i="16"/>
  <c r="E242" i="16"/>
  <c r="C242" i="16"/>
  <c r="B242" i="16"/>
  <c r="J242" i="16" s="1"/>
  <c r="N241" i="16"/>
  <c r="L241" i="16"/>
  <c r="K241" i="16"/>
  <c r="I241" i="16"/>
  <c r="H241" i="16"/>
  <c r="G241" i="16"/>
  <c r="F241" i="16"/>
  <c r="D241" i="16"/>
  <c r="C241" i="16"/>
  <c r="B241" i="16"/>
  <c r="M241" i="16" s="1"/>
  <c r="A241" i="16"/>
  <c r="N240" i="16"/>
  <c r="I240" i="16"/>
  <c r="G240" i="16"/>
  <c r="F240" i="16"/>
  <c r="B240" i="16"/>
  <c r="M240" i="16" s="1"/>
  <c r="A240" i="16"/>
  <c r="M239" i="16"/>
  <c r="L239" i="16"/>
  <c r="K239" i="16"/>
  <c r="H239" i="16"/>
  <c r="G239" i="16"/>
  <c r="E239" i="16"/>
  <c r="D239" i="16"/>
  <c r="C239" i="16"/>
  <c r="B239" i="16"/>
  <c r="J239" i="16" s="1"/>
  <c r="M238" i="16"/>
  <c r="K238" i="16"/>
  <c r="E238" i="16"/>
  <c r="C238" i="16"/>
  <c r="B238" i="16"/>
  <c r="J238" i="16" s="1"/>
  <c r="N237" i="16"/>
  <c r="L237" i="16"/>
  <c r="K237" i="16"/>
  <c r="I237" i="16"/>
  <c r="H237" i="16"/>
  <c r="G237" i="16"/>
  <c r="F237" i="16"/>
  <c r="D237" i="16"/>
  <c r="C237" i="16"/>
  <c r="B237" i="16"/>
  <c r="M237" i="16" s="1"/>
  <c r="A237" i="16"/>
  <c r="N236" i="16"/>
  <c r="I236" i="16"/>
  <c r="G236" i="16"/>
  <c r="F236" i="16"/>
  <c r="B236" i="16"/>
  <c r="M236" i="16" s="1"/>
  <c r="A236" i="16"/>
  <c r="M235" i="16"/>
  <c r="L235" i="16"/>
  <c r="K235" i="16"/>
  <c r="H235" i="16"/>
  <c r="G235" i="16"/>
  <c r="E235" i="16"/>
  <c r="D235" i="16"/>
  <c r="C235" i="16"/>
  <c r="B235" i="16"/>
  <c r="J235" i="16" s="1"/>
  <c r="M234" i="16"/>
  <c r="K234" i="16"/>
  <c r="E234" i="16"/>
  <c r="C234" i="16"/>
  <c r="B234" i="16"/>
  <c r="J234" i="16" s="1"/>
  <c r="N233" i="16"/>
  <c r="L233" i="16"/>
  <c r="K233" i="16"/>
  <c r="I233" i="16"/>
  <c r="H233" i="16"/>
  <c r="G233" i="16"/>
  <c r="F233" i="16"/>
  <c r="D233" i="16"/>
  <c r="C233" i="16"/>
  <c r="B233" i="16"/>
  <c r="M233" i="16" s="1"/>
  <c r="A233" i="16"/>
  <c r="N232" i="16"/>
  <c r="I232" i="16"/>
  <c r="G232" i="16"/>
  <c r="F232" i="16"/>
  <c r="B232" i="16"/>
  <c r="M232" i="16" s="1"/>
  <c r="A232" i="16"/>
  <c r="M231" i="16"/>
  <c r="L231" i="16"/>
  <c r="K231" i="16"/>
  <c r="H231" i="16"/>
  <c r="G231" i="16"/>
  <c r="E231" i="16"/>
  <c r="D231" i="16"/>
  <c r="C231" i="16"/>
  <c r="B231" i="16"/>
  <c r="J231" i="16" s="1"/>
  <c r="M230" i="16"/>
  <c r="K230" i="16"/>
  <c r="E230" i="16"/>
  <c r="C230" i="16"/>
  <c r="B230" i="16"/>
  <c r="J230" i="16" s="1"/>
  <c r="N229" i="16"/>
  <c r="L229" i="16"/>
  <c r="K229" i="16"/>
  <c r="I229" i="16"/>
  <c r="H229" i="16"/>
  <c r="G229" i="16"/>
  <c r="F229" i="16"/>
  <c r="D229" i="16"/>
  <c r="C229" i="16"/>
  <c r="B229" i="16"/>
  <c r="M229" i="16" s="1"/>
  <c r="A229" i="16"/>
  <c r="N228" i="16"/>
  <c r="I228" i="16"/>
  <c r="G228" i="16"/>
  <c r="F228" i="16"/>
  <c r="B228" i="16"/>
  <c r="M228" i="16" s="1"/>
  <c r="A228" i="16"/>
  <c r="M227" i="16"/>
  <c r="L227" i="16"/>
  <c r="K227" i="16"/>
  <c r="H227" i="16"/>
  <c r="G227" i="16"/>
  <c r="E227" i="16"/>
  <c r="D227" i="16"/>
  <c r="C227" i="16"/>
  <c r="B227" i="16"/>
  <c r="J227" i="16" s="1"/>
  <c r="M226" i="16"/>
  <c r="K226" i="16"/>
  <c r="E226" i="16"/>
  <c r="C226" i="16"/>
  <c r="B226" i="16"/>
  <c r="J226" i="16" s="1"/>
  <c r="N225" i="16"/>
  <c r="L225" i="16"/>
  <c r="K225" i="16"/>
  <c r="I225" i="16"/>
  <c r="H225" i="16"/>
  <c r="G225" i="16"/>
  <c r="F225" i="16"/>
  <c r="D225" i="16"/>
  <c r="C225" i="16"/>
  <c r="B225" i="16"/>
  <c r="M225" i="16" s="1"/>
  <c r="A225" i="16"/>
  <c r="N224" i="16"/>
  <c r="I224" i="16"/>
  <c r="G224" i="16"/>
  <c r="F224" i="16"/>
  <c r="B224" i="16"/>
  <c r="M224" i="16" s="1"/>
  <c r="A224" i="16"/>
  <c r="M223" i="16"/>
  <c r="L223" i="16"/>
  <c r="K223" i="16"/>
  <c r="H223" i="16"/>
  <c r="G223" i="16"/>
  <c r="E223" i="16"/>
  <c r="D223" i="16"/>
  <c r="C223" i="16"/>
  <c r="B223" i="16"/>
  <c r="J223" i="16" s="1"/>
  <c r="M222" i="16"/>
  <c r="K222" i="16"/>
  <c r="E222" i="16"/>
  <c r="C222" i="16"/>
  <c r="B222" i="16"/>
  <c r="J222" i="16" s="1"/>
  <c r="N221" i="16"/>
  <c r="L221" i="16"/>
  <c r="K221" i="16"/>
  <c r="I221" i="16"/>
  <c r="H221" i="16"/>
  <c r="G221" i="16"/>
  <c r="F221" i="16"/>
  <c r="D221" i="16"/>
  <c r="C221" i="16"/>
  <c r="B221" i="16"/>
  <c r="M221" i="16" s="1"/>
  <c r="A221" i="16"/>
  <c r="N220" i="16"/>
  <c r="I220" i="16"/>
  <c r="G220" i="16"/>
  <c r="F220" i="16"/>
  <c r="B220" i="16"/>
  <c r="M220" i="16" s="1"/>
  <c r="A220" i="16"/>
  <c r="M219" i="16"/>
  <c r="L219" i="16"/>
  <c r="K219" i="16"/>
  <c r="H219" i="16"/>
  <c r="G219" i="16"/>
  <c r="E219" i="16"/>
  <c r="D219" i="16"/>
  <c r="C219" i="16"/>
  <c r="B219" i="16"/>
  <c r="J219" i="16" s="1"/>
  <c r="M218" i="16"/>
  <c r="K218" i="16"/>
  <c r="E218" i="16"/>
  <c r="C218" i="16"/>
  <c r="B218" i="16"/>
  <c r="J218" i="16" s="1"/>
  <c r="N217" i="16"/>
  <c r="L217" i="16"/>
  <c r="K217" i="16"/>
  <c r="I217" i="16"/>
  <c r="H217" i="16"/>
  <c r="G217" i="16"/>
  <c r="F217" i="16"/>
  <c r="D217" i="16"/>
  <c r="C217" i="16"/>
  <c r="B217" i="16"/>
  <c r="M217" i="16" s="1"/>
  <c r="A217" i="16"/>
  <c r="N216" i="16"/>
  <c r="I216" i="16"/>
  <c r="G216" i="16"/>
  <c r="F216" i="16"/>
  <c r="B216" i="16"/>
  <c r="M216" i="16" s="1"/>
  <c r="A216" i="16"/>
  <c r="M215" i="16"/>
  <c r="L215" i="16"/>
  <c r="H215" i="16"/>
  <c r="G215" i="16"/>
  <c r="E215" i="16"/>
  <c r="D215" i="16"/>
  <c r="B215" i="16"/>
  <c r="K215" i="16" s="1"/>
  <c r="M214" i="16"/>
  <c r="K214" i="16"/>
  <c r="E214" i="16"/>
  <c r="C214" i="16"/>
  <c r="B214" i="16"/>
  <c r="J214" i="16" s="1"/>
  <c r="N213" i="16"/>
  <c r="L213" i="16"/>
  <c r="K213" i="16"/>
  <c r="I213" i="16"/>
  <c r="H213" i="16"/>
  <c r="G213" i="16"/>
  <c r="F213" i="16"/>
  <c r="D213" i="16"/>
  <c r="C213" i="16"/>
  <c r="B213" i="16"/>
  <c r="M213" i="16" s="1"/>
  <c r="A213" i="16"/>
  <c r="N212" i="16"/>
  <c r="I212" i="16"/>
  <c r="G212" i="16"/>
  <c r="F212" i="16"/>
  <c r="B212" i="16"/>
  <c r="M212" i="16" s="1"/>
  <c r="A212" i="16"/>
  <c r="M211" i="16"/>
  <c r="L211" i="16"/>
  <c r="H211" i="16"/>
  <c r="G211" i="16"/>
  <c r="E211" i="16"/>
  <c r="D211" i="16"/>
  <c r="B211" i="16"/>
  <c r="K211" i="16" s="1"/>
  <c r="M210" i="16"/>
  <c r="K210" i="16"/>
  <c r="E210" i="16"/>
  <c r="C210" i="16"/>
  <c r="B210" i="16"/>
  <c r="J210" i="16" s="1"/>
  <c r="N209" i="16"/>
  <c r="L209" i="16"/>
  <c r="K209" i="16"/>
  <c r="I209" i="16"/>
  <c r="H209" i="16"/>
  <c r="G209" i="16"/>
  <c r="F209" i="16"/>
  <c r="D209" i="16"/>
  <c r="C209" i="16"/>
  <c r="B209" i="16"/>
  <c r="M209" i="16" s="1"/>
  <c r="A209" i="16"/>
  <c r="N208" i="16"/>
  <c r="I208" i="16"/>
  <c r="G208" i="16"/>
  <c r="F208" i="16"/>
  <c r="B208" i="16"/>
  <c r="M208" i="16" s="1"/>
  <c r="A208" i="16"/>
  <c r="M207" i="16"/>
  <c r="L207" i="16"/>
  <c r="H207" i="16"/>
  <c r="G207" i="16"/>
  <c r="E207" i="16"/>
  <c r="D207" i="16"/>
  <c r="B207" i="16"/>
  <c r="K207" i="16" s="1"/>
  <c r="M206" i="16"/>
  <c r="K206" i="16"/>
  <c r="E206" i="16"/>
  <c r="C206" i="16"/>
  <c r="B206" i="16"/>
  <c r="J206" i="16" s="1"/>
  <c r="N205" i="16"/>
  <c r="L205" i="16"/>
  <c r="K205" i="16"/>
  <c r="I205" i="16"/>
  <c r="H205" i="16"/>
  <c r="G205" i="16"/>
  <c r="F205" i="16"/>
  <c r="D205" i="16"/>
  <c r="C205" i="16"/>
  <c r="B205" i="16"/>
  <c r="M205" i="16" s="1"/>
  <c r="A205" i="16"/>
  <c r="N204" i="16"/>
  <c r="I204" i="16"/>
  <c r="G204" i="16"/>
  <c r="F204" i="16"/>
  <c r="B204" i="16"/>
  <c r="M204" i="16" s="1"/>
  <c r="A204" i="16"/>
  <c r="M203" i="16"/>
  <c r="L203" i="16"/>
  <c r="H203" i="16"/>
  <c r="G203" i="16"/>
  <c r="E203" i="16"/>
  <c r="D203" i="16"/>
  <c r="B203" i="16"/>
  <c r="K203" i="16" s="1"/>
  <c r="M202" i="16"/>
  <c r="K202" i="16"/>
  <c r="E202" i="16"/>
  <c r="C202" i="16"/>
  <c r="B202" i="16"/>
  <c r="J202" i="16" s="1"/>
  <c r="N201" i="16"/>
  <c r="L201" i="16"/>
  <c r="K201" i="16"/>
  <c r="I201" i="16"/>
  <c r="H201" i="16"/>
  <c r="G201" i="16"/>
  <c r="F201" i="16"/>
  <c r="D201" i="16"/>
  <c r="C201" i="16"/>
  <c r="B201" i="16"/>
  <c r="M201" i="16" s="1"/>
  <c r="A201" i="16"/>
  <c r="N200" i="16"/>
  <c r="I200" i="16"/>
  <c r="G200" i="16"/>
  <c r="F200" i="16"/>
  <c r="B200" i="16"/>
  <c r="M200" i="16" s="1"/>
  <c r="A200" i="16"/>
  <c r="M199" i="16"/>
  <c r="L199" i="16"/>
  <c r="H199" i="16"/>
  <c r="G199" i="16"/>
  <c r="E199" i="16"/>
  <c r="D199" i="16"/>
  <c r="B199" i="16"/>
  <c r="K199" i="16" s="1"/>
  <c r="B198" i="16"/>
  <c r="N197" i="16"/>
  <c r="L197" i="16"/>
  <c r="K197" i="16"/>
  <c r="I197" i="16"/>
  <c r="H197" i="16"/>
  <c r="G197" i="16"/>
  <c r="F197" i="16"/>
  <c r="D197" i="16"/>
  <c r="C197" i="16"/>
  <c r="B197" i="16"/>
  <c r="M197" i="16" s="1"/>
  <c r="A197" i="16"/>
  <c r="N196" i="16"/>
  <c r="I196" i="16"/>
  <c r="G196" i="16"/>
  <c r="F196" i="16"/>
  <c r="B196" i="16"/>
  <c r="M196" i="16" s="1"/>
  <c r="A196" i="16"/>
  <c r="M195" i="16"/>
  <c r="L195" i="16"/>
  <c r="H195" i="16"/>
  <c r="G195" i="16"/>
  <c r="E195" i="16"/>
  <c r="D195" i="16"/>
  <c r="B195" i="16"/>
  <c r="K195" i="16" s="1"/>
  <c r="M194" i="16"/>
  <c r="J194" i="16"/>
  <c r="C194" i="16"/>
  <c r="B194" i="16"/>
  <c r="N193" i="16"/>
  <c r="L193" i="16"/>
  <c r="K193" i="16"/>
  <c r="I193" i="16"/>
  <c r="H193" i="16"/>
  <c r="G193" i="16"/>
  <c r="F193" i="16"/>
  <c r="D193" i="16"/>
  <c r="C193" i="16"/>
  <c r="B193" i="16"/>
  <c r="M193" i="16" s="1"/>
  <c r="A193" i="16"/>
  <c r="N192" i="16"/>
  <c r="I192" i="16"/>
  <c r="G192" i="16"/>
  <c r="F192" i="16"/>
  <c r="B192" i="16"/>
  <c r="M192" i="16" s="1"/>
  <c r="A192" i="16"/>
  <c r="M191" i="16"/>
  <c r="L191" i="16"/>
  <c r="H191" i="16"/>
  <c r="G191" i="16"/>
  <c r="E191" i="16"/>
  <c r="D191" i="16"/>
  <c r="B191" i="16"/>
  <c r="K191" i="16" s="1"/>
  <c r="K190" i="16"/>
  <c r="J190" i="16"/>
  <c r="C190" i="16"/>
  <c r="B190" i="16"/>
  <c r="M190" i="16" s="1"/>
  <c r="N189" i="16"/>
  <c r="L189" i="16"/>
  <c r="K189" i="16"/>
  <c r="I189" i="16"/>
  <c r="H189" i="16"/>
  <c r="G189" i="16"/>
  <c r="F189" i="16"/>
  <c r="D189" i="16"/>
  <c r="C189" i="16"/>
  <c r="B189" i="16"/>
  <c r="M189" i="16" s="1"/>
  <c r="A189" i="16"/>
  <c r="N188" i="16"/>
  <c r="I188" i="16"/>
  <c r="G188" i="16"/>
  <c r="F188" i="16"/>
  <c r="B188" i="16"/>
  <c r="M188" i="16" s="1"/>
  <c r="A188" i="16"/>
  <c r="M187" i="16"/>
  <c r="L187" i="16"/>
  <c r="H187" i="16"/>
  <c r="G187" i="16"/>
  <c r="E187" i="16"/>
  <c r="D187" i="16"/>
  <c r="B187" i="16"/>
  <c r="K187" i="16" s="1"/>
  <c r="M186" i="16"/>
  <c r="E186" i="16"/>
  <c r="C186" i="16"/>
  <c r="B186" i="16"/>
  <c r="K186" i="16" s="1"/>
  <c r="N185" i="16"/>
  <c r="L185" i="16"/>
  <c r="K185" i="16"/>
  <c r="I185" i="16"/>
  <c r="H185" i="16"/>
  <c r="G185" i="16"/>
  <c r="F185" i="16"/>
  <c r="D185" i="16"/>
  <c r="C185" i="16"/>
  <c r="B185" i="16"/>
  <c r="M185" i="16" s="1"/>
  <c r="A185" i="16"/>
  <c r="N184" i="16"/>
  <c r="I184" i="16"/>
  <c r="G184" i="16"/>
  <c r="F184" i="16"/>
  <c r="B184" i="16"/>
  <c r="M184" i="16" s="1"/>
  <c r="A184" i="16"/>
  <c r="M183" i="16"/>
  <c r="L183" i="16"/>
  <c r="H183" i="16"/>
  <c r="G183" i="16"/>
  <c r="E183" i="16"/>
  <c r="D183" i="16"/>
  <c r="B183" i="16"/>
  <c r="K183" i="16" s="1"/>
  <c r="B182" i="16"/>
  <c r="N181" i="16"/>
  <c r="L181" i="16"/>
  <c r="K181" i="16"/>
  <c r="I181" i="16"/>
  <c r="H181" i="16"/>
  <c r="G181" i="16"/>
  <c r="F181" i="16"/>
  <c r="D181" i="16"/>
  <c r="C181" i="16"/>
  <c r="B181" i="16"/>
  <c r="M181" i="16" s="1"/>
  <c r="A181" i="16"/>
  <c r="N180" i="16"/>
  <c r="I180" i="16"/>
  <c r="G180" i="16"/>
  <c r="F180" i="16"/>
  <c r="B180" i="16"/>
  <c r="M180" i="16" s="1"/>
  <c r="A180" i="16"/>
  <c r="M179" i="16"/>
  <c r="L179" i="16"/>
  <c r="H179" i="16"/>
  <c r="G179" i="16"/>
  <c r="E179" i="16"/>
  <c r="D179" i="16"/>
  <c r="B179" i="16"/>
  <c r="K179" i="16" s="1"/>
  <c r="M178" i="16"/>
  <c r="K178" i="16"/>
  <c r="J178" i="16"/>
  <c r="C178" i="16"/>
  <c r="B178" i="16"/>
  <c r="N177" i="16"/>
  <c r="L177" i="16"/>
  <c r="K177" i="16"/>
  <c r="I177" i="16"/>
  <c r="H177" i="16"/>
  <c r="G177" i="16"/>
  <c r="F177" i="16"/>
  <c r="D177" i="16"/>
  <c r="C177" i="16"/>
  <c r="B177" i="16"/>
  <c r="M177" i="16" s="1"/>
  <c r="A177" i="16"/>
  <c r="N176" i="16"/>
  <c r="I176" i="16"/>
  <c r="G176" i="16"/>
  <c r="F176" i="16"/>
  <c r="B176" i="16"/>
  <c r="M176" i="16" s="1"/>
  <c r="A176" i="16"/>
  <c r="M175" i="16"/>
  <c r="L175" i="16"/>
  <c r="H175" i="16"/>
  <c r="G175" i="16"/>
  <c r="E175" i="16"/>
  <c r="D175" i="16"/>
  <c r="B175" i="16"/>
  <c r="K175" i="16" s="1"/>
  <c r="K174" i="16"/>
  <c r="J174" i="16"/>
  <c r="E174" i="16"/>
  <c r="C174" i="16"/>
  <c r="B174" i="16"/>
  <c r="M174" i="16" s="1"/>
  <c r="N173" i="16"/>
  <c r="L173" i="16"/>
  <c r="K173" i="16"/>
  <c r="I173" i="16"/>
  <c r="H173" i="16"/>
  <c r="G173" i="16"/>
  <c r="F173" i="16"/>
  <c r="D173" i="16"/>
  <c r="C173" i="16"/>
  <c r="B173" i="16"/>
  <c r="M173" i="16" s="1"/>
  <c r="A173" i="16"/>
  <c r="N172" i="16"/>
  <c r="I172" i="16"/>
  <c r="G172" i="16"/>
  <c r="F172" i="16"/>
  <c r="B172" i="16"/>
  <c r="M172" i="16" s="1"/>
  <c r="A172" i="16"/>
  <c r="M171" i="16"/>
  <c r="L171" i="16"/>
  <c r="H171" i="16"/>
  <c r="G171" i="16"/>
  <c r="E171" i="16"/>
  <c r="D171" i="16"/>
  <c r="B171" i="16"/>
  <c r="K171" i="16" s="1"/>
  <c r="B170" i="16"/>
  <c r="N169" i="16"/>
  <c r="L169" i="16"/>
  <c r="K169" i="16"/>
  <c r="I169" i="16"/>
  <c r="H169" i="16"/>
  <c r="G169" i="16"/>
  <c r="F169" i="16"/>
  <c r="E169" i="16"/>
  <c r="D169" i="16"/>
  <c r="C169" i="16"/>
  <c r="B169" i="16"/>
  <c r="M169" i="16" s="1"/>
  <c r="A169" i="16"/>
  <c r="N168" i="16"/>
  <c r="I168" i="16"/>
  <c r="G168" i="16"/>
  <c r="F168" i="16"/>
  <c r="B168" i="16"/>
  <c r="M168" i="16" s="1"/>
  <c r="A168" i="16"/>
  <c r="M167" i="16"/>
  <c r="L167" i="16"/>
  <c r="H167" i="16"/>
  <c r="G167" i="16"/>
  <c r="E167" i="16"/>
  <c r="D167" i="16"/>
  <c r="B167" i="16"/>
  <c r="K167" i="16" s="1"/>
  <c r="C166" i="16"/>
  <c r="B166" i="16"/>
  <c r="M166" i="16" s="1"/>
  <c r="N165" i="16"/>
  <c r="L165" i="16"/>
  <c r="K165" i="16"/>
  <c r="I165" i="16"/>
  <c r="H165" i="16"/>
  <c r="G165" i="16"/>
  <c r="F165" i="16"/>
  <c r="D165" i="16"/>
  <c r="C165" i="16"/>
  <c r="B165" i="16"/>
  <c r="M165" i="16" s="1"/>
  <c r="A165" i="16"/>
  <c r="N164" i="16"/>
  <c r="I164" i="16"/>
  <c r="G164" i="16"/>
  <c r="F164" i="16"/>
  <c r="B164" i="16"/>
  <c r="M164" i="16" s="1"/>
  <c r="A164" i="16"/>
  <c r="M163" i="16"/>
  <c r="L163" i="16"/>
  <c r="H163" i="16"/>
  <c r="G163" i="16"/>
  <c r="E163" i="16"/>
  <c r="D163" i="16"/>
  <c r="B163" i="16"/>
  <c r="K163" i="16" s="1"/>
  <c r="M162" i="16"/>
  <c r="K162" i="16"/>
  <c r="E162" i="16"/>
  <c r="B162" i="16"/>
  <c r="N161" i="16"/>
  <c r="L161" i="16"/>
  <c r="K161" i="16"/>
  <c r="I161" i="16"/>
  <c r="H161" i="16"/>
  <c r="G161" i="16"/>
  <c r="F161" i="16"/>
  <c r="D161" i="16"/>
  <c r="C161" i="16"/>
  <c r="B161" i="16"/>
  <c r="M161" i="16" s="1"/>
  <c r="A161" i="16"/>
  <c r="N160" i="16"/>
  <c r="I160" i="16"/>
  <c r="G160" i="16"/>
  <c r="F160" i="16"/>
  <c r="B160" i="16"/>
  <c r="M160" i="16" s="1"/>
  <c r="A160" i="16"/>
  <c r="M159" i="16"/>
  <c r="L159" i="16"/>
  <c r="H159" i="16"/>
  <c r="G159" i="16"/>
  <c r="E159" i="16"/>
  <c r="D159" i="16"/>
  <c r="B159" i="16"/>
  <c r="K159" i="16" s="1"/>
  <c r="M158" i="16"/>
  <c r="K158" i="16"/>
  <c r="J158" i="16"/>
  <c r="B158" i="16"/>
  <c r="N157" i="16"/>
  <c r="L157" i="16"/>
  <c r="K157" i="16"/>
  <c r="I157" i="16"/>
  <c r="H157" i="16"/>
  <c r="G157" i="16"/>
  <c r="F157" i="16"/>
  <c r="D157" i="16"/>
  <c r="C157" i="16"/>
  <c r="B157" i="16"/>
  <c r="M157" i="16" s="1"/>
  <c r="A157" i="16"/>
  <c r="N156" i="16"/>
  <c r="I156" i="16"/>
  <c r="G156" i="16"/>
  <c r="F156" i="16"/>
  <c r="B156" i="16"/>
  <c r="M156" i="16" s="1"/>
  <c r="A156" i="16"/>
  <c r="M155" i="16"/>
  <c r="L155" i="16"/>
  <c r="H155" i="16"/>
  <c r="G155" i="16"/>
  <c r="E155" i="16"/>
  <c r="D155" i="16"/>
  <c r="B155" i="16"/>
  <c r="K155" i="16" s="1"/>
  <c r="J154" i="16"/>
  <c r="E154" i="16"/>
  <c r="C154" i="16"/>
  <c r="B154" i="16"/>
  <c r="M154" i="16" s="1"/>
  <c r="N153" i="16"/>
  <c r="L153" i="16"/>
  <c r="K153" i="16"/>
  <c r="I153" i="16"/>
  <c r="H153" i="16"/>
  <c r="G153" i="16"/>
  <c r="F153" i="16"/>
  <c r="D153" i="16"/>
  <c r="C153" i="16"/>
  <c r="B153" i="16"/>
  <c r="M153" i="16" s="1"/>
  <c r="A153" i="16"/>
  <c r="N152" i="16"/>
  <c r="I152" i="16"/>
  <c r="G152" i="16"/>
  <c r="F152" i="16"/>
  <c r="B152" i="16"/>
  <c r="M152" i="16" s="1"/>
  <c r="A152" i="16"/>
  <c r="M151" i="16"/>
  <c r="L151" i="16"/>
  <c r="H151" i="16"/>
  <c r="G151" i="16"/>
  <c r="E151" i="16"/>
  <c r="D151" i="16"/>
  <c r="B151" i="16"/>
  <c r="K151" i="16" s="1"/>
  <c r="C150" i="16"/>
  <c r="B150" i="16"/>
  <c r="M150" i="16" s="1"/>
  <c r="N149" i="16"/>
  <c r="L149" i="16"/>
  <c r="K149" i="16"/>
  <c r="I149" i="16"/>
  <c r="H149" i="16"/>
  <c r="G149" i="16"/>
  <c r="F149" i="16"/>
  <c r="D149" i="16"/>
  <c r="C149" i="16"/>
  <c r="B149" i="16"/>
  <c r="M149" i="16" s="1"/>
  <c r="A149" i="16"/>
  <c r="N148" i="16"/>
  <c r="I148" i="16"/>
  <c r="G148" i="16"/>
  <c r="F148" i="16"/>
  <c r="B148" i="16"/>
  <c r="M148" i="16" s="1"/>
  <c r="A148" i="16"/>
  <c r="M147" i="16"/>
  <c r="L147" i="16"/>
  <c r="H147" i="16"/>
  <c r="G147" i="16"/>
  <c r="E147" i="16"/>
  <c r="D147" i="16"/>
  <c r="B147" i="16"/>
  <c r="K147" i="16" s="1"/>
  <c r="M146" i="16"/>
  <c r="K146" i="16"/>
  <c r="E146" i="16"/>
  <c r="B146" i="16"/>
  <c r="N145" i="16"/>
  <c r="L145" i="16"/>
  <c r="K145" i="16"/>
  <c r="I145" i="16"/>
  <c r="H145" i="16"/>
  <c r="G145" i="16"/>
  <c r="F145" i="16"/>
  <c r="D145" i="16"/>
  <c r="C145" i="16"/>
  <c r="B145" i="16"/>
  <c r="M145" i="16" s="1"/>
  <c r="A145" i="16"/>
  <c r="N144" i="16"/>
  <c r="I144" i="16"/>
  <c r="G144" i="16"/>
  <c r="F144" i="16"/>
  <c r="B144" i="16"/>
  <c r="M144" i="16" s="1"/>
  <c r="A144" i="16"/>
  <c r="M143" i="16"/>
  <c r="L143" i="16"/>
  <c r="H143" i="16"/>
  <c r="G143" i="16"/>
  <c r="E143" i="16"/>
  <c r="D143" i="16"/>
  <c r="B143" i="16"/>
  <c r="K143" i="16" s="1"/>
  <c r="M142" i="16"/>
  <c r="K142" i="16"/>
  <c r="J142" i="16"/>
  <c r="B142" i="16"/>
  <c r="N141" i="16"/>
  <c r="L141" i="16"/>
  <c r="K141" i="16"/>
  <c r="I141" i="16"/>
  <c r="H141" i="16"/>
  <c r="G141" i="16"/>
  <c r="F141" i="16"/>
  <c r="D141" i="16"/>
  <c r="C141" i="16"/>
  <c r="B141" i="16"/>
  <c r="M141" i="16" s="1"/>
  <c r="A141" i="16"/>
  <c r="N140" i="16"/>
  <c r="I140" i="16"/>
  <c r="G140" i="16"/>
  <c r="F140" i="16"/>
  <c r="B140" i="16"/>
  <c r="M140" i="16" s="1"/>
  <c r="A140" i="16"/>
  <c r="M139" i="16"/>
  <c r="L139" i="16"/>
  <c r="H139" i="16"/>
  <c r="G139" i="16"/>
  <c r="E139" i="16"/>
  <c r="D139" i="16"/>
  <c r="B139" i="16"/>
  <c r="K139" i="16" s="1"/>
  <c r="J138" i="16"/>
  <c r="E138" i="16"/>
  <c r="C138" i="16"/>
  <c r="B138" i="16"/>
  <c r="M138" i="16" s="1"/>
  <c r="N137" i="16"/>
  <c r="L137" i="16"/>
  <c r="K137" i="16"/>
  <c r="I137" i="16"/>
  <c r="H137" i="16"/>
  <c r="G137" i="16"/>
  <c r="F137" i="16"/>
  <c r="D137" i="16"/>
  <c r="C137" i="16"/>
  <c r="B137" i="16"/>
  <c r="M137" i="16" s="1"/>
  <c r="A137" i="16"/>
  <c r="N136" i="16"/>
  <c r="I136" i="16"/>
  <c r="G136" i="16"/>
  <c r="F136" i="16"/>
  <c r="B136" i="16"/>
  <c r="M136" i="16" s="1"/>
  <c r="A136" i="16"/>
  <c r="M135" i="16"/>
  <c r="L135" i="16"/>
  <c r="H135" i="16"/>
  <c r="G135" i="16"/>
  <c r="E135" i="16"/>
  <c r="D135" i="16"/>
  <c r="B135" i="16"/>
  <c r="K135" i="16" s="1"/>
  <c r="C134" i="16"/>
  <c r="B134" i="16"/>
  <c r="M134" i="16" s="1"/>
  <c r="N133" i="16"/>
  <c r="L133" i="16"/>
  <c r="K133" i="16"/>
  <c r="I133" i="16"/>
  <c r="H133" i="16"/>
  <c r="G133" i="16"/>
  <c r="F133" i="16"/>
  <c r="D133" i="16"/>
  <c r="C133" i="16"/>
  <c r="B133" i="16"/>
  <c r="M133" i="16" s="1"/>
  <c r="A133" i="16"/>
  <c r="N132" i="16"/>
  <c r="I132" i="16"/>
  <c r="G132" i="16"/>
  <c r="F132" i="16"/>
  <c r="B132" i="16"/>
  <c r="M132" i="16" s="1"/>
  <c r="A132" i="16"/>
  <c r="M131" i="16"/>
  <c r="L131" i="16"/>
  <c r="H131" i="16"/>
  <c r="G131" i="16"/>
  <c r="E131" i="16"/>
  <c r="D131" i="16"/>
  <c r="B131" i="16"/>
  <c r="K131" i="16" s="1"/>
  <c r="M130" i="16"/>
  <c r="K130" i="16"/>
  <c r="E130" i="16"/>
  <c r="B130" i="16"/>
  <c r="N129" i="16"/>
  <c r="L129" i="16"/>
  <c r="K129" i="16"/>
  <c r="I129" i="16"/>
  <c r="H129" i="16"/>
  <c r="G129" i="16"/>
  <c r="F129" i="16"/>
  <c r="D129" i="16"/>
  <c r="C129" i="16"/>
  <c r="B129" i="16"/>
  <c r="M129" i="16" s="1"/>
  <c r="A129" i="16"/>
  <c r="N128" i="16"/>
  <c r="I128" i="16"/>
  <c r="G128" i="16"/>
  <c r="F128" i="16"/>
  <c r="B128" i="16"/>
  <c r="M128" i="16" s="1"/>
  <c r="A128" i="16"/>
  <c r="M127" i="16"/>
  <c r="L127" i="16"/>
  <c r="H127" i="16"/>
  <c r="G127" i="16"/>
  <c r="E127" i="16"/>
  <c r="D127" i="16"/>
  <c r="B127" i="16"/>
  <c r="K127" i="16" s="1"/>
  <c r="M126" i="16"/>
  <c r="K126" i="16"/>
  <c r="J126" i="16"/>
  <c r="B126" i="16"/>
  <c r="N125" i="16"/>
  <c r="L125" i="16"/>
  <c r="K125" i="16"/>
  <c r="I125" i="16"/>
  <c r="H125" i="16"/>
  <c r="G125" i="16"/>
  <c r="F125" i="16"/>
  <c r="D125" i="16"/>
  <c r="C125" i="16"/>
  <c r="B125" i="16"/>
  <c r="M125" i="16" s="1"/>
  <c r="A125" i="16"/>
  <c r="N124" i="16"/>
  <c r="I124" i="16"/>
  <c r="G124" i="16"/>
  <c r="F124" i="16"/>
  <c r="B124" i="16"/>
  <c r="M124" i="16" s="1"/>
  <c r="A124" i="16"/>
  <c r="M123" i="16"/>
  <c r="L123" i="16"/>
  <c r="H123" i="16"/>
  <c r="G123" i="16"/>
  <c r="E123" i="16"/>
  <c r="D123" i="16"/>
  <c r="B123" i="16"/>
  <c r="K123" i="16" s="1"/>
  <c r="J122" i="16"/>
  <c r="E122" i="16"/>
  <c r="C122" i="16"/>
  <c r="B122" i="16"/>
  <c r="M122" i="16" s="1"/>
  <c r="N121" i="16"/>
  <c r="L121" i="16"/>
  <c r="K121" i="16"/>
  <c r="I121" i="16"/>
  <c r="H121" i="16"/>
  <c r="G121" i="16"/>
  <c r="F121" i="16"/>
  <c r="D121" i="16"/>
  <c r="C121" i="16"/>
  <c r="B121" i="16"/>
  <c r="M121" i="16" s="1"/>
  <c r="A121" i="16"/>
  <c r="N120" i="16"/>
  <c r="I120" i="16"/>
  <c r="G120" i="16"/>
  <c r="F120" i="16"/>
  <c r="B120" i="16"/>
  <c r="M120" i="16" s="1"/>
  <c r="A120" i="16"/>
  <c r="M119" i="16"/>
  <c r="L119" i="16"/>
  <c r="H119" i="16"/>
  <c r="G119" i="16"/>
  <c r="E119" i="16"/>
  <c r="D119" i="16"/>
  <c r="B119" i="16"/>
  <c r="K119" i="16" s="1"/>
  <c r="C118" i="16"/>
  <c r="B118" i="16"/>
  <c r="M118" i="16" s="1"/>
  <c r="N117" i="16"/>
  <c r="L117" i="16"/>
  <c r="K117" i="16"/>
  <c r="I117" i="16"/>
  <c r="H117" i="16"/>
  <c r="G117" i="16"/>
  <c r="F117" i="16"/>
  <c r="D117" i="16"/>
  <c r="C117" i="16"/>
  <c r="B117" i="16"/>
  <c r="M117" i="16" s="1"/>
  <c r="A117" i="16"/>
  <c r="N116" i="16"/>
  <c r="I116" i="16"/>
  <c r="G116" i="16"/>
  <c r="F116" i="16"/>
  <c r="B116" i="16"/>
  <c r="M116" i="16" s="1"/>
  <c r="A116" i="16"/>
  <c r="M115" i="16"/>
  <c r="L115" i="16"/>
  <c r="H115" i="16"/>
  <c r="G115" i="16"/>
  <c r="E115" i="16"/>
  <c r="D115" i="16"/>
  <c r="B115" i="16"/>
  <c r="K115" i="16" s="1"/>
  <c r="M114" i="16"/>
  <c r="K114" i="16"/>
  <c r="E114" i="16"/>
  <c r="B114" i="16"/>
  <c r="N113" i="16"/>
  <c r="L113" i="16"/>
  <c r="K113" i="16"/>
  <c r="I113" i="16"/>
  <c r="H113" i="16"/>
  <c r="G113" i="16"/>
  <c r="F113" i="16"/>
  <c r="D113" i="16"/>
  <c r="C113" i="16"/>
  <c r="B113" i="16"/>
  <c r="M113" i="16" s="1"/>
  <c r="A113" i="16"/>
  <c r="N112" i="16"/>
  <c r="I112" i="16"/>
  <c r="G112" i="16"/>
  <c r="F112" i="16"/>
  <c r="B112" i="16"/>
  <c r="M112" i="16" s="1"/>
  <c r="A112" i="16"/>
  <c r="M111" i="16"/>
  <c r="L111" i="16"/>
  <c r="H111" i="16"/>
  <c r="G111" i="16"/>
  <c r="E111" i="16"/>
  <c r="D111" i="16"/>
  <c r="B111" i="16"/>
  <c r="K111" i="16" s="1"/>
  <c r="M110" i="16"/>
  <c r="K110" i="16"/>
  <c r="J110" i="16"/>
  <c r="B110" i="16"/>
  <c r="N109" i="16"/>
  <c r="L109" i="16"/>
  <c r="K109" i="16"/>
  <c r="I109" i="16"/>
  <c r="H109" i="16"/>
  <c r="G109" i="16"/>
  <c r="F109" i="16"/>
  <c r="D109" i="16"/>
  <c r="C109" i="16"/>
  <c r="B109" i="16"/>
  <c r="M109" i="16" s="1"/>
  <c r="A109" i="16"/>
  <c r="N108" i="16"/>
  <c r="I108" i="16"/>
  <c r="G108" i="16"/>
  <c r="F108" i="16"/>
  <c r="B108" i="16"/>
  <c r="M108" i="16" s="1"/>
  <c r="A108" i="16"/>
  <c r="M107" i="16"/>
  <c r="L107" i="16"/>
  <c r="H107" i="16"/>
  <c r="G107" i="16"/>
  <c r="E107" i="16"/>
  <c r="D107" i="16"/>
  <c r="B107" i="16"/>
  <c r="K107" i="16" s="1"/>
  <c r="J106" i="16"/>
  <c r="E106" i="16"/>
  <c r="C106" i="16"/>
  <c r="B106" i="16"/>
  <c r="M106" i="16" s="1"/>
  <c r="N105" i="16"/>
  <c r="L105" i="16"/>
  <c r="K105" i="16"/>
  <c r="I105" i="16"/>
  <c r="H105" i="16"/>
  <c r="G105" i="16"/>
  <c r="F105" i="16"/>
  <c r="D105" i="16"/>
  <c r="C105" i="16"/>
  <c r="B105" i="16"/>
  <c r="M105" i="16" s="1"/>
  <c r="A105" i="16"/>
  <c r="N104" i="16"/>
  <c r="I104" i="16"/>
  <c r="G104" i="16"/>
  <c r="F104" i="16"/>
  <c r="B104" i="16"/>
  <c r="M104" i="16" s="1"/>
  <c r="A104" i="16"/>
  <c r="M103" i="16"/>
  <c r="L103" i="16"/>
  <c r="H103" i="16"/>
  <c r="G103" i="16"/>
  <c r="E103" i="16"/>
  <c r="D103" i="16"/>
  <c r="B103" i="16"/>
  <c r="K103" i="16" s="1"/>
  <c r="C102" i="16"/>
  <c r="B102" i="16"/>
  <c r="M102" i="16" s="1"/>
  <c r="N101" i="16"/>
  <c r="L101" i="16"/>
  <c r="K101" i="16"/>
  <c r="I101" i="16"/>
  <c r="H101" i="16"/>
  <c r="G101" i="16"/>
  <c r="F101" i="16"/>
  <c r="D101" i="16"/>
  <c r="C101" i="16"/>
  <c r="B101" i="16"/>
  <c r="M101" i="16" s="1"/>
  <c r="A101" i="16"/>
  <c r="N100" i="16"/>
  <c r="I100" i="16"/>
  <c r="G100" i="16"/>
  <c r="F100" i="16"/>
  <c r="B100" i="16"/>
  <c r="M100" i="16" s="1"/>
  <c r="A100" i="16"/>
  <c r="M99" i="16"/>
  <c r="L99" i="16"/>
  <c r="H99" i="16"/>
  <c r="G99" i="16"/>
  <c r="E99" i="16"/>
  <c r="D99" i="16"/>
  <c r="B99" i="16"/>
  <c r="K99" i="16" s="1"/>
  <c r="M98" i="16"/>
  <c r="K98" i="16"/>
  <c r="E98" i="16"/>
  <c r="B98" i="16"/>
  <c r="N97" i="16"/>
  <c r="L97" i="16"/>
  <c r="K97" i="16"/>
  <c r="I97" i="16"/>
  <c r="H97" i="16"/>
  <c r="G97" i="16"/>
  <c r="F97" i="16"/>
  <c r="D97" i="16"/>
  <c r="C97" i="16"/>
  <c r="B97" i="16"/>
  <c r="M97" i="16" s="1"/>
  <c r="A97" i="16"/>
  <c r="N96" i="16"/>
  <c r="I96" i="16"/>
  <c r="G96" i="16"/>
  <c r="F96" i="16"/>
  <c r="B96" i="16"/>
  <c r="M96" i="16" s="1"/>
  <c r="A96" i="16"/>
  <c r="M95" i="16"/>
  <c r="L95" i="16"/>
  <c r="H95" i="16"/>
  <c r="G95" i="16"/>
  <c r="E95" i="16"/>
  <c r="D95" i="16"/>
  <c r="B95" i="16"/>
  <c r="K95" i="16" s="1"/>
  <c r="M94" i="16"/>
  <c r="K94" i="16"/>
  <c r="J94" i="16"/>
  <c r="B94" i="16"/>
  <c r="N93" i="16"/>
  <c r="L93" i="16"/>
  <c r="K93" i="16"/>
  <c r="I93" i="16"/>
  <c r="H93" i="16"/>
  <c r="G93" i="16"/>
  <c r="F93" i="16"/>
  <c r="D93" i="16"/>
  <c r="C93" i="16"/>
  <c r="B93" i="16"/>
  <c r="M93" i="16" s="1"/>
  <c r="A93" i="16"/>
  <c r="N92" i="16"/>
  <c r="I92" i="16"/>
  <c r="G92" i="16"/>
  <c r="F92" i="16"/>
  <c r="B92" i="16"/>
  <c r="M92" i="16" s="1"/>
  <c r="A92" i="16"/>
  <c r="M91" i="16"/>
  <c r="L91" i="16"/>
  <c r="H91" i="16"/>
  <c r="G91" i="16"/>
  <c r="E91" i="16"/>
  <c r="D91" i="16"/>
  <c r="B91" i="16"/>
  <c r="K91" i="16" s="1"/>
  <c r="J90" i="16"/>
  <c r="E90" i="16"/>
  <c r="C90" i="16"/>
  <c r="B90" i="16"/>
  <c r="M90" i="16" s="1"/>
  <c r="N89" i="16"/>
  <c r="L89" i="16"/>
  <c r="K89" i="16"/>
  <c r="I89" i="16"/>
  <c r="H89" i="16"/>
  <c r="G89" i="16"/>
  <c r="F89" i="16"/>
  <c r="D89" i="16"/>
  <c r="C89" i="16"/>
  <c r="B89" i="16"/>
  <c r="M89" i="16" s="1"/>
  <c r="A89" i="16"/>
  <c r="N88" i="16"/>
  <c r="I88" i="16"/>
  <c r="G88" i="16"/>
  <c r="F88" i="16"/>
  <c r="B88" i="16"/>
  <c r="M88" i="16" s="1"/>
  <c r="A88" i="16"/>
  <c r="M87" i="16"/>
  <c r="L87" i="16"/>
  <c r="H87" i="16"/>
  <c r="G87" i="16"/>
  <c r="E87" i="16"/>
  <c r="D87" i="16"/>
  <c r="B87" i="16"/>
  <c r="K87" i="16" s="1"/>
  <c r="C86" i="16"/>
  <c r="B86" i="16"/>
  <c r="M86" i="16" s="1"/>
  <c r="N85" i="16"/>
  <c r="L85" i="16"/>
  <c r="K85" i="16"/>
  <c r="I85" i="16"/>
  <c r="H85" i="16"/>
  <c r="G85" i="16"/>
  <c r="F85" i="16"/>
  <c r="D85" i="16"/>
  <c r="C85" i="16"/>
  <c r="B85" i="16"/>
  <c r="M85" i="16" s="1"/>
  <c r="A85" i="16"/>
  <c r="N84" i="16"/>
  <c r="I84" i="16"/>
  <c r="G84" i="16"/>
  <c r="F84" i="16"/>
  <c r="B84" i="16"/>
  <c r="M84" i="16" s="1"/>
  <c r="A84" i="16"/>
  <c r="M83" i="16"/>
  <c r="L83" i="16"/>
  <c r="H83" i="16"/>
  <c r="G83" i="16"/>
  <c r="E83" i="16"/>
  <c r="D83" i="16"/>
  <c r="B83" i="16"/>
  <c r="K83" i="16" s="1"/>
  <c r="M82" i="16"/>
  <c r="E82" i="16"/>
  <c r="B82" i="16"/>
  <c r="N81" i="16"/>
  <c r="L81" i="16"/>
  <c r="K81" i="16"/>
  <c r="I81" i="16"/>
  <c r="H81" i="16"/>
  <c r="G81" i="16"/>
  <c r="F81" i="16"/>
  <c r="D81" i="16"/>
  <c r="C81" i="16"/>
  <c r="B81" i="16"/>
  <c r="M81" i="16" s="1"/>
  <c r="A81" i="16"/>
  <c r="N80" i="16"/>
  <c r="I80" i="16"/>
  <c r="G80" i="16"/>
  <c r="F80" i="16"/>
  <c r="B80" i="16"/>
  <c r="M80" i="16" s="1"/>
  <c r="A80" i="16"/>
  <c r="M79" i="16"/>
  <c r="L79" i="16"/>
  <c r="H79" i="16"/>
  <c r="G79" i="16"/>
  <c r="E79" i="16"/>
  <c r="D79" i="16"/>
  <c r="B79" i="16"/>
  <c r="K79" i="16" s="1"/>
  <c r="M78" i="16"/>
  <c r="K78" i="16"/>
  <c r="J78" i="16"/>
  <c r="B78" i="16"/>
  <c r="N77" i="16"/>
  <c r="L77" i="16"/>
  <c r="K77" i="16"/>
  <c r="I77" i="16"/>
  <c r="H77" i="16"/>
  <c r="G77" i="16"/>
  <c r="F77" i="16"/>
  <c r="D77" i="16"/>
  <c r="C77" i="16"/>
  <c r="B77" i="16"/>
  <c r="M77" i="16" s="1"/>
  <c r="A77" i="16"/>
  <c r="N76" i="16"/>
  <c r="I76" i="16"/>
  <c r="G76" i="16"/>
  <c r="F76" i="16"/>
  <c r="B76" i="16"/>
  <c r="M76" i="16" s="1"/>
  <c r="A76" i="16"/>
  <c r="M75" i="16"/>
  <c r="L75" i="16"/>
  <c r="H75" i="16"/>
  <c r="G75" i="16"/>
  <c r="E75" i="16"/>
  <c r="D75" i="16"/>
  <c r="B75" i="16"/>
  <c r="K75" i="16" s="1"/>
  <c r="J74" i="16"/>
  <c r="E74" i="16"/>
  <c r="C74" i="16"/>
  <c r="B74" i="16"/>
  <c r="M74" i="16" s="1"/>
  <c r="N73" i="16"/>
  <c r="M73" i="16"/>
  <c r="L73" i="16"/>
  <c r="K73" i="16"/>
  <c r="I73" i="16"/>
  <c r="H73" i="16"/>
  <c r="G73" i="16"/>
  <c r="F73" i="16"/>
  <c r="E73" i="16"/>
  <c r="D73" i="16"/>
  <c r="C73" i="16"/>
  <c r="B73" i="16"/>
  <c r="J73" i="16" s="1"/>
  <c r="A73" i="16"/>
  <c r="N72" i="16"/>
  <c r="I72" i="16"/>
  <c r="G72" i="16"/>
  <c r="F72" i="16"/>
  <c r="B72" i="16"/>
  <c r="M72" i="16" s="1"/>
  <c r="A72" i="16"/>
  <c r="M71" i="16"/>
  <c r="L71" i="16"/>
  <c r="H71" i="16"/>
  <c r="G71" i="16"/>
  <c r="E71" i="16"/>
  <c r="D71" i="16"/>
  <c r="B71" i="16"/>
  <c r="K71" i="16" s="1"/>
  <c r="J70" i="16"/>
  <c r="E70" i="16"/>
  <c r="C70" i="16"/>
  <c r="B70" i="16"/>
  <c r="M70" i="16" s="1"/>
  <c r="N69" i="16"/>
  <c r="M69" i="16"/>
  <c r="L69" i="16"/>
  <c r="K69" i="16"/>
  <c r="I69" i="16"/>
  <c r="H69" i="16"/>
  <c r="G69" i="16"/>
  <c r="F69" i="16"/>
  <c r="E69" i="16"/>
  <c r="D69" i="16"/>
  <c r="C69" i="16"/>
  <c r="B69" i="16"/>
  <c r="J69" i="16" s="1"/>
  <c r="A69" i="16"/>
  <c r="N68" i="16"/>
  <c r="I68" i="16"/>
  <c r="G68" i="16"/>
  <c r="F68" i="16"/>
  <c r="B68" i="16"/>
  <c r="M68" i="16" s="1"/>
  <c r="A68" i="16"/>
  <c r="M67" i="16"/>
  <c r="L67" i="16"/>
  <c r="H67" i="16"/>
  <c r="G67" i="16"/>
  <c r="E67" i="16"/>
  <c r="D67" i="16"/>
  <c r="B67" i="16"/>
  <c r="K67" i="16" s="1"/>
  <c r="J66" i="16"/>
  <c r="E66" i="16"/>
  <c r="C66" i="16"/>
  <c r="B66" i="16"/>
  <c r="M66" i="16" s="1"/>
  <c r="N65" i="16"/>
  <c r="M65" i="16"/>
  <c r="L65" i="16"/>
  <c r="K65" i="16"/>
  <c r="I65" i="16"/>
  <c r="H65" i="16"/>
  <c r="G65" i="16"/>
  <c r="F65" i="16"/>
  <c r="E65" i="16"/>
  <c r="D65" i="16"/>
  <c r="C65" i="16"/>
  <c r="B65" i="16"/>
  <c r="J65" i="16" s="1"/>
  <c r="A65" i="16"/>
  <c r="N64" i="16"/>
  <c r="I64" i="16"/>
  <c r="G64" i="16"/>
  <c r="F64" i="16"/>
  <c r="B64" i="16"/>
  <c r="M64" i="16" s="1"/>
  <c r="A64" i="16"/>
  <c r="M63" i="16"/>
  <c r="L63" i="16"/>
  <c r="H63" i="16"/>
  <c r="G63" i="16"/>
  <c r="E63" i="16"/>
  <c r="D63" i="16"/>
  <c r="B63" i="16"/>
  <c r="K63" i="16" s="1"/>
  <c r="J62" i="16"/>
  <c r="E62" i="16"/>
  <c r="C62" i="16"/>
  <c r="B62" i="16"/>
  <c r="M62" i="16" s="1"/>
  <c r="N61" i="16"/>
  <c r="M61" i="16"/>
  <c r="L61" i="16"/>
  <c r="K61" i="16"/>
  <c r="I61" i="16"/>
  <c r="H61" i="16"/>
  <c r="G61" i="16"/>
  <c r="F61" i="16"/>
  <c r="E61" i="16"/>
  <c r="D61" i="16"/>
  <c r="C61" i="16"/>
  <c r="B61" i="16"/>
  <c r="J61" i="16" s="1"/>
  <c r="A61" i="16"/>
  <c r="N60" i="16"/>
  <c r="I60" i="16"/>
  <c r="G60" i="16"/>
  <c r="F60" i="16"/>
  <c r="B60" i="16"/>
  <c r="M60" i="16" s="1"/>
  <c r="A60" i="16"/>
  <c r="M59" i="16"/>
  <c r="L59" i="16"/>
  <c r="H59" i="16"/>
  <c r="G59" i="16"/>
  <c r="E59" i="16"/>
  <c r="D59" i="16"/>
  <c r="B59" i="16"/>
  <c r="K59" i="16" s="1"/>
  <c r="J58" i="16"/>
  <c r="E58" i="16"/>
  <c r="C58" i="16"/>
  <c r="B58" i="16"/>
  <c r="M58" i="16" s="1"/>
  <c r="N57" i="16"/>
  <c r="M57" i="16"/>
  <c r="L57" i="16"/>
  <c r="K57" i="16"/>
  <c r="I57" i="16"/>
  <c r="H57" i="16"/>
  <c r="G57" i="16"/>
  <c r="F57" i="16"/>
  <c r="E57" i="16"/>
  <c r="D57" i="16"/>
  <c r="C57" i="16"/>
  <c r="B57" i="16"/>
  <c r="J57" i="16" s="1"/>
  <c r="A57" i="16"/>
  <c r="N56" i="16"/>
  <c r="I56" i="16"/>
  <c r="G56" i="16"/>
  <c r="F56" i="16"/>
  <c r="B56" i="16"/>
  <c r="M56" i="16" s="1"/>
  <c r="A56" i="16"/>
  <c r="M55" i="16"/>
  <c r="L55" i="16"/>
  <c r="H55" i="16"/>
  <c r="G55" i="16"/>
  <c r="E55" i="16"/>
  <c r="D55" i="16"/>
  <c r="B55" i="16"/>
  <c r="K55" i="16" s="1"/>
  <c r="J54" i="16"/>
  <c r="E54" i="16"/>
  <c r="C54" i="16"/>
  <c r="B54" i="16"/>
  <c r="M54" i="16" s="1"/>
  <c r="N53" i="16"/>
  <c r="M53" i="16"/>
  <c r="L53" i="16"/>
  <c r="K53" i="16"/>
  <c r="I53" i="16"/>
  <c r="H53" i="16"/>
  <c r="G53" i="16"/>
  <c r="F53" i="16"/>
  <c r="E53" i="16"/>
  <c r="D53" i="16"/>
  <c r="C53" i="16"/>
  <c r="B53" i="16"/>
  <c r="J53" i="16" s="1"/>
  <c r="A53" i="16"/>
  <c r="N52" i="16"/>
  <c r="I52" i="16"/>
  <c r="G52" i="16"/>
  <c r="F52" i="16"/>
  <c r="B52" i="16"/>
  <c r="M52" i="16" s="1"/>
  <c r="A52" i="16"/>
  <c r="M51" i="16"/>
  <c r="L51" i="16"/>
  <c r="H51" i="16"/>
  <c r="G51" i="16"/>
  <c r="E51" i="16"/>
  <c r="D51" i="16"/>
  <c r="B51" i="16"/>
  <c r="K51" i="16" s="1"/>
  <c r="J50" i="16"/>
  <c r="E50" i="16"/>
  <c r="C50" i="16"/>
  <c r="B50" i="16"/>
  <c r="M50" i="16" s="1"/>
  <c r="N49" i="16"/>
  <c r="M49" i="16"/>
  <c r="L49" i="16"/>
  <c r="K49" i="16"/>
  <c r="I49" i="16"/>
  <c r="H49" i="16"/>
  <c r="G49" i="16"/>
  <c r="F49" i="16"/>
  <c r="E49" i="16"/>
  <c r="D49" i="16"/>
  <c r="C49" i="16"/>
  <c r="B49" i="16"/>
  <c r="J49" i="16" s="1"/>
  <c r="A49" i="16"/>
  <c r="N48" i="16"/>
  <c r="I48" i="16"/>
  <c r="G48" i="16"/>
  <c r="F48" i="16"/>
  <c r="B48" i="16"/>
  <c r="M48" i="16" s="1"/>
  <c r="A48" i="16"/>
  <c r="M47" i="16"/>
  <c r="L47" i="16"/>
  <c r="H47" i="16"/>
  <c r="G47" i="16"/>
  <c r="E47" i="16"/>
  <c r="D47" i="16"/>
  <c r="B47" i="16"/>
  <c r="K47" i="16" s="1"/>
  <c r="J46" i="16"/>
  <c r="E46" i="16"/>
  <c r="C46" i="16"/>
  <c r="B46" i="16"/>
  <c r="M46" i="16" s="1"/>
  <c r="N45" i="16"/>
  <c r="M45" i="16"/>
  <c r="L45" i="16"/>
  <c r="K45" i="16"/>
  <c r="I45" i="16"/>
  <c r="H45" i="16"/>
  <c r="G45" i="16"/>
  <c r="F45" i="16"/>
  <c r="E45" i="16"/>
  <c r="D45" i="16"/>
  <c r="C45" i="16"/>
  <c r="B45" i="16"/>
  <c r="J45" i="16" s="1"/>
  <c r="A45" i="16"/>
  <c r="N44" i="16"/>
  <c r="I44" i="16"/>
  <c r="G44" i="16"/>
  <c r="F44" i="16"/>
  <c r="B44" i="16"/>
  <c r="M44" i="16" s="1"/>
  <c r="A44" i="16"/>
  <c r="M43" i="16"/>
  <c r="L43" i="16"/>
  <c r="H43" i="16"/>
  <c r="G43" i="16"/>
  <c r="E43" i="16"/>
  <c r="D43" i="16"/>
  <c r="B43" i="16"/>
  <c r="K43" i="16" s="1"/>
  <c r="J42" i="16"/>
  <c r="E42" i="16"/>
  <c r="C42" i="16"/>
  <c r="B42" i="16"/>
  <c r="M42" i="16" s="1"/>
  <c r="N41" i="16"/>
  <c r="M41" i="16"/>
  <c r="L41" i="16"/>
  <c r="K41" i="16"/>
  <c r="I41" i="16"/>
  <c r="H41" i="16"/>
  <c r="G41" i="16"/>
  <c r="F41" i="16"/>
  <c r="E41" i="16"/>
  <c r="D41" i="16"/>
  <c r="C41" i="16"/>
  <c r="B41" i="16"/>
  <c r="J41" i="16" s="1"/>
  <c r="A41" i="16"/>
  <c r="N40" i="16"/>
  <c r="I40" i="16"/>
  <c r="G40" i="16"/>
  <c r="F40" i="16"/>
  <c r="B40" i="16"/>
  <c r="M40" i="16" s="1"/>
  <c r="A40" i="16"/>
  <c r="M39" i="16"/>
  <c r="L39" i="16"/>
  <c r="H39" i="16"/>
  <c r="G39" i="16"/>
  <c r="E39" i="16"/>
  <c r="D39" i="16"/>
  <c r="B39" i="16"/>
  <c r="K39" i="16" s="1"/>
  <c r="J38" i="16"/>
  <c r="E38" i="16"/>
  <c r="C38" i="16"/>
  <c r="B38" i="16"/>
  <c r="M38" i="16" s="1"/>
  <c r="N37" i="16"/>
  <c r="M37" i="16"/>
  <c r="L37" i="16"/>
  <c r="K37" i="16"/>
  <c r="I37" i="16"/>
  <c r="H37" i="16"/>
  <c r="G37" i="16"/>
  <c r="F37" i="16"/>
  <c r="E37" i="16"/>
  <c r="D37" i="16"/>
  <c r="C37" i="16"/>
  <c r="B37" i="16"/>
  <c r="J37" i="16" s="1"/>
  <c r="A37" i="16"/>
  <c r="N36" i="16"/>
  <c r="I36" i="16"/>
  <c r="G36" i="16"/>
  <c r="F36" i="16"/>
  <c r="B36" i="16"/>
  <c r="M36" i="16" s="1"/>
  <c r="A36" i="16"/>
  <c r="M35" i="16"/>
  <c r="L35" i="16"/>
  <c r="H35" i="16"/>
  <c r="G35" i="16"/>
  <c r="E35" i="16"/>
  <c r="D35" i="16"/>
  <c r="B35" i="16"/>
  <c r="K35" i="16" s="1"/>
  <c r="J34" i="16"/>
  <c r="E34" i="16"/>
  <c r="C34" i="16"/>
  <c r="B34" i="16"/>
  <c r="M34" i="16" s="1"/>
  <c r="N33" i="16"/>
  <c r="L33" i="16"/>
  <c r="K33" i="16"/>
  <c r="I33" i="16"/>
  <c r="H33" i="16"/>
  <c r="G33" i="16"/>
  <c r="F33" i="16"/>
  <c r="D33" i="16"/>
  <c r="C33" i="16"/>
  <c r="B33" i="16"/>
  <c r="M33" i="16" s="1"/>
  <c r="A33" i="16"/>
  <c r="N32" i="16"/>
  <c r="I32" i="16"/>
  <c r="G32" i="16"/>
  <c r="F32" i="16"/>
  <c r="B32" i="16"/>
  <c r="M32" i="16" s="1"/>
  <c r="A32" i="16"/>
  <c r="M31" i="16"/>
  <c r="L31" i="16"/>
  <c r="H31" i="16"/>
  <c r="G31" i="16"/>
  <c r="E31" i="16"/>
  <c r="D31" i="16"/>
  <c r="B31" i="16"/>
  <c r="K31" i="16" s="1"/>
  <c r="C30" i="16"/>
  <c r="B30" i="16"/>
  <c r="M30" i="16" s="1"/>
  <c r="N29" i="16"/>
  <c r="L29" i="16"/>
  <c r="K29" i="16"/>
  <c r="I29" i="16"/>
  <c r="H29" i="16"/>
  <c r="G29" i="16"/>
  <c r="F29" i="16"/>
  <c r="D29" i="16"/>
  <c r="C29" i="16"/>
  <c r="B29" i="16"/>
  <c r="M29" i="16" s="1"/>
  <c r="A29" i="16"/>
  <c r="N28" i="16"/>
  <c r="I28" i="16"/>
  <c r="G28" i="16"/>
  <c r="F28" i="16"/>
  <c r="B28" i="16"/>
  <c r="M28" i="16" s="1"/>
  <c r="A28" i="16"/>
  <c r="M27" i="16"/>
  <c r="L27" i="16"/>
  <c r="H27" i="16"/>
  <c r="G27" i="16"/>
  <c r="E27" i="16"/>
  <c r="D27" i="16"/>
  <c r="B27" i="16"/>
  <c r="K27" i="16" s="1"/>
  <c r="M26" i="16"/>
  <c r="B26" i="16"/>
  <c r="N25" i="16"/>
  <c r="L25" i="16"/>
  <c r="K25" i="16"/>
  <c r="I25" i="16"/>
  <c r="H25" i="16"/>
  <c r="G25" i="16"/>
  <c r="F25" i="16"/>
  <c r="D25" i="16"/>
  <c r="C25" i="16"/>
  <c r="B25" i="16"/>
  <c r="M25" i="16" s="1"/>
  <c r="A25" i="16"/>
  <c r="N24" i="16"/>
  <c r="I24" i="16"/>
  <c r="G24" i="16"/>
  <c r="F24" i="16"/>
  <c r="B24" i="16"/>
  <c r="M24" i="16" s="1"/>
  <c r="A24" i="16"/>
  <c r="M23" i="16"/>
  <c r="G23" i="16" s="1"/>
  <c r="B23" i="16"/>
  <c r="B22" i="16"/>
  <c r="M22" i="16" s="1"/>
  <c r="C21" i="16"/>
  <c r="D21" i="16" s="1"/>
  <c r="B21" i="16"/>
  <c r="M21" i="16" s="1"/>
  <c r="A21" i="16"/>
  <c r="G20" i="16"/>
  <c r="B20" i="16"/>
  <c r="M20" i="16" s="1"/>
  <c r="N20" i="16" s="1"/>
  <c r="A20" i="16"/>
  <c r="M19" i="16"/>
  <c r="G19" i="16" s="1"/>
  <c r="B19" i="16"/>
  <c r="B18" i="16"/>
  <c r="M18" i="16" s="1"/>
  <c r="C17" i="16"/>
  <c r="D17" i="16" s="1"/>
  <c r="B17" i="16"/>
  <c r="M17" i="16" s="1"/>
  <c r="A17" i="16"/>
  <c r="G16" i="16"/>
  <c r="B16" i="16"/>
  <c r="M16" i="16" s="1"/>
  <c r="N16" i="16" s="1"/>
  <c r="A16" i="16"/>
  <c r="M15" i="16"/>
  <c r="G15" i="16" s="1"/>
  <c r="B15" i="16"/>
  <c r="B14" i="16"/>
  <c r="M14" i="16" s="1"/>
  <c r="C13" i="16"/>
  <c r="D13" i="16" s="1"/>
  <c r="B13" i="16"/>
  <c r="M13" i="16" s="1"/>
  <c r="A13" i="16"/>
  <c r="G12" i="16"/>
  <c r="B12" i="16"/>
  <c r="M12" i="16" s="1"/>
  <c r="N12" i="16" s="1"/>
  <c r="A12" i="16"/>
  <c r="M11" i="16"/>
  <c r="G11" i="16" s="1"/>
  <c r="B11" i="16"/>
  <c r="B10" i="16"/>
  <c r="M10" i="16" s="1"/>
  <c r="C9" i="16"/>
  <c r="D9" i="16" s="1"/>
  <c r="B9" i="16"/>
  <c r="M9" i="16" s="1"/>
  <c r="A9" i="16"/>
  <c r="G8" i="16"/>
  <c r="B8" i="16"/>
  <c r="M8" i="16" s="1"/>
  <c r="N8" i="16" s="1"/>
  <c r="A8" i="16"/>
  <c r="M7" i="16"/>
  <c r="G7" i="16" s="1"/>
  <c r="B7" i="16"/>
  <c r="B6" i="16"/>
  <c r="M6" i="16" s="1"/>
  <c r="C5" i="16"/>
  <c r="D5" i="16" s="1"/>
  <c r="B5" i="16"/>
  <c r="M5" i="16" s="1"/>
  <c r="A5" i="16"/>
  <c r="E1020" i="15"/>
  <c r="A1020" i="15"/>
  <c r="I1010" i="15"/>
  <c r="G1010" i="15"/>
  <c r="F1010" i="15"/>
  <c r="E1010" i="15"/>
  <c r="H1010" i="15" s="1"/>
  <c r="D1010" i="15"/>
  <c r="C1010" i="15"/>
  <c r="B1010" i="15"/>
  <c r="A1010" i="15"/>
  <c r="E1009" i="15"/>
  <c r="D1009" i="15"/>
  <c r="B1009" i="15"/>
  <c r="C1009" i="15" s="1"/>
  <c r="H1008" i="15"/>
  <c r="F1008" i="15"/>
  <c r="E1008" i="15"/>
  <c r="D1008" i="15"/>
  <c r="C1008" i="15"/>
  <c r="B1008" i="15"/>
  <c r="A1008" i="15"/>
  <c r="I1007" i="15"/>
  <c r="G1007" i="15"/>
  <c r="F1007" i="15"/>
  <c r="E1007" i="15"/>
  <c r="H1007" i="15" s="1"/>
  <c r="B1007" i="15"/>
  <c r="D1007" i="15" s="1"/>
  <c r="A1007" i="15"/>
  <c r="H1006" i="15"/>
  <c r="G1006" i="15"/>
  <c r="E1006" i="15"/>
  <c r="F1006" i="15" s="1"/>
  <c r="B1006" i="15"/>
  <c r="I1005" i="15"/>
  <c r="H1005" i="15"/>
  <c r="G1005" i="15"/>
  <c r="F1005" i="15"/>
  <c r="E1005" i="15"/>
  <c r="D1005" i="15"/>
  <c r="C1005" i="15"/>
  <c r="B1005" i="15"/>
  <c r="A1005" i="15"/>
  <c r="I1004" i="15"/>
  <c r="E1004" i="15"/>
  <c r="H1004" i="15" s="1"/>
  <c r="B1004" i="15"/>
  <c r="C1004" i="15" s="1"/>
  <c r="E1003" i="15"/>
  <c r="B1003" i="15"/>
  <c r="I1002" i="15"/>
  <c r="G1002" i="15"/>
  <c r="F1002" i="15"/>
  <c r="E1002" i="15"/>
  <c r="H1002" i="15" s="1"/>
  <c r="D1002" i="15"/>
  <c r="C1002" i="15"/>
  <c r="B1002" i="15"/>
  <c r="A1002" i="15"/>
  <c r="E1001" i="15"/>
  <c r="D1001" i="15"/>
  <c r="B1001" i="15"/>
  <c r="C1001" i="15" s="1"/>
  <c r="F1000" i="15"/>
  <c r="E1000" i="15"/>
  <c r="H1000" i="15" s="1"/>
  <c r="D1000" i="15"/>
  <c r="C1000" i="15"/>
  <c r="B1000" i="15"/>
  <c r="A1000" i="15"/>
  <c r="I999" i="15"/>
  <c r="G999" i="15"/>
  <c r="F999" i="15"/>
  <c r="E999" i="15"/>
  <c r="H999" i="15" s="1"/>
  <c r="B999" i="15"/>
  <c r="D999" i="15" s="1"/>
  <c r="A999" i="15"/>
  <c r="H998" i="15"/>
  <c r="G998" i="15"/>
  <c r="E998" i="15"/>
  <c r="F998" i="15" s="1"/>
  <c r="B998" i="15"/>
  <c r="I997" i="15"/>
  <c r="H997" i="15"/>
  <c r="G997" i="15"/>
  <c r="F997" i="15"/>
  <c r="E997" i="15"/>
  <c r="D997" i="15"/>
  <c r="C997" i="15"/>
  <c r="B997" i="15"/>
  <c r="A997" i="15"/>
  <c r="I996" i="15"/>
  <c r="E996" i="15"/>
  <c r="H996" i="15" s="1"/>
  <c r="B996" i="15"/>
  <c r="C996" i="15" s="1"/>
  <c r="A996" i="15"/>
  <c r="E995" i="15"/>
  <c r="B995" i="15"/>
  <c r="I994" i="15"/>
  <c r="G994" i="15"/>
  <c r="F994" i="15"/>
  <c r="E994" i="15"/>
  <c r="H994" i="15" s="1"/>
  <c r="D994" i="15"/>
  <c r="C994" i="15"/>
  <c r="B994" i="15"/>
  <c r="A994" i="15"/>
  <c r="E993" i="15"/>
  <c r="D993" i="15"/>
  <c r="B993" i="15"/>
  <c r="C993" i="15" s="1"/>
  <c r="H992" i="15"/>
  <c r="F992" i="15"/>
  <c r="E992" i="15"/>
  <c r="D992" i="15"/>
  <c r="C992" i="15"/>
  <c r="B992" i="15"/>
  <c r="A992" i="15"/>
  <c r="I991" i="15"/>
  <c r="G991" i="15"/>
  <c r="F991" i="15"/>
  <c r="E991" i="15"/>
  <c r="H991" i="15" s="1"/>
  <c r="B991" i="15"/>
  <c r="D991" i="15" s="1"/>
  <c r="A991" i="15"/>
  <c r="H990" i="15"/>
  <c r="G990" i="15"/>
  <c r="E990" i="15"/>
  <c r="F990" i="15" s="1"/>
  <c r="B990" i="15"/>
  <c r="I989" i="15"/>
  <c r="H989" i="15"/>
  <c r="G989" i="15"/>
  <c r="F989" i="15"/>
  <c r="E989" i="15"/>
  <c r="D989" i="15"/>
  <c r="C989" i="15"/>
  <c r="B989" i="15"/>
  <c r="A989" i="15"/>
  <c r="I988" i="15"/>
  <c r="E988" i="15"/>
  <c r="H988" i="15" s="1"/>
  <c r="B988" i="15"/>
  <c r="E987" i="15"/>
  <c r="C987" i="15"/>
  <c r="B987" i="15"/>
  <c r="I986" i="15"/>
  <c r="G986" i="15"/>
  <c r="F986" i="15"/>
  <c r="E986" i="15"/>
  <c r="H986" i="15" s="1"/>
  <c r="D986" i="15"/>
  <c r="C986" i="15"/>
  <c r="B986" i="15"/>
  <c r="A986" i="15"/>
  <c r="E985" i="15"/>
  <c r="D985" i="15"/>
  <c r="B985" i="15"/>
  <c r="C985" i="15" s="1"/>
  <c r="E984" i="15"/>
  <c r="D984" i="15"/>
  <c r="C984" i="15"/>
  <c r="B984" i="15"/>
  <c r="A984" i="15"/>
  <c r="I983" i="15"/>
  <c r="G983" i="15"/>
  <c r="F983" i="15"/>
  <c r="E983" i="15"/>
  <c r="H983" i="15" s="1"/>
  <c r="B983" i="15"/>
  <c r="A983" i="15"/>
  <c r="H982" i="15"/>
  <c r="G982" i="15"/>
  <c r="E982" i="15"/>
  <c r="F982" i="15" s="1"/>
  <c r="C982" i="15"/>
  <c r="B982" i="15"/>
  <c r="I981" i="15"/>
  <c r="H981" i="15"/>
  <c r="G981" i="15"/>
  <c r="F981" i="15"/>
  <c r="E981" i="15"/>
  <c r="D981" i="15"/>
  <c r="C981" i="15"/>
  <c r="B981" i="15"/>
  <c r="A981" i="15"/>
  <c r="E980" i="15"/>
  <c r="B980" i="15"/>
  <c r="C980" i="15" s="1"/>
  <c r="A980" i="15"/>
  <c r="F979" i="15"/>
  <c r="E979" i="15"/>
  <c r="C979" i="15"/>
  <c r="B979" i="15"/>
  <c r="I978" i="15"/>
  <c r="G978" i="15"/>
  <c r="F978" i="15"/>
  <c r="E978" i="15"/>
  <c r="H978" i="15" s="1"/>
  <c r="D978" i="15"/>
  <c r="C978" i="15"/>
  <c r="B978" i="15"/>
  <c r="A978" i="15"/>
  <c r="H977" i="15"/>
  <c r="E977" i="15"/>
  <c r="D977" i="15"/>
  <c r="B977" i="15"/>
  <c r="C977" i="15" s="1"/>
  <c r="E976" i="15"/>
  <c r="D976" i="15"/>
  <c r="C976" i="15"/>
  <c r="B976" i="15"/>
  <c r="A976" i="15"/>
  <c r="I975" i="15"/>
  <c r="G975" i="15"/>
  <c r="F975" i="15"/>
  <c r="E975" i="15"/>
  <c r="H975" i="15" s="1"/>
  <c r="B975" i="15"/>
  <c r="A975" i="15"/>
  <c r="H974" i="15"/>
  <c r="G974" i="15"/>
  <c r="E974" i="15"/>
  <c r="F974" i="15" s="1"/>
  <c r="C974" i="15"/>
  <c r="B974" i="15"/>
  <c r="I973" i="15"/>
  <c r="H973" i="15"/>
  <c r="G973" i="15"/>
  <c r="F973" i="15"/>
  <c r="E973" i="15"/>
  <c r="D973" i="15"/>
  <c r="C973" i="15"/>
  <c r="B973" i="15"/>
  <c r="A973" i="15"/>
  <c r="E972" i="15"/>
  <c r="B972" i="15"/>
  <c r="C972" i="15" s="1"/>
  <c r="F971" i="15"/>
  <c r="E971" i="15"/>
  <c r="C971" i="15"/>
  <c r="B971" i="15"/>
  <c r="I970" i="15"/>
  <c r="G970" i="15"/>
  <c r="F970" i="15"/>
  <c r="E970" i="15"/>
  <c r="H970" i="15" s="1"/>
  <c r="D970" i="15"/>
  <c r="C970" i="15"/>
  <c r="B970" i="15"/>
  <c r="A970" i="15"/>
  <c r="E969" i="15"/>
  <c r="B969" i="15"/>
  <c r="H968" i="15"/>
  <c r="E968" i="15"/>
  <c r="G968" i="15" s="1"/>
  <c r="D968" i="15"/>
  <c r="C968" i="15"/>
  <c r="B968" i="15"/>
  <c r="A968" i="15"/>
  <c r="I967" i="15"/>
  <c r="G967" i="15"/>
  <c r="F967" i="15"/>
  <c r="E967" i="15"/>
  <c r="H967" i="15" s="1"/>
  <c r="B967" i="15"/>
  <c r="C967" i="15" s="1"/>
  <c r="H966" i="15"/>
  <c r="E966" i="15"/>
  <c r="B966" i="15"/>
  <c r="I965" i="15"/>
  <c r="H965" i="15"/>
  <c r="G965" i="15"/>
  <c r="F965" i="15"/>
  <c r="E965" i="15"/>
  <c r="D965" i="15"/>
  <c r="C965" i="15"/>
  <c r="B965" i="15"/>
  <c r="A965" i="15"/>
  <c r="E964" i="15"/>
  <c r="B964" i="15"/>
  <c r="E963" i="15"/>
  <c r="B963" i="15"/>
  <c r="I962" i="15"/>
  <c r="G962" i="15"/>
  <c r="F962" i="15"/>
  <c r="E962" i="15"/>
  <c r="H962" i="15" s="1"/>
  <c r="D962" i="15"/>
  <c r="C962" i="15"/>
  <c r="B962" i="15"/>
  <c r="A962" i="15"/>
  <c r="G961" i="15"/>
  <c r="E961" i="15"/>
  <c r="B961" i="15"/>
  <c r="I960" i="15"/>
  <c r="F960" i="15"/>
  <c r="E960" i="15"/>
  <c r="G960" i="15" s="1"/>
  <c r="D960" i="15"/>
  <c r="C960" i="15"/>
  <c r="B960" i="15"/>
  <c r="A960" i="15"/>
  <c r="I959" i="15"/>
  <c r="G959" i="15"/>
  <c r="F959" i="15"/>
  <c r="E959" i="15"/>
  <c r="H959" i="15" s="1"/>
  <c r="D959" i="15"/>
  <c r="B959" i="15"/>
  <c r="C959" i="15" s="1"/>
  <c r="A959" i="15"/>
  <c r="H958" i="15"/>
  <c r="G958" i="15"/>
  <c r="E958" i="15"/>
  <c r="C958" i="15"/>
  <c r="B958" i="15"/>
  <c r="I957" i="15"/>
  <c r="H957" i="15"/>
  <c r="G957" i="15"/>
  <c r="F957" i="15"/>
  <c r="E957" i="15"/>
  <c r="D957" i="15"/>
  <c r="C957" i="15"/>
  <c r="B957" i="15"/>
  <c r="A957" i="15"/>
  <c r="E956" i="15"/>
  <c r="D956" i="15"/>
  <c r="B956" i="15"/>
  <c r="C956" i="15" s="1"/>
  <c r="A956" i="15"/>
  <c r="F955" i="15"/>
  <c r="E955" i="15"/>
  <c r="B955" i="15"/>
  <c r="I954" i="15"/>
  <c r="G954" i="15"/>
  <c r="F954" i="15"/>
  <c r="E954" i="15"/>
  <c r="H954" i="15" s="1"/>
  <c r="D954" i="15"/>
  <c r="C954" i="15"/>
  <c r="B954" i="15"/>
  <c r="A954" i="15"/>
  <c r="E953" i="15"/>
  <c r="B953" i="15"/>
  <c r="E952" i="15"/>
  <c r="G952" i="15" s="1"/>
  <c r="D952" i="15"/>
  <c r="C952" i="15"/>
  <c r="B952" i="15"/>
  <c r="A952" i="15"/>
  <c r="I951" i="15"/>
  <c r="G951" i="15"/>
  <c r="F951" i="15"/>
  <c r="E951" i="15"/>
  <c r="H951" i="15" s="1"/>
  <c r="B951" i="15"/>
  <c r="H950" i="15"/>
  <c r="E950" i="15"/>
  <c r="B950" i="15"/>
  <c r="I949" i="15"/>
  <c r="H949" i="15"/>
  <c r="G949" i="15"/>
  <c r="F949" i="15"/>
  <c r="E949" i="15"/>
  <c r="D949" i="15"/>
  <c r="C949" i="15"/>
  <c r="B949" i="15"/>
  <c r="A949" i="15"/>
  <c r="I948" i="15"/>
  <c r="E948" i="15"/>
  <c r="B948" i="15"/>
  <c r="C948" i="15" s="1"/>
  <c r="A948" i="15"/>
  <c r="E947" i="15"/>
  <c r="B947" i="15"/>
  <c r="I946" i="15"/>
  <c r="G946" i="15"/>
  <c r="F946" i="15"/>
  <c r="E946" i="15"/>
  <c r="H946" i="15" s="1"/>
  <c r="D946" i="15"/>
  <c r="C946" i="15"/>
  <c r="B946" i="15"/>
  <c r="A946" i="15"/>
  <c r="E945" i="15"/>
  <c r="D945" i="15"/>
  <c r="B945" i="15"/>
  <c r="I944" i="15"/>
  <c r="F944" i="15"/>
  <c r="E944" i="15"/>
  <c r="G944" i="15" s="1"/>
  <c r="D944" i="15"/>
  <c r="C944" i="15"/>
  <c r="B944" i="15"/>
  <c r="A944" i="15"/>
  <c r="I943" i="15"/>
  <c r="G943" i="15"/>
  <c r="F943" i="15"/>
  <c r="E943" i="15"/>
  <c r="H943" i="15" s="1"/>
  <c r="B943" i="15"/>
  <c r="C943" i="15" s="1"/>
  <c r="A943" i="15"/>
  <c r="H942" i="15"/>
  <c r="G942" i="15"/>
  <c r="E942" i="15"/>
  <c r="C942" i="15"/>
  <c r="B942" i="15"/>
  <c r="I941" i="15"/>
  <c r="H941" i="15"/>
  <c r="G941" i="15"/>
  <c r="F941" i="15"/>
  <c r="E941" i="15"/>
  <c r="D941" i="15"/>
  <c r="C941" i="15"/>
  <c r="B941" i="15"/>
  <c r="A941" i="15"/>
  <c r="I940" i="15"/>
  <c r="G940" i="15"/>
  <c r="E940" i="15"/>
  <c r="D940" i="15"/>
  <c r="B940" i="15"/>
  <c r="C940" i="15" s="1"/>
  <c r="A940" i="15"/>
  <c r="E939" i="15"/>
  <c r="C939" i="15"/>
  <c r="B939" i="15"/>
  <c r="I938" i="15"/>
  <c r="G938" i="15"/>
  <c r="F938" i="15"/>
  <c r="E938" i="15"/>
  <c r="H938" i="15" s="1"/>
  <c r="D938" i="15"/>
  <c r="C938" i="15"/>
  <c r="B938" i="15"/>
  <c r="A938" i="15"/>
  <c r="E937" i="15"/>
  <c r="B937" i="15"/>
  <c r="E936" i="15"/>
  <c r="D936" i="15"/>
  <c r="C936" i="15"/>
  <c r="B936" i="15"/>
  <c r="A936" i="15"/>
  <c r="I935" i="15"/>
  <c r="G935" i="15"/>
  <c r="F935" i="15"/>
  <c r="E935" i="15"/>
  <c r="H935" i="15" s="1"/>
  <c r="B935" i="15"/>
  <c r="E934" i="15"/>
  <c r="B934" i="15"/>
  <c r="I933" i="15"/>
  <c r="H933" i="15"/>
  <c r="G933" i="15"/>
  <c r="F933" i="15"/>
  <c r="E933" i="15"/>
  <c r="D933" i="15"/>
  <c r="C933" i="15"/>
  <c r="B933" i="15"/>
  <c r="A933" i="15"/>
  <c r="I932" i="15"/>
  <c r="E932" i="15"/>
  <c r="B932" i="15"/>
  <c r="C932" i="15" s="1"/>
  <c r="H931" i="15"/>
  <c r="E931" i="15"/>
  <c r="B931" i="15"/>
  <c r="I930" i="15"/>
  <c r="G930" i="15"/>
  <c r="F930" i="15"/>
  <c r="E930" i="15"/>
  <c r="H930" i="15" s="1"/>
  <c r="D930" i="15"/>
  <c r="C930" i="15"/>
  <c r="B930" i="15"/>
  <c r="A930" i="15"/>
  <c r="H929" i="15"/>
  <c r="G929" i="15"/>
  <c r="E929" i="15"/>
  <c r="D929" i="15"/>
  <c r="B929" i="15"/>
  <c r="I928" i="15"/>
  <c r="E928" i="15"/>
  <c r="G928" i="15" s="1"/>
  <c r="D928" i="15"/>
  <c r="C928" i="15"/>
  <c r="B928" i="15"/>
  <c r="A928" i="15"/>
  <c r="I927" i="15"/>
  <c r="G927" i="15"/>
  <c r="F927" i="15"/>
  <c r="E927" i="15"/>
  <c r="H927" i="15" s="1"/>
  <c r="D927" i="15"/>
  <c r="B927" i="15"/>
  <c r="C927" i="15" s="1"/>
  <c r="A927" i="15"/>
  <c r="H926" i="15"/>
  <c r="G926" i="15"/>
  <c r="E926" i="15"/>
  <c r="B926" i="15"/>
  <c r="I925" i="15"/>
  <c r="H925" i="15"/>
  <c r="G925" i="15"/>
  <c r="F925" i="15"/>
  <c r="E925" i="15"/>
  <c r="D925" i="15"/>
  <c r="C925" i="15"/>
  <c r="B925" i="15"/>
  <c r="A925" i="15"/>
  <c r="G924" i="15"/>
  <c r="E924" i="15"/>
  <c r="I924" i="15" s="1"/>
  <c r="D924" i="15"/>
  <c r="B924" i="15"/>
  <c r="C924" i="15" s="1"/>
  <c r="A924" i="15"/>
  <c r="H923" i="15"/>
  <c r="F923" i="15"/>
  <c r="E923" i="15"/>
  <c r="C923" i="15"/>
  <c r="B923" i="15"/>
  <c r="I922" i="15"/>
  <c r="G922" i="15"/>
  <c r="F922" i="15"/>
  <c r="E922" i="15"/>
  <c r="H922" i="15" s="1"/>
  <c r="D922" i="15"/>
  <c r="C922" i="15"/>
  <c r="B922" i="15"/>
  <c r="A922" i="15"/>
  <c r="H921" i="15"/>
  <c r="E921" i="15"/>
  <c r="B921" i="15"/>
  <c r="E920" i="15"/>
  <c r="D920" i="15"/>
  <c r="C920" i="15"/>
  <c r="B920" i="15"/>
  <c r="A920" i="15"/>
  <c r="I919" i="15"/>
  <c r="G919" i="15"/>
  <c r="F919" i="15"/>
  <c r="E919" i="15"/>
  <c r="H919" i="15" s="1"/>
  <c r="B919" i="15"/>
  <c r="C919" i="15" s="1"/>
  <c r="A919" i="15"/>
  <c r="E918" i="15"/>
  <c r="B918" i="15"/>
  <c r="I917" i="15"/>
  <c r="H917" i="15"/>
  <c r="G917" i="15"/>
  <c r="F917" i="15"/>
  <c r="E917" i="15"/>
  <c r="D917" i="15"/>
  <c r="C917" i="15"/>
  <c r="B917" i="15"/>
  <c r="A917" i="15"/>
  <c r="E916" i="15"/>
  <c r="B916" i="15"/>
  <c r="H915" i="15"/>
  <c r="E915" i="15"/>
  <c r="B915" i="15"/>
  <c r="I914" i="15"/>
  <c r="G914" i="15"/>
  <c r="F914" i="15"/>
  <c r="E914" i="15"/>
  <c r="H914" i="15" s="1"/>
  <c r="D914" i="15"/>
  <c r="C914" i="15"/>
  <c r="B914" i="15"/>
  <c r="A914" i="15"/>
  <c r="G913" i="15"/>
  <c r="E913" i="15"/>
  <c r="H913" i="15" s="1"/>
  <c r="D913" i="15"/>
  <c r="B913" i="15"/>
  <c r="I912" i="15"/>
  <c r="H912" i="15"/>
  <c r="F912" i="15"/>
  <c r="E912" i="15"/>
  <c r="G912" i="15" s="1"/>
  <c r="D912" i="15"/>
  <c r="C912" i="15"/>
  <c r="B912" i="15"/>
  <c r="A912" i="15"/>
  <c r="I911" i="15"/>
  <c r="G911" i="15"/>
  <c r="F911" i="15"/>
  <c r="E911" i="15"/>
  <c r="H911" i="15" s="1"/>
  <c r="D911" i="15"/>
  <c r="B911" i="15"/>
  <c r="C911" i="15" s="1"/>
  <c r="A911" i="15"/>
  <c r="E910" i="15"/>
  <c r="C910" i="15"/>
  <c r="B910" i="15"/>
  <c r="I909" i="15"/>
  <c r="H909" i="15"/>
  <c r="G909" i="15"/>
  <c r="F909" i="15"/>
  <c r="E909" i="15"/>
  <c r="D909" i="15"/>
  <c r="C909" i="15"/>
  <c r="B909" i="15"/>
  <c r="A909" i="15"/>
  <c r="I908" i="15"/>
  <c r="G908" i="15"/>
  <c r="E908" i="15"/>
  <c r="B908" i="15"/>
  <c r="C908" i="15" s="1"/>
  <c r="A908" i="15"/>
  <c r="F907" i="15"/>
  <c r="E907" i="15"/>
  <c r="H907" i="15" s="1"/>
  <c r="C907" i="15"/>
  <c r="B907" i="15"/>
  <c r="I906" i="15"/>
  <c r="G906" i="15"/>
  <c r="F906" i="15"/>
  <c r="E906" i="15"/>
  <c r="H906" i="15" s="1"/>
  <c r="D906" i="15"/>
  <c r="C906" i="15"/>
  <c r="B906" i="15"/>
  <c r="A906" i="15"/>
  <c r="E905" i="15"/>
  <c r="B905" i="15"/>
  <c r="H904" i="15"/>
  <c r="E904" i="15"/>
  <c r="G904" i="15" s="1"/>
  <c r="D904" i="15"/>
  <c r="C904" i="15"/>
  <c r="B904" i="15"/>
  <c r="A904" i="15"/>
  <c r="I903" i="15"/>
  <c r="G903" i="15"/>
  <c r="F903" i="15"/>
  <c r="E903" i="15"/>
  <c r="H903" i="15" s="1"/>
  <c r="B903" i="15"/>
  <c r="C903" i="15" s="1"/>
  <c r="H902" i="15"/>
  <c r="E902" i="15"/>
  <c r="B902" i="15"/>
  <c r="I901" i="15"/>
  <c r="H901" i="15"/>
  <c r="G901" i="15"/>
  <c r="F901" i="15"/>
  <c r="E901" i="15"/>
  <c r="D901" i="15"/>
  <c r="C901" i="15"/>
  <c r="B901" i="15"/>
  <c r="A901" i="15"/>
  <c r="E900" i="15"/>
  <c r="B900" i="15"/>
  <c r="E899" i="15"/>
  <c r="B899" i="15"/>
  <c r="I898" i="15"/>
  <c r="G898" i="15"/>
  <c r="F898" i="15"/>
  <c r="E898" i="15"/>
  <c r="H898" i="15" s="1"/>
  <c r="D898" i="15"/>
  <c r="C898" i="15"/>
  <c r="B898" i="15"/>
  <c r="A898" i="15"/>
  <c r="G897" i="15"/>
  <c r="E897" i="15"/>
  <c r="B897" i="15"/>
  <c r="I896" i="15"/>
  <c r="F896" i="15"/>
  <c r="E896" i="15"/>
  <c r="G896" i="15" s="1"/>
  <c r="D896" i="15"/>
  <c r="C896" i="15"/>
  <c r="B896" i="15"/>
  <c r="A896" i="15"/>
  <c r="I895" i="15"/>
  <c r="G895" i="15"/>
  <c r="F895" i="15"/>
  <c r="E895" i="15"/>
  <c r="H895" i="15" s="1"/>
  <c r="D895" i="15"/>
  <c r="B895" i="15"/>
  <c r="C895" i="15" s="1"/>
  <c r="A895" i="15"/>
  <c r="H894" i="15"/>
  <c r="G894" i="15"/>
  <c r="E894" i="15"/>
  <c r="C894" i="15"/>
  <c r="B894" i="15"/>
  <c r="I893" i="15"/>
  <c r="H893" i="15"/>
  <c r="G893" i="15"/>
  <c r="F893" i="15"/>
  <c r="E893" i="15"/>
  <c r="D893" i="15"/>
  <c r="C893" i="15"/>
  <c r="B893" i="15"/>
  <c r="A893" i="15"/>
  <c r="E892" i="15"/>
  <c r="D892" i="15"/>
  <c r="B892" i="15"/>
  <c r="C892" i="15" s="1"/>
  <c r="A892" i="15"/>
  <c r="F891" i="15"/>
  <c r="E891" i="15"/>
  <c r="B891" i="15"/>
  <c r="I890" i="15"/>
  <c r="G890" i="15"/>
  <c r="F890" i="15"/>
  <c r="E890" i="15"/>
  <c r="H890" i="15" s="1"/>
  <c r="D890" i="15"/>
  <c r="C890" i="15"/>
  <c r="B890" i="15"/>
  <c r="A890" i="15"/>
  <c r="E889" i="15"/>
  <c r="B889" i="15"/>
  <c r="E888" i="15"/>
  <c r="G888" i="15" s="1"/>
  <c r="D888" i="15"/>
  <c r="C888" i="15"/>
  <c r="B888" i="15"/>
  <c r="A888" i="15"/>
  <c r="I887" i="15"/>
  <c r="G887" i="15"/>
  <c r="F887" i="15"/>
  <c r="E887" i="15"/>
  <c r="H887" i="15" s="1"/>
  <c r="B887" i="15"/>
  <c r="H886" i="15"/>
  <c r="E886" i="15"/>
  <c r="B886" i="15"/>
  <c r="I885" i="15"/>
  <c r="H885" i="15"/>
  <c r="G885" i="15"/>
  <c r="F885" i="15"/>
  <c r="E885" i="15"/>
  <c r="D885" i="15"/>
  <c r="C885" i="15"/>
  <c r="B885" i="15"/>
  <c r="A885" i="15"/>
  <c r="I884" i="15"/>
  <c r="E884" i="15"/>
  <c r="B884" i="15"/>
  <c r="C884" i="15" s="1"/>
  <c r="A884" i="15"/>
  <c r="E883" i="15"/>
  <c r="B883" i="15"/>
  <c r="I882" i="15"/>
  <c r="G882" i="15"/>
  <c r="F882" i="15"/>
  <c r="E882" i="15"/>
  <c r="H882" i="15" s="1"/>
  <c r="D882" i="15"/>
  <c r="C882" i="15"/>
  <c r="B882" i="15"/>
  <c r="A882" i="15"/>
  <c r="E881" i="15"/>
  <c r="D881" i="15"/>
  <c r="B881" i="15"/>
  <c r="I880" i="15"/>
  <c r="F880" i="15"/>
  <c r="E880" i="15"/>
  <c r="G880" i="15" s="1"/>
  <c r="D880" i="15"/>
  <c r="C880" i="15"/>
  <c r="B880" i="15"/>
  <c r="A880" i="15"/>
  <c r="I879" i="15"/>
  <c r="G879" i="15"/>
  <c r="F879" i="15"/>
  <c r="E879" i="15"/>
  <c r="H879" i="15" s="1"/>
  <c r="B879" i="15"/>
  <c r="C879" i="15" s="1"/>
  <c r="A879" i="15"/>
  <c r="H878" i="15"/>
  <c r="G878" i="15"/>
  <c r="E878" i="15"/>
  <c r="C878" i="15"/>
  <c r="B878" i="15"/>
  <c r="I877" i="15"/>
  <c r="H877" i="15"/>
  <c r="G877" i="15"/>
  <c r="F877" i="15"/>
  <c r="E877" i="15"/>
  <c r="D877" i="15"/>
  <c r="C877" i="15"/>
  <c r="B877" i="15"/>
  <c r="A877" i="15"/>
  <c r="I876" i="15"/>
  <c r="G876" i="15"/>
  <c r="E876" i="15"/>
  <c r="D876" i="15"/>
  <c r="B876" i="15"/>
  <c r="C876" i="15" s="1"/>
  <c r="A876" i="15"/>
  <c r="E875" i="15"/>
  <c r="C875" i="15"/>
  <c r="B875" i="15"/>
  <c r="I874" i="15"/>
  <c r="G874" i="15"/>
  <c r="F874" i="15"/>
  <c r="E874" i="15"/>
  <c r="H874" i="15" s="1"/>
  <c r="D874" i="15"/>
  <c r="C874" i="15"/>
  <c r="B874" i="15"/>
  <c r="A874" i="15"/>
  <c r="E873" i="15"/>
  <c r="B873" i="15"/>
  <c r="E872" i="15"/>
  <c r="D872" i="15"/>
  <c r="C872" i="15"/>
  <c r="B872" i="15"/>
  <c r="A872" i="15"/>
  <c r="I871" i="15"/>
  <c r="G871" i="15"/>
  <c r="F871" i="15"/>
  <c r="E871" i="15"/>
  <c r="H871" i="15" s="1"/>
  <c r="B871" i="15"/>
  <c r="E870" i="15"/>
  <c r="B870" i="15"/>
  <c r="I869" i="15"/>
  <c r="H869" i="15"/>
  <c r="G869" i="15"/>
  <c r="F869" i="15"/>
  <c r="E869" i="15"/>
  <c r="D869" i="15"/>
  <c r="C869" i="15"/>
  <c r="B869" i="15"/>
  <c r="A869" i="15"/>
  <c r="I868" i="15"/>
  <c r="E868" i="15"/>
  <c r="B868" i="15"/>
  <c r="C868" i="15" s="1"/>
  <c r="H867" i="15"/>
  <c r="E867" i="15"/>
  <c r="B867" i="15"/>
  <c r="I866" i="15"/>
  <c r="G866" i="15"/>
  <c r="F866" i="15"/>
  <c r="E866" i="15"/>
  <c r="H866" i="15" s="1"/>
  <c r="D866" i="15"/>
  <c r="C866" i="15"/>
  <c r="B866" i="15"/>
  <c r="A866" i="15"/>
  <c r="H865" i="15"/>
  <c r="G865" i="15"/>
  <c r="E865" i="15"/>
  <c r="D865" i="15"/>
  <c r="B865" i="15"/>
  <c r="I864" i="15"/>
  <c r="E864" i="15"/>
  <c r="G864" i="15" s="1"/>
  <c r="D864" i="15"/>
  <c r="C864" i="15"/>
  <c r="B864" i="15"/>
  <c r="A864" i="15"/>
  <c r="I863" i="15"/>
  <c r="G863" i="15"/>
  <c r="F863" i="15"/>
  <c r="E863" i="15"/>
  <c r="H863" i="15" s="1"/>
  <c r="D863" i="15"/>
  <c r="B863" i="15"/>
  <c r="C863" i="15" s="1"/>
  <c r="A863" i="15"/>
  <c r="G862" i="15"/>
  <c r="E862" i="15"/>
  <c r="B862" i="15"/>
  <c r="I861" i="15"/>
  <c r="H861" i="15"/>
  <c r="G861" i="15"/>
  <c r="F861" i="15"/>
  <c r="E861" i="15"/>
  <c r="D861" i="15"/>
  <c r="C861" i="15"/>
  <c r="B861" i="15"/>
  <c r="A861" i="15"/>
  <c r="I860" i="15"/>
  <c r="G860" i="15"/>
  <c r="E860" i="15"/>
  <c r="D860" i="15"/>
  <c r="B860" i="15"/>
  <c r="C860" i="15" s="1"/>
  <c r="A860" i="15"/>
  <c r="H859" i="15"/>
  <c r="F859" i="15"/>
  <c r="E859" i="15"/>
  <c r="C859" i="15"/>
  <c r="B859" i="15"/>
  <c r="I858" i="15"/>
  <c r="G858" i="15"/>
  <c r="F858" i="15"/>
  <c r="E858" i="15"/>
  <c r="H858" i="15" s="1"/>
  <c r="D858" i="15"/>
  <c r="C858" i="15"/>
  <c r="B858" i="15"/>
  <c r="A858" i="15"/>
  <c r="H857" i="15"/>
  <c r="E857" i="15"/>
  <c r="B857" i="15"/>
  <c r="E856" i="15"/>
  <c r="D856" i="15"/>
  <c r="C856" i="15"/>
  <c r="B856" i="15"/>
  <c r="A856" i="15"/>
  <c r="I855" i="15"/>
  <c r="G855" i="15"/>
  <c r="F855" i="15"/>
  <c r="E855" i="15"/>
  <c r="H855" i="15" s="1"/>
  <c r="B855" i="15"/>
  <c r="C855" i="15" s="1"/>
  <c r="A855" i="15"/>
  <c r="E854" i="15"/>
  <c r="B854" i="15"/>
  <c r="I853" i="15"/>
  <c r="H853" i="15"/>
  <c r="G853" i="15"/>
  <c r="F853" i="15"/>
  <c r="E853" i="15"/>
  <c r="D853" i="15"/>
  <c r="C853" i="15"/>
  <c r="B853" i="15"/>
  <c r="A853" i="15"/>
  <c r="E852" i="15"/>
  <c r="B852" i="15"/>
  <c r="H851" i="15"/>
  <c r="E851" i="15"/>
  <c r="B851" i="15"/>
  <c r="I850" i="15"/>
  <c r="G850" i="15"/>
  <c r="F850" i="15"/>
  <c r="E850" i="15"/>
  <c r="H850" i="15" s="1"/>
  <c r="D850" i="15"/>
  <c r="C850" i="15"/>
  <c r="B850" i="15"/>
  <c r="A850" i="15"/>
  <c r="G849" i="15"/>
  <c r="E849" i="15"/>
  <c r="H849" i="15" s="1"/>
  <c r="D849" i="15"/>
  <c r="B849" i="15"/>
  <c r="I848" i="15"/>
  <c r="H848" i="15"/>
  <c r="F848" i="15"/>
  <c r="E848" i="15"/>
  <c r="G848" i="15" s="1"/>
  <c r="D848" i="15"/>
  <c r="C848" i="15"/>
  <c r="B848" i="15"/>
  <c r="A848" i="15"/>
  <c r="I847" i="15"/>
  <c r="G847" i="15"/>
  <c r="F847" i="15"/>
  <c r="E847" i="15"/>
  <c r="H847" i="15" s="1"/>
  <c r="D847" i="15"/>
  <c r="B847" i="15"/>
  <c r="C847" i="15" s="1"/>
  <c r="A847" i="15"/>
  <c r="E846" i="15"/>
  <c r="C846" i="15"/>
  <c r="B846" i="15"/>
  <c r="I845" i="15"/>
  <c r="H845" i="15"/>
  <c r="G845" i="15"/>
  <c r="F845" i="15"/>
  <c r="E845" i="15"/>
  <c r="D845" i="15"/>
  <c r="C845" i="15"/>
  <c r="B845" i="15"/>
  <c r="A845" i="15"/>
  <c r="G844" i="15"/>
  <c r="E844" i="15"/>
  <c r="B844" i="15"/>
  <c r="C844" i="15" s="1"/>
  <c r="A844" i="15"/>
  <c r="F843" i="15"/>
  <c r="E843" i="15"/>
  <c r="H843" i="15" s="1"/>
  <c r="C843" i="15"/>
  <c r="B843" i="15"/>
  <c r="I842" i="15"/>
  <c r="G842" i="15"/>
  <c r="F842" i="15"/>
  <c r="E842" i="15"/>
  <c r="H842" i="15" s="1"/>
  <c r="D842" i="15"/>
  <c r="C842" i="15"/>
  <c r="B842" i="15"/>
  <c r="A842" i="15"/>
  <c r="E841" i="15"/>
  <c r="B841" i="15"/>
  <c r="H840" i="15"/>
  <c r="E840" i="15"/>
  <c r="G840" i="15" s="1"/>
  <c r="D840" i="15"/>
  <c r="C840" i="15"/>
  <c r="B840" i="15"/>
  <c r="A840" i="15"/>
  <c r="I839" i="15"/>
  <c r="G839" i="15"/>
  <c r="F839" i="15"/>
  <c r="E839" i="15"/>
  <c r="H839" i="15" s="1"/>
  <c r="B839" i="15"/>
  <c r="C839" i="15" s="1"/>
  <c r="E838" i="15"/>
  <c r="B838" i="15"/>
  <c r="I837" i="15"/>
  <c r="H837" i="15"/>
  <c r="G837" i="15"/>
  <c r="F837" i="15"/>
  <c r="E837" i="15"/>
  <c r="D837" i="15"/>
  <c r="C837" i="15"/>
  <c r="B837" i="15"/>
  <c r="A837" i="15"/>
  <c r="E836" i="15"/>
  <c r="B836" i="15"/>
  <c r="E835" i="15"/>
  <c r="B835" i="15"/>
  <c r="I834" i="15"/>
  <c r="G834" i="15"/>
  <c r="F834" i="15"/>
  <c r="E834" i="15"/>
  <c r="H834" i="15" s="1"/>
  <c r="D834" i="15"/>
  <c r="C834" i="15"/>
  <c r="B834" i="15"/>
  <c r="A834" i="15"/>
  <c r="G833" i="15"/>
  <c r="E833" i="15"/>
  <c r="B833" i="15"/>
  <c r="I832" i="15"/>
  <c r="F832" i="15"/>
  <c r="E832" i="15"/>
  <c r="G832" i="15" s="1"/>
  <c r="D832" i="15"/>
  <c r="C832" i="15"/>
  <c r="B832" i="15"/>
  <c r="A832" i="15"/>
  <c r="I831" i="15"/>
  <c r="G831" i="15"/>
  <c r="F831" i="15"/>
  <c r="E831" i="15"/>
  <c r="H831" i="15" s="1"/>
  <c r="D831" i="15"/>
  <c r="B831" i="15"/>
  <c r="C831" i="15" s="1"/>
  <c r="A831" i="15"/>
  <c r="H830" i="15"/>
  <c r="G830" i="15"/>
  <c r="E830" i="15"/>
  <c r="C830" i="15"/>
  <c r="B830" i="15"/>
  <c r="I829" i="15"/>
  <c r="H829" i="15"/>
  <c r="G829" i="15"/>
  <c r="F829" i="15"/>
  <c r="E829" i="15"/>
  <c r="D829" i="15"/>
  <c r="C829" i="15"/>
  <c r="B829" i="15"/>
  <c r="A829" i="15"/>
  <c r="E828" i="15"/>
  <c r="D828" i="15"/>
  <c r="B828" i="15"/>
  <c r="C828" i="15" s="1"/>
  <c r="A828" i="15"/>
  <c r="F827" i="15"/>
  <c r="E827" i="15"/>
  <c r="B827" i="15"/>
  <c r="I826" i="15"/>
  <c r="G826" i="15"/>
  <c r="F826" i="15"/>
  <c r="E826" i="15"/>
  <c r="H826" i="15" s="1"/>
  <c r="D826" i="15"/>
  <c r="C826" i="15"/>
  <c r="B826" i="15"/>
  <c r="A826" i="15"/>
  <c r="E825" i="15"/>
  <c r="B825" i="15"/>
  <c r="E824" i="15"/>
  <c r="G824" i="15" s="1"/>
  <c r="D824" i="15"/>
  <c r="C824" i="15"/>
  <c r="B824" i="15"/>
  <c r="A824" i="15"/>
  <c r="I823" i="15"/>
  <c r="G823" i="15"/>
  <c r="F823" i="15"/>
  <c r="E823" i="15"/>
  <c r="H823" i="15" s="1"/>
  <c r="B823" i="15"/>
  <c r="H822" i="15"/>
  <c r="E822" i="15"/>
  <c r="B822" i="15"/>
  <c r="I821" i="15"/>
  <c r="H821" i="15"/>
  <c r="G821" i="15"/>
  <c r="F821" i="15"/>
  <c r="E821" i="15"/>
  <c r="D821" i="15"/>
  <c r="C821" i="15"/>
  <c r="B821" i="15"/>
  <c r="A821" i="15"/>
  <c r="E820" i="15"/>
  <c r="B820" i="15"/>
  <c r="C820" i="15" s="1"/>
  <c r="A820" i="15"/>
  <c r="E819" i="15"/>
  <c r="B819" i="15"/>
  <c r="I818" i="15"/>
  <c r="G818" i="15"/>
  <c r="F818" i="15"/>
  <c r="E818" i="15"/>
  <c r="H818" i="15" s="1"/>
  <c r="D818" i="15"/>
  <c r="C818" i="15"/>
  <c r="B818" i="15"/>
  <c r="A818" i="15"/>
  <c r="E817" i="15"/>
  <c r="D817" i="15"/>
  <c r="B817" i="15"/>
  <c r="I816" i="15"/>
  <c r="F816" i="15"/>
  <c r="E816" i="15"/>
  <c r="G816" i="15" s="1"/>
  <c r="D816" i="15"/>
  <c r="C816" i="15"/>
  <c r="B816" i="15"/>
  <c r="A816" i="15"/>
  <c r="I815" i="15"/>
  <c r="G815" i="15"/>
  <c r="F815" i="15"/>
  <c r="E815" i="15"/>
  <c r="H815" i="15" s="1"/>
  <c r="B815" i="15"/>
  <c r="C815" i="15" s="1"/>
  <c r="A815" i="15"/>
  <c r="H814" i="15"/>
  <c r="G814" i="15"/>
  <c r="E814" i="15"/>
  <c r="C814" i="15"/>
  <c r="B814" i="15"/>
  <c r="I813" i="15"/>
  <c r="H813" i="15"/>
  <c r="G813" i="15"/>
  <c r="F813" i="15"/>
  <c r="E813" i="15"/>
  <c r="D813" i="15"/>
  <c r="C813" i="15"/>
  <c r="B813" i="15"/>
  <c r="A813" i="15"/>
  <c r="I812" i="15"/>
  <c r="G812" i="15"/>
  <c r="E812" i="15"/>
  <c r="D812" i="15"/>
  <c r="B812" i="15"/>
  <c r="C812" i="15" s="1"/>
  <c r="A812" i="15"/>
  <c r="E811" i="15"/>
  <c r="C811" i="15"/>
  <c r="B811" i="15"/>
  <c r="I810" i="15"/>
  <c r="G810" i="15"/>
  <c r="F810" i="15"/>
  <c r="E810" i="15"/>
  <c r="H810" i="15" s="1"/>
  <c r="D810" i="15"/>
  <c r="C810" i="15"/>
  <c r="B810" i="15"/>
  <c r="A810" i="15"/>
  <c r="H809" i="15"/>
  <c r="E809" i="15"/>
  <c r="B809" i="15"/>
  <c r="E808" i="15"/>
  <c r="D808" i="15"/>
  <c r="C808" i="15"/>
  <c r="B808" i="15"/>
  <c r="A808" i="15"/>
  <c r="I807" i="15"/>
  <c r="G807" i="15"/>
  <c r="F807" i="15"/>
  <c r="E807" i="15"/>
  <c r="H807" i="15" s="1"/>
  <c r="B807" i="15"/>
  <c r="E806" i="15"/>
  <c r="B806" i="15"/>
  <c r="I805" i="15"/>
  <c r="H805" i="15"/>
  <c r="G805" i="15"/>
  <c r="F805" i="15"/>
  <c r="E805" i="15"/>
  <c r="D805" i="15"/>
  <c r="C805" i="15"/>
  <c r="B805" i="15"/>
  <c r="A805" i="15"/>
  <c r="I804" i="15"/>
  <c r="E804" i="15"/>
  <c r="B804" i="15"/>
  <c r="C804" i="15" s="1"/>
  <c r="E803" i="15"/>
  <c r="B803" i="15"/>
  <c r="D803" i="15" s="1"/>
  <c r="A803" i="15"/>
  <c r="I802" i="15"/>
  <c r="G802" i="15"/>
  <c r="F802" i="15"/>
  <c r="E802" i="15"/>
  <c r="H802" i="15" s="1"/>
  <c r="D802" i="15"/>
  <c r="B802" i="15"/>
  <c r="C802" i="15" s="1"/>
  <c r="A802" i="15"/>
  <c r="E801" i="15"/>
  <c r="D801" i="15"/>
  <c r="C801" i="15"/>
  <c r="B801" i="15"/>
  <c r="A801" i="15" s="1"/>
  <c r="I800" i="15"/>
  <c r="H800" i="15"/>
  <c r="F800" i="15"/>
  <c r="E800" i="15"/>
  <c r="G800" i="15" s="1"/>
  <c r="D800" i="15"/>
  <c r="C800" i="15"/>
  <c r="B800" i="15"/>
  <c r="A800" i="15"/>
  <c r="G799" i="15"/>
  <c r="F799" i="15"/>
  <c r="E799" i="15"/>
  <c r="H799" i="15" s="1"/>
  <c r="D799" i="15"/>
  <c r="B799" i="15"/>
  <c r="C799" i="15" s="1"/>
  <c r="A799" i="15"/>
  <c r="E798" i="15"/>
  <c r="I798" i="15" s="1"/>
  <c r="B798" i="15"/>
  <c r="I797" i="15"/>
  <c r="H797" i="15"/>
  <c r="G797" i="15"/>
  <c r="F797" i="15"/>
  <c r="E797" i="15"/>
  <c r="D797" i="15"/>
  <c r="C797" i="15"/>
  <c r="B797" i="15"/>
  <c r="A797" i="15"/>
  <c r="I796" i="15"/>
  <c r="E796" i="15"/>
  <c r="F796" i="15" s="1"/>
  <c r="D796" i="15"/>
  <c r="B796" i="15"/>
  <c r="C796" i="15" s="1"/>
  <c r="A796" i="15"/>
  <c r="H795" i="15"/>
  <c r="E795" i="15"/>
  <c r="G795" i="15" s="1"/>
  <c r="B795" i="15"/>
  <c r="D795" i="15" s="1"/>
  <c r="I794" i="15"/>
  <c r="G794" i="15"/>
  <c r="F794" i="15"/>
  <c r="E794" i="15"/>
  <c r="H794" i="15" s="1"/>
  <c r="B794" i="15"/>
  <c r="D794" i="15" s="1"/>
  <c r="H793" i="15"/>
  <c r="E793" i="15"/>
  <c r="B793" i="15"/>
  <c r="A793" i="15" s="1"/>
  <c r="I792" i="15"/>
  <c r="H792" i="15"/>
  <c r="F792" i="15"/>
  <c r="E792" i="15"/>
  <c r="G792" i="15" s="1"/>
  <c r="D792" i="15"/>
  <c r="C792" i="15"/>
  <c r="B792" i="15"/>
  <c r="A792" i="15"/>
  <c r="I791" i="15"/>
  <c r="F791" i="15"/>
  <c r="E791" i="15"/>
  <c r="H791" i="15" s="1"/>
  <c r="D791" i="15"/>
  <c r="B791" i="15"/>
  <c r="C791" i="15" s="1"/>
  <c r="E790" i="15"/>
  <c r="B790" i="15"/>
  <c r="I789" i="15"/>
  <c r="H789" i="15"/>
  <c r="G789" i="15"/>
  <c r="F789" i="15"/>
  <c r="E789" i="15"/>
  <c r="D789" i="15"/>
  <c r="C789" i="15"/>
  <c r="B789" i="15"/>
  <c r="A789" i="15"/>
  <c r="H788" i="15"/>
  <c r="G788" i="15"/>
  <c r="E788" i="15"/>
  <c r="F788" i="15" s="1"/>
  <c r="D788" i="15"/>
  <c r="B788" i="15"/>
  <c r="C788" i="15" s="1"/>
  <c r="A788" i="15"/>
  <c r="E787" i="15"/>
  <c r="G787" i="15" s="1"/>
  <c r="B787" i="15"/>
  <c r="I786" i="15"/>
  <c r="G786" i="15"/>
  <c r="F786" i="15"/>
  <c r="E786" i="15"/>
  <c r="H786" i="15" s="1"/>
  <c r="B786" i="15"/>
  <c r="H785" i="15"/>
  <c r="E785" i="15"/>
  <c r="D785" i="15"/>
  <c r="C785" i="15"/>
  <c r="B785" i="15"/>
  <c r="A785" i="15" s="1"/>
  <c r="I784" i="15"/>
  <c r="F784" i="15"/>
  <c r="E784" i="15"/>
  <c r="G784" i="15" s="1"/>
  <c r="D784" i="15"/>
  <c r="C784" i="15"/>
  <c r="B784" i="15"/>
  <c r="A784" i="15"/>
  <c r="I783" i="15"/>
  <c r="F783" i="15"/>
  <c r="E783" i="15"/>
  <c r="H783" i="15" s="1"/>
  <c r="B783" i="15"/>
  <c r="C783" i="15" s="1"/>
  <c r="A783" i="15"/>
  <c r="G782" i="15"/>
  <c r="E782" i="15"/>
  <c r="C782" i="15"/>
  <c r="B782" i="15"/>
  <c r="I781" i="15"/>
  <c r="H781" i="15"/>
  <c r="G781" i="15"/>
  <c r="F781" i="15"/>
  <c r="E781" i="15"/>
  <c r="D781" i="15"/>
  <c r="C781" i="15"/>
  <c r="B781" i="15"/>
  <c r="A781" i="15"/>
  <c r="I780" i="15"/>
  <c r="G780" i="15"/>
  <c r="E780" i="15"/>
  <c r="F780" i="15" s="1"/>
  <c r="D780" i="15"/>
  <c r="B780" i="15"/>
  <c r="C780" i="15" s="1"/>
  <c r="E779" i="15"/>
  <c r="B779" i="15"/>
  <c r="I778" i="15"/>
  <c r="G778" i="15"/>
  <c r="F778" i="15"/>
  <c r="E778" i="15"/>
  <c r="H778" i="15" s="1"/>
  <c r="D778" i="15"/>
  <c r="B778" i="15"/>
  <c r="E777" i="15"/>
  <c r="C777" i="15"/>
  <c r="B777" i="15"/>
  <c r="A777" i="15" s="1"/>
  <c r="I776" i="15"/>
  <c r="E776" i="15"/>
  <c r="G776" i="15" s="1"/>
  <c r="D776" i="15"/>
  <c r="C776" i="15"/>
  <c r="B776" i="15"/>
  <c r="A776" i="15"/>
  <c r="I775" i="15"/>
  <c r="E775" i="15"/>
  <c r="H775" i="15" s="1"/>
  <c r="D775" i="15"/>
  <c r="B775" i="15"/>
  <c r="C775" i="15" s="1"/>
  <c r="A775" i="15"/>
  <c r="H774" i="15"/>
  <c r="G774" i="15"/>
  <c r="F774" i="15"/>
  <c r="E774" i="15"/>
  <c r="I774" i="15" s="1"/>
  <c r="B774" i="15"/>
  <c r="I773" i="15"/>
  <c r="H773" i="15"/>
  <c r="G773" i="15"/>
  <c r="F773" i="15"/>
  <c r="E773" i="15"/>
  <c r="D773" i="15"/>
  <c r="C773" i="15"/>
  <c r="B773" i="15"/>
  <c r="A773" i="15"/>
  <c r="I772" i="15"/>
  <c r="G772" i="15"/>
  <c r="E772" i="15"/>
  <c r="F772" i="15" s="1"/>
  <c r="B772" i="15"/>
  <c r="C772" i="15" s="1"/>
  <c r="A772" i="15"/>
  <c r="H771" i="15"/>
  <c r="E771" i="15"/>
  <c r="C771" i="15"/>
  <c r="B771" i="15"/>
  <c r="D771" i="15" s="1"/>
  <c r="A771" i="15"/>
  <c r="I770" i="15"/>
  <c r="G770" i="15"/>
  <c r="F770" i="15"/>
  <c r="E770" i="15"/>
  <c r="H770" i="15" s="1"/>
  <c r="D770" i="15"/>
  <c r="C770" i="15"/>
  <c r="B770" i="15"/>
  <c r="A770" i="15"/>
  <c r="E769" i="15"/>
  <c r="C769" i="15"/>
  <c r="B769" i="15"/>
  <c r="A769" i="15" s="1"/>
  <c r="H768" i="15"/>
  <c r="F768" i="15"/>
  <c r="E768" i="15"/>
  <c r="G768" i="15" s="1"/>
  <c r="D768" i="15"/>
  <c r="C768" i="15"/>
  <c r="B768" i="15"/>
  <c r="A768" i="15"/>
  <c r="G767" i="15"/>
  <c r="F767" i="15"/>
  <c r="E767" i="15"/>
  <c r="H767" i="15" s="1"/>
  <c r="D767" i="15"/>
  <c r="B767" i="15"/>
  <c r="C767" i="15" s="1"/>
  <c r="A767" i="15"/>
  <c r="E766" i="15"/>
  <c r="I766" i="15" s="1"/>
  <c r="B766" i="15"/>
  <c r="I765" i="15"/>
  <c r="H765" i="15"/>
  <c r="G765" i="15"/>
  <c r="F765" i="15"/>
  <c r="E765" i="15"/>
  <c r="D765" i="15"/>
  <c r="C765" i="15"/>
  <c r="B765" i="15"/>
  <c r="A765" i="15"/>
  <c r="I764" i="15"/>
  <c r="E764" i="15"/>
  <c r="F764" i="15" s="1"/>
  <c r="D764" i="15"/>
  <c r="B764" i="15"/>
  <c r="C764" i="15" s="1"/>
  <c r="A764" i="15"/>
  <c r="H763" i="15"/>
  <c r="E763" i="15"/>
  <c r="G763" i="15" s="1"/>
  <c r="B763" i="15"/>
  <c r="D763" i="15" s="1"/>
  <c r="I762" i="15"/>
  <c r="H762" i="15"/>
  <c r="G762" i="15"/>
  <c r="F762" i="15"/>
  <c r="E762" i="15"/>
  <c r="D762" i="15"/>
  <c r="C762" i="15"/>
  <c r="B762" i="15"/>
  <c r="A762" i="15"/>
  <c r="G761" i="15"/>
  <c r="E761" i="15"/>
  <c r="B761" i="15"/>
  <c r="A761" i="15" s="1"/>
  <c r="H760" i="15"/>
  <c r="E760" i="15"/>
  <c r="D760" i="15"/>
  <c r="C760" i="15"/>
  <c r="B760" i="15"/>
  <c r="A760" i="15"/>
  <c r="G759" i="15"/>
  <c r="E759" i="15"/>
  <c r="D759" i="15"/>
  <c r="B759" i="15"/>
  <c r="C759" i="15" s="1"/>
  <c r="A759" i="15"/>
  <c r="H758" i="15"/>
  <c r="G758" i="15"/>
  <c r="F758" i="15"/>
  <c r="E758" i="15"/>
  <c r="I758" i="15" s="1"/>
  <c r="C758" i="15"/>
  <c r="B758" i="15"/>
  <c r="I757" i="15"/>
  <c r="H757" i="15"/>
  <c r="G757" i="15"/>
  <c r="F757" i="15"/>
  <c r="E757" i="15"/>
  <c r="D757" i="15"/>
  <c r="C757" i="15"/>
  <c r="B757" i="15"/>
  <c r="A757" i="15"/>
  <c r="E756" i="15"/>
  <c r="B756" i="15"/>
  <c r="H755" i="15"/>
  <c r="F755" i="15"/>
  <c r="E755" i="15"/>
  <c r="G755" i="15" s="1"/>
  <c r="C755" i="15"/>
  <c r="B755" i="15"/>
  <c r="D755" i="15" s="1"/>
  <c r="A755" i="15"/>
  <c r="I754" i="15"/>
  <c r="G754" i="15"/>
  <c r="F754" i="15"/>
  <c r="E754" i="15"/>
  <c r="H754" i="15" s="1"/>
  <c r="D754" i="15"/>
  <c r="C754" i="15"/>
  <c r="B754" i="15"/>
  <c r="A754" i="15"/>
  <c r="E753" i="15"/>
  <c r="I753" i="15" s="1"/>
  <c r="D753" i="15"/>
  <c r="C753" i="15"/>
  <c r="B753" i="15"/>
  <c r="A753" i="15" s="1"/>
  <c r="I752" i="15"/>
  <c r="E752" i="15"/>
  <c r="H752" i="15" s="1"/>
  <c r="D752" i="15"/>
  <c r="C752" i="15"/>
  <c r="B752" i="15"/>
  <c r="A752" i="15"/>
  <c r="G751" i="15"/>
  <c r="F751" i="15"/>
  <c r="E751" i="15"/>
  <c r="I751" i="15" s="1"/>
  <c r="B751" i="15"/>
  <c r="E750" i="15"/>
  <c r="D750" i="15"/>
  <c r="C750" i="15"/>
  <c r="B750" i="15"/>
  <c r="A750" i="15" s="1"/>
  <c r="I749" i="15"/>
  <c r="H749" i="15"/>
  <c r="G749" i="15"/>
  <c r="F749" i="15"/>
  <c r="E749" i="15"/>
  <c r="D749" i="15"/>
  <c r="B749" i="15"/>
  <c r="C749" i="15" s="1"/>
  <c r="A749" i="15"/>
  <c r="E748" i="15"/>
  <c r="B748" i="15"/>
  <c r="D748" i="15" s="1"/>
  <c r="A748" i="15"/>
  <c r="I747" i="15"/>
  <c r="H747" i="15"/>
  <c r="G747" i="15"/>
  <c r="F747" i="15"/>
  <c r="E747" i="15"/>
  <c r="B747" i="15"/>
  <c r="D747" i="15" s="1"/>
  <c r="I746" i="15"/>
  <c r="H746" i="15"/>
  <c r="G746" i="15"/>
  <c r="E746" i="15"/>
  <c r="F746" i="15" s="1"/>
  <c r="D746" i="15"/>
  <c r="C746" i="15"/>
  <c r="B746" i="15"/>
  <c r="A746" i="15"/>
  <c r="H745" i="15"/>
  <c r="E745" i="15"/>
  <c r="I745" i="15" s="1"/>
  <c r="B745" i="15"/>
  <c r="I744" i="15"/>
  <c r="E744" i="15"/>
  <c r="H744" i="15" s="1"/>
  <c r="C744" i="15"/>
  <c r="B744" i="15"/>
  <c r="D744" i="15" s="1"/>
  <c r="A744" i="15"/>
  <c r="G743" i="15"/>
  <c r="F743" i="15"/>
  <c r="E743" i="15"/>
  <c r="I743" i="15" s="1"/>
  <c r="D743" i="15"/>
  <c r="B743" i="15"/>
  <c r="E742" i="15"/>
  <c r="C742" i="15"/>
  <c r="B742" i="15"/>
  <c r="D742" i="15" s="1"/>
  <c r="I741" i="15"/>
  <c r="H741" i="15"/>
  <c r="G741" i="15"/>
  <c r="F741" i="15"/>
  <c r="E741" i="15"/>
  <c r="D741" i="15"/>
  <c r="C741" i="15"/>
  <c r="B741" i="15"/>
  <c r="A741" i="15"/>
  <c r="G740" i="15"/>
  <c r="E740" i="15"/>
  <c r="B740" i="15"/>
  <c r="D740" i="15" s="1"/>
  <c r="A740" i="15"/>
  <c r="H739" i="15"/>
  <c r="F739" i="15"/>
  <c r="E739" i="15"/>
  <c r="G739" i="15" s="1"/>
  <c r="B739" i="15"/>
  <c r="D739" i="15" s="1"/>
  <c r="I738" i="15"/>
  <c r="G738" i="15"/>
  <c r="E738" i="15"/>
  <c r="H738" i="15" s="1"/>
  <c r="D738" i="15"/>
  <c r="C738" i="15"/>
  <c r="B738" i="15"/>
  <c r="A738" i="15"/>
  <c r="H737" i="15"/>
  <c r="E737" i="15"/>
  <c r="I737" i="15" s="1"/>
  <c r="B737" i="15"/>
  <c r="I736" i="15"/>
  <c r="E736" i="15"/>
  <c r="H736" i="15" s="1"/>
  <c r="D736" i="15"/>
  <c r="C736" i="15"/>
  <c r="B736" i="15"/>
  <c r="A736" i="15"/>
  <c r="G735" i="15"/>
  <c r="F735" i="15"/>
  <c r="E735" i="15"/>
  <c r="I735" i="15" s="1"/>
  <c r="B735" i="15"/>
  <c r="E734" i="15"/>
  <c r="C734" i="15"/>
  <c r="B734" i="15"/>
  <c r="D734" i="15" s="1"/>
  <c r="I733" i="15"/>
  <c r="H733" i="15"/>
  <c r="G733" i="15"/>
  <c r="F733" i="15"/>
  <c r="E733" i="15"/>
  <c r="D733" i="15"/>
  <c r="B733" i="15"/>
  <c r="C733" i="15" s="1"/>
  <c r="A733" i="15"/>
  <c r="G732" i="15"/>
  <c r="E732" i="15"/>
  <c r="B732" i="15"/>
  <c r="D732" i="15" s="1"/>
  <c r="A732" i="15"/>
  <c r="H731" i="15"/>
  <c r="F731" i="15"/>
  <c r="E731" i="15"/>
  <c r="G731" i="15" s="1"/>
  <c r="B731" i="15"/>
  <c r="D731" i="15" s="1"/>
  <c r="I730" i="15"/>
  <c r="G730" i="15"/>
  <c r="E730" i="15"/>
  <c r="H730" i="15" s="1"/>
  <c r="D730" i="15"/>
  <c r="C730" i="15"/>
  <c r="B730" i="15"/>
  <c r="A730" i="15"/>
  <c r="H729" i="15"/>
  <c r="E729" i="15"/>
  <c r="I729" i="15" s="1"/>
  <c r="B729" i="15"/>
  <c r="I728" i="15"/>
  <c r="E728" i="15"/>
  <c r="H728" i="15" s="1"/>
  <c r="D728" i="15"/>
  <c r="C728" i="15"/>
  <c r="B728" i="15"/>
  <c r="A728" i="15"/>
  <c r="E727" i="15"/>
  <c r="I727" i="15" s="1"/>
  <c r="D727" i="15"/>
  <c r="B727" i="15"/>
  <c r="E726" i="15"/>
  <c r="C726" i="15"/>
  <c r="B726" i="15"/>
  <c r="D726" i="15" s="1"/>
  <c r="I725" i="15"/>
  <c r="H725" i="15"/>
  <c r="G725" i="15"/>
  <c r="F725" i="15"/>
  <c r="E725" i="15"/>
  <c r="D725" i="15"/>
  <c r="B725" i="15"/>
  <c r="C725" i="15" s="1"/>
  <c r="A725" i="15"/>
  <c r="G724" i="15"/>
  <c r="E724" i="15"/>
  <c r="B724" i="15"/>
  <c r="D724" i="15" s="1"/>
  <c r="A724" i="15"/>
  <c r="I723" i="15"/>
  <c r="H723" i="15"/>
  <c r="F723" i="15"/>
  <c r="E723" i="15"/>
  <c r="G723" i="15" s="1"/>
  <c r="B723" i="15"/>
  <c r="D723" i="15" s="1"/>
  <c r="A723" i="15"/>
  <c r="I722" i="15"/>
  <c r="G722" i="15"/>
  <c r="E722" i="15"/>
  <c r="H722" i="15" s="1"/>
  <c r="B722" i="15"/>
  <c r="D722" i="15" s="1"/>
  <c r="A722" i="15"/>
  <c r="H721" i="15"/>
  <c r="E721" i="15"/>
  <c r="I721" i="15" s="1"/>
  <c r="B721" i="15"/>
  <c r="I720" i="15"/>
  <c r="E720" i="15"/>
  <c r="H720" i="15" s="1"/>
  <c r="D720" i="15"/>
  <c r="C720" i="15"/>
  <c r="B720" i="15"/>
  <c r="A720" i="15"/>
  <c r="E719" i="15"/>
  <c r="I719" i="15" s="1"/>
  <c r="B719" i="15"/>
  <c r="E718" i="15"/>
  <c r="C718" i="15"/>
  <c r="B718" i="15"/>
  <c r="D718" i="15" s="1"/>
  <c r="I717" i="15"/>
  <c r="H717" i="15"/>
  <c r="G717" i="15"/>
  <c r="F717" i="15"/>
  <c r="E717" i="15"/>
  <c r="D717" i="15"/>
  <c r="B717" i="15"/>
  <c r="C717" i="15" s="1"/>
  <c r="A717" i="15"/>
  <c r="G716" i="15"/>
  <c r="E716" i="15"/>
  <c r="B716" i="15"/>
  <c r="D716" i="15" s="1"/>
  <c r="A716" i="15"/>
  <c r="I715" i="15"/>
  <c r="H715" i="15"/>
  <c r="F715" i="15"/>
  <c r="E715" i="15"/>
  <c r="G715" i="15" s="1"/>
  <c r="B715" i="15"/>
  <c r="D715" i="15" s="1"/>
  <c r="A715" i="15"/>
  <c r="I714" i="15"/>
  <c r="G714" i="15"/>
  <c r="E714" i="15"/>
  <c r="H714" i="15" s="1"/>
  <c r="B714" i="15"/>
  <c r="D714" i="15" s="1"/>
  <c r="A714" i="15"/>
  <c r="H713" i="15"/>
  <c r="E713" i="15"/>
  <c r="I713" i="15" s="1"/>
  <c r="B713" i="15"/>
  <c r="I712" i="15"/>
  <c r="E712" i="15"/>
  <c r="H712" i="15" s="1"/>
  <c r="D712" i="15"/>
  <c r="C712" i="15"/>
  <c r="B712" i="15"/>
  <c r="A712" i="15"/>
  <c r="E711" i="15"/>
  <c r="I711" i="15" s="1"/>
  <c r="B711" i="15"/>
  <c r="E710" i="15"/>
  <c r="C710" i="15"/>
  <c r="B710" i="15"/>
  <c r="D710" i="15" s="1"/>
  <c r="I709" i="15"/>
  <c r="H709" i="15"/>
  <c r="G709" i="15"/>
  <c r="F709" i="15"/>
  <c r="E709" i="15"/>
  <c r="D709" i="15"/>
  <c r="B709" i="15"/>
  <c r="C709" i="15" s="1"/>
  <c r="A709" i="15"/>
  <c r="G708" i="15"/>
  <c r="E708" i="15"/>
  <c r="B708" i="15"/>
  <c r="D708" i="15" s="1"/>
  <c r="A708" i="15"/>
  <c r="I707" i="15"/>
  <c r="H707" i="15"/>
  <c r="F707" i="15"/>
  <c r="E707" i="15"/>
  <c r="G707" i="15" s="1"/>
  <c r="B707" i="15"/>
  <c r="D707" i="15" s="1"/>
  <c r="A707" i="15"/>
  <c r="I706" i="15"/>
  <c r="G706" i="15"/>
  <c r="E706" i="15"/>
  <c r="H706" i="15" s="1"/>
  <c r="B706" i="15"/>
  <c r="D706" i="15" s="1"/>
  <c r="A706" i="15"/>
  <c r="H705" i="15"/>
  <c r="E705" i="15"/>
  <c r="I705" i="15" s="1"/>
  <c r="B705" i="15"/>
  <c r="I704" i="15"/>
  <c r="E704" i="15"/>
  <c r="H704" i="15" s="1"/>
  <c r="D704" i="15"/>
  <c r="C704" i="15"/>
  <c r="B704" i="15"/>
  <c r="A704" i="15"/>
  <c r="E703" i="15"/>
  <c r="I703" i="15" s="1"/>
  <c r="B703" i="15"/>
  <c r="E702" i="15"/>
  <c r="C702" i="15"/>
  <c r="B702" i="15"/>
  <c r="D702" i="15" s="1"/>
  <c r="I701" i="15"/>
  <c r="H701" i="15"/>
  <c r="G701" i="15"/>
  <c r="F701" i="15"/>
  <c r="E701" i="15"/>
  <c r="D701" i="15"/>
  <c r="B701" i="15"/>
  <c r="C701" i="15" s="1"/>
  <c r="A701" i="15"/>
  <c r="G700" i="15"/>
  <c r="E700" i="15"/>
  <c r="B700" i="15"/>
  <c r="D700" i="15" s="1"/>
  <c r="A700" i="15"/>
  <c r="I699" i="15"/>
  <c r="H699" i="15"/>
  <c r="F699" i="15"/>
  <c r="E699" i="15"/>
  <c r="G699" i="15" s="1"/>
  <c r="B699" i="15"/>
  <c r="D699" i="15" s="1"/>
  <c r="A699" i="15"/>
  <c r="I698" i="15"/>
  <c r="G698" i="15"/>
  <c r="E698" i="15"/>
  <c r="H698" i="15" s="1"/>
  <c r="B698" i="15"/>
  <c r="D698" i="15" s="1"/>
  <c r="A698" i="15"/>
  <c r="H697" i="15"/>
  <c r="E697" i="15"/>
  <c r="I697" i="15" s="1"/>
  <c r="B697" i="15"/>
  <c r="I696" i="15"/>
  <c r="E696" i="15"/>
  <c r="H696" i="15" s="1"/>
  <c r="D696" i="15"/>
  <c r="C696" i="15"/>
  <c r="B696" i="15"/>
  <c r="A696" i="15"/>
  <c r="E695" i="15"/>
  <c r="I695" i="15" s="1"/>
  <c r="D695" i="15"/>
  <c r="B695" i="15"/>
  <c r="E694" i="15"/>
  <c r="C694" i="15"/>
  <c r="B694" i="15"/>
  <c r="D694" i="15" s="1"/>
  <c r="I693" i="15"/>
  <c r="H693" i="15"/>
  <c r="G693" i="15"/>
  <c r="F693" i="15"/>
  <c r="E693" i="15"/>
  <c r="D693" i="15"/>
  <c r="B693" i="15"/>
  <c r="C693" i="15" s="1"/>
  <c r="A693" i="15"/>
  <c r="G692" i="15"/>
  <c r="E692" i="15"/>
  <c r="B692" i="15"/>
  <c r="D692" i="15" s="1"/>
  <c r="A692" i="15"/>
  <c r="I691" i="15"/>
  <c r="H691" i="15"/>
  <c r="F691" i="15"/>
  <c r="E691" i="15"/>
  <c r="G691" i="15" s="1"/>
  <c r="B691" i="15"/>
  <c r="D691" i="15" s="1"/>
  <c r="A691" i="15"/>
  <c r="I690" i="15"/>
  <c r="G690" i="15"/>
  <c r="E690" i="15"/>
  <c r="H690" i="15" s="1"/>
  <c r="B690" i="15"/>
  <c r="D690" i="15" s="1"/>
  <c r="A690" i="15"/>
  <c r="H689" i="15"/>
  <c r="E689" i="15"/>
  <c r="I689" i="15" s="1"/>
  <c r="B689" i="15"/>
  <c r="I688" i="15"/>
  <c r="E688" i="15"/>
  <c r="H688" i="15" s="1"/>
  <c r="D688" i="15"/>
  <c r="C688" i="15"/>
  <c r="B688" i="15"/>
  <c r="A688" i="15"/>
  <c r="E687" i="15"/>
  <c r="I687" i="15" s="1"/>
  <c r="B687" i="15"/>
  <c r="E686" i="15"/>
  <c r="C686" i="15"/>
  <c r="B686" i="15"/>
  <c r="D686" i="15" s="1"/>
  <c r="I685" i="15"/>
  <c r="H685" i="15"/>
  <c r="G685" i="15"/>
  <c r="F685" i="15"/>
  <c r="E685" i="15"/>
  <c r="D685" i="15"/>
  <c r="B685" i="15"/>
  <c r="C685" i="15" s="1"/>
  <c r="A685" i="15"/>
  <c r="G684" i="15"/>
  <c r="E684" i="15"/>
  <c r="B684" i="15"/>
  <c r="D684" i="15" s="1"/>
  <c r="A684" i="15"/>
  <c r="I683" i="15"/>
  <c r="H683" i="15"/>
  <c r="F683" i="15"/>
  <c r="E683" i="15"/>
  <c r="G683" i="15" s="1"/>
  <c r="B683" i="15"/>
  <c r="D683" i="15" s="1"/>
  <c r="A683" i="15"/>
  <c r="I682" i="15"/>
  <c r="G682" i="15"/>
  <c r="E682" i="15"/>
  <c r="H682" i="15" s="1"/>
  <c r="B682" i="15"/>
  <c r="D682" i="15" s="1"/>
  <c r="A682" i="15"/>
  <c r="H681" i="15"/>
  <c r="E681" i="15"/>
  <c r="I681" i="15" s="1"/>
  <c r="B681" i="15"/>
  <c r="I680" i="15"/>
  <c r="E680" i="15"/>
  <c r="H680" i="15" s="1"/>
  <c r="D680" i="15"/>
  <c r="C680" i="15"/>
  <c r="B680" i="15"/>
  <c r="A680" i="15"/>
  <c r="E679" i="15"/>
  <c r="I679" i="15" s="1"/>
  <c r="B679" i="15"/>
  <c r="E678" i="15"/>
  <c r="C678" i="15"/>
  <c r="B678" i="15"/>
  <c r="D678" i="15" s="1"/>
  <c r="I677" i="15"/>
  <c r="H677" i="15"/>
  <c r="G677" i="15"/>
  <c r="F677" i="15"/>
  <c r="E677" i="15"/>
  <c r="D677" i="15"/>
  <c r="B677" i="15"/>
  <c r="C677" i="15" s="1"/>
  <c r="A677" i="15"/>
  <c r="E676" i="15"/>
  <c r="B676" i="15"/>
  <c r="D676" i="15" s="1"/>
  <c r="A676" i="15"/>
  <c r="I675" i="15"/>
  <c r="H675" i="15"/>
  <c r="F675" i="15"/>
  <c r="E675" i="15"/>
  <c r="G675" i="15" s="1"/>
  <c r="B675" i="15"/>
  <c r="D675" i="15" s="1"/>
  <c r="A675" i="15"/>
  <c r="I674" i="15"/>
  <c r="G674" i="15"/>
  <c r="F674" i="15"/>
  <c r="E674" i="15"/>
  <c r="H674" i="15" s="1"/>
  <c r="B674" i="15"/>
  <c r="D674" i="15" s="1"/>
  <c r="A674" i="15"/>
  <c r="H673" i="15"/>
  <c r="E673" i="15"/>
  <c r="I673" i="15" s="1"/>
  <c r="B673" i="15"/>
  <c r="I672" i="15"/>
  <c r="E672" i="15"/>
  <c r="H672" i="15" s="1"/>
  <c r="D672" i="15"/>
  <c r="C672" i="15"/>
  <c r="B672" i="15"/>
  <c r="A672" i="15"/>
  <c r="E671" i="15"/>
  <c r="I671" i="15" s="1"/>
  <c r="D671" i="15"/>
  <c r="B671" i="15"/>
  <c r="E670" i="15"/>
  <c r="C670" i="15"/>
  <c r="B670" i="15"/>
  <c r="D670" i="15" s="1"/>
  <c r="I669" i="15"/>
  <c r="H669" i="15"/>
  <c r="G669" i="15"/>
  <c r="F669" i="15"/>
  <c r="E669" i="15"/>
  <c r="D669" i="15"/>
  <c r="C669" i="15"/>
  <c r="B669" i="15"/>
  <c r="A669" i="15"/>
  <c r="E668" i="15"/>
  <c r="B668" i="15"/>
  <c r="D668" i="15" s="1"/>
  <c r="A668" i="15"/>
  <c r="I667" i="15"/>
  <c r="H667" i="15"/>
  <c r="F667" i="15"/>
  <c r="E667" i="15"/>
  <c r="G667" i="15" s="1"/>
  <c r="B667" i="15"/>
  <c r="D667" i="15" s="1"/>
  <c r="A667" i="15"/>
  <c r="I666" i="15"/>
  <c r="G666" i="15"/>
  <c r="E666" i="15"/>
  <c r="H666" i="15" s="1"/>
  <c r="B666" i="15"/>
  <c r="D666" i="15" s="1"/>
  <c r="A666" i="15"/>
  <c r="H665" i="15"/>
  <c r="E665" i="15"/>
  <c r="I665" i="15" s="1"/>
  <c r="B665" i="15"/>
  <c r="I664" i="15"/>
  <c r="E664" i="15"/>
  <c r="H664" i="15" s="1"/>
  <c r="D664" i="15"/>
  <c r="C664" i="15"/>
  <c r="B664" i="15"/>
  <c r="A664" i="15"/>
  <c r="E663" i="15"/>
  <c r="I663" i="15" s="1"/>
  <c r="B663" i="15"/>
  <c r="E662" i="15"/>
  <c r="C662" i="15"/>
  <c r="B662" i="15"/>
  <c r="D662" i="15" s="1"/>
  <c r="A662" i="15"/>
  <c r="I661" i="15"/>
  <c r="H661" i="15"/>
  <c r="G661" i="15"/>
  <c r="F661" i="15"/>
  <c r="E661" i="15"/>
  <c r="D661" i="15"/>
  <c r="B661" i="15"/>
  <c r="C661" i="15" s="1"/>
  <c r="A661" i="15"/>
  <c r="G660" i="15"/>
  <c r="E660" i="15"/>
  <c r="B660" i="15"/>
  <c r="D660" i="15" s="1"/>
  <c r="A660" i="15"/>
  <c r="I659" i="15"/>
  <c r="H659" i="15"/>
  <c r="F659" i="15"/>
  <c r="E659" i="15"/>
  <c r="G659" i="15" s="1"/>
  <c r="B659" i="15"/>
  <c r="D659" i="15" s="1"/>
  <c r="A659" i="15"/>
  <c r="I658" i="15"/>
  <c r="G658" i="15"/>
  <c r="E658" i="15"/>
  <c r="H658" i="15" s="1"/>
  <c r="B658" i="15"/>
  <c r="D658" i="15" s="1"/>
  <c r="A658" i="15"/>
  <c r="H657" i="15"/>
  <c r="E657" i="15"/>
  <c r="I657" i="15" s="1"/>
  <c r="B657" i="15"/>
  <c r="I656" i="15"/>
  <c r="E656" i="15"/>
  <c r="H656" i="15" s="1"/>
  <c r="D656" i="15"/>
  <c r="C656" i="15"/>
  <c r="B656" i="15"/>
  <c r="A656" i="15"/>
  <c r="E655" i="15"/>
  <c r="I655" i="15" s="1"/>
  <c r="B655" i="15"/>
  <c r="E654" i="15"/>
  <c r="C654" i="15"/>
  <c r="B654" i="15"/>
  <c r="D654" i="15" s="1"/>
  <c r="I653" i="15"/>
  <c r="H653" i="15"/>
  <c r="G653" i="15"/>
  <c r="F653" i="15"/>
  <c r="E653" i="15"/>
  <c r="D653" i="15"/>
  <c r="B653" i="15"/>
  <c r="C653" i="15" s="1"/>
  <c r="A653" i="15"/>
  <c r="E652" i="15"/>
  <c r="B652" i="15"/>
  <c r="D652" i="15" s="1"/>
  <c r="A652" i="15"/>
  <c r="I651" i="15"/>
  <c r="H651" i="15"/>
  <c r="F651" i="15"/>
  <c r="E651" i="15"/>
  <c r="G651" i="15" s="1"/>
  <c r="B651" i="15"/>
  <c r="D651" i="15" s="1"/>
  <c r="A651" i="15"/>
  <c r="I650" i="15"/>
  <c r="G650" i="15"/>
  <c r="E650" i="15"/>
  <c r="H650" i="15" s="1"/>
  <c r="B650" i="15"/>
  <c r="D650" i="15" s="1"/>
  <c r="A650" i="15"/>
  <c r="H649" i="15"/>
  <c r="E649" i="15"/>
  <c r="I649" i="15" s="1"/>
  <c r="B649" i="15"/>
  <c r="I648" i="15"/>
  <c r="E648" i="15"/>
  <c r="H648" i="15" s="1"/>
  <c r="D648" i="15"/>
  <c r="C648" i="15"/>
  <c r="B648" i="15"/>
  <c r="A648" i="15"/>
  <c r="E647" i="15"/>
  <c r="I647" i="15" s="1"/>
  <c r="D647" i="15"/>
  <c r="B647" i="15"/>
  <c r="E646" i="15"/>
  <c r="C646" i="15"/>
  <c r="B646" i="15"/>
  <c r="D646" i="15" s="1"/>
  <c r="I645" i="15"/>
  <c r="H645" i="15"/>
  <c r="G645" i="15"/>
  <c r="F645" i="15"/>
  <c r="E645" i="15"/>
  <c r="D645" i="15"/>
  <c r="C645" i="15"/>
  <c r="B645" i="15"/>
  <c r="A645" i="15"/>
  <c r="G644" i="15"/>
  <c r="E644" i="15"/>
  <c r="B644" i="15"/>
  <c r="D644" i="15" s="1"/>
  <c r="A644" i="15"/>
  <c r="I643" i="15"/>
  <c r="H643" i="15"/>
  <c r="F643" i="15"/>
  <c r="E643" i="15"/>
  <c r="G643" i="15" s="1"/>
  <c r="B643" i="15"/>
  <c r="D643" i="15" s="1"/>
  <c r="A643" i="15"/>
  <c r="I642" i="15"/>
  <c r="G642" i="15"/>
  <c r="E642" i="15"/>
  <c r="H642" i="15" s="1"/>
  <c r="B642" i="15"/>
  <c r="D642" i="15" s="1"/>
  <c r="A642" i="15"/>
  <c r="H641" i="15"/>
  <c r="E641" i="15"/>
  <c r="I641" i="15" s="1"/>
  <c r="B641" i="15"/>
  <c r="I640" i="15"/>
  <c r="E640" i="15"/>
  <c r="H640" i="15" s="1"/>
  <c r="D640" i="15"/>
  <c r="C640" i="15"/>
  <c r="B640" i="15"/>
  <c r="A640" i="15"/>
  <c r="E639" i="15"/>
  <c r="I639" i="15" s="1"/>
  <c r="B639" i="15"/>
  <c r="E638" i="15"/>
  <c r="C638" i="15"/>
  <c r="B638" i="15"/>
  <c r="D638" i="15" s="1"/>
  <c r="I637" i="15"/>
  <c r="H637" i="15"/>
  <c r="G637" i="15"/>
  <c r="F637" i="15"/>
  <c r="E637" i="15"/>
  <c r="D637" i="15"/>
  <c r="B637" i="15"/>
  <c r="C637" i="15" s="1"/>
  <c r="A637" i="15"/>
  <c r="G636" i="15"/>
  <c r="E636" i="15"/>
  <c r="B636" i="15"/>
  <c r="D636" i="15" s="1"/>
  <c r="A636" i="15"/>
  <c r="I635" i="15"/>
  <c r="H635" i="15"/>
  <c r="F635" i="15"/>
  <c r="E635" i="15"/>
  <c r="G635" i="15" s="1"/>
  <c r="B635" i="15"/>
  <c r="D635" i="15" s="1"/>
  <c r="A635" i="15"/>
  <c r="I634" i="15"/>
  <c r="G634" i="15"/>
  <c r="E634" i="15"/>
  <c r="H634" i="15" s="1"/>
  <c r="B634" i="15"/>
  <c r="D634" i="15" s="1"/>
  <c r="A634" i="15"/>
  <c r="H633" i="15"/>
  <c r="E633" i="15"/>
  <c r="I633" i="15" s="1"/>
  <c r="B633" i="15"/>
  <c r="I632" i="15"/>
  <c r="E632" i="15"/>
  <c r="H632" i="15" s="1"/>
  <c r="D632" i="15"/>
  <c r="C632" i="15"/>
  <c r="B632" i="15"/>
  <c r="A632" i="15"/>
  <c r="E631" i="15"/>
  <c r="I631" i="15" s="1"/>
  <c r="B631" i="15"/>
  <c r="E630" i="15"/>
  <c r="C630" i="15"/>
  <c r="B630" i="15"/>
  <c r="D630" i="15" s="1"/>
  <c r="I629" i="15"/>
  <c r="H629" i="15"/>
  <c r="G629" i="15"/>
  <c r="F629" i="15"/>
  <c r="E629" i="15"/>
  <c r="D629" i="15"/>
  <c r="B629" i="15"/>
  <c r="C629" i="15" s="1"/>
  <c r="A629" i="15"/>
  <c r="E628" i="15"/>
  <c r="B628" i="15"/>
  <c r="D628" i="15" s="1"/>
  <c r="A628" i="15"/>
  <c r="I627" i="15"/>
  <c r="H627" i="15"/>
  <c r="F627" i="15"/>
  <c r="E627" i="15"/>
  <c r="G627" i="15" s="1"/>
  <c r="B627" i="15"/>
  <c r="D627" i="15" s="1"/>
  <c r="A627" i="15"/>
  <c r="I626" i="15"/>
  <c r="G626" i="15"/>
  <c r="E626" i="15"/>
  <c r="H626" i="15" s="1"/>
  <c r="B626" i="15"/>
  <c r="D626" i="15" s="1"/>
  <c r="A626" i="15"/>
  <c r="H625" i="15"/>
  <c r="E625" i="15"/>
  <c r="I625" i="15" s="1"/>
  <c r="B625" i="15"/>
  <c r="I624" i="15"/>
  <c r="E624" i="15"/>
  <c r="H624" i="15" s="1"/>
  <c r="D624" i="15"/>
  <c r="C624" i="15"/>
  <c r="B624" i="15"/>
  <c r="A624" i="15"/>
  <c r="E623" i="15"/>
  <c r="I623" i="15" s="1"/>
  <c r="B623" i="15"/>
  <c r="E622" i="15"/>
  <c r="C622" i="15"/>
  <c r="B622" i="15"/>
  <c r="D622" i="15" s="1"/>
  <c r="I621" i="15"/>
  <c r="H621" i="15"/>
  <c r="G621" i="15"/>
  <c r="F621" i="15"/>
  <c r="E621" i="15"/>
  <c r="D621" i="15"/>
  <c r="B621" i="15"/>
  <c r="C621" i="15" s="1"/>
  <c r="A621" i="15"/>
  <c r="G620" i="15"/>
  <c r="E620" i="15"/>
  <c r="B620" i="15"/>
  <c r="D620" i="15" s="1"/>
  <c r="A620" i="15"/>
  <c r="I619" i="15"/>
  <c r="H619" i="15"/>
  <c r="F619" i="15"/>
  <c r="E619" i="15"/>
  <c r="G619" i="15" s="1"/>
  <c r="B619" i="15"/>
  <c r="D619" i="15" s="1"/>
  <c r="A619" i="15"/>
  <c r="I618" i="15"/>
  <c r="G618" i="15"/>
  <c r="E618" i="15"/>
  <c r="H618" i="15" s="1"/>
  <c r="B618" i="15"/>
  <c r="D618" i="15" s="1"/>
  <c r="A618" i="15"/>
  <c r="H617" i="15"/>
  <c r="E617" i="15"/>
  <c r="I617" i="15" s="1"/>
  <c r="B617" i="15"/>
  <c r="I616" i="15"/>
  <c r="E616" i="15"/>
  <c r="H616" i="15" s="1"/>
  <c r="D616" i="15"/>
  <c r="C616" i="15"/>
  <c r="B616" i="15"/>
  <c r="A616" i="15"/>
  <c r="E615" i="15"/>
  <c r="I615" i="15" s="1"/>
  <c r="D615" i="15"/>
  <c r="B615" i="15"/>
  <c r="E614" i="15"/>
  <c r="C614" i="15"/>
  <c r="B614" i="15"/>
  <c r="D614" i="15" s="1"/>
  <c r="A614" i="15"/>
  <c r="I613" i="15"/>
  <c r="H613" i="15"/>
  <c r="G613" i="15"/>
  <c r="F613" i="15"/>
  <c r="E613" i="15"/>
  <c r="D613" i="15"/>
  <c r="B613" i="15"/>
  <c r="C613" i="15" s="1"/>
  <c r="A613" i="15"/>
  <c r="E612" i="15"/>
  <c r="B612" i="15"/>
  <c r="D612" i="15" s="1"/>
  <c r="A612" i="15"/>
  <c r="I611" i="15"/>
  <c r="H611" i="15"/>
  <c r="F611" i="15"/>
  <c r="E611" i="15"/>
  <c r="G611" i="15" s="1"/>
  <c r="B611" i="15"/>
  <c r="D611" i="15" s="1"/>
  <c r="A611" i="15"/>
  <c r="I610" i="15"/>
  <c r="G610" i="15"/>
  <c r="E610" i="15"/>
  <c r="H610" i="15" s="1"/>
  <c r="B610" i="15"/>
  <c r="D610" i="15" s="1"/>
  <c r="A610" i="15"/>
  <c r="H609" i="15"/>
  <c r="E609" i="15"/>
  <c r="I609" i="15" s="1"/>
  <c r="B609" i="15"/>
  <c r="I608" i="15"/>
  <c r="E608" i="15"/>
  <c r="H608" i="15" s="1"/>
  <c r="D608" i="15"/>
  <c r="C608" i="15"/>
  <c r="B608" i="15"/>
  <c r="A608" i="15"/>
  <c r="E607" i="15"/>
  <c r="I607" i="15" s="1"/>
  <c r="D607" i="15"/>
  <c r="B607" i="15"/>
  <c r="E606" i="15"/>
  <c r="C606" i="15"/>
  <c r="B606" i="15"/>
  <c r="D606" i="15" s="1"/>
  <c r="I605" i="15"/>
  <c r="H605" i="15"/>
  <c r="G605" i="15"/>
  <c r="F605" i="15"/>
  <c r="E605" i="15"/>
  <c r="D605" i="15"/>
  <c r="B605" i="15"/>
  <c r="C605" i="15" s="1"/>
  <c r="A605" i="15"/>
  <c r="E604" i="15"/>
  <c r="B604" i="15"/>
  <c r="D604" i="15" s="1"/>
  <c r="A604" i="15"/>
  <c r="I603" i="15"/>
  <c r="H603" i="15"/>
  <c r="F603" i="15"/>
  <c r="E603" i="15"/>
  <c r="G603" i="15" s="1"/>
  <c r="B603" i="15"/>
  <c r="D603" i="15" s="1"/>
  <c r="A603" i="15"/>
  <c r="I602" i="15"/>
  <c r="G602" i="15"/>
  <c r="E602" i="15"/>
  <c r="H602" i="15" s="1"/>
  <c r="B602" i="15"/>
  <c r="D602" i="15" s="1"/>
  <c r="A602" i="15"/>
  <c r="H601" i="15"/>
  <c r="E601" i="15"/>
  <c r="I601" i="15" s="1"/>
  <c r="B601" i="15"/>
  <c r="I600" i="15"/>
  <c r="E600" i="15"/>
  <c r="H600" i="15" s="1"/>
  <c r="D600" i="15"/>
  <c r="C600" i="15"/>
  <c r="B600" i="15"/>
  <c r="A600" i="15"/>
  <c r="E599" i="15"/>
  <c r="I599" i="15" s="1"/>
  <c r="D599" i="15"/>
  <c r="B599" i="15"/>
  <c r="E598" i="15"/>
  <c r="C598" i="15"/>
  <c r="B598" i="15"/>
  <c r="D598" i="15" s="1"/>
  <c r="I597" i="15"/>
  <c r="H597" i="15"/>
  <c r="G597" i="15"/>
  <c r="F597" i="15"/>
  <c r="E597" i="15"/>
  <c r="D597" i="15"/>
  <c r="B597" i="15"/>
  <c r="C597" i="15" s="1"/>
  <c r="A597" i="15"/>
  <c r="E596" i="15"/>
  <c r="B596" i="15"/>
  <c r="D596" i="15" s="1"/>
  <c r="A596" i="15"/>
  <c r="I595" i="15"/>
  <c r="H595" i="15"/>
  <c r="F595" i="15"/>
  <c r="E595" i="15"/>
  <c r="G595" i="15" s="1"/>
  <c r="B595" i="15"/>
  <c r="D595" i="15" s="1"/>
  <c r="A595" i="15"/>
  <c r="I594" i="15"/>
  <c r="G594" i="15"/>
  <c r="E594" i="15"/>
  <c r="H594" i="15" s="1"/>
  <c r="B594" i="15"/>
  <c r="D594" i="15" s="1"/>
  <c r="A594" i="15"/>
  <c r="H593" i="15"/>
  <c r="E593" i="15"/>
  <c r="I593" i="15" s="1"/>
  <c r="B593" i="15"/>
  <c r="I592" i="15"/>
  <c r="E592" i="15"/>
  <c r="H592" i="15" s="1"/>
  <c r="D592" i="15"/>
  <c r="C592" i="15"/>
  <c r="B592" i="15"/>
  <c r="A592" i="15"/>
  <c r="E591" i="15"/>
  <c r="I591" i="15" s="1"/>
  <c r="D591" i="15"/>
  <c r="B591" i="15"/>
  <c r="E590" i="15"/>
  <c r="C590" i="15"/>
  <c r="B590" i="15"/>
  <c r="D590" i="15" s="1"/>
  <c r="A590" i="15"/>
  <c r="I589" i="15"/>
  <c r="H589" i="15"/>
  <c r="G589" i="15"/>
  <c r="F589" i="15"/>
  <c r="E589" i="15"/>
  <c r="D589" i="15"/>
  <c r="B589" i="15"/>
  <c r="C589" i="15" s="1"/>
  <c r="A589" i="15"/>
  <c r="E588" i="15"/>
  <c r="B588" i="15"/>
  <c r="D588" i="15" s="1"/>
  <c r="A588" i="15"/>
  <c r="I587" i="15"/>
  <c r="H587" i="15"/>
  <c r="F587" i="15"/>
  <c r="E587" i="15"/>
  <c r="G587" i="15" s="1"/>
  <c r="B587" i="15"/>
  <c r="D587" i="15" s="1"/>
  <c r="A587" i="15"/>
  <c r="I586" i="15"/>
  <c r="G586" i="15"/>
  <c r="E586" i="15"/>
  <c r="H586" i="15" s="1"/>
  <c r="B586" i="15"/>
  <c r="D586" i="15" s="1"/>
  <c r="A586" i="15"/>
  <c r="H585" i="15"/>
  <c r="E585" i="15"/>
  <c r="I585" i="15" s="1"/>
  <c r="B585" i="15"/>
  <c r="I584" i="15"/>
  <c r="E584" i="15"/>
  <c r="H584" i="15" s="1"/>
  <c r="D584" i="15"/>
  <c r="C584" i="15"/>
  <c r="B584" i="15"/>
  <c r="A584" i="15"/>
  <c r="G583" i="15"/>
  <c r="E583" i="15"/>
  <c r="I583" i="15" s="1"/>
  <c r="D583" i="15"/>
  <c r="B583" i="15"/>
  <c r="E582" i="15"/>
  <c r="C582" i="15"/>
  <c r="B582" i="15"/>
  <c r="D582" i="15" s="1"/>
  <c r="A582" i="15"/>
  <c r="I581" i="15"/>
  <c r="H581" i="15"/>
  <c r="G581" i="15"/>
  <c r="F581" i="15"/>
  <c r="E581" i="15"/>
  <c r="D581" i="15"/>
  <c r="B581" i="15"/>
  <c r="C581" i="15" s="1"/>
  <c r="A581" i="15"/>
  <c r="E580" i="15"/>
  <c r="B580" i="15"/>
  <c r="D580" i="15" s="1"/>
  <c r="I579" i="15"/>
  <c r="H579" i="15"/>
  <c r="F579" i="15"/>
  <c r="E579" i="15"/>
  <c r="G579" i="15" s="1"/>
  <c r="C579" i="15"/>
  <c r="B579" i="15"/>
  <c r="D579" i="15" s="1"/>
  <c r="A579" i="15"/>
  <c r="I578" i="15"/>
  <c r="G578" i="15"/>
  <c r="E578" i="15"/>
  <c r="H578" i="15" s="1"/>
  <c r="D578" i="15"/>
  <c r="B578" i="15"/>
  <c r="C578" i="15" s="1"/>
  <c r="A578" i="15"/>
  <c r="H577" i="15"/>
  <c r="E577" i="15"/>
  <c r="I577" i="15" s="1"/>
  <c r="B577" i="15"/>
  <c r="I576" i="15"/>
  <c r="F576" i="15"/>
  <c r="E576" i="15"/>
  <c r="H576" i="15" s="1"/>
  <c r="D576" i="15"/>
  <c r="C576" i="15"/>
  <c r="B576" i="15"/>
  <c r="A576" i="15"/>
  <c r="G575" i="15"/>
  <c r="E575" i="15"/>
  <c r="I575" i="15" s="1"/>
  <c r="B575" i="15"/>
  <c r="E574" i="15"/>
  <c r="C574" i="15"/>
  <c r="B574" i="15"/>
  <c r="D574" i="15" s="1"/>
  <c r="I573" i="15"/>
  <c r="H573" i="15"/>
  <c r="G573" i="15"/>
  <c r="F573" i="15"/>
  <c r="E573" i="15"/>
  <c r="D573" i="15"/>
  <c r="B573" i="15"/>
  <c r="C573" i="15" s="1"/>
  <c r="A573" i="15"/>
  <c r="E572" i="15"/>
  <c r="B572" i="15"/>
  <c r="D572" i="15" s="1"/>
  <c r="I571" i="15"/>
  <c r="H571" i="15"/>
  <c r="F571" i="15"/>
  <c r="E571" i="15"/>
  <c r="G571" i="15" s="1"/>
  <c r="C571" i="15"/>
  <c r="B571" i="15"/>
  <c r="D571" i="15" s="1"/>
  <c r="A571" i="15"/>
  <c r="I570" i="15"/>
  <c r="G570" i="15"/>
  <c r="E570" i="15"/>
  <c r="H570" i="15" s="1"/>
  <c r="D570" i="15"/>
  <c r="B570" i="15"/>
  <c r="C570" i="15" s="1"/>
  <c r="A570" i="15"/>
  <c r="H569" i="15"/>
  <c r="E569" i="15"/>
  <c r="I569" i="15" s="1"/>
  <c r="B569" i="15"/>
  <c r="I568" i="15"/>
  <c r="F568" i="15"/>
  <c r="E568" i="15"/>
  <c r="H568" i="15" s="1"/>
  <c r="D568" i="15"/>
  <c r="C568" i="15"/>
  <c r="B568" i="15"/>
  <c r="A568" i="15"/>
  <c r="G567" i="15"/>
  <c r="E567" i="15"/>
  <c r="I567" i="15" s="1"/>
  <c r="B567" i="15"/>
  <c r="E566" i="15"/>
  <c r="C566" i="15"/>
  <c r="B566" i="15"/>
  <c r="D566" i="15" s="1"/>
  <c r="I565" i="15"/>
  <c r="H565" i="15"/>
  <c r="G565" i="15"/>
  <c r="F565" i="15"/>
  <c r="E565" i="15"/>
  <c r="D565" i="15"/>
  <c r="B565" i="15"/>
  <c r="C565" i="15" s="1"/>
  <c r="A565" i="15"/>
  <c r="G564" i="15"/>
  <c r="E564" i="15"/>
  <c r="B564" i="15"/>
  <c r="D564" i="15" s="1"/>
  <c r="I563" i="15"/>
  <c r="H563" i="15"/>
  <c r="F563" i="15"/>
  <c r="E563" i="15"/>
  <c r="G563" i="15" s="1"/>
  <c r="C563" i="15"/>
  <c r="B563" i="15"/>
  <c r="D563" i="15" s="1"/>
  <c r="A563" i="15"/>
  <c r="I562" i="15"/>
  <c r="G562" i="15"/>
  <c r="F562" i="15"/>
  <c r="E562" i="15"/>
  <c r="H562" i="15" s="1"/>
  <c r="D562" i="15"/>
  <c r="B562" i="15"/>
  <c r="C562" i="15" s="1"/>
  <c r="A562" i="15"/>
  <c r="H561" i="15"/>
  <c r="E561" i="15"/>
  <c r="I561" i="15" s="1"/>
  <c r="B561" i="15"/>
  <c r="I560" i="15"/>
  <c r="F560" i="15"/>
  <c r="E560" i="15"/>
  <c r="H560" i="15" s="1"/>
  <c r="D560" i="15"/>
  <c r="C560" i="15"/>
  <c r="B560" i="15"/>
  <c r="A560" i="15"/>
  <c r="G559" i="15"/>
  <c r="E559" i="15"/>
  <c r="I559" i="15" s="1"/>
  <c r="D559" i="15"/>
  <c r="B559" i="15"/>
  <c r="E558" i="15"/>
  <c r="C558" i="15"/>
  <c r="B558" i="15"/>
  <c r="D558" i="15" s="1"/>
  <c r="I557" i="15"/>
  <c r="H557" i="15"/>
  <c r="G557" i="15"/>
  <c r="F557" i="15"/>
  <c r="E557" i="15"/>
  <c r="D557" i="15"/>
  <c r="B557" i="15"/>
  <c r="C557" i="15" s="1"/>
  <c r="A557" i="15"/>
  <c r="E556" i="15"/>
  <c r="B556" i="15"/>
  <c r="D556" i="15" s="1"/>
  <c r="I555" i="15"/>
  <c r="H555" i="15"/>
  <c r="F555" i="15"/>
  <c r="E555" i="15"/>
  <c r="G555" i="15" s="1"/>
  <c r="C555" i="15"/>
  <c r="B555" i="15"/>
  <c r="D555" i="15" s="1"/>
  <c r="A555" i="15"/>
  <c r="I554" i="15"/>
  <c r="G554" i="15"/>
  <c r="E554" i="15"/>
  <c r="H554" i="15" s="1"/>
  <c r="D554" i="15"/>
  <c r="B554" i="15"/>
  <c r="C554" i="15" s="1"/>
  <c r="A554" i="15"/>
  <c r="H553" i="15"/>
  <c r="E553" i="15"/>
  <c r="I553" i="15" s="1"/>
  <c r="B553" i="15"/>
  <c r="I552" i="15"/>
  <c r="F552" i="15"/>
  <c r="E552" i="15"/>
  <c r="H552" i="15" s="1"/>
  <c r="D552" i="15"/>
  <c r="C552" i="15"/>
  <c r="B552" i="15"/>
  <c r="A552" i="15"/>
  <c r="G551" i="15"/>
  <c r="E551" i="15"/>
  <c r="I551" i="15" s="1"/>
  <c r="B551" i="15"/>
  <c r="E550" i="15"/>
  <c r="C550" i="15"/>
  <c r="B550" i="15"/>
  <c r="D550" i="15" s="1"/>
  <c r="I549" i="15"/>
  <c r="H549" i="15"/>
  <c r="G549" i="15"/>
  <c r="F549" i="15"/>
  <c r="E549" i="15"/>
  <c r="D549" i="15"/>
  <c r="C549" i="15"/>
  <c r="B549" i="15"/>
  <c r="A549" i="15"/>
  <c r="G548" i="15"/>
  <c r="E548" i="15"/>
  <c r="B548" i="15"/>
  <c r="D548" i="15" s="1"/>
  <c r="I547" i="15"/>
  <c r="H547" i="15"/>
  <c r="F547" i="15"/>
  <c r="E547" i="15"/>
  <c r="G547" i="15" s="1"/>
  <c r="C547" i="15"/>
  <c r="B547" i="15"/>
  <c r="D547" i="15" s="1"/>
  <c r="A547" i="15"/>
  <c r="I546" i="15"/>
  <c r="G546" i="15"/>
  <c r="F546" i="15"/>
  <c r="E546" i="15"/>
  <c r="H546" i="15" s="1"/>
  <c r="D546" i="15"/>
  <c r="B546" i="15"/>
  <c r="C546" i="15" s="1"/>
  <c r="A546" i="15"/>
  <c r="H545" i="15"/>
  <c r="E545" i="15"/>
  <c r="I545" i="15" s="1"/>
  <c r="B545" i="15"/>
  <c r="I544" i="15"/>
  <c r="F544" i="15"/>
  <c r="E544" i="15"/>
  <c r="H544" i="15" s="1"/>
  <c r="D544" i="15"/>
  <c r="C544" i="15"/>
  <c r="B544" i="15"/>
  <c r="A544" i="15"/>
  <c r="G543" i="15"/>
  <c r="E543" i="15"/>
  <c r="I543" i="15" s="1"/>
  <c r="B543" i="15"/>
  <c r="E542" i="15"/>
  <c r="C542" i="15"/>
  <c r="B542" i="15"/>
  <c r="D542" i="15" s="1"/>
  <c r="I541" i="15"/>
  <c r="H541" i="15"/>
  <c r="G541" i="15"/>
  <c r="F541" i="15"/>
  <c r="E541" i="15"/>
  <c r="D541" i="15"/>
  <c r="C541" i="15"/>
  <c r="B541" i="15"/>
  <c r="A541" i="15"/>
  <c r="E540" i="15"/>
  <c r="B540" i="15"/>
  <c r="D540" i="15" s="1"/>
  <c r="I539" i="15"/>
  <c r="H539" i="15"/>
  <c r="F539" i="15"/>
  <c r="E539" i="15"/>
  <c r="G539" i="15" s="1"/>
  <c r="C539" i="15"/>
  <c r="B539" i="15"/>
  <c r="D539" i="15" s="1"/>
  <c r="A539" i="15"/>
  <c r="I538" i="15"/>
  <c r="G538" i="15"/>
  <c r="E538" i="15"/>
  <c r="H538" i="15" s="1"/>
  <c r="D538" i="15"/>
  <c r="B538" i="15"/>
  <c r="C538" i="15" s="1"/>
  <c r="A538" i="15"/>
  <c r="H537" i="15"/>
  <c r="E537" i="15"/>
  <c r="I537" i="15" s="1"/>
  <c r="B537" i="15"/>
  <c r="I536" i="15"/>
  <c r="F536" i="15"/>
  <c r="E536" i="15"/>
  <c r="H536" i="15" s="1"/>
  <c r="D536" i="15"/>
  <c r="C536" i="15"/>
  <c r="B536" i="15"/>
  <c r="A536" i="15"/>
  <c r="G535" i="15"/>
  <c r="E535" i="15"/>
  <c r="I535" i="15" s="1"/>
  <c r="B535" i="15"/>
  <c r="E534" i="15"/>
  <c r="C534" i="15"/>
  <c r="B534" i="15"/>
  <c r="D534" i="15" s="1"/>
  <c r="I533" i="15"/>
  <c r="H533" i="15"/>
  <c r="G533" i="15"/>
  <c r="F533" i="15"/>
  <c r="E533" i="15"/>
  <c r="D533" i="15"/>
  <c r="B533" i="15"/>
  <c r="C533" i="15" s="1"/>
  <c r="A533" i="15"/>
  <c r="G532" i="15"/>
  <c r="E532" i="15"/>
  <c r="B532" i="15"/>
  <c r="D532" i="15" s="1"/>
  <c r="I531" i="15"/>
  <c r="H531" i="15"/>
  <c r="F531" i="15"/>
  <c r="E531" i="15"/>
  <c r="G531" i="15" s="1"/>
  <c r="C531" i="15"/>
  <c r="B531" i="15"/>
  <c r="D531" i="15" s="1"/>
  <c r="A531" i="15"/>
  <c r="I530" i="15"/>
  <c r="G530" i="15"/>
  <c r="F530" i="15"/>
  <c r="E530" i="15"/>
  <c r="H530" i="15" s="1"/>
  <c r="D530" i="15"/>
  <c r="B530" i="15"/>
  <c r="C530" i="15" s="1"/>
  <c r="A530" i="15"/>
  <c r="H529" i="15"/>
  <c r="E529" i="15"/>
  <c r="I529" i="15" s="1"/>
  <c r="B529" i="15"/>
  <c r="I528" i="15"/>
  <c r="F528" i="15"/>
  <c r="E528" i="15"/>
  <c r="H528" i="15" s="1"/>
  <c r="D528" i="15"/>
  <c r="C528" i="15"/>
  <c r="B528" i="15"/>
  <c r="A528" i="15"/>
  <c r="G527" i="15"/>
  <c r="E527" i="15"/>
  <c r="I527" i="15" s="1"/>
  <c r="D527" i="15"/>
  <c r="B527" i="15"/>
  <c r="E526" i="15"/>
  <c r="C526" i="15"/>
  <c r="B526" i="15"/>
  <c r="D526" i="15" s="1"/>
  <c r="I525" i="15"/>
  <c r="H525" i="15"/>
  <c r="G525" i="15"/>
  <c r="F525" i="15"/>
  <c r="E525" i="15"/>
  <c r="D525" i="15"/>
  <c r="C525" i="15"/>
  <c r="B525" i="15"/>
  <c r="A525" i="15"/>
  <c r="E524" i="15"/>
  <c r="B524" i="15"/>
  <c r="D524" i="15" s="1"/>
  <c r="I523" i="15"/>
  <c r="H523" i="15"/>
  <c r="F523" i="15"/>
  <c r="E523" i="15"/>
  <c r="G523" i="15" s="1"/>
  <c r="C523" i="15"/>
  <c r="B523" i="15"/>
  <c r="D523" i="15" s="1"/>
  <c r="A523" i="15"/>
  <c r="I522" i="15"/>
  <c r="G522" i="15"/>
  <c r="F522" i="15"/>
  <c r="E522" i="15"/>
  <c r="H522" i="15" s="1"/>
  <c r="D522" i="15"/>
  <c r="B522" i="15"/>
  <c r="C522" i="15" s="1"/>
  <c r="A522" i="15"/>
  <c r="H521" i="15"/>
  <c r="E521" i="15"/>
  <c r="I521" i="15" s="1"/>
  <c r="B521" i="15"/>
  <c r="I520" i="15"/>
  <c r="F520" i="15"/>
  <c r="E520" i="15"/>
  <c r="H520" i="15" s="1"/>
  <c r="D520" i="15"/>
  <c r="C520" i="15"/>
  <c r="B520" i="15"/>
  <c r="A520" i="15"/>
  <c r="G519" i="15"/>
  <c r="E519" i="15"/>
  <c r="I519" i="15" s="1"/>
  <c r="D519" i="15"/>
  <c r="B519" i="15"/>
  <c r="E518" i="15"/>
  <c r="C518" i="15"/>
  <c r="B518" i="15"/>
  <c r="D518" i="15" s="1"/>
  <c r="I517" i="15"/>
  <c r="H517" i="15"/>
  <c r="G517" i="15"/>
  <c r="F517" i="15"/>
  <c r="E517" i="15"/>
  <c r="D517" i="15"/>
  <c r="C517" i="15"/>
  <c r="B517" i="15"/>
  <c r="A517" i="15"/>
  <c r="E516" i="15"/>
  <c r="B516" i="15"/>
  <c r="D516" i="15" s="1"/>
  <c r="I515" i="15"/>
  <c r="H515" i="15"/>
  <c r="F515" i="15"/>
  <c r="E515" i="15"/>
  <c r="G515" i="15" s="1"/>
  <c r="C515" i="15"/>
  <c r="B515" i="15"/>
  <c r="D515" i="15" s="1"/>
  <c r="A515" i="15"/>
  <c r="I514" i="15"/>
  <c r="G514" i="15"/>
  <c r="F514" i="15"/>
  <c r="E514" i="15"/>
  <c r="H514" i="15" s="1"/>
  <c r="D514" i="15"/>
  <c r="B514" i="15"/>
  <c r="C514" i="15" s="1"/>
  <c r="A514" i="15"/>
  <c r="H513" i="15"/>
  <c r="E513" i="15"/>
  <c r="I513" i="15" s="1"/>
  <c r="B513" i="15"/>
  <c r="I512" i="15"/>
  <c r="F512" i="15"/>
  <c r="E512" i="15"/>
  <c r="H512" i="15" s="1"/>
  <c r="D512" i="15"/>
  <c r="C512" i="15"/>
  <c r="B512" i="15"/>
  <c r="A512" i="15"/>
  <c r="G511" i="15"/>
  <c r="E511" i="15"/>
  <c r="I511" i="15" s="1"/>
  <c r="B511" i="15"/>
  <c r="E510" i="15"/>
  <c r="C510" i="15"/>
  <c r="B510" i="15"/>
  <c r="D510" i="15" s="1"/>
  <c r="I509" i="15"/>
  <c r="H509" i="15"/>
  <c r="G509" i="15"/>
  <c r="F509" i="15"/>
  <c r="E509" i="15"/>
  <c r="D509" i="15"/>
  <c r="C509" i="15"/>
  <c r="B509" i="15"/>
  <c r="A509" i="15"/>
  <c r="E508" i="15"/>
  <c r="B508" i="15"/>
  <c r="D508" i="15" s="1"/>
  <c r="I507" i="15"/>
  <c r="H507" i="15"/>
  <c r="F507" i="15"/>
  <c r="E507" i="15"/>
  <c r="G507" i="15" s="1"/>
  <c r="C507" i="15"/>
  <c r="B507" i="15"/>
  <c r="D507" i="15" s="1"/>
  <c r="A507" i="15"/>
  <c r="I506" i="15"/>
  <c r="G506" i="15"/>
  <c r="F506" i="15"/>
  <c r="E506" i="15"/>
  <c r="H506" i="15" s="1"/>
  <c r="D506" i="15"/>
  <c r="B506" i="15"/>
  <c r="C506" i="15" s="1"/>
  <c r="A506" i="15"/>
  <c r="H505" i="15"/>
  <c r="E505" i="15"/>
  <c r="I505" i="15" s="1"/>
  <c r="B505" i="15"/>
  <c r="I504" i="15"/>
  <c r="F504" i="15"/>
  <c r="E504" i="15"/>
  <c r="H504" i="15" s="1"/>
  <c r="D504" i="15"/>
  <c r="C504" i="15"/>
  <c r="B504" i="15"/>
  <c r="A504" i="15"/>
  <c r="G503" i="15"/>
  <c r="E503" i="15"/>
  <c r="I503" i="15" s="1"/>
  <c r="B503" i="15"/>
  <c r="E502" i="15"/>
  <c r="C502" i="15"/>
  <c r="B502" i="15"/>
  <c r="D502" i="15" s="1"/>
  <c r="I501" i="15"/>
  <c r="H501" i="15"/>
  <c r="G501" i="15"/>
  <c r="F501" i="15"/>
  <c r="E501" i="15"/>
  <c r="D501" i="15"/>
  <c r="C501" i="15"/>
  <c r="B501" i="15"/>
  <c r="A501" i="15"/>
  <c r="G500" i="15"/>
  <c r="E500" i="15"/>
  <c r="B500" i="15"/>
  <c r="D500" i="15" s="1"/>
  <c r="I499" i="15"/>
  <c r="H499" i="15"/>
  <c r="F499" i="15"/>
  <c r="E499" i="15"/>
  <c r="G499" i="15" s="1"/>
  <c r="C499" i="15"/>
  <c r="B499" i="15"/>
  <c r="D499" i="15" s="1"/>
  <c r="A499" i="15"/>
  <c r="I498" i="15"/>
  <c r="G498" i="15"/>
  <c r="F498" i="15"/>
  <c r="E498" i="15"/>
  <c r="H498" i="15" s="1"/>
  <c r="D498" i="15"/>
  <c r="B498" i="15"/>
  <c r="C498" i="15" s="1"/>
  <c r="A498" i="15"/>
  <c r="H497" i="15"/>
  <c r="E497" i="15"/>
  <c r="I497" i="15" s="1"/>
  <c r="B497" i="15"/>
  <c r="I496" i="15"/>
  <c r="F496" i="15"/>
  <c r="E496" i="15"/>
  <c r="H496" i="15" s="1"/>
  <c r="D496" i="15"/>
  <c r="C496" i="15"/>
  <c r="B496" i="15"/>
  <c r="A496" i="15"/>
  <c r="G495" i="15"/>
  <c r="E495" i="15"/>
  <c r="I495" i="15" s="1"/>
  <c r="B495" i="15"/>
  <c r="E494" i="15"/>
  <c r="C494" i="15"/>
  <c r="B494" i="15"/>
  <c r="D494" i="15" s="1"/>
  <c r="I493" i="15"/>
  <c r="H493" i="15"/>
  <c r="G493" i="15"/>
  <c r="F493" i="15"/>
  <c r="E493" i="15"/>
  <c r="D493" i="15"/>
  <c r="C493" i="15"/>
  <c r="B493" i="15"/>
  <c r="A493" i="15"/>
  <c r="E492" i="15"/>
  <c r="B492" i="15"/>
  <c r="D492" i="15" s="1"/>
  <c r="I491" i="15"/>
  <c r="H491" i="15"/>
  <c r="F491" i="15"/>
  <c r="E491" i="15"/>
  <c r="G491" i="15" s="1"/>
  <c r="C491" i="15"/>
  <c r="B491" i="15"/>
  <c r="D491" i="15" s="1"/>
  <c r="A491" i="15"/>
  <c r="I490" i="15"/>
  <c r="G490" i="15"/>
  <c r="F490" i="15"/>
  <c r="E490" i="15"/>
  <c r="H490" i="15" s="1"/>
  <c r="D490" i="15"/>
  <c r="B490" i="15"/>
  <c r="C490" i="15" s="1"/>
  <c r="A490" i="15"/>
  <c r="H489" i="15"/>
  <c r="E489" i="15"/>
  <c r="I489" i="15" s="1"/>
  <c r="B489" i="15"/>
  <c r="I488" i="15"/>
  <c r="F488" i="15"/>
  <c r="E488" i="15"/>
  <c r="H488" i="15" s="1"/>
  <c r="D488" i="15"/>
  <c r="C488" i="15"/>
  <c r="B488" i="15"/>
  <c r="A488" i="15"/>
  <c r="G487" i="15"/>
  <c r="E487" i="15"/>
  <c r="I487" i="15" s="1"/>
  <c r="D487" i="15"/>
  <c r="B487" i="15"/>
  <c r="E486" i="15"/>
  <c r="C486" i="15"/>
  <c r="B486" i="15"/>
  <c r="D486" i="15" s="1"/>
  <c r="I485" i="15"/>
  <c r="H485" i="15"/>
  <c r="G485" i="15"/>
  <c r="F485" i="15"/>
  <c r="E485" i="15"/>
  <c r="D485" i="15"/>
  <c r="C485" i="15"/>
  <c r="B485" i="15"/>
  <c r="A485" i="15"/>
  <c r="E484" i="15"/>
  <c r="B484" i="15"/>
  <c r="D484" i="15" s="1"/>
  <c r="I483" i="15"/>
  <c r="H483" i="15"/>
  <c r="F483" i="15"/>
  <c r="E483" i="15"/>
  <c r="G483" i="15" s="1"/>
  <c r="C483" i="15"/>
  <c r="B483" i="15"/>
  <c r="D483" i="15" s="1"/>
  <c r="A483" i="15"/>
  <c r="I482" i="15"/>
  <c r="G482" i="15"/>
  <c r="F482" i="15"/>
  <c r="E482" i="15"/>
  <c r="H482" i="15" s="1"/>
  <c r="D482" i="15"/>
  <c r="B482" i="15"/>
  <c r="C482" i="15" s="1"/>
  <c r="A482" i="15"/>
  <c r="H481" i="15"/>
  <c r="E481" i="15"/>
  <c r="I481" i="15" s="1"/>
  <c r="B481" i="15"/>
  <c r="I480" i="15"/>
  <c r="F480" i="15"/>
  <c r="E480" i="15"/>
  <c r="H480" i="15" s="1"/>
  <c r="D480" i="15"/>
  <c r="C480" i="15"/>
  <c r="B480" i="15"/>
  <c r="A480" i="15"/>
  <c r="G479" i="15"/>
  <c r="E479" i="15"/>
  <c r="I479" i="15" s="1"/>
  <c r="B479" i="15"/>
  <c r="E478" i="15"/>
  <c r="C478" i="15"/>
  <c r="B478" i="15"/>
  <c r="D478" i="15" s="1"/>
  <c r="I477" i="15"/>
  <c r="H477" i="15"/>
  <c r="G477" i="15"/>
  <c r="F477" i="15"/>
  <c r="E477" i="15"/>
  <c r="D477" i="15"/>
  <c r="C477" i="15"/>
  <c r="B477" i="15"/>
  <c r="A477" i="15"/>
  <c r="G476" i="15"/>
  <c r="E476" i="15"/>
  <c r="B476" i="15"/>
  <c r="D476" i="15" s="1"/>
  <c r="I475" i="15"/>
  <c r="H475" i="15"/>
  <c r="F475" i="15"/>
  <c r="E475" i="15"/>
  <c r="G475" i="15" s="1"/>
  <c r="C475" i="15"/>
  <c r="B475" i="15"/>
  <c r="D475" i="15" s="1"/>
  <c r="A475" i="15"/>
  <c r="I474" i="15"/>
  <c r="G474" i="15"/>
  <c r="F474" i="15"/>
  <c r="E474" i="15"/>
  <c r="H474" i="15" s="1"/>
  <c r="D474" i="15"/>
  <c r="B474" i="15"/>
  <c r="C474" i="15" s="1"/>
  <c r="A474" i="15"/>
  <c r="H473" i="15"/>
  <c r="E473" i="15"/>
  <c r="I473" i="15" s="1"/>
  <c r="B473" i="15"/>
  <c r="I472" i="15"/>
  <c r="F472" i="15"/>
  <c r="E472" i="15"/>
  <c r="H472" i="15" s="1"/>
  <c r="D472" i="15"/>
  <c r="C472" i="15"/>
  <c r="B472" i="15"/>
  <c r="A472" i="15"/>
  <c r="G471" i="15"/>
  <c r="E471" i="15"/>
  <c r="I471" i="15" s="1"/>
  <c r="B471" i="15"/>
  <c r="E470" i="15"/>
  <c r="C470" i="15"/>
  <c r="B470" i="15"/>
  <c r="D470" i="15" s="1"/>
  <c r="I469" i="15"/>
  <c r="H469" i="15"/>
  <c r="G469" i="15"/>
  <c r="F469" i="15"/>
  <c r="E469" i="15"/>
  <c r="D469" i="15"/>
  <c r="B469" i="15"/>
  <c r="C469" i="15" s="1"/>
  <c r="A469" i="15"/>
  <c r="E468" i="15"/>
  <c r="B468" i="15"/>
  <c r="D468" i="15" s="1"/>
  <c r="I467" i="15"/>
  <c r="H467" i="15"/>
  <c r="F467" i="15"/>
  <c r="E467" i="15"/>
  <c r="G467" i="15" s="1"/>
  <c r="C467" i="15"/>
  <c r="B467" i="15"/>
  <c r="D467" i="15" s="1"/>
  <c r="A467" i="15"/>
  <c r="I466" i="15"/>
  <c r="G466" i="15"/>
  <c r="E466" i="15"/>
  <c r="H466" i="15" s="1"/>
  <c r="D466" i="15"/>
  <c r="B466" i="15"/>
  <c r="C466" i="15" s="1"/>
  <c r="A466" i="15"/>
  <c r="H465" i="15"/>
  <c r="E465" i="15"/>
  <c r="I465" i="15" s="1"/>
  <c r="B465" i="15"/>
  <c r="I464" i="15"/>
  <c r="F464" i="15"/>
  <c r="E464" i="15"/>
  <c r="H464" i="15" s="1"/>
  <c r="D464" i="15"/>
  <c r="C464" i="15"/>
  <c r="B464" i="15"/>
  <c r="A464" i="15"/>
  <c r="G463" i="15"/>
  <c r="E463" i="15"/>
  <c r="I463" i="15" s="1"/>
  <c r="B463" i="15"/>
  <c r="E462" i="15"/>
  <c r="C462" i="15"/>
  <c r="B462" i="15"/>
  <c r="D462" i="15" s="1"/>
  <c r="A462" i="15"/>
  <c r="I461" i="15"/>
  <c r="H461" i="15"/>
  <c r="G461" i="15"/>
  <c r="F461" i="15"/>
  <c r="E461" i="15"/>
  <c r="D461" i="15"/>
  <c r="B461" i="15"/>
  <c r="C461" i="15" s="1"/>
  <c r="A461" i="15"/>
  <c r="E460" i="15"/>
  <c r="B460" i="15"/>
  <c r="D460" i="15" s="1"/>
  <c r="I459" i="15"/>
  <c r="H459" i="15"/>
  <c r="F459" i="15"/>
  <c r="E459" i="15"/>
  <c r="G459" i="15" s="1"/>
  <c r="C459" i="15"/>
  <c r="B459" i="15"/>
  <c r="D459" i="15" s="1"/>
  <c r="A459" i="15"/>
  <c r="I458" i="15"/>
  <c r="G458" i="15"/>
  <c r="E458" i="15"/>
  <c r="H458" i="15" s="1"/>
  <c r="D458" i="15"/>
  <c r="B458" i="15"/>
  <c r="C458" i="15" s="1"/>
  <c r="A458" i="15"/>
  <c r="H457" i="15"/>
  <c r="E457" i="15"/>
  <c r="I457" i="15" s="1"/>
  <c r="B457" i="15"/>
  <c r="I456" i="15"/>
  <c r="F456" i="15"/>
  <c r="E456" i="15"/>
  <c r="H456" i="15" s="1"/>
  <c r="D456" i="15"/>
  <c r="C456" i="15"/>
  <c r="B456" i="15"/>
  <c r="A456" i="15"/>
  <c r="G455" i="15"/>
  <c r="E455" i="15"/>
  <c r="I455" i="15" s="1"/>
  <c r="D455" i="15"/>
  <c r="B455" i="15"/>
  <c r="E454" i="15"/>
  <c r="C454" i="15"/>
  <c r="B454" i="15"/>
  <c r="D454" i="15" s="1"/>
  <c r="A454" i="15"/>
  <c r="I453" i="15"/>
  <c r="H453" i="15"/>
  <c r="G453" i="15"/>
  <c r="F453" i="15"/>
  <c r="E453" i="15"/>
  <c r="D453" i="15"/>
  <c r="B453" i="15"/>
  <c r="C453" i="15" s="1"/>
  <c r="A453" i="15"/>
  <c r="E452" i="15"/>
  <c r="B452" i="15"/>
  <c r="D452" i="15" s="1"/>
  <c r="I451" i="15"/>
  <c r="H451" i="15"/>
  <c r="F451" i="15"/>
  <c r="E451" i="15"/>
  <c r="G451" i="15" s="1"/>
  <c r="C451" i="15"/>
  <c r="B451" i="15"/>
  <c r="D451" i="15" s="1"/>
  <c r="A451" i="15"/>
  <c r="I450" i="15"/>
  <c r="G450" i="15"/>
  <c r="E450" i="15"/>
  <c r="H450" i="15" s="1"/>
  <c r="D450" i="15"/>
  <c r="B450" i="15"/>
  <c r="C450" i="15" s="1"/>
  <c r="A450" i="15"/>
  <c r="H449" i="15"/>
  <c r="E449" i="15"/>
  <c r="I449" i="15" s="1"/>
  <c r="B449" i="15"/>
  <c r="I448" i="15"/>
  <c r="F448" i="15"/>
  <c r="E448" i="15"/>
  <c r="H448" i="15" s="1"/>
  <c r="D448" i="15"/>
  <c r="C448" i="15"/>
  <c r="B448" i="15"/>
  <c r="A448" i="15"/>
  <c r="G447" i="15"/>
  <c r="E447" i="15"/>
  <c r="I447" i="15" s="1"/>
  <c r="B447" i="15"/>
  <c r="E446" i="15"/>
  <c r="C446" i="15"/>
  <c r="B446" i="15"/>
  <c r="D446" i="15" s="1"/>
  <c r="A446" i="15"/>
  <c r="I445" i="15"/>
  <c r="H445" i="15"/>
  <c r="G445" i="15"/>
  <c r="F445" i="15"/>
  <c r="E445" i="15"/>
  <c r="D445" i="15"/>
  <c r="B445" i="15"/>
  <c r="C445" i="15" s="1"/>
  <c r="A445" i="15"/>
  <c r="E444" i="15"/>
  <c r="B444" i="15"/>
  <c r="I443" i="15"/>
  <c r="H443" i="15"/>
  <c r="F443" i="15"/>
  <c r="E443" i="15"/>
  <c r="G443" i="15" s="1"/>
  <c r="C443" i="15"/>
  <c r="B443" i="15"/>
  <c r="D443" i="15" s="1"/>
  <c r="A443" i="15"/>
  <c r="I442" i="15"/>
  <c r="G442" i="15"/>
  <c r="E442" i="15"/>
  <c r="H442" i="15" s="1"/>
  <c r="D442" i="15"/>
  <c r="B442" i="15"/>
  <c r="C442" i="15" s="1"/>
  <c r="A442" i="15"/>
  <c r="E441" i="15"/>
  <c r="B441" i="15"/>
  <c r="I440" i="15"/>
  <c r="F440" i="15"/>
  <c r="E440" i="15"/>
  <c r="H440" i="15" s="1"/>
  <c r="D440" i="15"/>
  <c r="C440" i="15"/>
  <c r="B440" i="15"/>
  <c r="A440" i="15"/>
  <c r="G439" i="15"/>
  <c r="E439" i="15"/>
  <c r="I439" i="15" s="1"/>
  <c r="B439" i="15"/>
  <c r="H438" i="15"/>
  <c r="E438" i="15"/>
  <c r="C438" i="15"/>
  <c r="B438" i="15"/>
  <c r="D438" i="15" s="1"/>
  <c r="A438" i="15"/>
  <c r="I437" i="15"/>
  <c r="H437" i="15"/>
  <c r="G437" i="15"/>
  <c r="F437" i="15"/>
  <c r="E437" i="15"/>
  <c r="D437" i="15"/>
  <c r="B437" i="15"/>
  <c r="C437" i="15" s="1"/>
  <c r="A437" i="15"/>
  <c r="E436" i="15"/>
  <c r="B436" i="15"/>
  <c r="I435" i="15"/>
  <c r="H435" i="15"/>
  <c r="G435" i="15"/>
  <c r="F435" i="15"/>
  <c r="E435" i="15"/>
  <c r="C435" i="15"/>
  <c r="B435" i="15"/>
  <c r="D435" i="15" s="1"/>
  <c r="A435" i="15"/>
  <c r="I434" i="15"/>
  <c r="G434" i="15"/>
  <c r="E434" i="15"/>
  <c r="H434" i="15" s="1"/>
  <c r="D434" i="15"/>
  <c r="B434" i="15"/>
  <c r="C434" i="15" s="1"/>
  <c r="A434" i="15"/>
  <c r="H433" i="15"/>
  <c r="E433" i="15"/>
  <c r="B433" i="15"/>
  <c r="I432" i="15"/>
  <c r="F432" i="15"/>
  <c r="E432" i="15"/>
  <c r="H432" i="15" s="1"/>
  <c r="D432" i="15"/>
  <c r="C432" i="15"/>
  <c r="B432" i="15"/>
  <c r="A432" i="15"/>
  <c r="G431" i="15"/>
  <c r="E431" i="15"/>
  <c r="I431" i="15" s="1"/>
  <c r="B431" i="15"/>
  <c r="H430" i="15"/>
  <c r="E430" i="15"/>
  <c r="C430" i="15"/>
  <c r="B430" i="15"/>
  <c r="D430" i="15" s="1"/>
  <c r="A430" i="15"/>
  <c r="I429" i="15"/>
  <c r="H429" i="15"/>
  <c r="G429" i="15"/>
  <c r="F429" i="15"/>
  <c r="E429" i="15"/>
  <c r="D429" i="15"/>
  <c r="B429" i="15"/>
  <c r="C429" i="15" s="1"/>
  <c r="A429" i="15"/>
  <c r="G428" i="15"/>
  <c r="E428" i="15"/>
  <c r="B428" i="15"/>
  <c r="I427" i="15"/>
  <c r="H427" i="15"/>
  <c r="F427" i="15"/>
  <c r="E427" i="15"/>
  <c r="G427" i="15" s="1"/>
  <c r="C427" i="15"/>
  <c r="B427" i="15"/>
  <c r="D427" i="15" s="1"/>
  <c r="A427" i="15"/>
  <c r="I426" i="15"/>
  <c r="G426" i="15"/>
  <c r="E426" i="15"/>
  <c r="H426" i="15" s="1"/>
  <c r="D426" i="15"/>
  <c r="B426" i="15"/>
  <c r="C426" i="15" s="1"/>
  <c r="A426" i="15"/>
  <c r="H425" i="15"/>
  <c r="E425" i="15"/>
  <c r="B425" i="15"/>
  <c r="I424" i="15"/>
  <c r="F424" i="15"/>
  <c r="E424" i="15"/>
  <c r="H424" i="15" s="1"/>
  <c r="D424" i="15"/>
  <c r="C424" i="15"/>
  <c r="B424" i="15"/>
  <c r="A424" i="15"/>
  <c r="G423" i="15"/>
  <c r="E423" i="15"/>
  <c r="I423" i="15" s="1"/>
  <c r="B423" i="15"/>
  <c r="E422" i="15"/>
  <c r="C422" i="15"/>
  <c r="B422" i="15"/>
  <c r="D422" i="15" s="1"/>
  <c r="A422" i="15"/>
  <c r="I421" i="15"/>
  <c r="H421" i="15"/>
  <c r="G421" i="15"/>
  <c r="F421" i="15"/>
  <c r="E421" i="15"/>
  <c r="D421" i="15"/>
  <c r="B421" i="15"/>
  <c r="C421" i="15" s="1"/>
  <c r="A421" i="15"/>
  <c r="G420" i="15"/>
  <c r="E420" i="15"/>
  <c r="B420" i="15"/>
  <c r="I419" i="15"/>
  <c r="H419" i="15"/>
  <c r="F419" i="15"/>
  <c r="E419" i="15"/>
  <c r="G419" i="15" s="1"/>
  <c r="C419" i="15"/>
  <c r="B419" i="15"/>
  <c r="D419" i="15" s="1"/>
  <c r="A419" i="15"/>
  <c r="I418" i="15"/>
  <c r="G418" i="15"/>
  <c r="E418" i="15"/>
  <c r="H418" i="15" s="1"/>
  <c r="D418" i="15"/>
  <c r="B418" i="15"/>
  <c r="C418" i="15" s="1"/>
  <c r="A418" i="15"/>
  <c r="H417" i="15"/>
  <c r="E417" i="15"/>
  <c r="B417" i="15"/>
  <c r="I416" i="15"/>
  <c r="F416" i="15"/>
  <c r="E416" i="15"/>
  <c r="H416" i="15" s="1"/>
  <c r="D416" i="15"/>
  <c r="C416" i="15"/>
  <c r="B416" i="15"/>
  <c r="A416" i="15"/>
  <c r="G415" i="15"/>
  <c r="E415" i="15"/>
  <c r="I415" i="15" s="1"/>
  <c r="D415" i="15"/>
  <c r="B415" i="15"/>
  <c r="E414" i="15"/>
  <c r="C414" i="15"/>
  <c r="B414" i="15"/>
  <c r="D414" i="15" s="1"/>
  <c r="A414" i="15"/>
  <c r="I413" i="15"/>
  <c r="H413" i="15"/>
  <c r="G413" i="15"/>
  <c r="F413" i="15"/>
  <c r="E413" i="15"/>
  <c r="D413" i="15"/>
  <c r="B413" i="15"/>
  <c r="C413" i="15" s="1"/>
  <c r="A413" i="15"/>
  <c r="E412" i="15"/>
  <c r="B412" i="15"/>
  <c r="I411" i="15"/>
  <c r="H411" i="15"/>
  <c r="G411" i="15"/>
  <c r="F411" i="15"/>
  <c r="E411" i="15"/>
  <c r="C411" i="15"/>
  <c r="B411" i="15"/>
  <c r="D411" i="15" s="1"/>
  <c r="A411" i="15"/>
  <c r="I410" i="15"/>
  <c r="G410" i="15"/>
  <c r="E410" i="15"/>
  <c r="H410" i="15" s="1"/>
  <c r="D410" i="15"/>
  <c r="B410" i="15"/>
  <c r="C410" i="15" s="1"/>
  <c r="A410" i="15"/>
  <c r="H409" i="15"/>
  <c r="E409" i="15"/>
  <c r="B409" i="15"/>
  <c r="I408" i="15"/>
  <c r="F408" i="15"/>
  <c r="E408" i="15"/>
  <c r="H408" i="15" s="1"/>
  <c r="D408" i="15"/>
  <c r="C408" i="15"/>
  <c r="B408" i="15"/>
  <c r="A408" i="15"/>
  <c r="G407" i="15"/>
  <c r="E407" i="15"/>
  <c r="I407" i="15" s="1"/>
  <c r="D407" i="15"/>
  <c r="B407" i="15"/>
  <c r="E406" i="15"/>
  <c r="C406" i="15"/>
  <c r="B406" i="15"/>
  <c r="D406" i="15" s="1"/>
  <c r="A406" i="15"/>
  <c r="I405" i="15"/>
  <c r="H405" i="15"/>
  <c r="G405" i="15"/>
  <c r="F405" i="15"/>
  <c r="E405" i="15"/>
  <c r="D405" i="15"/>
  <c r="B405" i="15"/>
  <c r="C405" i="15" s="1"/>
  <c r="A405" i="15"/>
  <c r="E404" i="15"/>
  <c r="B404" i="15"/>
  <c r="I403" i="15"/>
  <c r="H403" i="15"/>
  <c r="F403" i="15"/>
  <c r="E403" i="15"/>
  <c r="G403" i="15" s="1"/>
  <c r="C403" i="15"/>
  <c r="B403" i="15"/>
  <c r="D403" i="15" s="1"/>
  <c r="A403" i="15"/>
  <c r="I402" i="15"/>
  <c r="G402" i="15"/>
  <c r="E402" i="15"/>
  <c r="H402" i="15" s="1"/>
  <c r="D402" i="15"/>
  <c r="B402" i="15"/>
  <c r="C402" i="15" s="1"/>
  <c r="A402" i="15"/>
  <c r="E401" i="15"/>
  <c r="B401" i="15"/>
  <c r="I400" i="15"/>
  <c r="F400" i="15"/>
  <c r="E400" i="15"/>
  <c r="H400" i="15" s="1"/>
  <c r="D400" i="15"/>
  <c r="C400" i="15"/>
  <c r="B400" i="15"/>
  <c r="A400" i="15"/>
  <c r="G399" i="15"/>
  <c r="E399" i="15"/>
  <c r="I399" i="15" s="1"/>
  <c r="B399" i="15"/>
  <c r="H398" i="15"/>
  <c r="E398" i="15"/>
  <c r="C398" i="15"/>
  <c r="B398" i="15"/>
  <c r="D398" i="15" s="1"/>
  <c r="I397" i="15"/>
  <c r="H397" i="15"/>
  <c r="G397" i="15"/>
  <c r="F397" i="15"/>
  <c r="E397" i="15"/>
  <c r="D397" i="15"/>
  <c r="B397" i="15"/>
  <c r="C397" i="15" s="1"/>
  <c r="A397" i="15"/>
  <c r="G396" i="15"/>
  <c r="E396" i="15"/>
  <c r="B396" i="15"/>
  <c r="I395" i="15"/>
  <c r="H395" i="15"/>
  <c r="F395" i="15"/>
  <c r="E395" i="15"/>
  <c r="G395" i="15" s="1"/>
  <c r="C395" i="15"/>
  <c r="B395" i="15"/>
  <c r="D395" i="15" s="1"/>
  <c r="A395" i="15"/>
  <c r="I394" i="15"/>
  <c r="G394" i="15"/>
  <c r="E394" i="15"/>
  <c r="H394" i="15" s="1"/>
  <c r="D394" i="15"/>
  <c r="B394" i="15"/>
  <c r="C394" i="15" s="1"/>
  <c r="A394" i="15"/>
  <c r="H393" i="15"/>
  <c r="E393" i="15"/>
  <c r="B393" i="15"/>
  <c r="I392" i="15"/>
  <c r="F392" i="15"/>
  <c r="E392" i="15"/>
  <c r="H392" i="15" s="1"/>
  <c r="D392" i="15"/>
  <c r="C392" i="15"/>
  <c r="B392" i="15"/>
  <c r="A392" i="15"/>
  <c r="G391" i="15"/>
  <c r="E391" i="15"/>
  <c r="I391" i="15" s="1"/>
  <c r="D391" i="15"/>
  <c r="B391" i="15"/>
  <c r="E390" i="15"/>
  <c r="C390" i="15"/>
  <c r="B390" i="15"/>
  <c r="D390" i="15" s="1"/>
  <c r="I389" i="15"/>
  <c r="H389" i="15"/>
  <c r="G389" i="15"/>
  <c r="F389" i="15"/>
  <c r="E389" i="15"/>
  <c r="D389" i="15"/>
  <c r="B389" i="15"/>
  <c r="C389" i="15" s="1"/>
  <c r="A389" i="15"/>
  <c r="E388" i="15"/>
  <c r="B388" i="15"/>
  <c r="I387" i="15"/>
  <c r="H387" i="15"/>
  <c r="F387" i="15"/>
  <c r="E387" i="15"/>
  <c r="G387" i="15" s="1"/>
  <c r="C387" i="15"/>
  <c r="B387" i="15"/>
  <c r="D387" i="15" s="1"/>
  <c r="A387" i="15"/>
  <c r="I386" i="15"/>
  <c r="G386" i="15"/>
  <c r="E386" i="15"/>
  <c r="H386" i="15" s="1"/>
  <c r="D386" i="15"/>
  <c r="B386" i="15"/>
  <c r="C386" i="15" s="1"/>
  <c r="A386" i="15"/>
  <c r="E385" i="15"/>
  <c r="B385" i="15"/>
  <c r="I384" i="15"/>
  <c r="F384" i="15"/>
  <c r="E384" i="15"/>
  <c r="H384" i="15" s="1"/>
  <c r="D384" i="15"/>
  <c r="C384" i="15"/>
  <c r="B384" i="15"/>
  <c r="A384" i="15"/>
  <c r="G383" i="15"/>
  <c r="E383" i="15"/>
  <c r="I383" i="15" s="1"/>
  <c r="B383" i="15"/>
  <c r="H382" i="15"/>
  <c r="E382" i="15"/>
  <c r="C382" i="15"/>
  <c r="B382" i="15"/>
  <c r="D382" i="15" s="1"/>
  <c r="I381" i="15"/>
  <c r="H381" i="15"/>
  <c r="G381" i="15"/>
  <c r="F381" i="15"/>
  <c r="E381" i="15"/>
  <c r="D381" i="15"/>
  <c r="B381" i="15"/>
  <c r="C381" i="15" s="1"/>
  <c r="A381" i="15"/>
  <c r="H380" i="15"/>
  <c r="E380" i="15"/>
  <c r="B380" i="15"/>
  <c r="I379" i="15"/>
  <c r="H379" i="15"/>
  <c r="F379" i="15"/>
  <c r="E379" i="15"/>
  <c r="G379" i="15" s="1"/>
  <c r="C379" i="15"/>
  <c r="B379" i="15"/>
  <c r="D379" i="15" s="1"/>
  <c r="A379" i="15"/>
  <c r="I378" i="15"/>
  <c r="G378" i="15"/>
  <c r="E378" i="15"/>
  <c r="H378" i="15" s="1"/>
  <c r="B378" i="15"/>
  <c r="E377" i="15"/>
  <c r="C377" i="15"/>
  <c r="B377" i="15"/>
  <c r="I376" i="15"/>
  <c r="F376" i="15"/>
  <c r="E376" i="15"/>
  <c r="H376" i="15" s="1"/>
  <c r="D376" i="15"/>
  <c r="C376" i="15"/>
  <c r="B376" i="15"/>
  <c r="A376" i="15"/>
  <c r="G375" i="15"/>
  <c r="E375" i="15"/>
  <c r="B375" i="15"/>
  <c r="H374" i="15"/>
  <c r="E374" i="15"/>
  <c r="C374" i="15"/>
  <c r="B374" i="15"/>
  <c r="D374" i="15" s="1"/>
  <c r="I373" i="15"/>
  <c r="H373" i="15"/>
  <c r="G373" i="15"/>
  <c r="F373" i="15"/>
  <c r="E373" i="15"/>
  <c r="D373" i="15"/>
  <c r="C373" i="15"/>
  <c r="B373" i="15"/>
  <c r="A373" i="15"/>
  <c r="G372" i="15"/>
  <c r="E372" i="15"/>
  <c r="H372" i="15" s="1"/>
  <c r="B372" i="15"/>
  <c r="I371" i="15"/>
  <c r="H371" i="15"/>
  <c r="F371" i="15"/>
  <c r="E371" i="15"/>
  <c r="G371" i="15" s="1"/>
  <c r="C371" i="15"/>
  <c r="B371" i="15"/>
  <c r="D371" i="15" s="1"/>
  <c r="A371" i="15"/>
  <c r="I370" i="15"/>
  <c r="G370" i="15"/>
  <c r="F370" i="15"/>
  <c r="E370" i="15"/>
  <c r="H370" i="15" s="1"/>
  <c r="D370" i="15"/>
  <c r="B370" i="15"/>
  <c r="C370" i="15" s="1"/>
  <c r="A370" i="15"/>
  <c r="H369" i="15"/>
  <c r="E369" i="15"/>
  <c r="B369" i="15"/>
  <c r="I368" i="15"/>
  <c r="F368" i="15"/>
  <c r="E368" i="15"/>
  <c r="D368" i="15"/>
  <c r="C368" i="15"/>
  <c r="B368" i="15"/>
  <c r="A368" i="15"/>
  <c r="G367" i="15"/>
  <c r="F367" i="15"/>
  <c r="E367" i="15"/>
  <c r="B367" i="15"/>
  <c r="E366" i="15"/>
  <c r="I366" i="15" s="1"/>
  <c r="C366" i="15"/>
  <c r="B366" i="15"/>
  <c r="D366" i="15" s="1"/>
  <c r="I365" i="15"/>
  <c r="H365" i="15"/>
  <c r="G365" i="15"/>
  <c r="F365" i="15"/>
  <c r="E365" i="15"/>
  <c r="D365" i="15"/>
  <c r="B365" i="15"/>
  <c r="C365" i="15" s="1"/>
  <c r="A365" i="15"/>
  <c r="H364" i="15"/>
  <c r="G364" i="15"/>
  <c r="E364" i="15"/>
  <c r="F364" i="15" s="1"/>
  <c r="B364" i="15"/>
  <c r="A364" i="15"/>
  <c r="I363" i="15"/>
  <c r="H363" i="15"/>
  <c r="F363" i="15"/>
  <c r="E363" i="15"/>
  <c r="G363" i="15" s="1"/>
  <c r="C363" i="15"/>
  <c r="B363" i="15"/>
  <c r="D363" i="15" s="1"/>
  <c r="I362" i="15"/>
  <c r="G362" i="15"/>
  <c r="E362" i="15"/>
  <c r="H362" i="15" s="1"/>
  <c r="C362" i="15"/>
  <c r="B362" i="15"/>
  <c r="A362" i="15" s="1"/>
  <c r="G361" i="15"/>
  <c r="F361" i="15"/>
  <c r="E361" i="15"/>
  <c r="I361" i="15" s="1"/>
  <c r="C361" i="15"/>
  <c r="B361" i="15"/>
  <c r="A361" i="15" s="1"/>
  <c r="H360" i="15"/>
  <c r="G360" i="15"/>
  <c r="F360" i="15"/>
  <c r="E360" i="15"/>
  <c r="I360" i="15" s="1"/>
  <c r="D360" i="15"/>
  <c r="C360" i="15"/>
  <c r="B360" i="15"/>
  <c r="A360" i="15" s="1"/>
  <c r="E359" i="15"/>
  <c r="D359" i="15"/>
  <c r="C359" i="15"/>
  <c r="B359" i="15"/>
  <c r="A359" i="15"/>
  <c r="F358" i="15"/>
  <c r="E358" i="15"/>
  <c r="I358" i="15" s="1"/>
  <c r="B358" i="15"/>
  <c r="D358" i="15" s="1"/>
  <c r="I357" i="15"/>
  <c r="G357" i="15"/>
  <c r="F357" i="15"/>
  <c r="E357" i="15"/>
  <c r="H357" i="15" s="1"/>
  <c r="C357" i="15"/>
  <c r="B357" i="15"/>
  <c r="D357" i="15" s="1"/>
  <c r="H356" i="15"/>
  <c r="G356" i="15"/>
  <c r="F356" i="15"/>
  <c r="E356" i="15"/>
  <c r="I356" i="15" s="1"/>
  <c r="D356" i="15"/>
  <c r="C356" i="15"/>
  <c r="B356" i="15"/>
  <c r="A356" i="15" s="1"/>
  <c r="I355" i="15"/>
  <c r="E355" i="15"/>
  <c r="H355" i="15" s="1"/>
  <c r="D355" i="15"/>
  <c r="C355" i="15"/>
  <c r="B355" i="15"/>
  <c r="A355" i="15"/>
  <c r="I354" i="15"/>
  <c r="F354" i="15"/>
  <c r="E354" i="15"/>
  <c r="H354" i="15" s="1"/>
  <c r="B354" i="15"/>
  <c r="G353" i="15"/>
  <c r="F353" i="15"/>
  <c r="E353" i="15"/>
  <c r="I353" i="15" s="1"/>
  <c r="C353" i="15"/>
  <c r="B353" i="15"/>
  <c r="A353" i="15" s="1"/>
  <c r="I352" i="15"/>
  <c r="H352" i="15"/>
  <c r="G352" i="15"/>
  <c r="F352" i="15"/>
  <c r="E352" i="15"/>
  <c r="D352" i="15"/>
  <c r="C352" i="15"/>
  <c r="B352" i="15"/>
  <c r="A352" i="15" s="1"/>
  <c r="E351" i="15"/>
  <c r="D351" i="15"/>
  <c r="C351" i="15"/>
  <c r="B351" i="15"/>
  <c r="A351" i="15"/>
  <c r="F350" i="15"/>
  <c r="E350" i="15"/>
  <c r="I350" i="15" s="1"/>
  <c r="B350" i="15"/>
  <c r="D350" i="15" s="1"/>
  <c r="I349" i="15"/>
  <c r="G349" i="15"/>
  <c r="F349" i="15"/>
  <c r="E349" i="15"/>
  <c r="H349" i="15" s="1"/>
  <c r="C349" i="15"/>
  <c r="B349" i="15"/>
  <c r="D349" i="15" s="1"/>
  <c r="H348" i="15"/>
  <c r="G348" i="15"/>
  <c r="F348" i="15"/>
  <c r="E348" i="15"/>
  <c r="I348" i="15" s="1"/>
  <c r="D348" i="15"/>
  <c r="B348" i="15"/>
  <c r="C348" i="15" s="1"/>
  <c r="I347" i="15"/>
  <c r="E347" i="15"/>
  <c r="H347" i="15" s="1"/>
  <c r="D347" i="15"/>
  <c r="C347" i="15"/>
  <c r="B347" i="15"/>
  <c r="A347" i="15"/>
  <c r="I346" i="15"/>
  <c r="F346" i="15"/>
  <c r="E346" i="15"/>
  <c r="H346" i="15" s="1"/>
  <c r="B346" i="15"/>
  <c r="G345" i="15"/>
  <c r="E345" i="15"/>
  <c r="I345" i="15" s="1"/>
  <c r="C345" i="15"/>
  <c r="B345" i="15"/>
  <c r="A345" i="15" s="1"/>
  <c r="H344" i="15"/>
  <c r="G344" i="15"/>
  <c r="F344" i="15"/>
  <c r="E344" i="15"/>
  <c r="I344" i="15" s="1"/>
  <c r="D344" i="15"/>
  <c r="C344" i="15"/>
  <c r="B344" i="15"/>
  <c r="A344" i="15" s="1"/>
  <c r="E343" i="15"/>
  <c r="D343" i="15"/>
  <c r="C343" i="15"/>
  <c r="B343" i="15"/>
  <c r="A343" i="15"/>
  <c r="F342" i="15"/>
  <c r="E342" i="15"/>
  <c r="I342" i="15" s="1"/>
  <c r="B342" i="15"/>
  <c r="D342" i="15" s="1"/>
  <c r="I341" i="15"/>
  <c r="G341" i="15"/>
  <c r="F341" i="15"/>
  <c r="E341" i="15"/>
  <c r="H341" i="15" s="1"/>
  <c r="C341" i="15"/>
  <c r="B341" i="15"/>
  <c r="D341" i="15" s="1"/>
  <c r="H340" i="15"/>
  <c r="G340" i="15"/>
  <c r="F340" i="15"/>
  <c r="E340" i="15"/>
  <c r="I340" i="15" s="1"/>
  <c r="D340" i="15"/>
  <c r="B340" i="15"/>
  <c r="C340" i="15" s="1"/>
  <c r="I339" i="15"/>
  <c r="E339" i="15"/>
  <c r="H339" i="15" s="1"/>
  <c r="D339" i="15"/>
  <c r="C339" i="15"/>
  <c r="B339" i="15"/>
  <c r="A339" i="15"/>
  <c r="I338" i="15"/>
  <c r="F338" i="15"/>
  <c r="E338" i="15"/>
  <c r="H338" i="15" s="1"/>
  <c r="B338" i="15"/>
  <c r="G337" i="15"/>
  <c r="E337" i="15"/>
  <c r="I337" i="15" s="1"/>
  <c r="C337" i="15"/>
  <c r="B337" i="15"/>
  <c r="A337" i="15" s="1"/>
  <c r="H336" i="15"/>
  <c r="G336" i="15"/>
  <c r="F336" i="15"/>
  <c r="E336" i="15"/>
  <c r="I336" i="15" s="1"/>
  <c r="D336" i="15"/>
  <c r="C336" i="15"/>
  <c r="B336" i="15"/>
  <c r="A336" i="15" s="1"/>
  <c r="E335" i="15"/>
  <c r="D335" i="15"/>
  <c r="C335" i="15"/>
  <c r="B335" i="15"/>
  <c r="A335" i="15"/>
  <c r="F334" i="15"/>
  <c r="E334" i="15"/>
  <c r="I334" i="15" s="1"/>
  <c r="B334" i="15"/>
  <c r="D334" i="15" s="1"/>
  <c r="I333" i="15"/>
  <c r="G333" i="15"/>
  <c r="F333" i="15"/>
  <c r="E333" i="15"/>
  <c r="H333" i="15" s="1"/>
  <c r="C333" i="15"/>
  <c r="B333" i="15"/>
  <c r="D333" i="15" s="1"/>
  <c r="H332" i="15"/>
  <c r="G332" i="15"/>
  <c r="F332" i="15"/>
  <c r="E332" i="15"/>
  <c r="I332" i="15" s="1"/>
  <c r="D332" i="15"/>
  <c r="C332" i="15"/>
  <c r="B332" i="15"/>
  <c r="A332" i="15" s="1"/>
  <c r="I331" i="15"/>
  <c r="E331" i="15"/>
  <c r="H331" i="15" s="1"/>
  <c r="D331" i="15"/>
  <c r="C331" i="15"/>
  <c r="B331" i="15"/>
  <c r="A331" i="15"/>
  <c r="I330" i="15"/>
  <c r="F330" i="15"/>
  <c r="E330" i="15"/>
  <c r="H330" i="15" s="1"/>
  <c r="B330" i="15"/>
  <c r="G329" i="15"/>
  <c r="F329" i="15"/>
  <c r="E329" i="15"/>
  <c r="I329" i="15" s="1"/>
  <c r="C329" i="15"/>
  <c r="B329" i="15"/>
  <c r="A329" i="15" s="1"/>
  <c r="H328" i="15"/>
  <c r="G328" i="15"/>
  <c r="F328" i="15"/>
  <c r="E328" i="15"/>
  <c r="I328" i="15" s="1"/>
  <c r="D328" i="15"/>
  <c r="C328" i="15"/>
  <c r="B328" i="15"/>
  <c r="A328" i="15" s="1"/>
  <c r="E327" i="15"/>
  <c r="D327" i="15"/>
  <c r="C327" i="15"/>
  <c r="B327" i="15"/>
  <c r="A327" i="15"/>
  <c r="F326" i="15"/>
  <c r="E326" i="15"/>
  <c r="I326" i="15" s="1"/>
  <c r="B326" i="15"/>
  <c r="D326" i="15" s="1"/>
  <c r="I325" i="15"/>
  <c r="G325" i="15"/>
  <c r="F325" i="15"/>
  <c r="E325" i="15"/>
  <c r="H325" i="15" s="1"/>
  <c r="C325" i="15"/>
  <c r="B325" i="15"/>
  <c r="D325" i="15" s="1"/>
  <c r="H324" i="15"/>
  <c r="G324" i="15"/>
  <c r="F324" i="15"/>
  <c r="E324" i="15"/>
  <c r="I324" i="15" s="1"/>
  <c r="D324" i="15"/>
  <c r="C324" i="15"/>
  <c r="B324" i="15"/>
  <c r="A324" i="15" s="1"/>
  <c r="I323" i="15"/>
  <c r="E323" i="15"/>
  <c r="H323" i="15" s="1"/>
  <c r="D323" i="15"/>
  <c r="C323" i="15"/>
  <c r="B323" i="15"/>
  <c r="A323" i="15"/>
  <c r="I322" i="15"/>
  <c r="F322" i="15"/>
  <c r="E322" i="15"/>
  <c r="H322" i="15" s="1"/>
  <c r="B322" i="15"/>
  <c r="G321" i="15"/>
  <c r="F321" i="15"/>
  <c r="E321" i="15"/>
  <c r="I321" i="15" s="1"/>
  <c r="C321" i="15"/>
  <c r="B321" i="15"/>
  <c r="A321" i="15" s="1"/>
  <c r="H320" i="15"/>
  <c r="G320" i="15"/>
  <c r="F320" i="15"/>
  <c r="E320" i="15"/>
  <c r="I320" i="15" s="1"/>
  <c r="D320" i="15"/>
  <c r="C320" i="15"/>
  <c r="B320" i="15"/>
  <c r="A320" i="15" s="1"/>
  <c r="E319" i="15"/>
  <c r="D319" i="15"/>
  <c r="C319" i="15"/>
  <c r="B319" i="15"/>
  <c r="A319" i="15"/>
  <c r="F318" i="15"/>
  <c r="E318" i="15"/>
  <c r="I318" i="15" s="1"/>
  <c r="B318" i="15"/>
  <c r="D318" i="15" s="1"/>
  <c r="I317" i="15"/>
  <c r="G317" i="15"/>
  <c r="F317" i="15"/>
  <c r="E317" i="15"/>
  <c r="H317" i="15" s="1"/>
  <c r="C317" i="15"/>
  <c r="B317" i="15"/>
  <c r="D317" i="15" s="1"/>
  <c r="H316" i="15"/>
  <c r="G316" i="15"/>
  <c r="F316" i="15"/>
  <c r="E316" i="15"/>
  <c r="I316" i="15" s="1"/>
  <c r="D316" i="15"/>
  <c r="C316" i="15"/>
  <c r="B316" i="15"/>
  <c r="A316" i="15" s="1"/>
  <c r="I315" i="15"/>
  <c r="E315" i="15"/>
  <c r="H315" i="15" s="1"/>
  <c r="D315" i="15"/>
  <c r="C315" i="15"/>
  <c r="B315" i="15"/>
  <c r="A315" i="15"/>
  <c r="I314" i="15"/>
  <c r="F314" i="15"/>
  <c r="E314" i="15"/>
  <c r="H314" i="15" s="1"/>
  <c r="B314" i="15"/>
  <c r="G313" i="15"/>
  <c r="F313" i="15"/>
  <c r="E313" i="15"/>
  <c r="I313" i="15" s="1"/>
  <c r="C313" i="15"/>
  <c r="B313" i="15"/>
  <c r="A313" i="15" s="1"/>
  <c r="H312" i="15"/>
  <c r="G312" i="15"/>
  <c r="F312" i="15"/>
  <c r="E312" i="15"/>
  <c r="I312" i="15" s="1"/>
  <c r="D312" i="15"/>
  <c r="C312" i="15"/>
  <c r="B312" i="15"/>
  <c r="A312" i="15" s="1"/>
  <c r="E311" i="15"/>
  <c r="D311" i="15"/>
  <c r="C311" i="15"/>
  <c r="B311" i="15"/>
  <c r="A311" i="15"/>
  <c r="F310" i="15"/>
  <c r="E310" i="15"/>
  <c r="I310" i="15" s="1"/>
  <c r="B310" i="15"/>
  <c r="D310" i="15" s="1"/>
  <c r="I309" i="15"/>
  <c r="G309" i="15"/>
  <c r="F309" i="15"/>
  <c r="E309" i="15"/>
  <c r="H309" i="15" s="1"/>
  <c r="C309" i="15"/>
  <c r="B309" i="15"/>
  <c r="D309" i="15" s="1"/>
  <c r="H308" i="15"/>
  <c r="G308" i="15"/>
  <c r="F308" i="15"/>
  <c r="E308" i="15"/>
  <c r="I308" i="15" s="1"/>
  <c r="D308" i="15"/>
  <c r="C308" i="15"/>
  <c r="B308" i="15"/>
  <c r="A308" i="15" s="1"/>
  <c r="I307" i="15"/>
  <c r="E307" i="15"/>
  <c r="H307" i="15" s="1"/>
  <c r="D307" i="15"/>
  <c r="C307" i="15"/>
  <c r="B307" i="15"/>
  <c r="A307" i="15"/>
  <c r="I306" i="15"/>
  <c r="F306" i="15"/>
  <c r="E306" i="15"/>
  <c r="H306" i="15" s="1"/>
  <c r="B306" i="15"/>
  <c r="G305" i="15"/>
  <c r="F305" i="15"/>
  <c r="E305" i="15"/>
  <c r="I305" i="15" s="1"/>
  <c r="C305" i="15"/>
  <c r="B305" i="15"/>
  <c r="A305" i="15" s="1"/>
  <c r="H304" i="15"/>
  <c r="G304" i="15"/>
  <c r="F304" i="15"/>
  <c r="E304" i="15"/>
  <c r="I304" i="15" s="1"/>
  <c r="D304" i="15"/>
  <c r="C304" i="15"/>
  <c r="B304" i="15"/>
  <c r="A304" i="15" s="1"/>
  <c r="E303" i="15"/>
  <c r="D303" i="15"/>
  <c r="C303" i="15"/>
  <c r="B303" i="15"/>
  <c r="A303" i="15"/>
  <c r="F302" i="15"/>
  <c r="E302" i="15"/>
  <c r="I302" i="15" s="1"/>
  <c r="B302" i="15"/>
  <c r="D302" i="15" s="1"/>
  <c r="I301" i="15"/>
  <c r="G301" i="15"/>
  <c r="F301" i="15"/>
  <c r="E301" i="15"/>
  <c r="H301" i="15" s="1"/>
  <c r="C301" i="15"/>
  <c r="B301" i="15"/>
  <c r="D301" i="15" s="1"/>
  <c r="H300" i="15"/>
  <c r="G300" i="15"/>
  <c r="F300" i="15"/>
  <c r="E300" i="15"/>
  <c r="I300" i="15" s="1"/>
  <c r="D300" i="15"/>
  <c r="C300" i="15"/>
  <c r="B300" i="15"/>
  <c r="A300" i="15" s="1"/>
  <c r="I299" i="15"/>
  <c r="E299" i="15"/>
  <c r="H299" i="15" s="1"/>
  <c r="D299" i="15"/>
  <c r="C299" i="15"/>
  <c r="B299" i="15"/>
  <c r="A299" i="15"/>
  <c r="I298" i="15"/>
  <c r="F298" i="15"/>
  <c r="E298" i="15"/>
  <c r="H298" i="15" s="1"/>
  <c r="B298" i="15"/>
  <c r="G297" i="15"/>
  <c r="F297" i="15"/>
  <c r="E297" i="15"/>
  <c r="I297" i="15" s="1"/>
  <c r="C297" i="15"/>
  <c r="B297" i="15"/>
  <c r="A297" i="15" s="1"/>
  <c r="H296" i="15"/>
  <c r="G296" i="15"/>
  <c r="F296" i="15"/>
  <c r="E296" i="15"/>
  <c r="I296" i="15" s="1"/>
  <c r="D296" i="15"/>
  <c r="C296" i="15"/>
  <c r="B296" i="15"/>
  <c r="A296" i="15" s="1"/>
  <c r="E295" i="15"/>
  <c r="D295" i="15"/>
  <c r="C295" i="15"/>
  <c r="B295" i="15"/>
  <c r="A295" i="15"/>
  <c r="F294" i="15"/>
  <c r="E294" i="15"/>
  <c r="I294" i="15" s="1"/>
  <c r="B294" i="15"/>
  <c r="D294" i="15" s="1"/>
  <c r="I293" i="15"/>
  <c r="G293" i="15"/>
  <c r="F293" i="15"/>
  <c r="E293" i="15"/>
  <c r="H293" i="15" s="1"/>
  <c r="C293" i="15"/>
  <c r="B293" i="15"/>
  <c r="D293" i="15" s="1"/>
  <c r="H292" i="15"/>
  <c r="G292" i="15"/>
  <c r="F292" i="15"/>
  <c r="E292" i="15"/>
  <c r="I292" i="15" s="1"/>
  <c r="D292" i="15"/>
  <c r="C292" i="15"/>
  <c r="B292" i="15"/>
  <c r="A292" i="15" s="1"/>
  <c r="I291" i="15"/>
  <c r="E291" i="15"/>
  <c r="H291" i="15" s="1"/>
  <c r="D291" i="15"/>
  <c r="C291" i="15"/>
  <c r="B291" i="15"/>
  <c r="A291" i="15"/>
  <c r="I290" i="15"/>
  <c r="F290" i="15"/>
  <c r="E290" i="15"/>
  <c r="H290" i="15" s="1"/>
  <c r="B290" i="15"/>
  <c r="G289" i="15"/>
  <c r="F289" i="15"/>
  <c r="E289" i="15"/>
  <c r="I289" i="15" s="1"/>
  <c r="C289" i="15"/>
  <c r="B289" i="15"/>
  <c r="A289" i="15" s="1"/>
  <c r="H288" i="15"/>
  <c r="G288" i="15"/>
  <c r="F288" i="15"/>
  <c r="E288" i="15"/>
  <c r="I288" i="15" s="1"/>
  <c r="D288" i="15"/>
  <c r="C288" i="15"/>
  <c r="B288" i="15"/>
  <c r="A288" i="15" s="1"/>
  <c r="E287" i="15"/>
  <c r="D287" i="15"/>
  <c r="C287" i="15"/>
  <c r="B287" i="15"/>
  <c r="A287" i="15"/>
  <c r="F286" i="15"/>
  <c r="E286" i="15"/>
  <c r="I286" i="15" s="1"/>
  <c r="B286" i="15"/>
  <c r="D286" i="15" s="1"/>
  <c r="I285" i="15"/>
  <c r="G285" i="15"/>
  <c r="F285" i="15"/>
  <c r="E285" i="15"/>
  <c r="H285" i="15" s="1"/>
  <c r="C285" i="15"/>
  <c r="B285" i="15"/>
  <c r="D285" i="15" s="1"/>
  <c r="H284" i="15"/>
  <c r="G284" i="15"/>
  <c r="F284" i="15"/>
  <c r="E284" i="15"/>
  <c r="I284" i="15" s="1"/>
  <c r="D284" i="15"/>
  <c r="C284" i="15"/>
  <c r="B284" i="15"/>
  <c r="A284" i="15" s="1"/>
  <c r="I283" i="15"/>
  <c r="E283" i="15"/>
  <c r="H283" i="15" s="1"/>
  <c r="D283" i="15"/>
  <c r="C283" i="15"/>
  <c r="B283" i="15"/>
  <c r="A283" i="15"/>
  <c r="I282" i="15"/>
  <c r="F282" i="15"/>
  <c r="E282" i="15"/>
  <c r="H282" i="15" s="1"/>
  <c r="B282" i="15"/>
  <c r="G281" i="15"/>
  <c r="F281" i="15"/>
  <c r="E281" i="15"/>
  <c r="I281" i="15" s="1"/>
  <c r="C281" i="15"/>
  <c r="B281" i="15"/>
  <c r="A281" i="15" s="1"/>
  <c r="H280" i="15"/>
  <c r="G280" i="15"/>
  <c r="F280" i="15"/>
  <c r="E280" i="15"/>
  <c r="I280" i="15" s="1"/>
  <c r="D280" i="15"/>
  <c r="C280" i="15"/>
  <c r="B280" i="15"/>
  <c r="A280" i="15" s="1"/>
  <c r="E279" i="15"/>
  <c r="D279" i="15"/>
  <c r="C279" i="15"/>
  <c r="B279" i="15"/>
  <c r="A279" i="15"/>
  <c r="F278" i="15"/>
  <c r="E278" i="15"/>
  <c r="I278" i="15" s="1"/>
  <c r="B278" i="15"/>
  <c r="D278" i="15" s="1"/>
  <c r="I277" i="15"/>
  <c r="G277" i="15"/>
  <c r="F277" i="15"/>
  <c r="E277" i="15"/>
  <c r="H277" i="15" s="1"/>
  <c r="C277" i="15"/>
  <c r="B277" i="15"/>
  <c r="D277" i="15" s="1"/>
  <c r="H276" i="15"/>
  <c r="G276" i="15"/>
  <c r="F276" i="15"/>
  <c r="E276" i="15"/>
  <c r="I276" i="15" s="1"/>
  <c r="D276" i="15"/>
  <c r="C276" i="15"/>
  <c r="B276" i="15"/>
  <c r="A276" i="15" s="1"/>
  <c r="I275" i="15"/>
  <c r="E275" i="15"/>
  <c r="H275" i="15" s="1"/>
  <c r="D275" i="15"/>
  <c r="C275" i="15"/>
  <c r="B275" i="15"/>
  <c r="A275" i="15"/>
  <c r="I274" i="15"/>
  <c r="F274" i="15"/>
  <c r="E274" i="15"/>
  <c r="H274" i="15" s="1"/>
  <c r="B274" i="15"/>
  <c r="G273" i="15"/>
  <c r="F273" i="15"/>
  <c r="E273" i="15"/>
  <c r="I273" i="15" s="1"/>
  <c r="C273" i="15"/>
  <c r="B273" i="15"/>
  <c r="A273" i="15" s="1"/>
  <c r="H272" i="15"/>
  <c r="G272" i="15"/>
  <c r="F272" i="15"/>
  <c r="E272" i="15"/>
  <c r="I272" i="15" s="1"/>
  <c r="D272" i="15"/>
  <c r="C272" i="15"/>
  <c r="B272" i="15"/>
  <c r="A272" i="15" s="1"/>
  <c r="E271" i="15"/>
  <c r="D271" i="15"/>
  <c r="C271" i="15"/>
  <c r="B271" i="15"/>
  <c r="A271" i="15"/>
  <c r="F270" i="15"/>
  <c r="E270" i="15"/>
  <c r="I270" i="15" s="1"/>
  <c r="B270" i="15"/>
  <c r="D270" i="15" s="1"/>
  <c r="I269" i="15"/>
  <c r="G269" i="15"/>
  <c r="F269" i="15"/>
  <c r="E269" i="15"/>
  <c r="H269" i="15" s="1"/>
  <c r="C269" i="15"/>
  <c r="B269" i="15"/>
  <c r="D269" i="15" s="1"/>
  <c r="H268" i="15"/>
  <c r="G268" i="15"/>
  <c r="F268" i="15"/>
  <c r="E268" i="15"/>
  <c r="I268" i="15" s="1"/>
  <c r="D268" i="15"/>
  <c r="C268" i="15"/>
  <c r="B268" i="15"/>
  <c r="A268" i="15" s="1"/>
  <c r="I267" i="15"/>
  <c r="E267" i="15"/>
  <c r="H267" i="15" s="1"/>
  <c r="D267" i="15"/>
  <c r="C267" i="15"/>
  <c r="B267" i="15"/>
  <c r="A267" i="15"/>
  <c r="I266" i="15"/>
  <c r="F266" i="15"/>
  <c r="E266" i="15"/>
  <c r="H266" i="15" s="1"/>
  <c r="B266" i="15"/>
  <c r="G265" i="15"/>
  <c r="F265" i="15"/>
  <c r="E265" i="15"/>
  <c r="I265" i="15" s="1"/>
  <c r="C265" i="15"/>
  <c r="B265" i="15"/>
  <c r="A265" i="15" s="1"/>
  <c r="H264" i="15"/>
  <c r="G264" i="15"/>
  <c r="F264" i="15"/>
  <c r="E264" i="15"/>
  <c r="I264" i="15" s="1"/>
  <c r="D264" i="15"/>
  <c r="C264" i="15"/>
  <c r="B264" i="15"/>
  <c r="A264" i="15" s="1"/>
  <c r="E263" i="15"/>
  <c r="D263" i="15"/>
  <c r="C263" i="15"/>
  <c r="B263" i="15"/>
  <c r="A263" i="15"/>
  <c r="F262" i="15"/>
  <c r="E262" i="15"/>
  <c r="I262" i="15" s="1"/>
  <c r="B262" i="15"/>
  <c r="D262" i="15" s="1"/>
  <c r="I261" i="15"/>
  <c r="G261" i="15"/>
  <c r="F261" i="15"/>
  <c r="E261" i="15"/>
  <c r="H261" i="15" s="1"/>
  <c r="C261" i="15"/>
  <c r="B261" i="15"/>
  <c r="D261" i="15" s="1"/>
  <c r="H260" i="15"/>
  <c r="G260" i="15"/>
  <c r="F260" i="15"/>
  <c r="E260" i="15"/>
  <c r="I260" i="15" s="1"/>
  <c r="D260" i="15"/>
  <c r="C260" i="15"/>
  <c r="B260" i="15"/>
  <c r="A260" i="15" s="1"/>
  <c r="I259" i="15"/>
  <c r="E259" i="15"/>
  <c r="H259" i="15" s="1"/>
  <c r="D259" i="15"/>
  <c r="C259" i="15"/>
  <c r="B259" i="15"/>
  <c r="A259" i="15"/>
  <c r="I258" i="15"/>
  <c r="F258" i="15"/>
  <c r="E258" i="15"/>
  <c r="H258" i="15" s="1"/>
  <c r="B258" i="15"/>
  <c r="G257" i="15"/>
  <c r="F257" i="15"/>
  <c r="E257" i="15"/>
  <c r="I257" i="15" s="1"/>
  <c r="C257" i="15"/>
  <c r="B257" i="15"/>
  <c r="A257" i="15" s="1"/>
  <c r="H256" i="15"/>
  <c r="G256" i="15"/>
  <c r="F256" i="15"/>
  <c r="E256" i="15"/>
  <c r="I256" i="15" s="1"/>
  <c r="D256" i="15"/>
  <c r="C256" i="15"/>
  <c r="B256" i="15"/>
  <c r="A256" i="15" s="1"/>
  <c r="E255" i="15"/>
  <c r="D255" i="15"/>
  <c r="C255" i="15"/>
  <c r="B255" i="15"/>
  <c r="A255" i="15"/>
  <c r="F254" i="15"/>
  <c r="E254" i="15"/>
  <c r="I254" i="15" s="1"/>
  <c r="B254" i="15"/>
  <c r="D254" i="15" s="1"/>
  <c r="I253" i="15"/>
  <c r="G253" i="15"/>
  <c r="F253" i="15"/>
  <c r="E253" i="15"/>
  <c r="H253" i="15" s="1"/>
  <c r="C253" i="15"/>
  <c r="B253" i="15"/>
  <c r="D253" i="15" s="1"/>
  <c r="H252" i="15"/>
  <c r="G252" i="15"/>
  <c r="F252" i="15"/>
  <c r="E252" i="15"/>
  <c r="I252" i="15" s="1"/>
  <c r="D252" i="15"/>
  <c r="C252" i="15"/>
  <c r="B252" i="15"/>
  <c r="A252" i="15" s="1"/>
  <c r="I251" i="15"/>
  <c r="E251" i="15"/>
  <c r="H251" i="15" s="1"/>
  <c r="D251" i="15"/>
  <c r="C251" i="15"/>
  <c r="B251" i="15"/>
  <c r="A251" i="15"/>
  <c r="I250" i="15"/>
  <c r="F250" i="15"/>
  <c r="E250" i="15"/>
  <c r="H250" i="15" s="1"/>
  <c r="B250" i="15"/>
  <c r="G249" i="15"/>
  <c r="F249" i="15"/>
  <c r="E249" i="15"/>
  <c r="I249" i="15" s="1"/>
  <c r="C249" i="15"/>
  <c r="B249" i="15"/>
  <c r="A249" i="15" s="1"/>
  <c r="H248" i="15"/>
  <c r="G248" i="15"/>
  <c r="F248" i="15"/>
  <c r="E248" i="15"/>
  <c r="I248" i="15" s="1"/>
  <c r="D248" i="15"/>
  <c r="C248" i="15"/>
  <c r="B248" i="15"/>
  <c r="A248" i="15" s="1"/>
  <c r="E247" i="15"/>
  <c r="D247" i="15"/>
  <c r="C247" i="15"/>
  <c r="B247" i="15"/>
  <c r="A247" i="15"/>
  <c r="F246" i="15"/>
  <c r="E246" i="15"/>
  <c r="I246" i="15" s="1"/>
  <c r="B246" i="15"/>
  <c r="D246" i="15" s="1"/>
  <c r="I245" i="15"/>
  <c r="G245" i="15"/>
  <c r="F245" i="15"/>
  <c r="E245" i="15"/>
  <c r="H245" i="15" s="1"/>
  <c r="C245" i="15"/>
  <c r="B245" i="15"/>
  <c r="D245" i="15" s="1"/>
  <c r="H244" i="15"/>
  <c r="G244" i="15"/>
  <c r="F244" i="15"/>
  <c r="E244" i="15"/>
  <c r="I244" i="15" s="1"/>
  <c r="D244" i="15"/>
  <c r="C244" i="15"/>
  <c r="B244" i="15"/>
  <c r="A244" i="15" s="1"/>
  <c r="I243" i="15"/>
  <c r="E243" i="15"/>
  <c r="H243" i="15" s="1"/>
  <c r="D243" i="15"/>
  <c r="C243" i="15"/>
  <c r="B243" i="15"/>
  <c r="A243" i="15"/>
  <c r="I242" i="15"/>
  <c r="F242" i="15"/>
  <c r="E242" i="15"/>
  <c r="H242" i="15" s="1"/>
  <c r="B242" i="15"/>
  <c r="G241" i="15"/>
  <c r="F241" i="15"/>
  <c r="E241" i="15"/>
  <c r="I241" i="15" s="1"/>
  <c r="C241" i="15"/>
  <c r="B241" i="15"/>
  <c r="A241" i="15" s="1"/>
  <c r="H240" i="15"/>
  <c r="G240" i="15"/>
  <c r="F240" i="15"/>
  <c r="E240" i="15"/>
  <c r="I240" i="15" s="1"/>
  <c r="D240" i="15"/>
  <c r="C240" i="15"/>
  <c r="B240" i="15"/>
  <c r="A240" i="15" s="1"/>
  <c r="E239" i="15"/>
  <c r="D239" i="15"/>
  <c r="C239" i="15"/>
  <c r="B239" i="15"/>
  <c r="A239" i="15"/>
  <c r="F238" i="15"/>
  <c r="E238" i="15"/>
  <c r="I238" i="15" s="1"/>
  <c r="B238" i="15"/>
  <c r="D238" i="15" s="1"/>
  <c r="I237" i="15"/>
  <c r="G237" i="15"/>
  <c r="F237" i="15"/>
  <c r="E237" i="15"/>
  <c r="H237" i="15" s="1"/>
  <c r="C237" i="15"/>
  <c r="B237" i="15"/>
  <c r="D237" i="15" s="1"/>
  <c r="H236" i="15"/>
  <c r="G236" i="15"/>
  <c r="F236" i="15"/>
  <c r="E236" i="15"/>
  <c r="I236" i="15" s="1"/>
  <c r="D236" i="15"/>
  <c r="C236" i="15"/>
  <c r="B236" i="15"/>
  <c r="A236" i="15" s="1"/>
  <c r="I235" i="15"/>
  <c r="E235" i="15"/>
  <c r="H235" i="15" s="1"/>
  <c r="D235" i="15"/>
  <c r="C235" i="15"/>
  <c r="B235" i="15"/>
  <c r="A235" i="15"/>
  <c r="I234" i="15"/>
  <c r="F234" i="15"/>
  <c r="E234" i="15"/>
  <c r="H234" i="15" s="1"/>
  <c r="B234" i="15"/>
  <c r="G233" i="15"/>
  <c r="F233" i="15"/>
  <c r="E233" i="15"/>
  <c r="I233" i="15" s="1"/>
  <c r="C233" i="15"/>
  <c r="B233" i="15"/>
  <c r="A233" i="15" s="1"/>
  <c r="H232" i="15"/>
  <c r="G232" i="15"/>
  <c r="F232" i="15"/>
  <c r="E232" i="15"/>
  <c r="I232" i="15" s="1"/>
  <c r="D232" i="15"/>
  <c r="C232" i="15"/>
  <c r="B232" i="15"/>
  <c r="A232" i="15" s="1"/>
  <c r="E231" i="15"/>
  <c r="D231" i="15"/>
  <c r="C231" i="15"/>
  <c r="B231" i="15"/>
  <c r="A231" i="15"/>
  <c r="F230" i="15"/>
  <c r="E230" i="15"/>
  <c r="I230" i="15" s="1"/>
  <c r="B230" i="15"/>
  <c r="D230" i="15" s="1"/>
  <c r="I229" i="15"/>
  <c r="G229" i="15"/>
  <c r="F229" i="15"/>
  <c r="E229" i="15"/>
  <c r="H229" i="15" s="1"/>
  <c r="C229" i="15"/>
  <c r="B229" i="15"/>
  <c r="D229" i="15" s="1"/>
  <c r="H228" i="15"/>
  <c r="G228" i="15"/>
  <c r="F228" i="15"/>
  <c r="E228" i="15"/>
  <c r="I228" i="15" s="1"/>
  <c r="D228" i="15"/>
  <c r="C228" i="15"/>
  <c r="B228" i="15"/>
  <c r="A228" i="15" s="1"/>
  <c r="I227" i="15"/>
  <c r="E227" i="15"/>
  <c r="H227" i="15" s="1"/>
  <c r="D227" i="15"/>
  <c r="C227" i="15"/>
  <c r="B227" i="15"/>
  <c r="A227" i="15"/>
  <c r="I226" i="15"/>
  <c r="F226" i="15"/>
  <c r="E226" i="15"/>
  <c r="H226" i="15" s="1"/>
  <c r="B226" i="15"/>
  <c r="G225" i="15"/>
  <c r="F225" i="15"/>
  <c r="E225" i="15"/>
  <c r="I225" i="15" s="1"/>
  <c r="C225" i="15"/>
  <c r="B225" i="15"/>
  <c r="A225" i="15" s="1"/>
  <c r="H224" i="15"/>
  <c r="G224" i="15"/>
  <c r="F224" i="15"/>
  <c r="E224" i="15"/>
  <c r="I224" i="15" s="1"/>
  <c r="D224" i="15"/>
  <c r="C224" i="15"/>
  <c r="B224" i="15"/>
  <c r="A224" i="15" s="1"/>
  <c r="E223" i="15"/>
  <c r="D223" i="15"/>
  <c r="C223" i="15"/>
  <c r="B223" i="15"/>
  <c r="A223" i="15"/>
  <c r="F222" i="15"/>
  <c r="E222" i="15"/>
  <c r="I222" i="15" s="1"/>
  <c r="B222" i="15"/>
  <c r="D222" i="15" s="1"/>
  <c r="I221" i="15"/>
  <c r="G221" i="15"/>
  <c r="F221" i="15"/>
  <c r="E221" i="15"/>
  <c r="H221" i="15" s="1"/>
  <c r="C221" i="15"/>
  <c r="B221" i="15"/>
  <c r="D221" i="15" s="1"/>
  <c r="H220" i="15"/>
  <c r="G220" i="15"/>
  <c r="F220" i="15"/>
  <c r="E220" i="15"/>
  <c r="I220" i="15" s="1"/>
  <c r="D220" i="15"/>
  <c r="C220" i="15"/>
  <c r="B220" i="15"/>
  <c r="A220" i="15" s="1"/>
  <c r="I219" i="15"/>
  <c r="E219" i="15"/>
  <c r="H219" i="15" s="1"/>
  <c r="D219" i="15"/>
  <c r="C219" i="15"/>
  <c r="B219" i="15"/>
  <c r="A219" i="15"/>
  <c r="I218" i="15"/>
  <c r="F218" i="15"/>
  <c r="E218" i="15"/>
  <c r="H218" i="15" s="1"/>
  <c r="B218" i="15"/>
  <c r="G217" i="15"/>
  <c r="F217" i="15"/>
  <c r="E217" i="15"/>
  <c r="I217" i="15" s="1"/>
  <c r="C217" i="15"/>
  <c r="B217" i="15"/>
  <c r="A217" i="15" s="1"/>
  <c r="H216" i="15"/>
  <c r="G216" i="15"/>
  <c r="F216" i="15"/>
  <c r="E216" i="15"/>
  <c r="I216" i="15" s="1"/>
  <c r="D216" i="15"/>
  <c r="C216" i="15"/>
  <c r="B216" i="15"/>
  <c r="A216" i="15" s="1"/>
  <c r="E215" i="15"/>
  <c r="D215" i="15"/>
  <c r="C215" i="15"/>
  <c r="B215" i="15"/>
  <c r="A215" i="15"/>
  <c r="F214" i="15"/>
  <c r="E214" i="15"/>
  <c r="I214" i="15" s="1"/>
  <c r="B214" i="15"/>
  <c r="D214" i="15" s="1"/>
  <c r="I213" i="15"/>
  <c r="G213" i="15"/>
  <c r="F213" i="15"/>
  <c r="E213" i="15"/>
  <c r="H213" i="15" s="1"/>
  <c r="C213" i="15"/>
  <c r="B213" i="15"/>
  <c r="D213" i="15" s="1"/>
  <c r="I212" i="15"/>
  <c r="H212" i="15"/>
  <c r="G212" i="15"/>
  <c r="F212" i="15"/>
  <c r="E212" i="15"/>
  <c r="D212" i="15"/>
  <c r="C212" i="15"/>
  <c r="B212" i="15"/>
  <c r="A212" i="15" s="1"/>
  <c r="I211" i="15"/>
  <c r="E211" i="15"/>
  <c r="H211" i="15" s="1"/>
  <c r="D211" i="15"/>
  <c r="B211" i="15"/>
  <c r="C211" i="15" s="1"/>
  <c r="A211" i="15"/>
  <c r="I210" i="15"/>
  <c r="F210" i="15"/>
  <c r="E210" i="15"/>
  <c r="H210" i="15" s="1"/>
  <c r="B210" i="15"/>
  <c r="G209" i="15"/>
  <c r="F209" i="15"/>
  <c r="E209" i="15"/>
  <c r="I209" i="15" s="1"/>
  <c r="C209" i="15"/>
  <c r="B209" i="15"/>
  <c r="A209" i="15" s="1"/>
  <c r="H208" i="15"/>
  <c r="G208" i="15"/>
  <c r="E208" i="15"/>
  <c r="I208" i="15" s="1"/>
  <c r="D208" i="15"/>
  <c r="C208" i="15"/>
  <c r="B208" i="15"/>
  <c r="A208" i="15" s="1"/>
  <c r="E207" i="15"/>
  <c r="D207" i="15"/>
  <c r="C207" i="15"/>
  <c r="B207" i="15"/>
  <c r="A207" i="15"/>
  <c r="F206" i="15"/>
  <c r="E206" i="15"/>
  <c r="I206" i="15" s="1"/>
  <c r="B206" i="15"/>
  <c r="D206" i="15" s="1"/>
  <c r="I205" i="15"/>
  <c r="H205" i="15"/>
  <c r="G205" i="15"/>
  <c r="F205" i="15"/>
  <c r="E205" i="15"/>
  <c r="C205" i="15"/>
  <c r="B205" i="15"/>
  <c r="D205" i="15" s="1"/>
  <c r="I204" i="15"/>
  <c r="H204" i="15"/>
  <c r="G204" i="15"/>
  <c r="F204" i="15"/>
  <c r="E204" i="15"/>
  <c r="D204" i="15"/>
  <c r="C204" i="15"/>
  <c r="B204" i="15"/>
  <c r="A204" i="15"/>
  <c r="I203" i="15"/>
  <c r="E203" i="15"/>
  <c r="H203" i="15" s="1"/>
  <c r="D203" i="15"/>
  <c r="B203" i="15"/>
  <c r="C203" i="15" s="1"/>
  <c r="A203" i="15"/>
  <c r="I202" i="15"/>
  <c r="F202" i="15"/>
  <c r="E202" i="15"/>
  <c r="H202" i="15" s="1"/>
  <c r="B202" i="15"/>
  <c r="G201" i="15"/>
  <c r="F201" i="15"/>
  <c r="E201" i="15"/>
  <c r="I201" i="15" s="1"/>
  <c r="C201" i="15"/>
  <c r="B201" i="15"/>
  <c r="A201" i="15" s="1"/>
  <c r="H200" i="15"/>
  <c r="G200" i="15"/>
  <c r="E200" i="15"/>
  <c r="I200" i="15" s="1"/>
  <c r="D200" i="15"/>
  <c r="C200" i="15"/>
  <c r="B200" i="15"/>
  <c r="A200" i="15" s="1"/>
  <c r="E199" i="15"/>
  <c r="D199" i="15"/>
  <c r="C199" i="15"/>
  <c r="B199" i="15"/>
  <c r="A199" i="15"/>
  <c r="F198" i="15"/>
  <c r="E198" i="15"/>
  <c r="I198" i="15" s="1"/>
  <c r="B198" i="15"/>
  <c r="D198" i="15" s="1"/>
  <c r="I197" i="15"/>
  <c r="H197" i="15"/>
  <c r="G197" i="15"/>
  <c r="F197" i="15"/>
  <c r="E197" i="15"/>
  <c r="C197" i="15"/>
  <c r="B197" i="15"/>
  <c r="D197" i="15" s="1"/>
  <c r="I196" i="15"/>
  <c r="H196" i="15"/>
  <c r="G196" i="15"/>
  <c r="F196" i="15"/>
  <c r="E196" i="15"/>
  <c r="D196" i="15"/>
  <c r="C196" i="15"/>
  <c r="B196" i="15"/>
  <c r="A196" i="15"/>
  <c r="I195" i="15"/>
  <c r="E195" i="15"/>
  <c r="H195" i="15" s="1"/>
  <c r="D195" i="15"/>
  <c r="B195" i="15"/>
  <c r="C195" i="15" s="1"/>
  <c r="A195" i="15"/>
  <c r="I194" i="15"/>
  <c r="F194" i="15"/>
  <c r="E194" i="15"/>
  <c r="H194" i="15" s="1"/>
  <c r="B194" i="15"/>
  <c r="G193" i="15"/>
  <c r="F193" i="15"/>
  <c r="E193" i="15"/>
  <c r="I193" i="15" s="1"/>
  <c r="C193" i="15"/>
  <c r="B193" i="15"/>
  <c r="A193" i="15" s="1"/>
  <c r="H192" i="15"/>
  <c r="G192" i="15"/>
  <c r="E192" i="15"/>
  <c r="I192" i="15" s="1"/>
  <c r="D192" i="15"/>
  <c r="C192" i="15"/>
  <c r="B192" i="15"/>
  <c r="A192" i="15" s="1"/>
  <c r="E191" i="15"/>
  <c r="D191" i="15"/>
  <c r="C191" i="15"/>
  <c r="B191" i="15"/>
  <c r="A191" i="15"/>
  <c r="F190" i="15"/>
  <c r="E190" i="15"/>
  <c r="I190" i="15" s="1"/>
  <c r="B190" i="15"/>
  <c r="D190" i="15" s="1"/>
  <c r="I189" i="15"/>
  <c r="H189" i="15"/>
  <c r="G189" i="15"/>
  <c r="F189" i="15"/>
  <c r="E189" i="15"/>
  <c r="C189" i="15"/>
  <c r="B189" i="15"/>
  <c r="D189" i="15" s="1"/>
  <c r="I188" i="15"/>
  <c r="H188" i="15"/>
  <c r="G188" i="15"/>
  <c r="F188" i="15"/>
  <c r="E188" i="15"/>
  <c r="D188" i="15"/>
  <c r="C188" i="15"/>
  <c r="B188" i="15"/>
  <c r="A188" i="15"/>
  <c r="I187" i="15"/>
  <c r="E187" i="15"/>
  <c r="H187" i="15" s="1"/>
  <c r="D187" i="15"/>
  <c r="B187" i="15"/>
  <c r="C187" i="15" s="1"/>
  <c r="A187" i="15"/>
  <c r="I186" i="15"/>
  <c r="F186" i="15"/>
  <c r="E186" i="15"/>
  <c r="H186" i="15" s="1"/>
  <c r="B186" i="15"/>
  <c r="G185" i="15"/>
  <c r="F185" i="15"/>
  <c r="E185" i="15"/>
  <c r="I185" i="15" s="1"/>
  <c r="C185" i="15"/>
  <c r="B185" i="15"/>
  <c r="A185" i="15" s="1"/>
  <c r="H184" i="15"/>
  <c r="G184" i="15"/>
  <c r="E184" i="15"/>
  <c r="I184" i="15" s="1"/>
  <c r="D184" i="15"/>
  <c r="C184" i="15"/>
  <c r="B184" i="15"/>
  <c r="A184" i="15" s="1"/>
  <c r="E183" i="15"/>
  <c r="D183" i="15"/>
  <c r="C183" i="15"/>
  <c r="B183" i="15"/>
  <c r="A183" i="15"/>
  <c r="F182" i="15"/>
  <c r="E182" i="15"/>
  <c r="I182" i="15" s="1"/>
  <c r="B182" i="15"/>
  <c r="D182" i="15" s="1"/>
  <c r="H181" i="15"/>
  <c r="G181" i="15"/>
  <c r="F181" i="15"/>
  <c r="E181" i="15"/>
  <c r="I181" i="15" s="1"/>
  <c r="C181" i="15"/>
  <c r="B181" i="15"/>
  <c r="D181" i="15" s="1"/>
  <c r="I180" i="15"/>
  <c r="H180" i="15"/>
  <c r="G180" i="15"/>
  <c r="F180" i="15"/>
  <c r="E180" i="15"/>
  <c r="D180" i="15"/>
  <c r="C180" i="15"/>
  <c r="B180" i="15"/>
  <c r="A180" i="15"/>
  <c r="I179" i="15"/>
  <c r="E179" i="15"/>
  <c r="H179" i="15" s="1"/>
  <c r="D179" i="15"/>
  <c r="B179" i="15"/>
  <c r="C179" i="15" s="1"/>
  <c r="A179" i="15"/>
  <c r="I178" i="15"/>
  <c r="F178" i="15"/>
  <c r="E178" i="15"/>
  <c r="H178" i="15" s="1"/>
  <c r="B178" i="15"/>
  <c r="I177" i="15"/>
  <c r="G177" i="15"/>
  <c r="F177" i="15"/>
  <c r="E177" i="15"/>
  <c r="H177" i="15" s="1"/>
  <c r="C177" i="15"/>
  <c r="B177" i="15"/>
  <c r="A177" i="15" s="1"/>
  <c r="H176" i="15"/>
  <c r="G176" i="15"/>
  <c r="E176" i="15"/>
  <c r="I176" i="15" s="1"/>
  <c r="D176" i="15"/>
  <c r="C176" i="15"/>
  <c r="B176" i="15"/>
  <c r="A176" i="15" s="1"/>
  <c r="E175" i="15"/>
  <c r="D175" i="15"/>
  <c r="C175" i="15"/>
  <c r="B175" i="15"/>
  <c r="A175" i="15"/>
  <c r="F174" i="15"/>
  <c r="E174" i="15"/>
  <c r="I174" i="15" s="1"/>
  <c r="B174" i="15"/>
  <c r="D174" i="15" s="1"/>
  <c r="H173" i="15"/>
  <c r="G173" i="15"/>
  <c r="F173" i="15"/>
  <c r="E173" i="15"/>
  <c r="I173" i="15" s="1"/>
  <c r="C173" i="15"/>
  <c r="B173" i="15"/>
  <c r="D173" i="15" s="1"/>
  <c r="I172" i="15"/>
  <c r="H172" i="15"/>
  <c r="G172" i="15"/>
  <c r="F172" i="15"/>
  <c r="E172" i="15"/>
  <c r="D172" i="15"/>
  <c r="C172" i="15"/>
  <c r="B172" i="15"/>
  <c r="A172" i="15"/>
  <c r="I171" i="15"/>
  <c r="E171" i="15"/>
  <c r="H171" i="15" s="1"/>
  <c r="D171" i="15"/>
  <c r="B171" i="15"/>
  <c r="C171" i="15" s="1"/>
  <c r="A171" i="15"/>
  <c r="I170" i="15"/>
  <c r="F170" i="15"/>
  <c r="E170" i="15"/>
  <c r="H170" i="15" s="1"/>
  <c r="B170" i="15"/>
  <c r="I169" i="15"/>
  <c r="G169" i="15"/>
  <c r="F169" i="15"/>
  <c r="E169" i="15"/>
  <c r="H169" i="15" s="1"/>
  <c r="C169" i="15"/>
  <c r="B169" i="15"/>
  <c r="A169" i="15" s="1"/>
  <c r="H168" i="15"/>
  <c r="G168" i="15"/>
  <c r="E168" i="15"/>
  <c r="I168" i="15" s="1"/>
  <c r="D168" i="15"/>
  <c r="C168" i="15"/>
  <c r="B168" i="15"/>
  <c r="A168" i="15" s="1"/>
  <c r="E167" i="15"/>
  <c r="D167" i="15"/>
  <c r="C167" i="15"/>
  <c r="B167" i="15"/>
  <c r="A167" i="15"/>
  <c r="F166" i="15"/>
  <c r="E166" i="15"/>
  <c r="I166" i="15" s="1"/>
  <c r="B166" i="15"/>
  <c r="D166" i="15" s="1"/>
  <c r="H165" i="15"/>
  <c r="G165" i="15"/>
  <c r="F165" i="15"/>
  <c r="E165" i="15"/>
  <c r="I165" i="15" s="1"/>
  <c r="C165" i="15"/>
  <c r="B165" i="15"/>
  <c r="D165" i="15" s="1"/>
  <c r="I164" i="15"/>
  <c r="H164" i="15"/>
  <c r="G164" i="15"/>
  <c r="F164" i="15"/>
  <c r="E164" i="15"/>
  <c r="D164" i="15"/>
  <c r="C164" i="15"/>
  <c r="B164" i="15"/>
  <c r="A164" i="15"/>
  <c r="I163" i="15"/>
  <c r="E163" i="15"/>
  <c r="H163" i="15" s="1"/>
  <c r="D163" i="15"/>
  <c r="B163" i="15"/>
  <c r="C163" i="15" s="1"/>
  <c r="A163" i="15"/>
  <c r="I162" i="15"/>
  <c r="F162" i="15"/>
  <c r="E162" i="15"/>
  <c r="H162" i="15" s="1"/>
  <c r="B162" i="15"/>
  <c r="I161" i="15"/>
  <c r="G161" i="15"/>
  <c r="F161" i="15"/>
  <c r="E161" i="15"/>
  <c r="H161" i="15" s="1"/>
  <c r="C161" i="15"/>
  <c r="B161" i="15"/>
  <c r="A161" i="15" s="1"/>
  <c r="H160" i="15"/>
  <c r="G160" i="15"/>
  <c r="E160" i="15"/>
  <c r="I160" i="15" s="1"/>
  <c r="D160" i="15"/>
  <c r="C160" i="15"/>
  <c r="B160" i="15"/>
  <c r="A160" i="15" s="1"/>
  <c r="E159" i="15"/>
  <c r="D159" i="15"/>
  <c r="C159" i="15"/>
  <c r="B159" i="15"/>
  <c r="A159" i="15"/>
  <c r="F158" i="15"/>
  <c r="E158" i="15"/>
  <c r="I158" i="15" s="1"/>
  <c r="B158" i="15"/>
  <c r="D158" i="15" s="1"/>
  <c r="H157" i="15"/>
  <c r="G157" i="15"/>
  <c r="F157" i="15"/>
  <c r="E157" i="15"/>
  <c r="I157" i="15" s="1"/>
  <c r="C157" i="15"/>
  <c r="B157" i="15"/>
  <c r="D157" i="15" s="1"/>
  <c r="I156" i="15"/>
  <c r="H156" i="15"/>
  <c r="G156" i="15"/>
  <c r="F156" i="15"/>
  <c r="E156" i="15"/>
  <c r="D156" i="15"/>
  <c r="C156" i="15"/>
  <c r="B156" i="15"/>
  <c r="A156" i="15"/>
  <c r="I155" i="15"/>
  <c r="E155" i="15"/>
  <c r="H155" i="15" s="1"/>
  <c r="D155" i="15"/>
  <c r="B155" i="15"/>
  <c r="C155" i="15" s="1"/>
  <c r="A155" i="15"/>
  <c r="I154" i="15"/>
  <c r="F154" i="15"/>
  <c r="E154" i="15"/>
  <c r="H154" i="15" s="1"/>
  <c r="B154" i="15"/>
  <c r="I153" i="15"/>
  <c r="G153" i="15"/>
  <c r="F153" i="15"/>
  <c r="E153" i="15"/>
  <c r="H153" i="15" s="1"/>
  <c r="C153" i="15"/>
  <c r="B153" i="15"/>
  <c r="A153" i="15" s="1"/>
  <c r="H152" i="15"/>
  <c r="G152" i="15"/>
  <c r="E152" i="15"/>
  <c r="I152" i="15" s="1"/>
  <c r="D152" i="15"/>
  <c r="C152" i="15"/>
  <c r="B152" i="15"/>
  <c r="A152" i="15" s="1"/>
  <c r="E151" i="15"/>
  <c r="D151" i="15"/>
  <c r="C151" i="15"/>
  <c r="B151" i="15"/>
  <c r="A151" i="15"/>
  <c r="F150" i="15"/>
  <c r="E150" i="15"/>
  <c r="I150" i="15" s="1"/>
  <c r="B150" i="15"/>
  <c r="D150" i="15" s="1"/>
  <c r="H149" i="15"/>
  <c r="G149" i="15"/>
  <c r="F149" i="15"/>
  <c r="E149" i="15"/>
  <c r="I149" i="15" s="1"/>
  <c r="C149" i="15"/>
  <c r="B149" i="15"/>
  <c r="D149" i="15" s="1"/>
  <c r="I148" i="15"/>
  <c r="H148" i="15"/>
  <c r="G148" i="15"/>
  <c r="F148" i="15"/>
  <c r="E148" i="15"/>
  <c r="D148" i="15"/>
  <c r="C148" i="15"/>
  <c r="B148" i="15"/>
  <c r="A148" i="15"/>
  <c r="I147" i="15"/>
  <c r="E147" i="15"/>
  <c r="H147" i="15" s="1"/>
  <c r="D147" i="15"/>
  <c r="B147" i="15"/>
  <c r="C147" i="15" s="1"/>
  <c r="A147" i="15"/>
  <c r="I146" i="15"/>
  <c r="F146" i="15"/>
  <c r="E146" i="15"/>
  <c r="H146" i="15" s="1"/>
  <c r="B146" i="15"/>
  <c r="I145" i="15"/>
  <c r="G145" i="15"/>
  <c r="F145" i="15"/>
  <c r="E145" i="15"/>
  <c r="H145" i="15" s="1"/>
  <c r="C145" i="15"/>
  <c r="B145" i="15"/>
  <c r="A145" i="15" s="1"/>
  <c r="H144" i="15"/>
  <c r="G144" i="15"/>
  <c r="E144" i="15"/>
  <c r="I144" i="15" s="1"/>
  <c r="D144" i="15"/>
  <c r="C144" i="15"/>
  <c r="B144" i="15"/>
  <c r="A144" i="15" s="1"/>
  <c r="E143" i="15"/>
  <c r="D143" i="15"/>
  <c r="C143" i="15"/>
  <c r="B143" i="15"/>
  <c r="A143" i="15"/>
  <c r="F142" i="15"/>
  <c r="E142" i="15"/>
  <c r="I142" i="15" s="1"/>
  <c r="B142" i="15"/>
  <c r="D142" i="15" s="1"/>
  <c r="H141" i="15"/>
  <c r="G141" i="15"/>
  <c r="F141" i="15"/>
  <c r="E141" i="15"/>
  <c r="I141" i="15" s="1"/>
  <c r="C141" i="15"/>
  <c r="B141" i="15"/>
  <c r="D141" i="15" s="1"/>
  <c r="I140" i="15"/>
  <c r="H140" i="15"/>
  <c r="G140" i="15"/>
  <c r="F140" i="15"/>
  <c r="E140" i="15"/>
  <c r="D140" i="15"/>
  <c r="C140" i="15"/>
  <c r="B140" i="15"/>
  <c r="A140" i="15"/>
  <c r="I139" i="15"/>
  <c r="E139" i="15"/>
  <c r="H139" i="15" s="1"/>
  <c r="D139" i="15"/>
  <c r="B139" i="15"/>
  <c r="C139" i="15" s="1"/>
  <c r="A139" i="15"/>
  <c r="I138" i="15"/>
  <c r="F138" i="15"/>
  <c r="E138" i="15"/>
  <c r="H138" i="15" s="1"/>
  <c r="B138" i="15"/>
  <c r="I137" i="15"/>
  <c r="G137" i="15"/>
  <c r="F137" i="15"/>
  <c r="E137" i="15"/>
  <c r="H137" i="15" s="1"/>
  <c r="C137" i="15"/>
  <c r="B137" i="15"/>
  <c r="A137" i="15" s="1"/>
  <c r="H136" i="15"/>
  <c r="G136" i="15"/>
  <c r="E136" i="15"/>
  <c r="I136" i="15" s="1"/>
  <c r="D136" i="15"/>
  <c r="C136" i="15"/>
  <c r="B136" i="15"/>
  <c r="A136" i="15" s="1"/>
  <c r="E135" i="15"/>
  <c r="D135" i="15"/>
  <c r="C135" i="15"/>
  <c r="B135" i="15"/>
  <c r="A135" i="15"/>
  <c r="F134" i="15"/>
  <c r="E134" i="15"/>
  <c r="I134" i="15" s="1"/>
  <c r="B134" i="15"/>
  <c r="D134" i="15" s="1"/>
  <c r="H133" i="15"/>
  <c r="G133" i="15"/>
  <c r="F133" i="15"/>
  <c r="E133" i="15"/>
  <c r="I133" i="15" s="1"/>
  <c r="C133" i="15"/>
  <c r="B133" i="15"/>
  <c r="D133" i="15" s="1"/>
  <c r="I132" i="15"/>
  <c r="H132" i="15"/>
  <c r="G132" i="15"/>
  <c r="F132" i="15"/>
  <c r="E132" i="15"/>
  <c r="D132" i="15"/>
  <c r="C132" i="15"/>
  <c r="B132" i="15"/>
  <c r="A132" i="15"/>
  <c r="I131" i="15"/>
  <c r="E131" i="15"/>
  <c r="H131" i="15" s="1"/>
  <c r="D131" i="15"/>
  <c r="B131" i="15"/>
  <c r="C131" i="15" s="1"/>
  <c r="A131" i="15"/>
  <c r="I130" i="15"/>
  <c r="F130" i="15"/>
  <c r="E130" i="15"/>
  <c r="H130" i="15" s="1"/>
  <c r="B130" i="15"/>
  <c r="I129" i="15"/>
  <c r="G129" i="15"/>
  <c r="F129" i="15"/>
  <c r="E129" i="15"/>
  <c r="H129" i="15" s="1"/>
  <c r="C129" i="15"/>
  <c r="B129" i="15"/>
  <c r="A129" i="15" s="1"/>
  <c r="H128" i="15"/>
  <c r="G128" i="15"/>
  <c r="E128" i="15"/>
  <c r="I128" i="15" s="1"/>
  <c r="D128" i="15"/>
  <c r="C128" i="15"/>
  <c r="B128" i="15"/>
  <c r="A128" i="15" s="1"/>
  <c r="E127" i="15"/>
  <c r="D127" i="15"/>
  <c r="C127" i="15"/>
  <c r="B127" i="15"/>
  <c r="A127" i="15"/>
  <c r="F126" i="15"/>
  <c r="E126" i="15"/>
  <c r="I126" i="15" s="1"/>
  <c r="B126" i="15"/>
  <c r="D126" i="15" s="1"/>
  <c r="H125" i="15"/>
  <c r="G125" i="15"/>
  <c r="F125" i="15"/>
  <c r="E125" i="15"/>
  <c r="I125" i="15" s="1"/>
  <c r="C125" i="15"/>
  <c r="B125" i="15"/>
  <c r="D125" i="15" s="1"/>
  <c r="I124" i="15"/>
  <c r="H124" i="15"/>
  <c r="G124" i="15"/>
  <c r="F124" i="15"/>
  <c r="E124" i="15"/>
  <c r="D124" i="15"/>
  <c r="C124" i="15"/>
  <c r="B124" i="15"/>
  <c r="A124" i="15"/>
  <c r="I123" i="15"/>
  <c r="E123" i="15"/>
  <c r="H123" i="15" s="1"/>
  <c r="D123" i="15"/>
  <c r="B123" i="15"/>
  <c r="C123" i="15" s="1"/>
  <c r="A123" i="15"/>
  <c r="I122" i="15"/>
  <c r="F122" i="15"/>
  <c r="E122" i="15"/>
  <c r="H122" i="15" s="1"/>
  <c r="B122" i="15"/>
  <c r="I121" i="15"/>
  <c r="G121" i="15"/>
  <c r="F121" i="15"/>
  <c r="E121" i="15"/>
  <c r="H121" i="15" s="1"/>
  <c r="C121" i="15"/>
  <c r="B121" i="15"/>
  <c r="A121" i="15" s="1"/>
  <c r="H120" i="15"/>
  <c r="G120" i="15"/>
  <c r="E120" i="15"/>
  <c r="I120" i="15" s="1"/>
  <c r="D120" i="15"/>
  <c r="C120" i="15"/>
  <c r="B120" i="15"/>
  <c r="A120" i="15" s="1"/>
  <c r="E119" i="15"/>
  <c r="D119" i="15"/>
  <c r="C119" i="15"/>
  <c r="B119" i="15"/>
  <c r="A119" i="15"/>
  <c r="F118" i="15"/>
  <c r="E118" i="15"/>
  <c r="I118" i="15" s="1"/>
  <c r="B118" i="15"/>
  <c r="D118" i="15" s="1"/>
  <c r="G117" i="15"/>
  <c r="F117" i="15"/>
  <c r="E117" i="15"/>
  <c r="I117" i="15" s="1"/>
  <c r="C117" i="15"/>
  <c r="B117" i="15"/>
  <c r="D117" i="15" s="1"/>
  <c r="I116" i="15"/>
  <c r="H116" i="15"/>
  <c r="G116" i="15"/>
  <c r="F116" i="15"/>
  <c r="E116" i="15"/>
  <c r="D116" i="15"/>
  <c r="C116" i="15"/>
  <c r="B116" i="15"/>
  <c r="A116" i="15"/>
  <c r="I115" i="15"/>
  <c r="E115" i="15"/>
  <c r="H115" i="15" s="1"/>
  <c r="D115" i="15"/>
  <c r="B115" i="15"/>
  <c r="C115" i="15" s="1"/>
  <c r="A115" i="15"/>
  <c r="I114" i="15"/>
  <c r="F114" i="15"/>
  <c r="E114" i="15"/>
  <c r="H114" i="15" s="1"/>
  <c r="B114" i="15"/>
  <c r="I113" i="15"/>
  <c r="G113" i="15"/>
  <c r="F113" i="15"/>
  <c r="E113" i="15"/>
  <c r="H113" i="15" s="1"/>
  <c r="C113" i="15"/>
  <c r="B113" i="15"/>
  <c r="A113" i="15" s="1"/>
  <c r="H112" i="15"/>
  <c r="G112" i="15"/>
  <c r="E112" i="15"/>
  <c r="I112" i="15" s="1"/>
  <c r="D112" i="15"/>
  <c r="C112" i="15"/>
  <c r="B112" i="15"/>
  <c r="A112" i="15" s="1"/>
  <c r="E111" i="15"/>
  <c r="D111" i="15"/>
  <c r="C111" i="15"/>
  <c r="B111" i="15"/>
  <c r="A111" i="15"/>
  <c r="F110" i="15"/>
  <c r="E110" i="15"/>
  <c r="I110" i="15" s="1"/>
  <c r="B110" i="15"/>
  <c r="D110" i="15" s="1"/>
  <c r="G109" i="15"/>
  <c r="F109" i="15"/>
  <c r="E109" i="15"/>
  <c r="I109" i="15" s="1"/>
  <c r="C109" i="15"/>
  <c r="B109" i="15"/>
  <c r="D109" i="15" s="1"/>
  <c r="I108" i="15"/>
  <c r="H108" i="15"/>
  <c r="G108" i="15"/>
  <c r="F108" i="15"/>
  <c r="E108" i="15"/>
  <c r="D108" i="15"/>
  <c r="C108" i="15"/>
  <c r="B108" i="15"/>
  <c r="A108" i="15"/>
  <c r="I107" i="15"/>
  <c r="E107" i="15"/>
  <c r="H107" i="15" s="1"/>
  <c r="D107" i="15"/>
  <c r="B107" i="15"/>
  <c r="C107" i="15" s="1"/>
  <c r="A107" i="15"/>
  <c r="I106" i="15"/>
  <c r="F106" i="15"/>
  <c r="E106" i="15"/>
  <c r="H106" i="15" s="1"/>
  <c r="B106" i="15"/>
  <c r="I105" i="15"/>
  <c r="G105" i="15"/>
  <c r="F105" i="15"/>
  <c r="E105" i="15"/>
  <c r="H105" i="15" s="1"/>
  <c r="C105" i="15"/>
  <c r="B105" i="15"/>
  <c r="A105" i="15" s="1"/>
  <c r="H104" i="15"/>
  <c r="G104" i="15"/>
  <c r="E104" i="15"/>
  <c r="I104" i="15" s="1"/>
  <c r="D104" i="15"/>
  <c r="C104" i="15"/>
  <c r="B104" i="15"/>
  <c r="A104" i="15" s="1"/>
  <c r="E103" i="15"/>
  <c r="D103" i="15"/>
  <c r="C103" i="15"/>
  <c r="B103" i="15"/>
  <c r="A103" i="15"/>
  <c r="F102" i="15"/>
  <c r="E102" i="15"/>
  <c r="I102" i="15" s="1"/>
  <c r="B102" i="15"/>
  <c r="D102" i="15" s="1"/>
  <c r="G101" i="15"/>
  <c r="F101" i="15"/>
  <c r="E101" i="15"/>
  <c r="I101" i="15" s="1"/>
  <c r="C101" i="15"/>
  <c r="B101" i="15"/>
  <c r="D101" i="15" s="1"/>
  <c r="I100" i="15"/>
  <c r="H100" i="15"/>
  <c r="G100" i="15"/>
  <c r="F100" i="15"/>
  <c r="E100" i="15"/>
  <c r="D100" i="15"/>
  <c r="C100" i="15"/>
  <c r="B100" i="15"/>
  <c r="A100" i="15"/>
  <c r="I99" i="15"/>
  <c r="E99" i="15"/>
  <c r="H99" i="15" s="1"/>
  <c r="D99" i="15"/>
  <c r="B99" i="15"/>
  <c r="C99" i="15" s="1"/>
  <c r="A99" i="15"/>
  <c r="I98" i="15"/>
  <c r="F98" i="15"/>
  <c r="E98" i="15"/>
  <c r="H98" i="15" s="1"/>
  <c r="B98" i="15"/>
  <c r="I97" i="15"/>
  <c r="G97" i="15"/>
  <c r="F97" i="15"/>
  <c r="E97" i="15"/>
  <c r="H97" i="15" s="1"/>
  <c r="C97" i="15"/>
  <c r="B97" i="15"/>
  <c r="A97" i="15" s="1"/>
  <c r="H96" i="15"/>
  <c r="G96" i="15"/>
  <c r="E96" i="15"/>
  <c r="I96" i="15" s="1"/>
  <c r="D96" i="15"/>
  <c r="C96" i="15"/>
  <c r="B96" i="15"/>
  <c r="A96" i="15" s="1"/>
  <c r="E95" i="15"/>
  <c r="D95" i="15"/>
  <c r="C95" i="15"/>
  <c r="B95" i="15"/>
  <c r="A95" i="15"/>
  <c r="F94" i="15"/>
  <c r="E94" i="15"/>
  <c r="I94" i="15" s="1"/>
  <c r="B94" i="15"/>
  <c r="D94" i="15" s="1"/>
  <c r="G93" i="15"/>
  <c r="F93" i="15"/>
  <c r="E93" i="15"/>
  <c r="I93" i="15" s="1"/>
  <c r="C93" i="15"/>
  <c r="B93" i="15"/>
  <c r="D93" i="15" s="1"/>
  <c r="I92" i="15"/>
  <c r="H92" i="15"/>
  <c r="G92" i="15"/>
  <c r="F92" i="15"/>
  <c r="E92" i="15"/>
  <c r="D92" i="15"/>
  <c r="C92" i="15"/>
  <c r="B92" i="15"/>
  <c r="A92" i="15"/>
  <c r="I91" i="15"/>
  <c r="E91" i="15"/>
  <c r="H91" i="15" s="1"/>
  <c r="D91" i="15"/>
  <c r="B91" i="15"/>
  <c r="C91" i="15" s="1"/>
  <c r="A91" i="15"/>
  <c r="I90" i="15"/>
  <c r="F90" i="15"/>
  <c r="E90" i="15"/>
  <c r="H90" i="15" s="1"/>
  <c r="B90" i="15"/>
  <c r="I89" i="15"/>
  <c r="G89" i="15"/>
  <c r="F89" i="15"/>
  <c r="E89" i="15"/>
  <c r="H89" i="15" s="1"/>
  <c r="C89" i="15"/>
  <c r="B89" i="15"/>
  <c r="A89" i="15" s="1"/>
  <c r="H88" i="15"/>
  <c r="G88" i="15"/>
  <c r="E88" i="15"/>
  <c r="I88" i="15" s="1"/>
  <c r="D88" i="15"/>
  <c r="C88" i="15"/>
  <c r="B88" i="15"/>
  <c r="A88" i="15" s="1"/>
  <c r="E87" i="15"/>
  <c r="D87" i="15"/>
  <c r="C87" i="15"/>
  <c r="B87" i="15"/>
  <c r="A87" i="15"/>
  <c r="F86" i="15"/>
  <c r="E86" i="15"/>
  <c r="I86" i="15" s="1"/>
  <c r="B86" i="15"/>
  <c r="D86" i="15" s="1"/>
  <c r="G85" i="15"/>
  <c r="F85" i="15"/>
  <c r="E85" i="15"/>
  <c r="I85" i="15" s="1"/>
  <c r="C85" i="15"/>
  <c r="B85" i="15"/>
  <c r="D85" i="15" s="1"/>
  <c r="I84" i="15"/>
  <c r="H84" i="15"/>
  <c r="G84" i="15"/>
  <c r="F84" i="15"/>
  <c r="E84" i="15"/>
  <c r="D84" i="15"/>
  <c r="C84" i="15"/>
  <c r="B84" i="15"/>
  <c r="A84" i="15"/>
  <c r="I83" i="15"/>
  <c r="E83" i="15"/>
  <c r="H83" i="15" s="1"/>
  <c r="D83" i="15"/>
  <c r="B83" i="15"/>
  <c r="C83" i="15" s="1"/>
  <c r="A83" i="15"/>
  <c r="I82" i="15"/>
  <c r="F82" i="15"/>
  <c r="E82" i="15"/>
  <c r="H82" i="15" s="1"/>
  <c r="B82" i="15"/>
  <c r="I81" i="15"/>
  <c r="G81" i="15"/>
  <c r="F81" i="15"/>
  <c r="E81" i="15"/>
  <c r="H81" i="15" s="1"/>
  <c r="C81" i="15"/>
  <c r="B81" i="15"/>
  <c r="A81" i="15" s="1"/>
  <c r="H80" i="15"/>
  <c r="G80" i="15"/>
  <c r="E80" i="15"/>
  <c r="I80" i="15" s="1"/>
  <c r="D80" i="15"/>
  <c r="C80" i="15"/>
  <c r="B80" i="15"/>
  <c r="A80" i="15" s="1"/>
  <c r="E79" i="15"/>
  <c r="D79" i="15"/>
  <c r="C79" i="15"/>
  <c r="B79" i="15"/>
  <c r="A79" i="15"/>
  <c r="F78" i="15"/>
  <c r="E78" i="15"/>
  <c r="I78" i="15" s="1"/>
  <c r="B78" i="15"/>
  <c r="D78" i="15" s="1"/>
  <c r="G77" i="15"/>
  <c r="F77" i="15"/>
  <c r="E77" i="15"/>
  <c r="I77" i="15" s="1"/>
  <c r="C77" i="15"/>
  <c r="B77" i="15"/>
  <c r="D77" i="15" s="1"/>
  <c r="I76" i="15"/>
  <c r="H76" i="15"/>
  <c r="G76" i="15"/>
  <c r="F76" i="15"/>
  <c r="E76" i="15"/>
  <c r="D76" i="15"/>
  <c r="C76" i="15"/>
  <c r="B76" i="15"/>
  <c r="A76" i="15"/>
  <c r="I75" i="15"/>
  <c r="E75" i="15"/>
  <c r="H75" i="15" s="1"/>
  <c r="D75" i="15"/>
  <c r="B75" i="15"/>
  <c r="C75" i="15" s="1"/>
  <c r="A75" i="15"/>
  <c r="I74" i="15"/>
  <c r="F74" i="15"/>
  <c r="E74" i="15"/>
  <c r="H74" i="15" s="1"/>
  <c r="B74" i="15"/>
  <c r="I73" i="15"/>
  <c r="G73" i="15"/>
  <c r="F73" i="15"/>
  <c r="E73" i="15"/>
  <c r="H73" i="15" s="1"/>
  <c r="C73" i="15"/>
  <c r="B73" i="15"/>
  <c r="A73" i="15" s="1"/>
  <c r="H72" i="15"/>
  <c r="G72" i="15"/>
  <c r="E72" i="15"/>
  <c r="I72" i="15" s="1"/>
  <c r="D72" i="15"/>
  <c r="C72" i="15"/>
  <c r="B72" i="15"/>
  <c r="A72" i="15" s="1"/>
  <c r="E71" i="15"/>
  <c r="D71" i="15"/>
  <c r="C71" i="15"/>
  <c r="B71" i="15"/>
  <c r="A71" i="15"/>
  <c r="F70" i="15"/>
  <c r="E70" i="15"/>
  <c r="I70" i="15" s="1"/>
  <c r="B70" i="15"/>
  <c r="D70" i="15" s="1"/>
  <c r="G69" i="15"/>
  <c r="F69" i="15"/>
  <c r="E69" i="15"/>
  <c r="I69" i="15" s="1"/>
  <c r="C69" i="15"/>
  <c r="B69" i="15"/>
  <c r="D69" i="15" s="1"/>
  <c r="I68" i="15"/>
  <c r="H68" i="15"/>
  <c r="G68" i="15"/>
  <c r="F68" i="15"/>
  <c r="E68" i="15"/>
  <c r="D68" i="15"/>
  <c r="C68" i="15"/>
  <c r="B68" i="15"/>
  <c r="A68" i="15"/>
  <c r="I67" i="15"/>
  <c r="E67" i="15"/>
  <c r="H67" i="15" s="1"/>
  <c r="D67" i="15"/>
  <c r="B67" i="15"/>
  <c r="C67" i="15" s="1"/>
  <c r="A67" i="15"/>
  <c r="I66" i="15"/>
  <c r="F66" i="15"/>
  <c r="E66" i="15"/>
  <c r="H66" i="15" s="1"/>
  <c r="B66" i="15"/>
  <c r="I65" i="15"/>
  <c r="G65" i="15"/>
  <c r="F65" i="15"/>
  <c r="E65" i="15"/>
  <c r="H65" i="15" s="1"/>
  <c r="C65" i="15"/>
  <c r="B65" i="15"/>
  <c r="A65" i="15" s="1"/>
  <c r="H64" i="15"/>
  <c r="G64" i="15"/>
  <c r="E64" i="15"/>
  <c r="I64" i="15" s="1"/>
  <c r="D64" i="15"/>
  <c r="C64" i="15"/>
  <c r="B64" i="15"/>
  <c r="A64" i="15" s="1"/>
  <c r="E63" i="15"/>
  <c r="D63" i="15"/>
  <c r="C63" i="15"/>
  <c r="B63" i="15"/>
  <c r="A63" i="15"/>
  <c r="F62" i="15"/>
  <c r="E62" i="15"/>
  <c r="I62" i="15" s="1"/>
  <c r="B62" i="15"/>
  <c r="D62" i="15" s="1"/>
  <c r="G61" i="15"/>
  <c r="F61" i="15"/>
  <c r="E61" i="15"/>
  <c r="I61" i="15" s="1"/>
  <c r="C61" i="15"/>
  <c r="B61" i="15"/>
  <c r="D61" i="15" s="1"/>
  <c r="I60" i="15"/>
  <c r="H60" i="15"/>
  <c r="G60" i="15"/>
  <c r="F60" i="15"/>
  <c r="E60" i="15"/>
  <c r="D60" i="15"/>
  <c r="C60" i="15"/>
  <c r="B60" i="15"/>
  <c r="A60" i="15"/>
  <c r="I59" i="15"/>
  <c r="E59" i="15"/>
  <c r="H59" i="15" s="1"/>
  <c r="D59" i="15"/>
  <c r="B59" i="15"/>
  <c r="C59" i="15" s="1"/>
  <c r="A59" i="15"/>
  <c r="I58" i="15"/>
  <c r="F58" i="15"/>
  <c r="E58" i="15"/>
  <c r="H58" i="15" s="1"/>
  <c r="B58" i="15"/>
  <c r="I57" i="15"/>
  <c r="G57" i="15"/>
  <c r="F57" i="15"/>
  <c r="E57" i="15"/>
  <c r="H57" i="15" s="1"/>
  <c r="C57" i="15"/>
  <c r="B57" i="15"/>
  <c r="A57" i="15" s="1"/>
  <c r="H56" i="15"/>
  <c r="G56" i="15"/>
  <c r="E56" i="15"/>
  <c r="I56" i="15" s="1"/>
  <c r="D56" i="15"/>
  <c r="C56" i="15"/>
  <c r="B56" i="15"/>
  <c r="A56" i="15" s="1"/>
  <c r="E55" i="15"/>
  <c r="D55" i="15"/>
  <c r="C55" i="15"/>
  <c r="B55" i="15"/>
  <c r="A55" i="15"/>
  <c r="F54" i="15"/>
  <c r="E54" i="15"/>
  <c r="I54" i="15" s="1"/>
  <c r="B54" i="15"/>
  <c r="D54" i="15" s="1"/>
  <c r="G53" i="15"/>
  <c r="F53" i="15"/>
  <c r="E53" i="15"/>
  <c r="I53" i="15" s="1"/>
  <c r="C53" i="15"/>
  <c r="B53" i="15"/>
  <c r="D53" i="15" s="1"/>
  <c r="I52" i="15"/>
  <c r="H52" i="15"/>
  <c r="G52" i="15"/>
  <c r="F52" i="15"/>
  <c r="E52" i="15"/>
  <c r="D52" i="15"/>
  <c r="C52" i="15"/>
  <c r="B52" i="15"/>
  <c r="A52" i="15"/>
  <c r="I51" i="15"/>
  <c r="E51" i="15"/>
  <c r="H51" i="15" s="1"/>
  <c r="D51" i="15"/>
  <c r="B51" i="15"/>
  <c r="C51" i="15" s="1"/>
  <c r="A51" i="15"/>
  <c r="I50" i="15"/>
  <c r="F50" i="15"/>
  <c r="E50" i="15"/>
  <c r="H50" i="15" s="1"/>
  <c r="B50" i="15"/>
  <c r="I49" i="15"/>
  <c r="G49" i="15"/>
  <c r="F49" i="15"/>
  <c r="E49" i="15"/>
  <c r="H49" i="15" s="1"/>
  <c r="C49" i="15"/>
  <c r="B49" i="15"/>
  <c r="A49" i="15" s="1"/>
  <c r="H48" i="15"/>
  <c r="G48" i="15"/>
  <c r="E48" i="15"/>
  <c r="I48" i="15" s="1"/>
  <c r="D48" i="15"/>
  <c r="C48" i="15"/>
  <c r="B48" i="15"/>
  <c r="A48" i="15" s="1"/>
  <c r="E47" i="15"/>
  <c r="D47" i="15"/>
  <c r="C47" i="15"/>
  <c r="B47" i="15"/>
  <c r="A47" i="15"/>
  <c r="F46" i="15"/>
  <c r="E46" i="15"/>
  <c r="I46" i="15" s="1"/>
  <c r="B46" i="15"/>
  <c r="D46" i="15" s="1"/>
  <c r="G45" i="15"/>
  <c r="F45" i="15"/>
  <c r="E45" i="15"/>
  <c r="I45" i="15" s="1"/>
  <c r="C45" i="15"/>
  <c r="B45" i="15"/>
  <c r="D45" i="15" s="1"/>
  <c r="I44" i="15"/>
  <c r="H44" i="15"/>
  <c r="G44" i="15"/>
  <c r="F44" i="15"/>
  <c r="E44" i="15"/>
  <c r="D44" i="15"/>
  <c r="C44" i="15"/>
  <c r="B44" i="15"/>
  <c r="A44" i="15"/>
  <c r="I43" i="15"/>
  <c r="E43" i="15"/>
  <c r="H43" i="15" s="1"/>
  <c r="D43" i="15"/>
  <c r="B43" i="15"/>
  <c r="C43" i="15" s="1"/>
  <c r="A43" i="15"/>
  <c r="I42" i="15"/>
  <c r="F42" i="15"/>
  <c r="E42" i="15"/>
  <c r="H42" i="15" s="1"/>
  <c r="B42" i="15"/>
  <c r="I41" i="15"/>
  <c r="G41" i="15"/>
  <c r="F41" i="15"/>
  <c r="E41" i="15"/>
  <c r="H41" i="15" s="1"/>
  <c r="C41" i="15"/>
  <c r="B41" i="15"/>
  <c r="A41" i="15" s="1"/>
  <c r="H40" i="15"/>
  <c r="G40" i="15"/>
  <c r="E40" i="15"/>
  <c r="I40" i="15" s="1"/>
  <c r="D40" i="15"/>
  <c r="C40" i="15"/>
  <c r="B40" i="15"/>
  <c r="A40" i="15" s="1"/>
  <c r="E39" i="15"/>
  <c r="D39" i="15"/>
  <c r="C39" i="15"/>
  <c r="B39" i="15"/>
  <c r="A39" i="15"/>
  <c r="F38" i="15"/>
  <c r="E38" i="15"/>
  <c r="I38" i="15" s="1"/>
  <c r="B38" i="15"/>
  <c r="D38" i="15" s="1"/>
  <c r="G37" i="15"/>
  <c r="F37" i="15"/>
  <c r="E37" i="15"/>
  <c r="I37" i="15" s="1"/>
  <c r="C37" i="15"/>
  <c r="B37" i="15"/>
  <c r="D37" i="15" s="1"/>
  <c r="I36" i="15"/>
  <c r="H36" i="15"/>
  <c r="G36" i="15"/>
  <c r="F36" i="15"/>
  <c r="E36" i="15"/>
  <c r="D36" i="15"/>
  <c r="C36" i="15"/>
  <c r="B36" i="15"/>
  <c r="A36" i="15"/>
  <c r="I35" i="15"/>
  <c r="E35" i="15"/>
  <c r="H35" i="15" s="1"/>
  <c r="D35" i="15"/>
  <c r="B35" i="15"/>
  <c r="C35" i="15" s="1"/>
  <c r="A35" i="15"/>
  <c r="I34" i="15"/>
  <c r="F34" i="15"/>
  <c r="E34" i="15"/>
  <c r="H34" i="15" s="1"/>
  <c r="B34" i="15"/>
  <c r="I33" i="15"/>
  <c r="G33" i="15"/>
  <c r="F33" i="15"/>
  <c r="E33" i="15"/>
  <c r="H33" i="15" s="1"/>
  <c r="C33" i="15"/>
  <c r="B33" i="15"/>
  <c r="A33" i="15" s="1"/>
  <c r="H32" i="15"/>
  <c r="G32" i="15"/>
  <c r="E32" i="15"/>
  <c r="I32" i="15" s="1"/>
  <c r="D32" i="15"/>
  <c r="C32" i="15"/>
  <c r="B32" i="15"/>
  <c r="A32" i="15" s="1"/>
  <c r="E31" i="15"/>
  <c r="D31" i="15"/>
  <c r="C31" i="15"/>
  <c r="B31" i="15"/>
  <c r="A31" i="15"/>
  <c r="F30" i="15"/>
  <c r="E30" i="15"/>
  <c r="I30" i="15" s="1"/>
  <c r="B30" i="15"/>
  <c r="D30" i="15" s="1"/>
  <c r="G29" i="15"/>
  <c r="F29" i="15"/>
  <c r="E29" i="15"/>
  <c r="I29" i="15" s="1"/>
  <c r="C29" i="15"/>
  <c r="B29" i="15"/>
  <c r="D29" i="15" s="1"/>
  <c r="I28" i="15"/>
  <c r="H28" i="15"/>
  <c r="G28" i="15"/>
  <c r="F28" i="15"/>
  <c r="E28" i="15"/>
  <c r="D28" i="15"/>
  <c r="C28" i="15"/>
  <c r="B28" i="15"/>
  <c r="A28" i="15"/>
  <c r="I27" i="15"/>
  <c r="E27" i="15"/>
  <c r="H27" i="15" s="1"/>
  <c r="D27" i="15"/>
  <c r="B27" i="15"/>
  <c r="C27" i="15" s="1"/>
  <c r="A27" i="15"/>
  <c r="I26" i="15"/>
  <c r="F26" i="15"/>
  <c r="E26" i="15"/>
  <c r="H26" i="15" s="1"/>
  <c r="B26" i="15"/>
  <c r="I25" i="15"/>
  <c r="G25" i="15"/>
  <c r="F25" i="15"/>
  <c r="E25" i="15"/>
  <c r="H25" i="15" s="1"/>
  <c r="C25" i="15"/>
  <c r="B25" i="15"/>
  <c r="H24" i="15"/>
  <c r="G24" i="15"/>
  <c r="E24" i="15"/>
  <c r="I24" i="15" s="1"/>
  <c r="D24" i="15"/>
  <c r="C24" i="15"/>
  <c r="B24" i="15"/>
  <c r="A24" i="15" s="1"/>
  <c r="E23" i="15"/>
  <c r="D23" i="15"/>
  <c r="C23" i="15"/>
  <c r="B23" i="15"/>
  <c r="A23" i="15"/>
  <c r="F22" i="15"/>
  <c r="E22" i="15"/>
  <c r="I22" i="15" s="1"/>
  <c r="B22" i="15"/>
  <c r="D22" i="15" s="1"/>
  <c r="G21" i="15"/>
  <c r="F21" i="15"/>
  <c r="E21" i="15"/>
  <c r="I21" i="15" s="1"/>
  <c r="C21" i="15"/>
  <c r="B21" i="15"/>
  <c r="D21" i="15" s="1"/>
  <c r="I20" i="15"/>
  <c r="H20" i="15"/>
  <c r="G20" i="15"/>
  <c r="F20" i="15"/>
  <c r="E20" i="15"/>
  <c r="D20" i="15"/>
  <c r="C20" i="15"/>
  <c r="B20" i="15"/>
  <c r="A20" i="15"/>
  <c r="I19" i="15"/>
  <c r="E19" i="15"/>
  <c r="H19" i="15" s="1"/>
  <c r="D19" i="15"/>
  <c r="B19" i="15"/>
  <c r="C19" i="15" s="1"/>
  <c r="A19" i="15"/>
  <c r="I18" i="15"/>
  <c r="F18" i="15"/>
  <c r="E18" i="15"/>
  <c r="H18" i="15" s="1"/>
  <c r="B18" i="15"/>
  <c r="I17" i="15"/>
  <c r="G17" i="15"/>
  <c r="F17" i="15"/>
  <c r="E17" i="15"/>
  <c r="H17" i="15" s="1"/>
  <c r="C17" i="15"/>
  <c r="B17" i="15"/>
  <c r="A17" i="15" s="1"/>
  <c r="H16" i="15"/>
  <c r="G16" i="15"/>
  <c r="E16" i="15"/>
  <c r="I16" i="15" s="1"/>
  <c r="D16" i="15"/>
  <c r="C16" i="15"/>
  <c r="B16" i="15"/>
  <c r="A16" i="15" s="1"/>
  <c r="E15" i="15"/>
  <c r="D15" i="15"/>
  <c r="C15" i="15"/>
  <c r="B15" i="15"/>
  <c r="A15" i="15"/>
  <c r="F14" i="15"/>
  <c r="E14" i="15"/>
  <c r="I14" i="15" s="1"/>
  <c r="B14" i="15"/>
  <c r="D14" i="15" s="1"/>
  <c r="G13" i="15"/>
  <c r="F13" i="15"/>
  <c r="E13" i="15"/>
  <c r="I13" i="15" s="1"/>
  <c r="C13" i="15"/>
  <c r="B13" i="15"/>
  <c r="D13" i="15" s="1"/>
  <c r="I12" i="15"/>
  <c r="H12" i="15"/>
  <c r="G12" i="15"/>
  <c r="F12" i="15"/>
  <c r="E12" i="15"/>
  <c r="D12" i="15"/>
  <c r="C12" i="15"/>
  <c r="B12" i="15"/>
  <c r="A12" i="15"/>
  <c r="I11" i="15"/>
  <c r="E11" i="15"/>
  <c r="H11" i="15" s="1"/>
  <c r="D11" i="15"/>
  <c r="B11" i="15"/>
  <c r="C11" i="15" s="1"/>
  <c r="A11" i="15"/>
  <c r="A6" i="15"/>
  <c r="A3" i="15"/>
  <c r="A2" i="15"/>
  <c r="A1" i="15"/>
  <c r="G321" i="14"/>
  <c r="A321" i="14"/>
  <c r="Q310" i="14"/>
  <c r="P310" i="14"/>
  <c r="O310" i="14"/>
  <c r="N310" i="14"/>
  <c r="M310" i="14"/>
  <c r="L310" i="14"/>
  <c r="K310" i="14"/>
  <c r="I310" i="14"/>
  <c r="H310" i="14"/>
  <c r="G310" i="14"/>
  <c r="F310" i="14"/>
  <c r="E310" i="14"/>
  <c r="D310" i="14"/>
  <c r="C310" i="14"/>
  <c r="B310" i="14"/>
  <c r="B307" i="20" s="1"/>
  <c r="A310" i="14"/>
  <c r="Q309" i="14"/>
  <c r="P309" i="14"/>
  <c r="O309" i="14"/>
  <c r="M309" i="14"/>
  <c r="L309" i="14"/>
  <c r="I309" i="14"/>
  <c r="H309" i="14"/>
  <c r="G309" i="14"/>
  <c r="E309" i="14"/>
  <c r="D309" i="14"/>
  <c r="B309" i="14"/>
  <c r="B306" i="20" s="1"/>
  <c r="A309" i="14"/>
  <c r="J308" i="14"/>
  <c r="B308" i="14"/>
  <c r="K307" i="14"/>
  <c r="C307" i="14"/>
  <c r="B307" i="14"/>
  <c r="B304" i="20" s="1"/>
  <c r="P306" i="14"/>
  <c r="O306" i="14"/>
  <c r="L306" i="14"/>
  <c r="K306" i="14"/>
  <c r="H306" i="14"/>
  <c r="G306" i="14"/>
  <c r="D306" i="14"/>
  <c r="C306" i="14"/>
  <c r="B306" i="14"/>
  <c r="B303" i="20" s="1"/>
  <c r="Q305" i="14"/>
  <c r="P305" i="14"/>
  <c r="N305" i="14"/>
  <c r="M305" i="14"/>
  <c r="L305" i="14"/>
  <c r="K305" i="14"/>
  <c r="I305" i="14"/>
  <c r="H305" i="14"/>
  <c r="F305" i="14"/>
  <c r="E305" i="14"/>
  <c r="D305" i="14"/>
  <c r="C305" i="14"/>
  <c r="B305" i="14"/>
  <c r="B302" i="20" s="1"/>
  <c r="A305" i="14"/>
  <c r="N304" i="14"/>
  <c r="M304" i="14"/>
  <c r="F304" i="14"/>
  <c r="E304" i="14"/>
  <c r="B304" i="14"/>
  <c r="B301" i="20" s="1"/>
  <c r="O303" i="14"/>
  <c r="N303" i="14"/>
  <c r="K303" i="14"/>
  <c r="G303" i="14"/>
  <c r="F303" i="14"/>
  <c r="C303" i="14"/>
  <c r="B303" i="14"/>
  <c r="B300" i="20" s="1"/>
  <c r="Q302" i="14"/>
  <c r="P302" i="14"/>
  <c r="O302" i="14"/>
  <c r="N302" i="14"/>
  <c r="M302" i="14"/>
  <c r="L302" i="14"/>
  <c r="K302" i="14"/>
  <c r="I302" i="14"/>
  <c r="H302" i="14"/>
  <c r="G302" i="14"/>
  <c r="F302" i="14"/>
  <c r="E302" i="14"/>
  <c r="D302" i="14"/>
  <c r="C302" i="14"/>
  <c r="B302" i="14"/>
  <c r="B299" i="20" s="1"/>
  <c r="A302" i="14"/>
  <c r="Q301" i="14"/>
  <c r="P301" i="14"/>
  <c r="O301" i="14"/>
  <c r="M301" i="14"/>
  <c r="L301" i="14"/>
  <c r="I301" i="14"/>
  <c r="H301" i="14"/>
  <c r="G301" i="14"/>
  <c r="E301" i="14"/>
  <c r="D301" i="14"/>
  <c r="B301" i="14"/>
  <c r="B298" i="20" s="1"/>
  <c r="A301" i="14"/>
  <c r="B300" i="14"/>
  <c r="K299" i="14"/>
  <c r="C299" i="14"/>
  <c r="B299" i="14"/>
  <c r="B296" i="20" s="1"/>
  <c r="P298" i="14"/>
  <c r="O298" i="14"/>
  <c r="L298" i="14"/>
  <c r="K298" i="14"/>
  <c r="H298" i="14"/>
  <c r="G298" i="14"/>
  <c r="D298" i="14"/>
  <c r="C298" i="14"/>
  <c r="B298" i="14"/>
  <c r="B295" i="20" s="1"/>
  <c r="Q297" i="14"/>
  <c r="P297" i="14"/>
  <c r="N297" i="14"/>
  <c r="M297" i="14"/>
  <c r="L297" i="14"/>
  <c r="K297" i="14"/>
  <c r="I297" i="14"/>
  <c r="H297" i="14"/>
  <c r="F297" i="14"/>
  <c r="E297" i="14"/>
  <c r="D297" i="14"/>
  <c r="C297" i="14"/>
  <c r="B297" i="14"/>
  <c r="B294" i="20" s="1"/>
  <c r="A297" i="14"/>
  <c r="N296" i="14"/>
  <c r="M296" i="14"/>
  <c r="F296" i="14"/>
  <c r="E296" i="14"/>
  <c r="B296" i="14"/>
  <c r="B293" i="20" s="1"/>
  <c r="O295" i="14"/>
  <c r="N295" i="14"/>
  <c r="K295" i="14"/>
  <c r="G295" i="14"/>
  <c r="F295" i="14"/>
  <c r="C295" i="14"/>
  <c r="B295" i="14"/>
  <c r="B292" i="20" s="1"/>
  <c r="Q294" i="14"/>
  <c r="P294" i="14"/>
  <c r="O294" i="14"/>
  <c r="N294" i="14"/>
  <c r="M294" i="14"/>
  <c r="L294" i="14"/>
  <c r="K294" i="14"/>
  <c r="I294" i="14"/>
  <c r="H294" i="14"/>
  <c r="G294" i="14"/>
  <c r="F294" i="14"/>
  <c r="E294" i="14"/>
  <c r="D294" i="14"/>
  <c r="C294" i="14"/>
  <c r="B294" i="14"/>
  <c r="B291" i="20" s="1"/>
  <c r="A294" i="14"/>
  <c r="Q293" i="14"/>
  <c r="P293" i="14"/>
  <c r="O293" i="14"/>
  <c r="M293" i="14"/>
  <c r="L293" i="14"/>
  <c r="I293" i="14"/>
  <c r="H293" i="14"/>
  <c r="G293" i="14"/>
  <c r="E293" i="14"/>
  <c r="D293" i="14"/>
  <c r="B293" i="14"/>
  <c r="B290" i="20" s="1"/>
  <c r="A293" i="14"/>
  <c r="J292" i="14"/>
  <c r="B292" i="14"/>
  <c r="K291" i="14"/>
  <c r="C291" i="14"/>
  <c r="B291" i="14"/>
  <c r="B288" i="20" s="1"/>
  <c r="P290" i="14"/>
  <c r="O290" i="14"/>
  <c r="L290" i="14"/>
  <c r="K290" i="14"/>
  <c r="H290" i="14"/>
  <c r="G290" i="14"/>
  <c r="D290" i="14"/>
  <c r="C290" i="14"/>
  <c r="B290" i="14"/>
  <c r="B287" i="20" s="1"/>
  <c r="Q289" i="14"/>
  <c r="P289" i="14"/>
  <c r="N289" i="14"/>
  <c r="M289" i="14"/>
  <c r="L289" i="14"/>
  <c r="K289" i="14"/>
  <c r="I289" i="14"/>
  <c r="H289" i="14"/>
  <c r="F289" i="14"/>
  <c r="E289" i="14"/>
  <c r="D289" i="14"/>
  <c r="C289" i="14"/>
  <c r="B289" i="14"/>
  <c r="B286" i="20" s="1"/>
  <c r="A289" i="14"/>
  <c r="N288" i="14"/>
  <c r="M288" i="14"/>
  <c r="F288" i="14"/>
  <c r="E288" i="14"/>
  <c r="B288" i="14"/>
  <c r="B285" i="20" s="1"/>
  <c r="O287" i="14"/>
  <c r="N287" i="14"/>
  <c r="K287" i="14"/>
  <c r="G287" i="14"/>
  <c r="F287" i="14"/>
  <c r="C287" i="14"/>
  <c r="B287" i="14"/>
  <c r="B284" i="20" s="1"/>
  <c r="Q286" i="14"/>
  <c r="P286" i="14"/>
  <c r="O286" i="14"/>
  <c r="N286" i="14"/>
  <c r="M286" i="14"/>
  <c r="L286" i="14"/>
  <c r="K286" i="14"/>
  <c r="I286" i="14"/>
  <c r="H286" i="14"/>
  <c r="G286" i="14"/>
  <c r="F286" i="14"/>
  <c r="E286" i="14"/>
  <c r="D286" i="14"/>
  <c r="C286" i="14"/>
  <c r="B286" i="14"/>
  <c r="B283" i="20" s="1"/>
  <c r="A286" i="14"/>
  <c r="Q285" i="14"/>
  <c r="P285" i="14"/>
  <c r="O285" i="14"/>
  <c r="M285" i="14"/>
  <c r="L285" i="14"/>
  <c r="I285" i="14"/>
  <c r="H285" i="14"/>
  <c r="G285" i="14"/>
  <c r="E285" i="14"/>
  <c r="D285" i="14"/>
  <c r="B285" i="14"/>
  <c r="B282" i="20" s="1"/>
  <c r="A285" i="14"/>
  <c r="B284" i="14"/>
  <c r="K283" i="14"/>
  <c r="C283" i="14"/>
  <c r="B283" i="14"/>
  <c r="B280" i="20" s="1"/>
  <c r="P282" i="14"/>
  <c r="O282" i="14"/>
  <c r="L282" i="14"/>
  <c r="K282" i="14"/>
  <c r="H282" i="14"/>
  <c r="G282" i="14"/>
  <c r="D282" i="14"/>
  <c r="C282" i="14"/>
  <c r="B282" i="14"/>
  <c r="B279" i="20" s="1"/>
  <c r="Q281" i="14"/>
  <c r="P281" i="14"/>
  <c r="N281" i="14"/>
  <c r="M281" i="14"/>
  <c r="L281" i="14"/>
  <c r="K281" i="14"/>
  <c r="I281" i="14"/>
  <c r="H281" i="14"/>
  <c r="F281" i="14"/>
  <c r="E281" i="14"/>
  <c r="D281" i="14"/>
  <c r="C281" i="14"/>
  <c r="B281" i="14"/>
  <c r="B278" i="20" s="1"/>
  <c r="A281" i="14"/>
  <c r="N280" i="14"/>
  <c r="M280" i="14"/>
  <c r="F280" i="14"/>
  <c r="E280" i="14"/>
  <c r="B280" i="14"/>
  <c r="B277" i="20" s="1"/>
  <c r="O279" i="14"/>
  <c r="N279" i="14"/>
  <c r="K279" i="14"/>
  <c r="G279" i="14"/>
  <c r="F279" i="14"/>
  <c r="C279" i="14"/>
  <c r="B279" i="14"/>
  <c r="B276" i="20" s="1"/>
  <c r="Q278" i="14"/>
  <c r="P278" i="14"/>
  <c r="O278" i="14"/>
  <c r="N278" i="14"/>
  <c r="M278" i="14"/>
  <c r="L278" i="14"/>
  <c r="K278" i="14"/>
  <c r="I278" i="14"/>
  <c r="H278" i="14"/>
  <c r="G278" i="14"/>
  <c r="F278" i="14"/>
  <c r="E278" i="14"/>
  <c r="D278" i="14"/>
  <c r="C278" i="14"/>
  <c r="B278" i="14"/>
  <c r="B275" i="20" s="1"/>
  <c r="A278" i="14"/>
  <c r="Q277" i="14"/>
  <c r="P277" i="14"/>
  <c r="O277" i="14"/>
  <c r="M277" i="14"/>
  <c r="L277" i="14"/>
  <c r="I277" i="14"/>
  <c r="H277" i="14"/>
  <c r="G277" i="14"/>
  <c r="E277" i="14"/>
  <c r="D277" i="14"/>
  <c r="B277" i="14"/>
  <c r="B274" i="20" s="1"/>
  <c r="A277" i="14"/>
  <c r="B276" i="14"/>
  <c r="K275" i="14"/>
  <c r="C275" i="14"/>
  <c r="B275" i="14"/>
  <c r="B272" i="20" s="1"/>
  <c r="P274" i="14"/>
  <c r="O274" i="14"/>
  <c r="L274" i="14"/>
  <c r="K274" i="14"/>
  <c r="H274" i="14"/>
  <c r="G274" i="14"/>
  <c r="D274" i="14"/>
  <c r="C274" i="14"/>
  <c r="B274" i="14"/>
  <c r="B271" i="20" s="1"/>
  <c r="Q273" i="14"/>
  <c r="P273" i="14"/>
  <c r="N273" i="14"/>
  <c r="M273" i="14"/>
  <c r="L273" i="14"/>
  <c r="K273" i="14"/>
  <c r="I273" i="14"/>
  <c r="H273" i="14"/>
  <c r="F273" i="14"/>
  <c r="E273" i="14"/>
  <c r="D273" i="14"/>
  <c r="C273" i="14"/>
  <c r="B273" i="14"/>
  <c r="B270" i="20" s="1"/>
  <c r="A273" i="14"/>
  <c r="N272" i="14"/>
  <c r="M272" i="14"/>
  <c r="F272" i="14"/>
  <c r="E272" i="14"/>
  <c r="B272" i="14"/>
  <c r="B269" i="20" s="1"/>
  <c r="O271" i="14"/>
  <c r="N271" i="14"/>
  <c r="K271" i="14"/>
  <c r="G271" i="14"/>
  <c r="F271" i="14"/>
  <c r="C271" i="14"/>
  <c r="B271" i="14"/>
  <c r="B268" i="20" s="1"/>
  <c r="Q270" i="14"/>
  <c r="P270" i="14"/>
  <c r="O270" i="14"/>
  <c r="N270" i="14"/>
  <c r="M270" i="14"/>
  <c r="L270" i="14"/>
  <c r="K270" i="14"/>
  <c r="I270" i="14"/>
  <c r="H270" i="14"/>
  <c r="G270" i="14"/>
  <c r="F270" i="14"/>
  <c r="E270" i="14"/>
  <c r="D270" i="14"/>
  <c r="C270" i="14"/>
  <c r="B270" i="14"/>
  <c r="B267" i="20" s="1"/>
  <c r="A270" i="14"/>
  <c r="Q269" i="14"/>
  <c r="P269" i="14"/>
  <c r="O269" i="14"/>
  <c r="M269" i="14"/>
  <c r="L269" i="14"/>
  <c r="I269" i="14"/>
  <c r="H269" i="14"/>
  <c r="G269" i="14"/>
  <c r="E269" i="14"/>
  <c r="D269" i="14"/>
  <c r="B269" i="14"/>
  <c r="B266" i="20" s="1"/>
  <c r="A269" i="14"/>
  <c r="B268" i="14"/>
  <c r="K267" i="14"/>
  <c r="C267" i="14"/>
  <c r="B267" i="14"/>
  <c r="B264" i="20" s="1"/>
  <c r="P266" i="14"/>
  <c r="O266" i="14"/>
  <c r="L266" i="14"/>
  <c r="K266" i="14"/>
  <c r="H266" i="14"/>
  <c r="G266" i="14"/>
  <c r="D266" i="14"/>
  <c r="C266" i="14"/>
  <c r="B266" i="14"/>
  <c r="B263" i="20" s="1"/>
  <c r="Q265" i="14"/>
  <c r="P265" i="14"/>
  <c r="N265" i="14"/>
  <c r="M265" i="14"/>
  <c r="L265" i="14"/>
  <c r="K265" i="14"/>
  <c r="I265" i="14"/>
  <c r="H265" i="14"/>
  <c r="F265" i="14"/>
  <c r="E265" i="14"/>
  <c r="D265" i="14"/>
  <c r="C265" i="14"/>
  <c r="B265" i="14"/>
  <c r="B262" i="20" s="1"/>
  <c r="A265" i="14"/>
  <c r="N264" i="14"/>
  <c r="M264" i="14"/>
  <c r="F264" i="14"/>
  <c r="E264" i="14"/>
  <c r="B264" i="14"/>
  <c r="B261" i="20" s="1"/>
  <c r="O263" i="14"/>
  <c r="N263" i="14"/>
  <c r="K263" i="14"/>
  <c r="G263" i="14"/>
  <c r="F263" i="14"/>
  <c r="C263" i="14"/>
  <c r="B263" i="14"/>
  <c r="B260" i="20" s="1"/>
  <c r="Q262" i="14"/>
  <c r="P262" i="14"/>
  <c r="O262" i="14"/>
  <c r="N262" i="14"/>
  <c r="M262" i="14"/>
  <c r="L262" i="14"/>
  <c r="K262" i="14"/>
  <c r="I262" i="14"/>
  <c r="H262" i="14"/>
  <c r="G262" i="14"/>
  <c r="F262" i="14"/>
  <c r="E262" i="14"/>
  <c r="D262" i="14"/>
  <c r="C262" i="14"/>
  <c r="B262" i="14"/>
  <c r="B259" i="20" s="1"/>
  <c r="A262" i="14"/>
  <c r="Q261" i="14"/>
  <c r="P261" i="14"/>
  <c r="O261" i="14"/>
  <c r="M261" i="14"/>
  <c r="L261" i="14"/>
  <c r="K261" i="14"/>
  <c r="I261" i="14"/>
  <c r="H261" i="14"/>
  <c r="G261" i="14"/>
  <c r="E261" i="14"/>
  <c r="D261" i="14"/>
  <c r="C261" i="14"/>
  <c r="B261" i="14"/>
  <c r="B258" i="20" s="1"/>
  <c r="A261" i="14"/>
  <c r="J260" i="14"/>
  <c r="B260" i="14"/>
  <c r="K259" i="14"/>
  <c r="C259" i="14"/>
  <c r="B259" i="14"/>
  <c r="B256" i="20" s="1"/>
  <c r="P258" i="14"/>
  <c r="O258" i="14"/>
  <c r="L258" i="14"/>
  <c r="K258" i="14"/>
  <c r="H258" i="14"/>
  <c r="G258" i="14"/>
  <c r="D258" i="14"/>
  <c r="C258" i="14"/>
  <c r="B258" i="14"/>
  <c r="B255" i="20" s="1"/>
  <c r="Q257" i="14"/>
  <c r="P257" i="14"/>
  <c r="O257" i="14"/>
  <c r="N257" i="14"/>
  <c r="M257" i="14"/>
  <c r="L257" i="14"/>
  <c r="K257" i="14"/>
  <c r="I257" i="14"/>
  <c r="H257" i="14"/>
  <c r="G257" i="14"/>
  <c r="F257" i="14"/>
  <c r="E257" i="14"/>
  <c r="D257" i="14"/>
  <c r="C257" i="14"/>
  <c r="B257" i="14"/>
  <c r="B254" i="20" s="1"/>
  <c r="A257" i="14"/>
  <c r="N256" i="14"/>
  <c r="M256" i="14"/>
  <c r="F256" i="14"/>
  <c r="E256" i="14"/>
  <c r="B256" i="14"/>
  <c r="B253" i="20" s="1"/>
  <c r="O255" i="14"/>
  <c r="N255" i="14"/>
  <c r="K255" i="14"/>
  <c r="G255" i="14"/>
  <c r="F255" i="14"/>
  <c r="C255" i="14"/>
  <c r="B255" i="14"/>
  <c r="B252" i="20" s="1"/>
  <c r="P254" i="14"/>
  <c r="O254" i="14"/>
  <c r="N254" i="14"/>
  <c r="L254" i="14"/>
  <c r="K254" i="14"/>
  <c r="H254" i="14"/>
  <c r="G254" i="14"/>
  <c r="F254" i="14"/>
  <c r="D254" i="14"/>
  <c r="C254" i="14"/>
  <c r="B254" i="14"/>
  <c r="B251" i="20" s="1"/>
  <c r="Q253" i="14"/>
  <c r="P253" i="14"/>
  <c r="O253" i="14"/>
  <c r="M253" i="14"/>
  <c r="L253" i="14"/>
  <c r="K253" i="14"/>
  <c r="I253" i="14"/>
  <c r="H253" i="14"/>
  <c r="G253" i="14"/>
  <c r="E253" i="14"/>
  <c r="D253" i="14"/>
  <c r="C253" i="14"/>
  <c r="B253" i="14"/>
  <c r="B250" i="20" s="1"/>
  <c r="A253" i="14"/>
  <c r="J252" i="14"/>
  <c r="B252" i="14"/>
  <c r="K251" i="14"/>
  <c r="C251" i="14"/>
  <c r="B251" i="14"/>
  <c r="B248" i="20" s="1"/>
  <c r="P250" i="14"/>
  <c r="O250" i="14"/>
  <c r="L250" i="14"/>
  <c r="K250" i="14"/>
  <c r="H250" i="14"/>
  <c r="G250" i="14"/>
  <c r="D250" i="14"/>
  <c r="C250" i="14"/>
  <c r="B250" i="14"/>
  <c r="B247" i="20" s="1"/>
  <c r="Q249" i="14"/>
  <c r="P249" i="14"/>
  <c r="O249" i="14"/>
  <c r="N249" i="14"/>
  <c r="M249" i="14"/>
  <c r="L249" i="14"/>
  <c r="K249" i="14"/>
  <c r="I249" i="14"/>
  <c r="H249" i="14"/>
  <c r="G249" i="14"/>
  <c r="F249" i="14"/>
  <c r="E249" i="14"/>
  <c r="D249" i="14"/>
  <c r="C249" i="14"/>
  <c r="B249" i="14"/>
  <c r="B246" i="20" s="1"/>
  <c r="A249" i="14"/>
  <c r="N248" i="14"/>
  <c r="M248" i="14"/>
  <c r="F248" i="14"/>
  <c r="E248" i="14"/>
  <c r="B248" i="14"/>
  <c r="B245" i="20" s="1"/>
  <c r="O247" i="14"/>
  <c r="N247" i="14"/>
  <c r="K247" i="14"/>
  <c r="G247" i="14"/>
  <c r="F247" i="14"/>
  <c r="C247" i="14"/>
  <c r="B247" i="14"/>
  <c r="B244" i="20" s="1"/>
  <c r="P246" i="14"/>
  <c r="O246" i="14"/>
  <c r="N246" i="14"/>
  <c r="L246" i="14"/>
  <c r="K246" i="14"/>
  <c r="H246" i="14"/>
  <c r="G246" i="14"/>
  <c r="F246" i="14"/>
  <c r="D246" i="14"/>
  <c r="C246" i="14"/>
  <c r="B246" i="14"/>
  <c r="B243" i="20" s="1"/>
  <c r="Q245" i="14"/>
  <c r="P245" i="14"/>
  <c r="O245" i="14"/>
  <c r="M245" i="14"/>
  <c r="L245" i="14"/>
  <c r="K245" i="14"/>
  <c r="I245" i="14"/>
  <c r="H245" i="14"/>
  <c r="G245" i="14"/>
  <c r="E245" i="14"/>
  <c r="D245" i="14"/>
  <c r="C245" i="14"/>
  <c r="B245" i="14"/>
  <c r="B242" i="20" s="1"/>
  <c r="A245" i="14"/>
  <c r="J244" i="14"/>
  <c r="B244" i="14"/>
  <c r="K243" i="14"/>
  <c r="C243" i="14"/>
  <c r="B243" i="14"/>
  <c r="B240" i="20" s="1"/>
  <c r="P242" i="14"/>
  <c r="O242" i="14"/>
  <c r="L242" i="14"/>
  <c r="K242" i="14"/>
  <c r="H242" i="14"/>
  <c r="G242" i="14"/>
  <c r="D242" i="14"/>
  <c r="C242" i="14"/>
  <c r="B242" i="14"/>
  <c r="B239" i="20" s="1"/>
  <c r="Q241" i="14"/>
  <c r="P241" i="14"/>
  <c r="O241" i="14"/>
  <c r="N241" i="14"/>
  <c r="M241" i="14"/>
  <c r="L241" i="14"/>
  <c r="K241" i="14"/>
  <c r="I241" i="14"/>
  <c r="H241" i="14"/>
  <c r="G241" i="14"/>
  <c r="F241" i="14"/>
  <c r="E241" i="14"/>
  <c r="D241" i="14"/>
  <c r="C241" i="14"/>
  <c r="B241" i="14"/>
  <c r="B238" i="20" s="1"/>
  <c r="A241" i="14"/>
  <c r="N240" i="14"/>
  <c r="M240" i="14"/>
  <c r="F240" i="14"/>
  <c r="E240" i="14"/>
  <c r="B240" i="14"/>
  <c r="B237" i="20" s="1"/>
  <c r="O239" i="14"/>
  <c r="N239" i="14"/>
  <c r="K239" i="14"/>
  <c r="G239" i="14"/>
  <c r="F239" i="14"/>
  <c r="C239" i="14"/>
  <c r="B239" i="14"/>
  <c r="B236" i="20" s="1"/>
  <c r="P238" i="14"/>
  <c r="O238" i="14"/>
  <c r="N238" i="14"/>
  <c r="L238" i="14"/>
  <c r="K238" i="14"/>
  <c r="H238" i="14"/>
  <c r="G238" i="14"/>
  <c r="F238" i="14"/>
  <c r="D238" i="14"/>
  <c r="C238" i="14"/>
  <c r="B238" i="14"/>
  <c r="B235" i="20" s="1"/>
  <c r="Q237" i="14"/>
  <c r="P237" i="14"/>
  <c r="O237" i="14"/>
  <c r="M237" i="14"/>
  <c r="L237" i="14"/>
  <c r="K237" i="14"/>
  <c r="I237" i="14"/>
  <c r="H237" i="14"/>
  <c r="G237" i="14"/>
  <c r="E237" i="14"/>
  <c r="D237" i="14"/>
  <c r="C237" i="14"/>
  <c r="B237" i="14"/>
  <c r="B234" i="20" s="1"/>
  <c r="A237" i="14"/>
  <c r="B236" i="14"/>
  <c r="K235" i="14"/>
  <c r="C235" i="14"/>
  <c r="B235" i="14"/>
  <c r="B232" i="20" s="1"/>
  <c r="P234" i="14"/>
  <c r="O234" i="14"/>
  <c r="L234" i="14"/>
  <c r="K234" i="14"/>
  <c r="H234" i="14"/>
  <c r="G234" i="14"/>
  <c r="D234" i="14"/>
  <c r="C234" i="14"/>
  <c r="B234" i="14"/>
  <c r="B231" i="20" s="1"/>
  <c r="Q233" i="14"/>
  <c r="P233" i="14"/>
  <c r="O233" i="14"/>
  <c r="N233" i="14"/>
  <c r="M233" i="14"/>
  <c r="L233" i="14"/>
  <c r="K233" i="14"/>
  <c r="I233" i="14"/>
  <c r="H233" i="14"/>
  <c r="G233" i="14"/>
  <c r="F233" i="14"/>
  <c r="E233" i="14"/>
  <c r="D233" i="14"/>
  <c r="C233" i="14"/>
  <c r="B233" i="14"/>
  <c r="B230" i="20" s="1"/>
  <c r="A233" i="14"/>
  <c r="N232" i="14"/>
  <c r="M232" i="14"/>
  <c r="F232" i="14"/>
  <c r="E232" i="14"/>
  <c r="B232" i="14"/>
  <c r="B229" i="20" s="1"/>
  <c r="O231" i="14"/>
  <c r="N231" i="14"/>
  <c r="K231" i="14"/>
  <c r="G231" i="14"/>
  <c r="F231" i="14"/>
  <c r="C231" i="14"/>
  <c r="B231" i="14"/>
  <c r="B228" i="20" s="1"/>
  <c r="P230" i="14"/>
  <c r="O230" i="14"/>
  <c r="N230" i="14"/>
  <c r="L230" i="14"/>
  <c r="K230" i="14"/>
  <c r="H230" i="14"/>
  <c r="G230" i="14"/>
  <c r="F230" i="14"/>
  <c r="D230" i="14"/>
  <c r="C230" i="14"/>
  <c r="B230" i="14"/>
  <c r="B227" i="20" s="1"/>
  <c r="Q229" i="14"/>
  <c r="P229" i="14"/>
  <c r="O229" i="14"/>
  <c r="M229" i="14"/>
  <c r="L229" i="14"/>
  <c r="K229" i="14"/>
  <c r="I229" i="14"/>
  <c r="H229" i="14"/>
  <c r="G229" i="14"/>
  <c r="E229" i="14"/>
  <c r="D229" i="14"/>
  <c r="C229" i="14"/>
  <c r="B229" i="14"/>
  <c r="B226" i="20" s="1"/>
  <c r="A229" i="14"/>
  <c r="B228" i="14"/>
  <c r="K227" i="14"/>
  <c r="C227" i="14"/>
  <c r="B227" i="14"/>
  <c r="B224" i="20" s="1"/>
  <c r="P226" i="14"/>
  <c r="O226" i="14"/>
  <c r="L226" i="14"/>
  <c r="K226" i="14"/>
  <c r="H226" i="14"/>
  <c r="G226" i="14"/>
  <c r="D226" i="14"/>
  <c r="C226" i="14"/>
  <c r="B226" i="14"/>
  <c r="B223" i="20" s="1"/>
  <c r="Q225" i="14"/>
  <c r="P225" i="14"/>
  <c r="O225" i="14"/>
  <c r="N225" i="14"/>
  <c r="M225" i="14"/>
  <c r="L225" i="14"/>
  <c r="K225" i="14"/>
  <c r="I225" i="14"/>
  <c r="H225" i="14"/>
  <c r="G225" i="14"/>
  <c r="F225" i="14"/>
  <c r="E225" i="14"/>
  <c r="D225" i="14"/>
  <c r="C225" i="14"/>
  <c r="B225" i="14"/>
  <c r="B222" i="20" s="1"/>
  <c r="A225" i="14"/>
  <c r="N224" i="14"/>
  <c r="M224" i="14"/>
  <c r="F224" i="14"/>
  <c r="E224" i="14"/>
  <c r="B224" i="14"/>
  <c r="B221" i="20" s="1"/>
  <c r="O223" i="14"/>
  <c r="N223" i="14"/>
  <c r="K223" i="14"/>
  <c r="G223" i="14"/>
  <c r="F223" i="14"/>
  <c r="C223" i="14"/>
  <c r="B223" i="14"/>
  <c r="B220" i="20" s="1"/>
  <c r="P222" i="14"/>
  <c r="O222" i="14"/>
  <c r="N222" i="14"/>
  <c r="L222" i="14"/>
  <c r="K222" i="14"/>
  <c r="H222" i="14"/>
  <c r="G222" i="14"/>
  <c r="F222" i="14"/>
  <c r="D222" i="14"/>
  <c r="C222" i="14"/>
  <c r="B222" i="14"/>
  <c r="B219" i="20" s="1"/>
  <c r="Q221" i="14"/>
  <c r="P221" i="14"/>
  <c r="O221" i="14"/>
  <c r="M221" i="14"/>
  <c r="L221" i="14"/>
  <c r="K221" i="14"/>
  <c r="I221" i="14"/>
  <c r="H221" i="14"/>
  <c r="G221" i="14"/>
  <c r="E221" i="14"/>
  <c r="D221" i="14"/>
  <c r="C221" i="14"/>
  <c r="B221" i="14"/>
  <c r="B218" i="20" s="1"/>
  <c r="A221" i="14"/>
  <c r="B220" i="14"/>
  <c r="K219" i="14"/>
  <c r="C219" i="14"/>
  <c r="B219" i="14"/>
  <c r="B216" i="20" s="1"/>
  <c r="P218" i="14"/>
  <c r="O218" i="14"/>
  <c r="L218" i="14"/>
  <c r="K218" i="14"/>
  <c r="H218" i="14"/>
  <c r="G218" i="14"/>
  <c r="D218" i="14"/>
  <c r="C218" i="14"/>
  <c r="B218" i="14"/>
  <c r="B215" i="20" s="1"/>
  <c r="Q217" i="14"/>
  <c r="P217" i="14"/>
  <c r="O217" i="14"/>
  <c r="N217" i="14"/>
  <c r="M217" i="14"/>
  <c r="L217" i="14"/>
  <c r="K217" i="14"/>
  <c r="I217" i="14"/>
  <c r="H217" i="14"/>
  <c r="G217" i="14"/>
  <c r="F217" i="14"/>
  <c r="E217" i="14"/>
  <c r="D217" i="14"/>
  <c r="C217" i="14"/>
  <c r="B217" i="14"/>
  <c r="B214" i="20" s="1"/>
  <c r="A217" i="14"/>
  <c r="N216" i="14"/>
  <c r="M216" i="14"/>
  <c r="F216" i="14"/>
  <c r="E216" i="14"/>
  <c r="B216" i="14"/>
  <c r="B213" i="20" s="1"/>
  <c r="O215" i="14"/>
  <c r="N215" i="14"/>
  <c r="K215" i="14"/>
  <c r="G215" i="14"/>
  <c r="F215" i="14"/>
  <c r="C215" i="14"/>
  <c r="B215" i="14"/>
  <c r="B212" i="20" s="1"/>
  <c r="P214" i="14"/>
  <c r="O214" i="14"/>
  <c r="N214" i="14"/>
  <c r="L214" i="14"/>
  <c r="K214" i="14"/>
  <c r="H214" i="14"/>
  <c r="G214" i="14"/>
  <c r="F214" i="14"/>
  <c r="D214" i="14"/>
  <c r="C214" i="14"/>
  <c r="B214" i="14"/>
  <c r="B211" i="20" s="1"/>
  <c r="Q213" i="14"/>
  <c r="P213" i="14"/>
  <c r="O213" i="14"/>
  <c r="M213" i="14"/>
  <c r="L213" i="14"/>
  <c r="K213" i="14"/>
  <c r="I213" i="14"/>
  <c r="H213" i="14"/>
  <c r="G213" i="14"/>
  <c r="E213" i="14"/>
  <c r="D213" i="14"/>
  <c r="C213" i="14"/>
  <c r="B213" i="14"/>
  <c r="B210" i="20" s="1"/>
  <c r="A213" i="14"/>
  <c r="B212" i="14"/>
  <c r="K211" i="14"/>
  <c r="C211" i="14"/>
  <c r="B211" i="14"/>
  <c r="B208" i="20" s="1"/>
  <c r="P210" i="14"/>
  <c r="O210" i="14"/>
  <c r="L210" i="14"/>
  <c r="K210" i="14"/>
  <c r="H210" i="14"/>
  <c r="G210" i="14"/>
  <c r="D210" i="14"/>
  <c r="C210" i="14"/>
  <c r="B210" i="14"/>
  <c r="B207" i="20" s="1"/>
  <c r="Q209" i="14"/>
  <c r="P209" i="14"/>
  <c r="O209" i="14"/>
  <c r="N209" i="14"/>
  <c r="M209" i="14"/>
  <c r="L209" i="14"/>
  <c r="K209" i="14"/>
  <c r="I209" i="14"/>
  <c r="H209" i="14"/>
  <c r="G209" i="14"/>
  <c r="F209" i="14"/>
  <c r="E209" i="14"/>
  <c r="D209" i="14"/>
  <c r="C209" i="14"/>
  <c r="B209" i="14"/>
  <c r="B206" i="20" s="1"/>
  <c r="A209" i="14"/>
  <c r="N208" i="14"/>
  <c r="M208" i="14"/>
  <c r="F208" i="14"/>
  <c r="E208" i="14"/>
  <c r="B208" i="14"/>
  <c r="B205" i="20" s="1"/>
  <c r="O207" i="14"/>
  <c r="N207" i="14"/>
  <c r="K207" i="14"/>
  <c r="G207" i="14"/>
  <c r="F207" i="14"/>
  <c r="C207" i="14"/>
  <c r="B207" i="14"/>
  <c r="B204" i="20" s="1"/>
  <c r="P206" i="14"/>
  <c r="O206" i="14"/>
  <c r="N206" i="14"/>
  <c r="L206" i="14"/>
  <c r="K206" i="14"/>
  <c r="H206" i="14"/>
  <c r="G206" i="14"/>
  <c r="F206" i="14"/>
  <c r="D206" i="14"/>
  <c r="C206" i="14"/>
  <c r="B206" i="14"/>
  <c r="B203" i="20" s="1"/>
  <c r="Q205" i="14"/>
  <c r="P205" i="14"/>
  <c r="O205" i="14"/>
  <c r="M205" i="14"/>
  <c r="L205" i="14"/>
  <c r="K205" i="14"/>
  <c r="I205" i="14"/>
  <c r="H205" i="14"/>
  <c r="G205" i="14"/>
  <c r="E205" i="14"/>
  <c r="D205" i="14"/>
  <c r="C205" i="14"/>
  <c r="B205" i="14"/>
  <c r="B202" i="20" s="1"/>
  <c r="A205" i="14"/>
  <c r="J204" i="14"/>
  <c r="B204" i="14"/>
  <c r="K203" i="14"/>
  <c r="C203" i="14"/>
  <c r="B203" i="14"/>
  <c r="B200" i="20" s="1"/>
  <c r="P202" i="14"/>
  <c r="O202" i="14"/>
  <c r="L202" i="14"/>
  <c r="K202" i="14"/>
  <c r="H202" i="14"/>
  <c r="G202" i="14"/>
  <c r="D202" i="14"/>
  <c r="C202" i="14"/>
  <c r="B202" i="14"/>
  <c r="B199" i="20" s="1"/>
  <c r="Q201" i="14"/>
  <c r="P201" i="14"/>
  <c r="O201" i="14"/>
  <c r="N201" i="14"/>
  <c r="M201" i="14"/>
  <c r="L201" i="14"/>
  <c r="K201" i="14"/>
  <c r="I201" i="14"/>
  <c r="H201" i="14"/>
  <c r="G201" i="14"/>
  <c r="F201" i="14"/>
  <c r="E201" i="14"/>
  <c r="D201" i="14"/>
  <c r="C201" i="14"/>
  <c r="B201" i="14"/>
  <c r="B198" i="20" s="1"/>
  <c r="A201" i="14"/>
  <c r="N200" i="14"/>
  <c r="M200" i="14"/>
  <c r="F200" i="14"/>
  <c r="E200" i="14"/>
  <c r="B200" i="14"/>
  <c r="B197" i="20" s="1"/>
  <c r="O199" i="14"/>
  <c r="N199" i="14"/>
  <c r="K199" i="14"/>
  <c r="G199" i="14"/>
  <c r="F199" i="14"/>
  <c r="C199" i="14"/>
  <c r="B199" i="14"/>
  <c r="B196" i="20" s="1"/>
  <c r="P198" i="14"/>
  <c r="O198" i="14"/>
  <c r="N198" i="14"/>
  <c r="L198" i="14"/>
  <c r="K198" i="14"/>
  <c r="H198" i="14"/>
  <c r="G198" i="14"/>
  <c r="F198" i="14"/>
  <c r="D198" i="14"/>
  <c r="C198" i="14"/>
  <c r="B198" i="14"/>
  <c r="B195" i="20" s="1"/>
  <c r="Q197" i="14"/>
  <c r="P197" i="14"/>
  <c r="O197" i="14"/>
  <c r="M197" i="14"/>
  <c r="L197" i="14"/>
  <c r="K197" i="14"/>
  <c r="I197" i="14"/>
  <c r="H197" i="14"/>
  <c r="G197" i="14"/>
  <c r="E197" i="14"/>
  <c r="D197" i="14"/>
  <c r="C197" i="14"/>
  <c r="B197" i="14"/>
  <c r="B194" i="20" s="1"/>
  <c r="A197" i="14"/>
  <c r="J196" i="14"/>
  <c r="B196" i="14"/>
  <c r="K195" i="14"/>
  <c r="C195" i="14"/>
  <c r="B195" i="14"/>
  <c r="B192" i="20" s="1"/>
  <c r="P194" i="14"/>
  <c r="O194" i="14"/>
  <c r="L194" i="14"/>
  <c r="K194" i="14"/>
  <c r="H194" i="14"/>
  <c r="G194" i="14"/>
  <c r="D194" i="14"/>
  <c r="C194" i="14"/>
  <c r="B194" i="14"/>
  <c r="B191" i="20" s="1"/>
  <c r="Q193" i="14"/>
  <c r="P193" i="14"/>
  <c r="O193" i="14"/>
  <c r="N193" i="14"/>
  <c r="M193" i="14"/>
  <c r="L193" i="14"/>
  <c r="K193" i="14"/>
  <c r="I193" i="14"/>
  <c r="H193" i="14"/>
  <c r="G193" i="14"/>
  <c r="F193" i="14"/>
  <c r="E193" i="14"/>
  <c r="D193" i="14"/>
  <c r="C193" i="14"/>
  <c r="B193" i="14"/>
  <c r="B190" i="20" s="1"/>
  <c r="A193" i="14"/>
  <c r="N192" i="14"/>
  <c r="M192" i="14"/>
  <c r="F192" i="14"/>
  <c r="E192" i="14"/>
  <c r="B192" i="14"/>
  <c r="B189" i="20" s="1"/>
  <c r="O191" i="14"/>
  <c r="N191" i="14"/>
  <c r="K191" i="14"/>
  <c r="G191" i="14"/>
  <c r="F191" i="14"/>
  <c r="C191" i="14"/>
  <c r="B191" i="14"/>
  <c r="B188" i="20" s="1"/>
  <c r="P190" i="14"/>
  <c r="O190" i="14"/>
  <c r="N190" i="14"/>
  <c r="L190" i="14"/>
  <c r="K190" i="14"/>
  <c r="H190" i="14"/>
  <c r="G190" i="14"/>
  <c r="F190" i="14"/>
  <c r="D190" i="14"/>
  <c r="C190" i="14"/>
  <c r="B190" i="14"/>
  <c r="B187" i="20" s="1"/>
  <c r="Q189" i="14"/>
  <c r="P189" i="14"/>
  <c r="O189" i="14"/>
  <c r="M189" i="14"/>
  <c r="L189" i="14"/>
  <c r="K189" i="14"/>
  <c r="I189" i="14"/>
  <c r="H189" i="14"/>
  <c r="G189" i="14"/>
  <c r="E189" i="14"/>
  <c r="D189" i="14"/>
  <c r="C189" i="14"/>
  <c r="B189" i="14"/>
  <c r="B186" i="20" s="1"/>
  <c r="A189" i="14"/>
  <c r="J188" i="14"/>
  <c r="B188" i="14"/>
  <c r="K187" i="14"/>
  <c r="C187" i="14"/>
  <c r="B187" i="14"/>
  <c r="B184" i="20" s="1"/>
  <c r="P186" i="14"/>
  <c r="O186" i="14"/>
  <c r="L186" i="14"/>
  <c r="K186" i="14"/>
  <c r="H186" i="14"/>
  <c r="G186" i="14"/>
  <c r="D186" i="14"/>
  <c r="C186" i="14"/>
  <c r="B186" i="14"/>
  <c r="B183" i="20" s="1"/>
  <c r="Q185" i="14"/>
  <c r="P185" i="14"/>
  <c r="O185" i="14"/>
  <c r="N185" i="14"/>
  <c r="M185" i="14"/>
  <c r="L185" i="14"/>
  <c r="K185" i="14"/>
  <c r="I185" i="14"/>
  <c r="H185" i="14"/>
  <c r="G185" i="14"/>
  <c r="F185" i="14"/>
  <c r="E185" i="14"/>
  <c r="D185" i="14"/>
  <c r="C185" i="14"/>
  <c r="B185" i="14"/>
  <c r="B182" i="20" s="1"/>
  <c r="A185" i="14"/>
  <c r="N184" i="14"/>
  <c r="M184" i="14"/>
  <c r="F184" i="14"/>
  <c r="E184" i="14"/>
  <c r="B184" i="14"/>
  <c r="B181" i="20" s="1"/>
  <c r="O183" i="14"/>
  <c r="N183" i="14"/>
  <c r="K183" i="14"/>
  <c r="G183" i="14"/>
  <c r="F183" i="14"/>
  <c r="C183" i="14"/>
  <c r="B183" i="14"/>
  <c r="B180" i="20" s="1"/>
  <c r="P182" i="14"/>
  <c r="O182" i="14"/>
  <c r="N182" i="14"/>
  <c r="L182" i="14"/>
  <c r="K182" i="14"/>
  <c r="H182" i="14"/>
  <c r="G182" i="14"/>
  <c r="F182" i="14"/>
  <c r="D182" i="14"/>
  <c r="C182" i="14"/>
  <c r="B182" i="14"/>
  <c r="B179" i="20" s="1"/>
  <c r="Q181" i="14"/>
  <c r="P181" i="14"/>
  <c r="O181" i="14"/>
  <c r="M181" i="14"/>
  <c r="L181" i="14"/>
  <c r="K181" i="14"/>
  <c r="I181" i="14"/>
  <c r="H181" i="14"/>
  <c r="G181" i="14"/>
  <c r="E181" i="14"/>
  <c r="D181" i="14"/>
  <c r="C181" i="14"/>
  <c r="B181" i="14"/>
  <c r="B178" i="20" s="1"/>
  <c r="A181" i="14"/>
  <c r="J180" i="14"/>
  <c r="B180" i="14"/>
  <c r="K179" i="14"/>
  <c r="C179" i="14"/>
  <c r="B179" i="14"/>
  <c r="B176" i="20" s="1"/>
  <c r="P178" i="14"/>
  <c r="O178" i="14"/>
  <c r="L178" i="14"/>
  <c r="K178" i="14"/>
  <c r="H178" i="14"/>
  <c r="G178" i="14"/>
  <c r="D178" i="14"/>
  <c r="C178" i="14"/>
  <c r="B178" i="14"/>
  <c r="B175" i="20" s="1"/>
  <c r="Q177" i="14"/>
  <c r="P177" i="14"/>
  <c r="O177" i="14"/>
  <c r="N177" i="14"/>
  <c r="M177" i="14"/>
  <c r="L177" i="14"/>
  <c r="K177" i="14"/>
  <c r="I177" i="14"/>
  <c r="H177" i="14"/>
  <c r="G177" i="14"/>
  <c r="F177" i="14"/>
  <c r="E177" i="14"/>
  <c r="D177" i="14"/>
  <c r="C177" i="14"/>
  <c r="B177" i="14"/>
  <c r="B174" i="20" s="1"/>
  <c r="A177" i="14"/>
  <c r="N176" i="14"/>
  <c r="M176" i="14"/>
  <c r="F176" i="14"/>
  <c r="E176" i="14"/>
  <c r="B176" i="14"/>
  <c r="B173" i="20" s="1"/>
  <c r="O175" i="14"/>
  <c r="N175" i="14"/>
  <c r="K175" i="14"/>
  <c r="G175" i="14"/>
  <c r="F175" i="14"/>
  <c r="C175" i="14"/>
  <c r="B175" i="14"/>
  <c r="B172" i="20" s="1"/>
  <c r="P174" i="14"/>
  <c r="O174" i="14"/>
  <c r="N174" i="14"/>
  <c r="L174" i="14"/>
  <c r="K174" i="14"/>
  <c r="H174" i="14"/>
  <c r="G174" i="14"/>
  <c r="F174" i="14"/>
  <c r="D174" i="14"/>
  <c r="C174" i="14"/>
  <c r="B174" i="14"/>
  <c r="B171" i="20" s="1"/>
  <c r="Q173" i="14"/>
  <c r="P173" i="14"/>
  <c r="O173" i="14"/>
  <c r="M173" i="14"/>
  <c r="L173" i="14"/>
  <c r="K173" i="14"/>
  <c r="I173" i="14"/>
  <c r="H173" i="14"/>
  <c r="G173" i="14"/>
  <c r="E173" i="14"/>
  <c r="D173" i="14"/>
  <c r="C173" i="14"/>
  <c r="B173" i="14"/>
  <c r="B170" i="20" s="1"/>
  <c r="A173" i="14"/>
  <c r="J172" i="14"/>
  <c r="B172" i="14"/>
  <c r="K171" i="14"/>
  <c r="C171" i="14"/>
  <c r="B171" i="14"/>
  <c r="B168" i="20" s="1"/>
  <c r="P170" i="14"/>
  <c r="O170" i="14"/>
  <c r="L170" i="14"/>
  <c r="K170" i="14"/>
  <c r="H170" i="14"/>
  <c r="G170" i="14"/>
  <c r="D170" i="14"/>
  <c r="C170" i="14"/>
  <c r="B170" i="14"/>
  <c r="B167" i="20" s="1"/>
  <c r="Q169" i="14"/>
  <c r="P169" i="14"/>
  <c r="O169" i="14"/>
  <c r="N169" i="14"/>
  <c r="M169" i="14"/>
  <c r="L169" i="14"/>
  <c r="K169" i="14"/>
  <c r="I169" i="14"/>
  <c r="H169" i="14"/>
  <c r="G169" i="14"/>
  <c r="F169" i="14"/>
  <c r="E169" i="14"/>
  <c r="D169" i="14"/>
  <c r="C169" i="14"/>
  <c r="B169" i="14"/>
  <c r="B166" i="20" s="1"/>
  <c r="A169" i="14"/>
  <c r="N168" i="14"/>
  <c r="M168" i="14"/>
  <c r="F168" i="14"/>
  <c r="E168" i="14"/>
  <c r="B168" i="14"/>
  <c r="B165" i="20" s="1"/>
  <c r="O167" i="14"/>
  <c r="N167" i="14"/>
  <c r="K167" i="14"/>
  <c r="G167" i="14"/>
  <c r="F167" i="14"/>
  <c r="C167" i="14"/>
  <c r="B167" i="14"/>
  <c r="B164" i="20" s="1"/>
  <c r="P166" i="14"/>
  <c r="O166" i="14"/>
  <c r="N166" i="14"/>
  <c r="L166" i="14"/>
  <c r="K166" i="14"/>
  <c r="H166" i="14"/>
  <c r="G166" i="14"/>
  <c r="F166" i="14"/>
  <c r="D166" i="14"/>
  <c r="C166" i="14"/>
  <c r="B166" i="14"/>
  <c r="B163" i="20" s="1"/>
  <c r="Q165" i="14"/>
  <c r="P165" i="14"/>
  <c r="O165" i="14"/>
  <c r="M165" i="14"/>
  <c r="L165" i="14"/>
  <c r="K165" i="14"/>
  <c r="I165" i="14"/>
  <c r="H165" i="14"/>
  <c r="G165" i="14"/>
  <c r="E165" i="14"/>
  <c r="D165" i="14"/>
  <c r="C165" i="14"/>
  <c r="B165" i="14"/>
  <c r="B162" i="20" s="1"/>
  <c r="A165" i="14"/>
  <c r="Q164" i="14"/>
  <c r="B164" i="14"/>
  <c r="A164" i="14"/>
  <c r="B163" i="14"/>
  <c r="P162" i="14"/>
  <c r="O162" i="14"/>
  <c r="L162" i="14"/>
  <c r="K162" i="14"/>
  <c r="H162" i="14"/>
  <c r="G162" i="14"/>
  <c r="D162" i="14"/>
  <c r="C162" i="14"/>
  <c r="B162" i="14"/>
  <c r="B159" i="20" s="1"/>
  <c r="Q161" i="14"/>
  <c r="P161" i="14"/>
  <c r="O161" i="14"/>
  <c r="N161" i="14"/>
  <c r="M161" i="14"/>
  <c r="L161" i="14"/>
  <c r="K161" i="14"/>
  <c r="I161" i="14"/>
  <c r="H161" i="14"/>
  <c r="G161" i="14"/>
  <c r="F161" i="14"/>
  <c r="E161" i="14"/>
  <c r="D161" i="14"/>
  <c r="C161" i="14"/>
  <c r="B161" i="14"/>
  <c r="B158" i="20" s="1"/>
  <c r="A161" i="14"/>
  <c r="N160" i="14"/>
  <c r="M160" i="14"/>
  <c r="F160" i="14"/>
  <c r="E160" i="14"/>
  <c r="B160" i="14"/>
  <c r="B157" i="20" s="1"/>
  <c r="O159" i="14"/>
  <c r="N159" i="14"/>
  <c r="K159" i="14"/>
  <c r="G159" i="14"/>
  <c r="F159" i="14"/>
  <c r="C159" i="14"/>
  <c r="B159" i="14"/>
  <c r="B156" i="20" s="1"/>
  <c r="P158" i="14"/>
  <c r="O158" i="14"/>
  <c r="N158" i="14"/>
  <c r="L158" i="14"/>
  <c r="K158" i="14"/>
  <c r="H158" i="14"/>
  <c r="G158" i="14"/>
  <c r="F158" i="14"/>
  <c r="D158" i="14"/>
  <c r="C158" i="14"/>
  <c r="B158" i="14"/>
  <c r="B155" i="20" s="1"/>
  <c r="Q157" i="14"/>
  <c r="P157" i="14"/>
  <c r="O157" i="14"/>
  <c r="M157" i="14"/>
  <c r="L157" i="14"/>
  <c r="K157" i="14"/>
  <c r="I157" i="14"/>
  <c r="H157" i="14"/>
  <c r="G157" i="14"/>
  <c r="E157" i="14"/>
  <c r="D157" i="14"/>
  <c r="C157" i="14"/>
  <c r="B157" i="14"/>
  <c r="B154" i="20" s="1"/>
  <c r="A157" i="14"/>
  <c r="B156" i="14"/>
  <c r="K155" i="14"/>
  <c r="B155" i="14"/>
  <c r="P154" i="14"/>
  <c r="O154" i="14"/>
  <c r="L154" i="14"/>
  <c r="K154" i="14"/>
  <c r="H154" i="14"/>
  <c r="G154" i="14"/>
  <c r="D154" i="14"/>
  <c r="C154" i="14"/>
  <c r="B154" i="14"/>
  <c r="B151" i="20" s="1"/>
  <c r="Q153" i="14"/>
  <c r="P153" i="14"/>
  <c r="O153" i="14"/>
  <c r="N153" i="14"/>
  <c r="M153" i="14"/>
  <c r="L153" i="14"/>
  <c r="K153" i="14"/>
  <c r="I153" i="14"/>
  <c r="H153" i="14"/>
  <c r="G153" i="14"/>
  <c r="F153" i="14"/>
  <c r="E153" i="14"/>
  <c r="D153" i="14"/>
  <c r="C153" i="14"/>
  <c r="B153" i="14"/>
  <c r="B150" i="20" s="1"/>
  <c r="A153" i="14"/>
  <c r="B152" i="14"/>
  <c r="O151" i="14"/>
  <c r="N151" i="14"/>
  <c r="K151" i="14"/>
  <c r="G151" i="14"/>
  <c r="F151" i="14"/>
  <c r="C151" i="14"/>
  <c r="B151" i="14"/>
  <c r="B148" i="20" s="1"/>
  <c r="P150" i="14"/>
  <c r="O150" i="14"/>
  <c r="N150" i="14"/>
  <c r="L150" i="14"/>
  <c r="K150" i="14"/>
  <c r="H150" i="14"/>
  <c r="G150" i="14"/>
  <c r="F150" i="14"/>
  <c r="D150" i="14"/>
  <c r="C150" i="14"/>
  <c r="B150" i="14"/>
  <c r="B147" i="20" s="1"/>
  <c r="Q149" i="14"/>
  <c r="P149" i="14"/>
  <c r="O149" i="14"/>
  <c r="M149" i="14"/>
  <c r="L149" i="14"/>
  <c r="K149" i="14"/>
  <c r="I149" i="14"/>
  <c r="H149" i="14"/>
  <c r="G149" i="14"/>
  <c r="E149" i="14"/>
  <c r="D149" i="14"/>
  <c r="C149" i="14"/>
  <c r="B149" i="14"/>
  <c r="B146" i="20" s="1"/>
  <c r="A149" i="14"/>
  <c r="N148" i="14"/>
  <c r="B148" i="14"/>
  <c r="A148" i="14" s="1"/>
  <c r="J147" i="14"/>
  <c r="B147" i="14"/>
  <c r="O147" i="14" s="1"/>
  <c r="P146" i="14"/>
  <c r="O146" i="14"/>
  <c r="L146" i="14"/>
  <c r="K146" i="14"/>
  <c r="H146" i="14"/>
  <c r="G146" i="14"/>
  <c r="D146" i="14"/>
  <c r="C146" i="14"/>
  <c r="B146" i="14"/>
  <c r="B143" i="20" s="1"/>
  <c r="Q145" i="14"/>
  <c r="P145" i="14"/>
  <c r="O145" i="14"/>
  <c r="N145" i="14"/>
  <c r="M145" i="14"/>
  <c r="L145" i="14"/>
  <c r="K145" i="14"/>
  <c r="I145" i="14"/>
  <c r="H145" i="14"/>
  <c r="G145" i="14"/>
  <c r="F145" i="14"/>
  <c r="E145" i="14"/>
  <c r="D145" i="14"/>
  <c r="C145" i="14"/>
  <c r="B145" i="14"/>
  <c r="B142" i="20" s="1"/>
  <c r="A145" i="14"/>
  <c r="M144" i="14"/>
  <c r="F144" i="14"/>
  <c r="B144" i="14"/>
  <c r="N144" i="14" s="1"/>
  <c r="O143" i="14"/>
  <c r="N143" i="14"/>
  <c r="K143" i="14"/>
  <c r="G143" i="14"/>
  <c r="F143" i="14"/>
  <c r="C143" i="14"/>
  <c r="B143" i="14"/>
  <c r="B140" i="20" s="1"/>
  <c r="P142" i="14"/>
  <c r="O142" i="14"/>
  <c r="N142" i="14"/>
  <c r="L142" i="14"/>
  <c r="K142" i="14"/>
  <c r="H142" i="14"/>
  <c r="G142" i="14"/>
  <c r="F142" i="14"/>
  <c r="D142" i="14"/>
  <c r="C142" i="14"/>
  <c r="B142" i="14"/>
  <c r="B139" i="20" s="1"/>
  <c r="Q141" i="14"/>
  <c r="P141" i="14"/>
  <c r="O141" i="14"/>
  <c r="M141" i="14"/>
  <c r="L141" i="14"/>
  <c r="K141" i="14"/>
  <c r="I141" i="14"/>
  <c r="H141" i="14"/>
  <c r="G141" i="14"/>
  <c r="E141" i="14"/>
  <c r="D141" i="14"/>
  <c r="C141" i="14"/>
  <c r="B141" i="14"/>
  <c r="B138" i="20" s="1"/>
  <c r="A141" i="14"/>
  <c r="B140" i="14"/>
  <c r="K139" i="14"/>
  <c r="J139" i="14"/>
  <c r="C139" i="14"/>
  <c r="B139" i="14"/>
  <c r="P138" i="14"/>
  <c r="O138" i="14"/>
  <c r="L138" i="14"/>
  <c r="K138" i="14"/>
  <c r="H138" i="14"/>
  <c r="G138" i="14"/>
  <c r="D138" i="14"/>
  <c r="C138" i="14"/>
  <c r="B138" i="14"/>
  <c r="B135" i="20" s="1"/>
  <c r="Q137" i="14"/>
  <c r="P137" i="14"/>
  <c r="O137" i="14"/>
  <c r="N137" i="14"/>
  <c r="M137" i="14"/>
  <c r="L137" i="14"/>
  <c r="K137" i="14"/>
  <c r="I137" i="14"/>
  <c r="H137" i="14"/>
  <c r="G137" i="14"/>
  <c r="F137" i="14"/>
  <c r="E137" i="14"/>
  <c r="D137" i="14"/>
  <c r="C137" i="14"/>
  <c r="B137" i="14"/>
  <c r="B134" i="20" s="1"/>
  <c r="A137" i="14"/>
  <c r="B136" i="14"/>
  <c r="O135" i="14"/>
  <c r="N135" i="14"/>
  <c r="K135" i="14"/>
  <c r="G135" i="14"/>
  <c r="F135" i="14"/>
  <c r="C135" i="14"/>
  <c r="B135" i="14"/>
  <c r="B132" i="20" s="1"/>
  <c r="P134" i="14"/>
  <c r="O134" i="14"/>
  <c r="N134" i="14"/>
  <c r="L134" i="14"/>
  <c r="K134" i="14"/>
  <c r="H134" i="14"/>
  <c r="G134" i="14"/>
  <c r="F134" i="14"/>
  <c r="D134" i="14"/>
  <c r="C134" i="14"/>
  <c r="B134" i="14"/>
  <c r="B131" i="20" s="1"/>
  <c r="Q133" i="14"/>
  <c r="P133" i="14"/>
  <c r="O133" i="14"/>
  <c r="M133" i="14"/>
  <c r="L133" i="14"/>
  <c r="K133" i="14"/>
  <c r="I133" i="14"/>
  <c r="H133" i="14"/>
  <c r="G133" i="14"/>
  <c r="E133" i="14"/>
  <c r="D133" i="14"/>
  <c r="C133" i="14"/>
  <c r="B133" i="14"/>
  <c r="B130" i="20" s="1"/>
  <c r="A133" i="14"/>
  <c r="N132" i="14"/>
  <c r="B132" i="14"/>
  <c r="A132" i="14" s="1"/>
  <c r="O131" i="14"/>
  <c r="J131" i="14"/>
  <c r="C131" i="14"/>
  <c r="B131" i="14"/>
  <c r="K131" i="14" s="1"/>
  <c r="P130" i="14"/>
  <c r="O130" i="14"/>
  <c r="L130" i="14"/>
  <c r="K130" i="14"/>
  <c r="H130" i="14"/>
  <c r="G130" i="14"/>
  <c r="D130" i="14"/>
  <c r="C130" i="14"/>
  <c r="B130" i="14"/>
  <c r="B127" i="20" s="1"/>
  <c r="Q129" i="14"/>
  <c r="P129" i="14"/>
  <c r="O129" i="14"/>
  <c r="N129" i="14"/>
  <c r="M129" i="14"/>
  <c r="L129" i="14"/>
  <c r="K129" i="14"/>
  <c r="I129" i="14"/>
  <c r="H129" i="14"/>
  <c r="G129" i="14"/>
  <c r="F129" i="14"/>
  <c r="E129" i="14"/>
  <c r="D129" i="14"/>
  <c r="C129" i="14"/>
  <c r="B129" i="14"/>
  <c r="B126" i="20" s="1"/>
  <c r="A129" i="14"/>
  <c r="F128" i="14"/>
  <c r="B128" i="14"/>
  <c r="N128" i="14" s="1"/>
  <c r="O127" i="14"/>
  <c r="N127" i="14"/>
  <c r="K127" i="14"/>
  <c r="G127" i="14"/>
  <c r="F127" i="14"/>
  <c r="C127" i="14"/>
  <c r="B127" i="14"/>
  <c r="B124" i="20" s="1"/>
  <c r="P126" i="14"/>
  <c r="O126" i="14"/>
  <c r="N126" i="14"/>
  <c r="L126" i="14"/>
  <c r="K126" i="14"/>
  <c r="H126" i="14"/>
  <c r="G126" i="14"/>
  <c r="F126" i="14"/>
  <c r="D126" i="14"/>
  <c r="C126" i="14"/>
  <c r="B126" i="14"/>
  <c r="B123" i="20" s="1"/>
  <c r="Q125" i="14"/>
  <c r="P125" i="14"/>
  <c r="O125" i="14"/>
  <c r="M125" i="14"/>
  <c r="L125" i="14"/>
  <c r="K125" i="14"/>
  <c r="I125" i="14"/>
  <c r="H125" i="14"/>
  <c r="G125" i="14"/>
  <c r="E125" i="14"/>
  <c r="D125" i="14"/>
  <c r="C125" i="14"/>
  <c r="B125" i="14"/>
  <c r="B122" i="20" s="1"/>
  <c r="A125" i="14"/>
  <c r="B124" i="14"/>
  <c r="O123" i="14"/>
  <c r="K123" i="14"/>
  <c r="J123" i="14"/>
  <c r="C123" i="14"/>
  <c r="B123" i="14"/>
  <c r="P122" i="14"/>
  <c r="O122" i="14"/>
  <c r="L122" i="14"/>
  <c r="K122" i="14"/>
  <c r="H122" i="14"/>
  <c r="G122" i="14"/>
  <c r="D122" i="14"/>
  <c r="C122" i="14"/>
  <c r="B122" i="14"/>
  <c r="B119" i="20" s="1"/>
  <c r="Q121" i="14"/>
  <c r="P121" i="14"/>
  <c r="O121" i="14"/>
  <c r="N121" i="14"/>
  <c r="M121" i="14"/>
  <c r="L121" i="14"/>
  <c r="K121" i="14"/>
  <c r="I121" i="14"/>
  <c r="H121" i="14"/>
  <c r="G121" i="14"/>
  <c r="F121" i="14"/>
  <c r="E121" i="14"/>
  <c r="D121" i="14"/>
  <c r="C121" i="14"/>
  <c r="B121" i="14"/>
  <c r="B118" i="20" s="1"/>
  <c r="A121" i="14"/>
  <c r="F120" i="14"/>
  <c r="B120" i="14"/>
  <c r="O119" i="14"/>
  <c r="N119" i="14"/>
  <c r="K119" i="14"/>
  <c r="G119" i="14"/>
  <c r="F119" i="14"/>
  <c r="C119" i="14"/>
  <c r="B119" i="14"/>
  <c r="B116" i="20" s="1"/>
  <c r="P118" i="14"/>
  <c r="O118" i="14"/>
  <c r="N118" i="14"/>
  <c r="L118" i="14"/>
  <c r="K118" i="14"/>
  <c r="H118" i="14"/>
  <c r="G118" i="14"/>
  <c r="F118" i="14"/>
  <c r="D118" i="14"/>
  <c r="C118" i="14"/>
  <c r="B118" i="14"/>
  <c r="B115" i="20" s="1"/>
  <c r="Q117" i="14"/>
  <c r="P117" i="14"/>
  <c r="O117" i="14"/>
  <c r="M117" i="14"/>
  <c r="L117" i="14"/>
  <c r="K117" i="14"/>
  <c r="I117" i="14"/>
  <c r="H117" i="14"/>
  <c r="G117" i="14"/>
  <c r="E117" i="14"/>
  <c r="D117" i="14"/>
  <c r="C117" i="14"/>
  <c r="B117" i="14"/>
  <c r="B114" i="20" s="1"/>
  <c r="A117" i="14"/>
  <c r="N116" i="14"/>
  <c r="B116" i="14"/>
  <c r="A116" i="14" s="1"/>
  <c r="O115" i="14"/>
  <c r="J115" i="14"/>
  <c r="C115" i="14"/>
  <c r="B115" i="14"/>
  <c r="K115" i="14" s="1"/>
  <c r="P114" i="14"/>
  <c r="O114" i="14"/>
  <c r="L114" i="14"/>
  <c r="K114" i="14"/>
  <c r="H114" i="14"/>
  <c r="G114" i="14"/>
  <c r="D114" i="14"/>
  <c r="C114" i="14"/>
  <c r="B114" i="14"/>
  <c r="B111" i="20" s="1"/>
  <c r="Q113" i="14"/>
  <c r="P113" i="14"/>
  <c r="M113" i="14"/>
  <c r="L113" i="14"/>
  <c r="K113" i="14"/>
  <c r="I113" i="14"/>
  <c r="H113" i="14"/>
  <c r="G113" i="14"/>
  <c r="F113" i="14"/>
  <c r="E113" i="14"/>
  <c r="D113" i="14"/>
  <c r="C113" i="14"/>
  <c r="B113" i="14"/>
  <c r="B110" i="20" s="1"/>
  <c r="A113" i="14"/>
  <c r="B112" i="14"/>
  <c r="O111" i="14"/>
  <c r="N111" i="14"/>
  <c r="K111" i="14"/>
  <c r="G111" i="14"/>
  <c r="F111" i="14"/>
  <c r="C111" i="14"/>
  <c r="B111" i="14"/>
  <c r="B108" i="20" s="1"/>
  <c r="P110" i="14"/>
  <c r="O110" i="14"/>
  <c r="N110" i="14"/>
  <c r="M110" i="14"/>
  <c r="L110" i="14"/>
  <c r="K110" i="14"/>
  <c r="H110" i="14"/>
  <c r="G110" i="14"/>
  <c r="F110" i="14"/>
  <c r="E110" i="14"/>
  <c r="D110" i="14"/>
  <c r="C110" i="14"/>
  <c r="B110" i="14"/>
  <c r="B107" i="20" s="1"/>
  <c r="Q109" i="14"/>
  <c r="P109" i="14"/>
  <c r="O109" i="14"/>
  <c r="N109" i="14"/>
  <c r="M109" i="14"/>
  <c r="L109" i="14"/>
  <c r="K109" i="14"/>
  <c r="I109" i="14"/>
  <c r="H109" i="14"/>
  <c r="G109" i="14"/>
  <c r="F109" i="14"/>
  <c r="E109" i="14"/>
  <c r="D109" i="14"/>
  <c r="C109" i="14"/>
  <c r="B109" i="14"/>
  <c r="B106" i="20" s="1"/>
  <c r="A109" i="14"/>
  <c r="N108" i="14"/>
  <c r="I108" i="14"/>
  <c r="B108" i="14"/>
  <c r="A108" i="14" s="1"/>
  <c r="O107" i="14"/>
  <c r="J107" i="14"/>
  <c r="G107" i="14"/>
  <c r="C107" i="14"/>
  <c r="B107" i="14"/>
  <c r="K107" i="14" s="1"/>
  <c r="P106" i="14"/>
  <c r="O106" i="14"/>
  <c r="L106" i="14"/>
  <c r="K106" i="14"/>
  <c r="H106" i="14"/>
  <c r="G106" i="14"/>
  <c r="D106" i="14"/>
  <c r="C106" i="14"/>
  <c r="B106" i="14"/>
  <c r="B103" i="20" s="1"/>
  <c r="Q105" i="14"/>
  <c r="P105" i="14"/>
  <c r="M105" i="14"/>
  <c r="L105" i="14"/>
  <c r="K105" i="14"/>
  <c r="I105" i="14"/>
  <c r="H105" i="14"/>
  <c r="E105" i="14"/>
  <c r="D105" i="14"/>
  <c r="C105" i="14"/>
  <c r="B105" i="14"/>
  <c r="B102" i="20" s="1"/>
  <c r="A105" i="14"/>
  <c r="M104" i="14"/>
  <c r="B104" i="14"/>
  <c r="A104" i="14" s="1"/>
  <c r="O103" i="14"/>
  <c r="K103" i="14"/>
  <c r="G103" i="14"/>
  <c r="F103" i="14"/>
  <c r="C103" i="14"/>
  <c r="B103" i="14"/>
  <c r="N103" i="14" s="1"/>
  <c r="P102" i="14"/>
  <c r="O102" i="14"/>
  <c r="N102" i="14"/>
  <c r="M102" i="14"/>
  <c r="L102" i="14"/>
  <c r="K102" i="14"/>
  <c r="H102" i="14"/>
  <c r="G102" i="14"/>
  <c r="F102" i="14"/>
  <c r="E102" i="14"/>
  <c r="D102" i="14"/>
  <c r="C102" i="14"/>
  <c r="B102" i="14"/>
  <c r="B99" i="20" s="1"/>
  <c r="Q101" i="14"/>
  <c r="P101" i="14"/>
  <c r="O101" i="14"/>
  <c r="N101" i="14"/>
  <c r="M101" i="14"/>
  <c r="L101" i="14"/>
  <c r="K101" i="14"/>
  <c r="I101" i="14"/>
  <c r="H101" i="14"/>
  <c r="G101" i="14"/>
  <c r="F101" i="14"/>
  <c r="E101" i="14"/>
  <c r="D101" i="14"/>
  <c r="C101" i="14"/>
  <c r="B101" i="14"/>
  <c r="B98" i="20" s="1"/>
  <c r="A101" i="14"/>
  <c r="N100" i="14"/>
  <c r="J100" i="14"/>
  <c r="F100" i="14"/>
  <c r="B100" i="14"/>
  <c r="Q100" i="14" s="1"/>
  <c r="O99" i="14"/>
  <c r="K99" i="14"/>
  <c r="G99" i="14"/>
  <c r="C99" i="14"/>
  <c r="B99" i="14"/>
  <c r="N99" i="14" s="1"/>
  <c r="P98" i="14"/>
  <c r="O98" i="14"/>
  <c r="L98" i="14"/>
  <c r="K98" i="14"/>
  <c r="H98" i="14"/>
  <c r="G98" i="14"/>
  <c r="D98" i="14"/>
  <c r="C98" i="14"/>
  <c r="B98" i="14"/>
  <c r="B95" i="20" s="1"/>
  <c r="Q97" i="14"/>
  <c r="P97" i="14"/>
  <c r="M97" i="14"/>
  <c r="L97" i="14"/>
  <c r="K97" i="14"/>
  <c r="I97" i="14"/>
  <c r="H97" i="14"/>
  <c r="E97" i="14"/>
  <c r="D97" i="14"/>
  <c r="C97" i="14"/>
  <c r="B97" i="14"/>
  <c r="B94" i="20" s="1"/>
  <c r="A97" i="14"/>
  <c r="L96" i="14"/>
  <c r="I96" i="14"/>
  <c r="E96" i="14"/>
  <c r="B96" i="14"/>
  <c r="M96" i="14" s="1"/>
  <c r="O95" i="14"/>
  <c r="M95" i="14"/>
  <c r="J95" i="14"/>
  <c r="F95" i="14"/>
  <c r="E95" i="14"/>
  <c r="C95" i="14"/>
  <c r="B95" i="14"/>
  <c r="K95" i="14" s="1"/>
  <c r="P94" i="14"/>
  <c r="O94" i="14"/>
  <c r="N94" i="14"/>
  <c r="M94" i="14"/>
  <c r="L94" i="14"/>
  <c r="K94" i="14"/>
  <c r="H94" i="14"/>
  <c r="G94" i="14"/>
  <c r="F94" i="14"/>
  <c r="E94" i="14"/>
  <c r="D94" i="14"/>
  <c r="C94" i="14"/>
  <c r="B94" i="14"/>
  <c r="B91" i="20" s="1"/>
  <c r="Q93" i="14"/>
  <c r="P93" i="14"/>
  <c r="O93" i="14"/>
  <c r="N93" i="14"/>
  <c r="M93" i="14"/>
  <c r="L93" i="14"/>
  <c r="K93" i="14"/>
  <c r="I93" i="14"/>
  <c r="H93" i="14"/>
  <c r="G93" i="14"/>
  <c r="F93" i="14"/>
  <c r="E93" i="14"/>
  <c r="D93" i="14"/>
  <c r="C93" i="14"/>
  <c r="B93" i="14"/>
  <c r="B90" i="20" s="1"/>
  <c r="A93" i="14"/>
  <c r="I92" i="14"/>
  <c r="B92" i="14"/>
  <c r="N92" i="14" s="1"/>
  <c r="Q91" i="14"/>
  <c r="N91" i="14"/>
  <c r="J91" i="14"/>
  <c r="I91" i="14"/>
  <c r="G91" i="14"/>
  <c r="C91" i="14"/>
  <c r="B91" i="14"/>
  <c r="A91" i="14"/>
  <c r="K90" i="14"/>
  <c r="H90" i="14"/>
  <c r="D90" i="14"/>
  <c r="B90" i="14"/>
  <c r="L90" i="14" s="1"/>
  <c r="Q89" i="14"/>
  <c r="P89" i="14"/>
  <c r="M89" i="14"/>
  <c r="L89" i="14"/>
  <c r="K89" i="14"/>
  <c r="I89" i="14"/>
  <c r="H89" i="14"/>
  <c r="E89" i="14"/>
  <c r="D89" i="14"/>
  <c r="C89" i="14"/>
  <c r="B89" i="14"/>
  <c r="B86" i="20" s="1"/>
  <c r="A89" i="14"/>
  <c r="N88" i="14"/>
  <c r="B88" i="14"/>
  <c r="M87" i="14"/>
  <c r="J87" i="14"/>
  <c r="F87" i="14"/>
  <c r="B87" i="14"/>
  <c r="K87" i="14" s="1"/>
  <c r="P86" i="14"/>
  <c r="O86" i="14"/>
  <c r="N86" i="14"/>
  <c r="M86" i="14"/>
  <c r="L86" i="14"/>
  <c r="K86" i="14"/>
  <c r="H86" i="14"/>
  <c r="G86" i="14"/>
  <c r="F86" i="14"/>
  <c r="E86" i="14"/>
  <c r="D86" i="14"/>
  <c r="C86" i="14"/>
  <c r="B86" i="14"/>
  <c r="B83" i="20" s="1"/>
  <c r="Q85" i="14"/>
  <c r="P85" i="14"/>
  <c r="O85" i="14"/>
  <c r="N85" i="14"/>
  <c r="M85" i="14"/>
  <c r="L85" i="14"/>
  <c r="K85" i="14"/>
  <c r="I85" i="14"/>
  <c r="H85" i="14"/>
  <c r="G85" i="14"/>
  <c r="F85" i="14"/>
  <c r="E85" i="14"/>
  <c r="D85" i="14"/>
  <c r="C85" i="14"/>
  <c r="B85" i="14"/>
  <c r="B82" i="20" s="1"/>
  <c r="A85" i="14"/>
  <c r="M84" i="14"/>
  <c r="I84" i="14"/>
  <c r="F84" i="14"/>
  <c r="B84" i="14"/>
  <c r="N84" i="14" s="1"/>
  <c r="Q83" i="14"/>
  <c r="N83" i="14"/>
  <c r="J83" i="14"/>
  <c r="G83" i="14"/>
  <c r="F83" i="14"/>
  <c r="C83" i="14"/>
  <c r="B83" i="14"/>
  <c r="K83" i="14" s="1"/>
  <c r="A83" i="14"/>
  <c r="B82" i="14"/>
  <c r="Q81" i="14"/>
  <c r="P81" i="14"/>
  <c r="M81" i="14"/>
  <c r="L81" i="14"/>
  <c r="K81" i="14"/>
  <c r="I81" i="14"/>
  <c r="H81" i="14"/>
  <c r="E81" i="14"/>
  <c r="D81" i="14"/>
  <c r="C81" i="14"/>
  <c r="B81" i="14"/>
  <c r="B78" i="20" s="1"/>
  <c r="A81" i="14"/>
  <c r="L80" i="14"/>
  <c r="E80" i="14"/>
  <c r="B80" i="14"/>
  <c r="M80" i="14" s="1"/>
  <c r="O79" i="14"/>
  <c r="M79" i="14"/>
  <c r="K79" i="14"/>
  <c r="J79" i="14"/>
  <c r="G79" i="14"/>
  <c r="F79" i="14"/>
  <c r="E79" i="14"/>
  <c r="C79" i="14"/>
  <c r="B79" i="14"/>
  <c r="P78" i="14"/>
  <c r="O78" i="14"/>
  <c r="N78" i="14"/>
  <c r="M78" i="14"/>
  <c r="L78" i="14"/>
  <c r="K78" i="14"/>
  <c r="H78" i="14"/>
  <c r="G78" i="14"/>
  <c r="F78" i="14"/>
  <c r="E78" i="14"/>
  <c r="D78" i="14"/>
  <c r="C78" i="14"/>
  <c r="B78" i="14"/>
  <c r="B75" i="20" s="1"/>
  <c r="Q77" i="14"/>
  <c r="P77" i="14"/>
  <c r="O77" i="14"/>
  <c r="N77" i="14"/>
  <c r="M77" i="14"/>
  <c r="L77" i="14"/>
  <c r="K77" i="14"/>
  <c r="I77" i="14"/>
  <c r="H77" i="14"/>
  <c r="G77" i="14"/>
  <c r="F77" i="14"/>
  <c r="E77" i="14"/>
  <c r="D77" i="14"/>
  <c r="C77" i="14"/>
  <c r="B77" i="14"/>
  <c r="B74" i="20" s="1"/>
  <c r="A77" i="14"/>
  <c r="B76" i="14"/>
  <c r="Q75" i="14"/>
  <c r="N75" i="14"/>
  <c r="J75" i="14"/>
  <c r="G75" i="14"/>
  <c r="C75" i="14"/>
  <c r="B75" i="14"/>
  <c r="K75" i="14" s="1"/>
  <c r="A75" i="14"/>
  <c r="K74" i="14"/>
  <c r="D74" i="14"/>
  <c r="B74" i="14"/>
  <c r="L74" i="14" s="1"/>
  <c r="Q73" i="14"/>
  <c r="P73" i="14"/>
  <c r="M73" i="14"/>
  <c r="L73" i="14"/>
  <c r="K73" i="14"/>
  <c r="I73" i="14"/>
  <c r="H73" i="14"/>
  <c r="E73" i="14"/>
  <c r="D73" i="14"/>
  <c r="C73" i="14"/>
  <c r="B73" i="14"/>
  <c r="B70" i="20" s="1"/>
  <c r="A73" i="14"/>
  <c r="I72" i="14"/>
  <c r="B72" i="14"/>
  <c r="M72" i="14" s="1"/>
  <c r="M71" i="14"/>
  <c r="B71" i="14"/>
  <c r="P70" i="14"/>
  <c r="O70" i="14"/>
  <c r="N70" i="14"/>
  <c r="M70" i="14"/>
  <c r="L70" i="14"/>
  <c r="K70" i="14"/>
  <c r="H70" i="14"/>
  <c r="G70" i="14"/>
  <c r="F70" i="14"/>
  <c r="E70" i="14"/>
  <c r="D70" i="14"/>
  <c r="C70" i="14"/>
  <c r="B70" i="14"/>
  <c r="B67" i="20" s="1"/>
  <c r="Q69" i="14"/>
  <c r="P69" i="14"/>
  <c r="O69" i="14"/>
  <c r="N69" i="14"/>
  <c r="M69" i="14"/>
  <c r="L69" i="14"/>
  <c r="K69" i="14"/>
  <c r="I69" i="14"/>
  <c r="H69" i="14"/>
  <c r="G69" i="14"/>
  <c r="F69" i="14"/>
  <c r="E69" i="14"/>
  <c r="D69" i="14"/>
  <c r="C69" i="14"/>
  <c r="B69" i="14"/>
  <c r="B66" i="20" s="1"/>
  <c r="A69" i="14"/>
  <c r="Q68" i="14"/>
  <c r="P68" i="14"/>
  <c r="O68" i="14"/>
  <c r="M68" i="14"/>
  <c r="J68" i="14"/>
  <c r="I68" i="14"/>
  <c r="G68" i="14"/>
  <c r="F68" i="14"/>
  <c r="E68" i="14"/>
  <c r="B68" i="14"/>
  <c r="H68" i="14" s="1"/>
  <c r="A68" i="14"/>
  <c r="P67" i="14"/>
  <c r="J67" i="14"/>
  <c r="F67" i="14"/>
  <c r="B67" i="14"/>
  <c r="K67" i="14" s="1"/>
  <c r="Q66" i="14"/>
  <c r="O66" i="14"/>
  <c r="K66" i="14"/>
  <c r="I66" i="14"/>
  <c r="G66" i="14"/>
  <c r="C66" i="14"/>
  <c r="B66" i="14"/>
  <c r="J66" i="14" s="1"/>
  <c r="A66" i="14"/>
  <c r="P65" i="14"/>
  <c r="M65" i="14"/>
  <c r="I65" i="14"/>
  <c r="G65" i="14"/>
  <c r="D65" i="14"/>
  <c r="B65" i="14"/>
  <c r="J65" i="14" s="1"/>
  <c r="Q64" i="14"/>
  <c r="N64" i="14"/>
  <c r="L64" i="14"/>
  <c r="H64" i="14"/>
  <c r="F64" i="14"/>
  <c r="D64" i="14"/>
  <c r="B64" i="14"/>
  <c r="I64" i="14" s="1"/>
  <c r="Q63" i="14"/>
  <c r="O63" i="14"/>
  <c r="M63" i="14"/>
  <c r="I63" i="14"/>
  <c r="G63" i="14"/>
  <c r="E63" i="14"/>
  <c r="C63" i="14"/>
  <c r="B63" i="14"/>
  <c r="B60" i="20" s="1"/>
  <c r="A63" i="14"/>
  <c r="N62" i="14"/>
  <c r="F62" i="14"/>
  <c r="B62" i="14"/>
  <c r="B59" i="20" s="1"/>
  <c r="Q61" i="14"/>
  <c r="O61" i="14"/>
  <c r="M61" i="14"/>
  <c r="L61" i="14"/>
  <c r="K61" i="14"/>
  <c r="I61" i="14"/>
  <c r="G61" i="14"/>
  <c r="E61" i="14"/>
  <c r="D61" i="14"/>
  <c r="C61" i="14"/>
  <c r="B61" i="14"/>
  <c r="B58" i="20" s="1"/>
  <c r="A61" i="14"/>
  <c r="P60" i="14"/>
  <c r="L60" i="14"/>
  <c r="H60" i="14"/>
  <c r="D60" i="14"/>
  <c r="B60" i="14"/>
  <c r="B57" i="20" s="1"/>
  <c r="Q59" i="14"/>
  <c r="O59" i="14"/>
  <c r="N59" i="14"/>
  <c r="M59" i="14"/>
  <c r="L59" i="14"/>
  <c r="K59" i="14"/>
  <c r="I59" i="14"/>
  <c r="G59" i="14"/>
  <c r="F59" i="14"/>
  <c r="E59" i="14"/>
  <c r="D59" i="14"/>
  <c r="C59" i="14"/>
  <c r="B59" i="14"/>
  <c r="B56" i="20" s="1"/>
  <c r="A59" i="14"/>
  <c r="B58" i="14"/>
  <c r="Q57" i="14"/>
  <c r="P57" i="14"/>
  <c r="O57" i="14"/>
  <c r="N57" i="14"/>
  <c r="M57" i="14"/>
  <c r="L57" i="14"/>
  <c r="K57" i="14"/>
  <c r="I57" i="14"/>
  <c r="H57" i="14"/>
  <c r="G57" i="14"/>
  <c r="F57" i="14"/>
  <c r="E57" i="14"/>
  <c r="D57" i="14"/>
  <c r="C57" i="14"/>
  <c r="B57" i="14"/>
  <c r="B54" i="20" s="1"/>
  <c r="A57" i="14"/>
  <c r="P56" i="14"/>
  <c r="N56" i="14"/>
  <c r="L56" i="14"/>
  <c r="H56" i="14"/>
  <c r="F56" i="14"/>
  <c r="D56" i="14"/>
  <c r="B56" i="14"/>
  <c r="B53" i="20" s="1"/>
  <c r="A56" i="14"/>
  <c r="Q55" i="14"/>
  <c r="O55" i="14"/>
  <c r="M55" i="14"/>
  <c r="K55" i="14"/>
  <c r="I55" i="14"/>
  <c r="G55" i="14"/>
  <c r="E55" i="14"/>
  <c r="C55" i="14"/>
  <c r="B55" i="14"/>
  <c r="B52" i="20" s="1"/>
  <c r="A55" i="14"/>
  <c r="N54" i="14"/>
  <c r="F54" i="14"/>
  <c r="B54" i="14"/>
  <c r="B51" i="20" s="1"/>
  <c r="Q53" i="14"/>
  <c r="O53" i="14"/>
  <c r="M53" i="14"/>
  <c r="L53" i="14"/>
  <c r="K53" i="14"/>
  <c r="I53" i="14"/>
  <c r="G53" i="14"/>
  <c r="E53" i="14"/>
  <c r="D53" i="14"/>
  <c r="C53" i="14"/>
  <c r="B53" i="14"/>
  <c r="B50" i="20" s="1"/>
  <c r="A53" i="14"/>
  <c r="P52" i="14"/>
  <c r="L52" i="14"/>
  <c r="H52" i="14"/>
  <c r="D52" i="14"/>
  <c r="B52" i="14"/>
  <c r="B49" i="20" s="1"/>
  <c r="Q51" i="14"/>
  <c r="O51" i="14"/>
  <c r="N51" i="14"/>
  <c r="M51" i="14"/>
  <c r="L51" i="14"/>
  <c r="K51" i="14"/>
  <c r="I51" i="14"/>
  <c r="G51" i="14"/>
  <c r="F51" i="14"/>
  <c r="E51" i="14"/>
  <c r="D51" i="14"/>
  <c r="C51" i="14"/>
  <c r="B51" i="14"/>
  <c r="B48" i="20" s="1"/>
  <c r="A51" i="14"/>
  <c r="B50" i="14"/>
  <c r="Q49" i="14"/>
  <c r="P49" i="14"/>
  <c r="O49" i="14"/>
  <c r="N49" i="14"/>
  <c r="M49" i="14"/>
  <c r="L49" i="14"/>
  <c r="K49" i="14"/>
  <c r="I49" i="14"/>
  <c r="H49" i="14"/>
  <c r="G49" i="14"/>
  <c r="F49" i="14"/>
  <c r="E49" i="14"/>
  <c r="D49" i="14"/>
  <c r="C49" i="14"/>
  <c r="B49" i="14"/>
  <c r="B46" i="20" s="1"/>
  <c r="A49" i="14"/>
  <c r="P48" i="14"/>
  <c r="N48" i="14"/>
  <c r="L48" i="14"/>
  <c r="H48" i="14"/>
  <c r="F48" i="14"/>
  <c r="D48" i="14"/>
  <c r="B48" i="14"/>
  <c r="B45" i="20" s="1"/>
  <c r="Q47" i="14"/>
  <c r="O47" i="14"/>
  <c r="M47" i="14"/>
  <c r="K47" i="14"/>
  <c r="I47" i="14"/>
  <c r="G47" i="14"/>
  <c r="E47" i="14"/>
  <c r="C47" i="14"/>
  <c r="B47" i="14"/>
  <c r="B44" i="20" s="1"/>
  <c r="A47" i="14"/>
  <c r="N46" i="14"/>
  <c r="F46" i="14"/>
  <c r="B46" i="14"/>
  <c r="B43" i="20" s="1"/>
  <c r="Q45" i="14"/>
  <c r="O45" i="14"/>
  <c r="M45" i="14"/>
  <c r="L45" i="14"/>
  <c r="K45" i="14"/>
  <c r="I45" i="14"/>
  <c r="G45" i="14"/>
  <c r="E45" i="14"/>
  <c r="D45" i="14"/>
  <c r="C45" i="14"/>
  <c r="B45" i="14"/>
  <c r="B42" i="20" s="1"/>
  <c r="A45" i="14"/>
  <c r="P44" i="14"/>
  <c r="L44" i="14"/>
  <c r="H44" i="14"/>
  <c r="D44" i="14"/>
  <c r="B44" i="14"/>
  <c r="B41" i="20" s="1"/>
  <c r="Q43" i="14"/>
  <c r="O43" i="14"/>
  <c r="N43" i="14"/>
  <c r="M43" i="14"/>
  <c r="K43" i="14"/>
  <c r="I43" i="14"/>
  <c r="G43" i="14"/>
  <c r="F43" i="14"/>
  <c r="E43" i="14"/>
  <c r="C43" i="14"/>
  <c r="B43" i="14"/>
  <c r="B40" i="20" s="1"/>
  <c r="A43" i="14"/>
  <c r="B42" i="14"/>
  <c r="Q41" i="14"/>
  <c r="P41" i="14"/>
  <c r="O41" i="14"/>
  <c r="N41" i="14"/>
  <c r="M41" i="14"/>
  <c r="L41" i="14"/>
  <c r="K41" i="14"/>
  <c r="I41" i="14"/>
  <c r="H41" i="14"/>
  <c r="G41" i="14"/>
  <c r="F41" i="14"/>
  <c r="E41" i="14"/>
  <c r="D41" i="14"/>
  <c r="C41" i="14"/>
  <c r="B41" i="14"/>
  <c r="B38" i="20" s="1"/>
  <c r="A41" i="14"/>
  <c r="P40" i="14"/>
  <c r="N40" i="14"/>
  <c r="L40" i="14"/>
  <c r="H40" i="14"/>
  <c r="F40" i="14"/>
  <c r="D40" i="14"/>
  <c r="B40" i="14"/>
  <c r="B37" i="20" s="1"/>
  <c r="Q39" i="14"/>
  <c r="O39" i="14"/>
  <c r="M39" i="14"/>
  <c r="K39" i="14"/>
  <c r="I39" i="14"/>
  <c r="G39" i="14"/>
  <c r="E39" i="14"/>
  <c r="C39" i="14"/>
  <c r="B39" i="14"/>
  <c r="B36" i="20" s="1"/>
  <c r="A39" i="14"/>
  <c r="N38" i="14"/>
  <c r="F38" i="14"/>
  <c r="B38" i="14"/>
  <c r="B35" i="20" s="1"/>
  <c r="Q37" i="14"/>
  <c r="P37" i="14"/>
  <c r="O37" i="14"/>
  <c r="M37" i="14"/>
  <c r="L37" i="14"/>
  <c r="K37" i="14"/>
  <c r="I37" i="14"/>
  <c r="H37" i="14"/>
  <c r="G37" i="14"/>
  <c r="E37" i="14"/>
  <c r="D37" i="14"/>
  <c r="C37" i="14"/>
  <c r="B37" i="14"/>
  <c r="B34" i="20" s="1"/>
  <c r="A37" i="14"/>
  <c r="P36" i="14"/>
  <c r="L36" i="14"/>
  <c r="H36" i="14"/>
  <c r="D36" i="14"/>
  <c r="B36" i="14"/>
  <c r="B33" i="20" s="1"/>
  <c r="Q35" i="14"/>
  <c r="O35" i="14"/>
  <c r="N35" i="14"/>
  <c r="M35" i="14"/>
  <c r="K35" i="14"/>
  <c r="I35" i="14"/>
  <c r="G35" i="14"/>
  <c r="F35" i="14"/>
  <c r="E35" i="14"/>
  <c r="C35" i="14"/>
  <c r="B35" i="14"/>
  <c r="B32" i="20" s="1"/>
  <c r="A35" i="14"/>
  <c r="B34" i="14"/>
  <c r="Q33" i="14"/>
  <c r="P33" i="14"/>
  <c r="O33" i="14"/>
  <c r="N33" i="14"/>
  <c r="M33" i="14"/>
  <c r="L33" i="14"/>
  <c r="K33" i="14"/>
  <c r="I33" i="14"/>
  <c r="H33" i="14"/>
  <c r="G33" i="14"/>
  <c r="F33" i="14"/>
  <c r="E33" i="14"/>
  <c r="D33" i="14"/>
  <c r="C33" i="14"/>
  <c r="B33" i="14"/>
  <c r="B30" i="20" s="1"/>
  <c r="A33" i="14"/>
  <c r="P32" i="14"/>
  <c r="N32" i="14"/>
  <c r="L32" i="14"/>
  <c r="H32" i="14"/>
  <c r="F32" i="14"/>
  <c r="D32" i="14"/>
  <c r="B32" i="14"/>
  <c r="B29" i="20" s="1"/>
  <c r="Q31" i="14"/>
  <c r="O31" i="14"/>
  <c r="M31" i="14"/>
  <c r="K31" i="14"/>
  <c r="I31" i="14"/>
  <c r="G31" i="14"/>
  <c r="E31" i="14"/>
  <c r="C31" i="14"/>
  <c r="B31" i="14"/>
  <c r="B28" i="20" s="1"/>
  <c r="A31" i="14"/>
  <c r="N30" i="14"/>
  <c r="F30" i="14"/>
  <c r="B30" i="14"/>
  <c r="B27" i="20" s="1"/>
  <c r="Q29" i="14"/>
  <c r="P29" i="14"/>
  <c r="O29" i="14"/>
  <c r="M29" i="14"/>
  <c r="L29" i="14"/>
  <c r="K29" i="14"/>
  <c r="I29" i="14"/>
  <c r="H29" i="14"/>
  <c r="G29" i="14"/>
  <c r="E29" i="14"/>
  <c r="D29" i="14"/>
  <c r="C29" i="14"/>
  <c r="B29" i="14"/>
  <c r="B26" i="20" s="1"/>
  <c r="A29" i="14"/>
  <c r="P28" i="14"/>
  <c r="L28" i="14"/>
  <c r="H28" i="14"/>
  <c r="D28" i="14"/>
  <c r="B28" i="14"/>
  <c r="B25" i="20" s="1"/>
  <c r="Q27" i="14"/>
  <c r="O27" i="14"/>
  <c r="N27" i="14"/>
  <c r="M27" i="14"/>
  <c r="K27" i="14"/>
  <c r="I27" i="14"/>
  <c r="G27" i="14"/>
  <c r="F27" i="14"/>
  <c r="E27" i="14"/>
  <c r="C27" i="14"/>
  <c r="B27" i="14"/>
  <c r="B24" i="20" s="1"/>
  <c r="A27" i="14"/>
  <c r="B26" i="14"/>
  <c r="Q25" i="14"/>
  <c r="P25" i="14"/>
  <c r="O25" i="14"/>
  <c r="N25" i="14"/>
  <c r="M25" i="14"/>
  <c r="L25" i="14"/>
  <c r="K25" i="14"/>
  <c r="I25" i="14"/>
  <c r="H25" i="14"/>
  <c r="G25" i="14"/>
  <c r="F25" i="14"/>
  <c r="E25" i="14"/>
  <c r="D25" i="14"/>
  <c r="C25" i="14"/>
  <c r="B25" i="14"/>
  <c r="B22" i="20" s="1"/>
  <c r="A25" i="14"/>
  <c r="P24" i="14"/>
  <c r="N24" i="14"/>
  <c r="L24" i="14"/>
  <c r="H24" i="14"/>
  <c r="F24" i="14"/>
  <c r="D24" i="14"/>
  <c r="B24" i="14"/>
  <c r="B21" i="20" s="1"/>
  <c r="Q23" i="14"/>
  <c r="O23" i="14"/>
  <c r="M23" i="14"/>
  <c r="K23" i="14"/>
  <c r="I23" i="14"/>
  <c r="G23" i="14"/>
  <c r="E23" i="14"/>
  <c r="C23" i="14"/>
  <c r="B23" i="14"/>
  <c r="B20" i="20" s="1"/>
  <c r="A23" i="14"/>
  <c r="N22" i="14"/>
  <c r="F22" i="14"/>
  <c r="B22" i="14"/>
  <c r="B19" i="20" s="1"/>
  <c r="Q21" i="14"/>
  <c r="P21" i="14"/>
  <c r="O21" i="14"/>
  <c r="M21" i="14"/>
  <c r="L21" i="14"/>
  <c r="K21" i="14"/>
  <c r="I21" i="14"/>
  <c r="H21" i="14"/>
  <c r="G21" i="14"/>
  <c r="E21" i="14"/>
  <c r="D21" i="14"/>
  <c r="C21" i="14"/>
  <c r="B21" i="14"/>
  <c r="B18" i="20" s="1"/>
  <c r="A21" i="14"/>
  <c r="P20" i="14"/>
  <c r="L20" i="14"/>
  <c r="H20" i="14"/>
  <c r="D20" i="14"/>
  <c r="B20" i="14"/>
  <c r="B17" i="20" s="1"/>
  <c r="Q19" i="14"/>
  <c r="O19" i="14"/>
  <c r="N19" i="14"/>
  <c r="M19" i="14"/>
  <c r="K19" i="14"/>
  <c r="I19" i="14"/>
  <c r="G19" i="14"/>
  <c r="F19" i="14"/>
  <c r="E19" i="14"/>
  <c r="C19" i="14"/>
  <c r="B19" i="14"/>
  <c r="B16" i="20" s="1"/>
  <c r="A19" i="14"/>
  <c r="B18" i="14"/>
  <c r="Q17" i="14"/>
  <c r="P17" i="14"/>
  <c r="O17" i="14"/>
  <c r="N17" i="14"/>
  <c r="M17" i="14"/>
  <c r="L17" i="14"/>
  <c r="K17" i="14"/>
  <c r="I17" i="14"/>
  <c r="H17" i="14"/>
  <c r="G17" i="14"/>
  <c r="F17" i="14"/>
  <c r="E17" i="14"/>
  <c r="D17" i="14"/>
  <c r="C17" i="14"/>
  <c r="B17" i="14"/>
  <c r="B14" i="20" s="1"/>
  <c r="A17" i="14"/>
  <c r="P16" i="14"/>
  <c r="N16" i="14"/>
  <c r="L16" i="14"/>
  <c r="H16" i="14"/>
  <c r="F16" i="14"/>
  <c r="D16" i="14"/>
  <c r="B16" i="14"/>
  <c r="B13" i="20" s="1"/>
  <c r="Q15" i="14"/>
  <c r="O15" i="14"/>
  <c r="M15" i="14"/>
  <c r="K15" i="14"/>
  <c r="I15" i="14"/>
  <c r="G15" i="14"/>
  <c r="E15" i="14"/>
  <c r="C15" i="14"/>
  <c r="B15" i="14"/>
  <c r="B12" i="20" s="1"/>
  <c r="A15" i="14"/>
  <c r="N14" i="14"/>
  <c r="F14" i="14"/>
  <c r="B14" i="14"/>
  <c r="B11" i="20" s="1"/>
  <c r="M13" i="14"/>
  <c r="L13" i="14"/>
  <c r="I13" i="14"/>
  <c r="H13" i="14"/>
  <c r="G13" i="14"/>
  <c r="E13" i="14"/>
  <c r="D13" i="14"/>
  <c r="C13" i="14"/>
  <c r="B13" i="14"/>
  <c r="B10" i="20" s="1"/>
  <c r="A13" i="14"/>
  <c r="I12" i="14"/>
  <c r="H12" i="14"/>
  <c r="F12" i="14"/>
  <c r="B12" i="14"/>
  <c r="B9" i="20" s="1"/>
  <c r="A12" i="14"/>
  <c r="I11" i="14"/>
  <c r="B11" i="14"/>
  <c r="A11" i="14"/>
  <c r="A6" i="14"/>
  <c r="A3" i="14"/>
  <c r="A2" i="14"/>
  <c r="A1" i="14"/>
  <c r="G321" i="13"/>
  <c r="A321" i="13"/>
  <c r="A6" i="13"/>
  <c r="A3" i="13"/>
  <c r="A2" i="13"/>
  <c r="A1" i="13"/>
  <c r="H1004" i="9"/>
  <c r="H1003" i="9"/>
  <c r="H1002" i="9"/>
  <c r="H1001" i="9"/>
  <c r="H1000" i="9"/>
  <c r="H999" i="9"/>
  <c r="H998" i="9"/>
  <c r="H997" i="9"/>
  <c r="H996" i="9"/>
  <c r="H995" i="9"/>
  <c r="H994" i="9"/>
  <c r="H993" i="9"/>
  <c r="H992" i="9"/>
  <c r="H991" i="9"/>
  <c r="H990" i="9"/>
  <c r="H989" i="9"/>
  <c r="H988" i="9"/>
  <c r="H987" i="9"/>
  <c r="H986" i="9"/>
  <c r="H985" i="9"/>
  <c r="H984" i="9"/>
  <c r="H983" i="9"/>
  <c r="H982" i="9"/>
  <c r="H981" i="9"/>
  <c r="H980" i="9"/>
  <c r="H979" i="9"/>
  <c r="H978" i="9"/>
  <c r="H977" i="9"/>
  <c r="H976" i="9"/>
  <c r="H975" i="9"/>
  <c r="H974" i="9"/>
  <c r="H973" i="9"/>
  <c r="H972" i="9"/>
  <c r="H971" i="9"/>
  <c r="H970" i="9"/>
  <c r="H969" i="9"/>
  <c r="H968" i="9"/>
  <c r="H967" i="9"/>
  <c r="H966" i="9"/>
  <c r="H965" i="9"/>
  <c r="H964" i="9"/>
  <c r="H963" i="9"/>
  <c r="H962" i="9"/>
  <c r="H961" i="9"/>
  <c r="H960" i="9"/>
  <c r="H959" i="9"/>
  <c r="H958" i="9"/>
  <c r="H957" i="9"/>
  <c r="H956" i="9"/>
  <c r="H955" i="9"/>
  <c r="H954" i="9"/>
  <c r="H953" i="9"/>
  <c r="H952" i="9"/>
  <c r="H951" i="9"/>
  <c r="H950" i="9"/>
  <c r="H949" i="9"/>
  <c r="H948" i="9"/>
  <c r="H947" i="9"/>
  <c r="H946" i="9"/>
  <c r="H945" i="9"/>
  <c r="H944" i="9"/>
  <c r="H943" i="9"/>
  <c r="H942" i="9"/>
  <c r="H941" i="9"/>
  <c r="H940" i="9"/>
  <c r="H939" i="9"/>
  <c r="H938" i="9"/>
  <c r="H937" i="9"/>
  <c r="H936" i="9"/>
  <c r="H935" i="9"/>
  <c r="H934" i="9"/>
  <c r="H933" i="9"/>
  <c r="H932" i="9"/>
  <c r="H931" i="9"/>
  <c r="H930" i="9"/>
  <c r="H929" i="9"/>
  <c r="H928" i="9"/>
  <c r="H927" i="9"/>
  <c r="H926" i="9"/>
  <c r="H925" i="9"/>
  <c r="H924" i="9"/>
  <c r="H923" i="9"/>
  <c r="H922" i="9"/>
  <c r="H921" i="9"/>
  <c r="H920" i="9"/>
  <c r="H919" i="9"/>
  <c r="H918" i="9"/>
  <c r="H917" i="9"/>
  <c r="H916" i="9"/>
  <c r="H915" i="9"/>
  <c r="H914" i="9"/>
  <c r="H913" i="9"/>
  <c r="H912" i="9"/>
  <c r="H911" i="9"/>
  <c r="H910" i="9"/>
  <c r="H909" i="9"/>
  <c r="H908" i="9"/>
  <c r="H907" i="9"/>
  <c r="H906" i="9"/>
  <c r="H905" i="9"/>
  <c r="H904" i="9"/>
  <c r="H903" i="9"/>
  <c r="H902" i="9"/>
  <c r="H901" i="9"/>
  <c r="H900" i="9"/>
  <c r="H899" i="9"/>
  <c r="H898" i="9"/>
  <c r="H897" i="9"/>
  <c r="H896" i="9"/>
  <c r="H895" i="9"/>
  <c r="H894" i="9"/>
  <c r="H893" i="9"/>
  <c r="H892" i="9"/>
  <c r="H891" i="9"/>
  <c r="H890" i="9"/>
  <c r="H889" i="9"/>
  <c r="H888" i="9"/>
  <c r="H887" i="9"/>
  <c r="H886" i="9"/>
  <c r="H885" i="9"/>
  <c r="H884" i="9"/>
  <c r="H883" i="9"/>
  <c r="H882" i="9"/>
  <c r="H881" i="9"/>
  <c r="H880" i="9"/>
  <c r="H879" i="9"/>
  <c r="H878" i="9"/>
  <c r="H877" i="9"/>
  <c r="H876" i="9"/>
  <c r="H875" i="9"/>
  <c r="H874" i="9"/>
  <c r="H873" i="9"/>
  <c r="H872" i="9"/>
  <c r="H871" i="9"/>
  <c r="H870" i="9"/>
  <c r="H869" i="9"/>
  <c r="H868" i="9"/>
  <c r="H867" i="9"/>
  <c r="H866" i="9"/>
  <c r="H865" i="9"/>
  <c r="H864" i="9"/>
  <c r="H863" i="9"/>
  <c r="H862" i="9"/>
  <c r="H861" i="9"/>
  <c r="H860" i="9"/>
  <c r="H859" i="9"/>
  <c r="H858" i="9"/>
  <c r="H857" i="9"/>
  <c r="H856" i="9"/>
  <c r="H855" i="9"/>
  <c r="H854" i="9"/>
  <c r="H853" i="9"/>
  <c r="H852" i="9"/>
  <c r="H851" i="9"/>
  <c r="H850" i="9"/>
  <c r="H849" i="9"/>
  <c r="H848" i="9"/>
  <c r="H847" i="9"/>
  <c r="H846" i="9"/>
  <c r="H845" i="9"/>
  <c r="H844" i="9"/>
  <c r="H843" i="9"/>
  <c r="H842" i="9"/>
  <c r="H841" i="9"/>
  <c r="H840" i="9"/>
  <c r="H839" i="9"/>
  <c r="H838" i="9"/>
  <c r="H837" i="9"/>
  <c r="H836" i="9"/>
  <c r="H835" i="9"/>
  <c r="H834" i="9"/>
  <c r="H833" i="9"/>
  <c r="H832" i="9"/>
  <c r="H831" i="9"/>
  <c r="H830" i="9"/>
  <c r="H829" i="9"/>
  <c r="H828" i="9"/>
  <c r="H827" i="9"/>
  <c r="H826" i="9"/>
  <c r="H825" i="9"/>
  <c r="H824" i="9"/>
  <c r="H823" i="9"/>
  <c r="H822" i="9"/>
  <c r="H821" i="9"/>
  <c r="H820" i="9"/>
  <c r="H819" i="9"/>
  <c r="H818" i="9"/>
  <c r="H817" i="9"/>
  <c r="H816" i="9"/>
  <c r="H815" i="9"/>
  <c r="H814" i="9"/>
  <c r="H813" i="9"/>
  <c r="H812" i="9"/>
  <c r="H811" i="9"/>
  <c r="H810" i="9"/>
  <c r="H809" i="9"/>
  <c r="H808" i="9"/>
  <c r="H807" i="9"/>
  <c r="H806" i="9"/>
  <c r="H805" i="9"/>
  <c r="H804" i="9"/>
  <c r="H803" i="9"/>
  <c r="H802" i="9"/>
  <c r="H801" i="9"/>
  <c r="H800" i="9"/>
  <c r="H799" i="9"/>
  <c r="H798" i="9"/>
  <c r="H797" i="9"/>
  <c r="H796" i="9"/>
  <c r="H795" i="9"/>
  <c r="H794" i="9"/>
  <c r="H793" i="9"/>
  <c r="H792" i="9"/>
  <c r="H791" i="9"/>
  <c r="H790" i="9"/>
  <c r="H789" i="9"/>
  <c r="H788" i="9"/>
  <c r="H787" i="9"/>
  <c r="H786" i="9"/>
  <c r="H785" i="9"/>
  <c r="H784" i="9"/>
  <c r="H783" i="9"/>
  <c r="H782" i="9"/>
  <c r="H781" i="9"/>
  <c r="H780" i="9"/>
  <c r="H779" i="9"/>
  <c r="H778" i="9"/>
  <c r="H777" i="9"/>
  <c r="H776" i="9"/>
  <c r="H775" i="9"/>
  <c r="H774" i="9"/>
  <c r="H773" i="9"/>
  <c r="H772" i="9"/>
  <c r="H771" i="9"/>
  <c r="H770" i="9"/>
  <c r="H769" i="9"/>
  <c r="H768" i="9"/>
  <c r="H767" i="9"/>
  <c r="H766" i="9"/>
  <c r="H765" i="9"/>
  <c r="H764" i="9"/>
  <c r="H763" i="9"/>
  <c r="H762" i="9"/>
  <c r="H761" i="9"/>
  <c r="H760" i="9"/>
  <c r="H759" i="9"/>
  <c r="H758" i="9"/>
  <c r="H757" i="9"/>
  <c r="H756" i="9"/>
  <c r="H755" i="9"/>
  <c r="H754" i="9"/>
  <c r="H753" i="9"/>
  <c r="H752" i="9"/>
  <c r="H751" i="9"/>
  <c r="H750" i="9"/>
  <c r="H749" i="9"/>
  <c r="H748" i="9"/>
  <c r="H747" i="9"/>
  <c r="H746" i="9"/>
  <c r="H745" i="9"/>
  <c r="H744" i="9"/>
  <c r="H743" i="9"/>
  <c r="H742" i="9"/>
  <c r="H741" i="9"/>
  <c r="H740" i="9"/>
  <c r="H739" i="9"/>
  <c r="H738" i="9"/>
  <c r="H737" i="9"/>
  <c r="H736" i="9"/>
  <c r="H735" i="9"/>
  <c r="H734" i="9"/>
  <c r="H733" i="9"/>
  <c r="H732" i="9"/>
  <c r="H731" i="9"/>
  <c r="H730" i="9"/>
  <c r="H729" i="9"/>
  <c r="H728" i="9"/>
  <c r="H727" i="9"/>
  <c r="H726" i="9"/>
  <c r="H725" i="9"/>
  <c r="H724" i="9"/>
  <c r="H723" i="9"/>
  <c r="H722" i="9"/>
  <c r="H721" i="9"/>
  <c r="H720" i="9"/>
  <c r="H719" i="9"/>
  <c r="H718" i="9"/>
  <c r="H717" i="9"/>
  <c r="H716" i="9"/>
  <c r="H715" i="9"/>
  <c r="H714" i="9"/>
  <c r="H713" i="9"/>
  <c r="H712" i="9"/>
  <c r="H711" i="9"/>
  <c r="H710" i="9"/>
  <c r="H709" i="9"/>
  <c r="H708" i="9"/>
  <c r="H707" i="9"/>
  <c r="H706" i="9"/>
  <c r="H705" i="9"/>
  <c r="H704" i="9"/>
  <c r="H703" i="9"/>
  <c r="H702" i="9"/>
  <c r="H701" i="9"/>
  <c r="H700" i="9"/>
  <c r="H699" i="9"/>
  <c r="H698" i="9"/>
  <c r="H697" i="9"/>
  <c r="H696" i="9"/>
  <c r="H695" i="9"/>
  <c r="H694" i="9"/>
  <c r="H693" i="9"/>
  <c r="H692" i="9"/>
  <c r="H691" i="9"/>
  <c r="H690" i="9"/>
  <c r="H689" i="9"/>
  <c r="H688" i="9"/>
  <c r="H687" i="9"/>
  <c r="H686" i="9"/>
  <c r="H685" i="9"/>
  <c r="H684" i="9"/>
  <c r="H683" i="9"/>
  <c r="H682" i="9"/>
  <c r="H681" i="9"/>
  <c r="H680" i="9"/>
  <c r="H679" i="9"/>
  <c r="H678" i="9"/>
  <c r="H677" i="9"/>
  <c r="H676" i="9"/>
  <c r="H675" i="9"/>
  <c r="H674" i="9"/>
  <c r="H673" i="9"/>
  <c r="H672" i="9"/>
  <c r="H671" i="9"/>
  <c r="H670" i="9"/>
  <c r="H669" i="9"/>
  <c r="H668" i="9"/>
  <c r="H667" i="9"/>
  <c r="H666" i="9"/>
  <c r="H665" i="9"/>
  <c r="H664" i="9"/>
  <c r="H663" i="9"/>
  <c r="H662" i="9"/>
  <c r="H661" i="9"/>
  <c r="H660" i="9"/>
  <c r="H659" i="9"/>
  <c r="H658" i="9"/>
  <c r="H657" i="9"/>
  <c r="H656" i="9"/>
  <c r="H655" i="9"/>
  <c r="H654" i="9"/>
  <c r="H653" i="9"/>
  <c r="H652" i="9"/>
  <c r="H651" i="9"/>
  <c r="H650" i="9"/>
  <c r="H649" i="9"/>
  <c r="H648" i="9"/>
  <c r="H647" i="9"/>
  <c r="H646" i="9"/>
  <c r="H645" i="9"/>
  <c r="H644" i="9"/>
  <c r="H643" i="9"/>
  <c r="H642" i="9"/>
  <c r="H641" i="9"/>
  <c r="H640" i="9"/>
  <c r="H639" i="9"/>
  <c r="H638" i="9"/>
  <c r="H637" i="9"/>
  <c r="H636" i="9"/>
  <c r="H635" i="9"/>
  <c r="H634" i="9"/>
  <c r="H633" i="9"/>
  <c r="H632" i="9"/>
  <c r="H631" i="9"/>
  <c r="H630" i="9"/>
  <c r="H629" i="9"/>
  <c r="H628" i="9"/>
  <c r="H627" i="9"/>
  <c r="H626" i="9"/>
  <c r="H625" i="9"/>
  <c r="H624" i="9"/>
  <c r="H623" i="9"/>
  <c r="H622" i="9"/>
  <c r="H621" i="9"/>
  <c r="H620" i="9"/>
  <c r="H619" i="9"/>
  <c r="H618" i="9"/>
  <c r="H617" i="9"/>
  <c r="H616" i="9"/>
  <c r="H615" i="9"/>
  <c r="H614" i="9"/>
  <c r="H613" i="9"/>
  <c r="H612" i="9"/>
  <c r="H611" i="9"/>
  <c r="H610" i="9"/>
  <c r="H609" i="9"/>
  <c r="H608" i="9"/>
  <c r="H607" i="9"/>
  <c r="H606" i="9"/>
  <c r="H605" i="9"/>
  <c r="H604" i="9"/>
  <c r="H603" i="9"/>
  <c r="H602" i="9"/>
  <c r="H601" i="9"/>
  <c r="H600" i="9"/>
  <c r="H599" i="9"/>
  <c r="H598" i="9"/>
  <c r="H597" i="9"/>
  <c r="H596" i="9"/>
  <c r="H595" i="9"/>
  <c r="H594" i="9"/>
  <c r="H593" i="9"/>
  <c r="H592" i="9"/>
  <c r="H591" i="9"/>
  <c r="H590" i="9"/>
  <c r="H589" i="9"/>
  <c r="H588" i="9"/>
  <c r="H587" i="9"/>
  <c r="H586" i="9"/>
  <c r="H585" i="9"/>
  <c r="H584" i="9"/>
  <c r="H583" i="9"/>
  <c r="H582" i="9"/>
  <c r="H581" i="9"/>
  <c r="H580" i="9"/>
  <c r="H579" i="9"/>
  <c r="H578" i="9"/>
  <c r="H577" i="9"/>
  <c r="H576" i="9"/>
  <c r="H575" i="9"/>
  <c r="H574" i="9"/>
  <c r="H573" i="9"/>
  <c r="H572" i="9"/>
  <c r="H571" i="9"/>
  <c r="H570" i="9"/>
  <c r="H569" i="9"/>
  <c r="H568" i="9"/>
  <c r="H567" i="9"/>
  <c r="H566" i="9"/>
  <c r="H565" i="9"/>
  <c r="H564" i="9"/>
  <c r="H563" i="9"/>
  <c r="H562" i="9"/>
  <c r="H561" i="9"/>
  <c r="H560" i="9"/>
  <c r="H559" i="9"/>
  <c r="H558" i="9"/>
  <c r="H557" i="9"/>
  <c r="H556" i="9"/>
  <c r="H555" i="9"/>
  <c r="H554" i="9"/>
  <c r="H553" i="9"/>
  <c r="H552" i="9"/>
  <c r="H551" i="9"/>
  <c r="H550" i="9"/>
  <c r="H549" i="9"/>
  <c r="H548" i="9"/>
  <c r="H547" i="9"/>
  <c r="H546" i="9"/>
  <c r="H545" i="9"/>
  <c r="H544" i="9"/>
  <c r="H543" i="9"/>
  <c r="H542" i="9"/>
  <c r="H541" i="9"/>
  <c r="H540" i="9"/>
  <c r="H539" i="9"/>
  <c r="H538" i="9"/>
  <c r="H537" i="9"/>
  <c r="H536" i="9"/>
  <c r="H535" i="9"/>
  <c r="H534" i="9"/>
  <c r="H533" i="9"/>
  <c r="H532" i="9"/>
  <c r="H531" i="9"/>
  <c r="H530" i="9"/>
  <c r="H529" i="9"/>
  <c r="H528" i="9"/>
  <c r="H527" i="9"/>
  <c r="H526" i="9"/>
  <c r="H525" i="9"/>
  <c r="H524" i="9"/>
  <c r="H523" i="9"/>
  <c r="H522" i="9"/>
  <c r="H521" i="9"/>
  <c r="H520" i="9"/>
  <c r="H519" i="9"/>
  <c r="H518" i="9"/>
  <c r="H517" i="9"/>
  <c r="H516" i="9"/>
  <c r="H515" i="9"/>
  <c r="H514" i="9"/>
  <c r="H513" i="9"/>
  <c r="H512" i="9"/>
  <c r="H511" i="9"/>
  <c r="H510" i="9"/>
  <c r="H509" i="9"/>
  <c r="H508" i="9"/>
  <c r="H507" i="9"/>
  <c r="H506" i="9"/>
  <c r="H505" i="9"/>
  <c r="H504" i="9"/>
  <c r="H503" i="9"/>
  <c r="H502" i="9"/>
  <c r="H501" i="9"/>
  <c r="H500" i="9"/>
  <c r="H499" i="9"/>
  <c r="H498" i="9"/>
  <c r="H497" i="9"/>
  <c r="H496" i="9"/>
  <c r="H495" i="9"/>
  <c r="H494" i="9"/>
  <c r="H493" i="9"/>
  <c r="H492" i="9"/>
  <c r="H491" i="9"/>
  <c r="H490" i="9"/>
  <c r="H489" i="9"/>
  <c r="H488" i="9"/>
  <c r="H487" i="9"/>
  <c r="H486" i="9"/>
  <c r="H485" i="9"/>
  <c r="H484" i="9"/>
  <c r="H483" i="9"/>
  <c r="H482" i="9"/>
  <c r="H481" i="9"/>
  <c r="H480" i="9"/>
  <c r="H479" i="9"/>
  <c r="H478" i="9"/>
  <c r="H477" i="9"/>
  <c r="H476" i="9"/>
  <c r="H475" i="9"/>
  <c r="H474" i="9"/>
  <c r="H473" i="9"/>
  <c r="H472" i="9"/>
  <c r="H471" i="9"/>
  <c r="H470" i="9"/>
  <c r="H469" i="9"/>
  <c r="H468" i="9"/>
  <c r="H467" i="9"/>
  <c r="H466" i="9"/>
  <c r="H465" i="9"/>
  <c r="H464" i="9"/>
  <c r="H463" i="9"/>
  <c r="H462" i="9"/>
  <c r="H461" i="9"/>
  <c r="H460" i="9"/>
  <c r="H459" i="9"/>
  <c r="H458" i="9"/>
  <c r="H457" i="9"/>
  <c r="H456" i="9"/>
  <c r="H455" i="9"/>
  <c r="H454" i="9"/>
  <c r="H453" i="9"/>
  <c r="H452" i="9"/>
  <c r="H451" i="9"/>
  <c r="H450" i="9"/>
  <c r="H449" i="9"/>
  <c r="H448" i="9"/>
  <c r="H447" i="9"/>
  <c r="H446" i="9"/>
  <c r="H445" i="9"/>
  <c r="H444" i="9"/>
  <c r="H443" i="9"/>
  <c r="H442" i="9"/>
  <c r="H441" i="9"/>
  <c r="H440" i="9"/>
  <c r="H439" i="9"/>
  <c r="H438" i="9"/>
  <c r="H437" i="9"/>
  <c r="H436" i="9"/>
  <c r="H435" i="9"/>
  <c r="H434" i="9"/>
  <c r="H433" i="9"/>
  <c r="H432" i="9"/>
  <c r="H431" i="9"/>
  <c r="H430" i="9"/>
  <c r="H429" i="9"/>
  <c r="H428" i="9"/>
  <c r="H427" i="9"/>
  <c r="H426" i="9"/>
  <c r="H425" i="9"/>
  <c r="H424" i="9"/>
  <c r="H423" i="9"/>
  <c r="H422" i="9"/>
  <c r="H421" i="9"/>
  <c r="H420" i="9"/>
  <c r="H419" i="9"/>
  <c r="H418" i="9"/>
  <c r="H417" i="9"/>
  <c r="H416" i="9"/>
  <c r="H415" i="9"/>
  <c r="H414" i="9"/>
  <c r="H413" i="9"/>
  <c r="H412" i="9"/>
  <c r="H411" i="9"/>
  <c r="H410" i="9"/>
  <c r="H409" i="9"/>
  <c r="H408" i="9"/>
  <c r="H407" i="9"/>
  <c r="H406" i="9"/>
  <c r="H405" i="9"/>
  <c r="H404" i="9"/>
  <c r="H403" i="9"/>
  <c r="H402" i="9"/>
  <c r="H401" i="9"/>
  <c r="H400" i="9"/>
  <c r="H399" i="9"/>
  <c r="H398" i="9"/>
  <c r="H397" i="9"/>
  <c r="H396" i="9"/>
  <c r="H395" i="9"/>
  <c r="H394" i="9"/>
  <c r="H393" i="9"/>
  <c r="H392" i="9"/>
  <c r="H391" i="9"/>
  <c r="H390" i="9"/>
  <c r="H389" i="9"/>
  <c r="H388" i="9"/>
  <c r="H387" i="9"/>
  <c r="H386" i="9"/>
  <c r="H385" i="9"/>
  <c r="H384" i="9"/>
  <c r="H383" i="9"/>
  <c r="H382" i="9"/>
  <c r="H381" i="9"/>
  <c r="H380" i="9"/>
  <c r="H379" i="9"/>
  <c r="H378" i="9"/>
  <c r="H377" i="9"/>
  <c r="H376" i="9"/>
  <c r="H375" i="9"/>
  <c r="H374" i="9"/>
  <c r="H373" i="9"/>
  <c r="H372" i="9"/>
  <c r="H371" i="9"/>
  <c r="H370" i="9"/>
  <c r="H369" i="9"/>
  <c r="H368" i="9"/>
  <c r="H367" i="9"/>
  <c r="H366" i="9"/>
  <c r="H365" i="9"/>
  <c r="H364" i="9"/>
  <c r="H363" i="9"/>
  <c r="H362" i="9"/>
  <c r="H361" i="9"/>
  <c r="H360" i="9"/>
  <c r="H359" i="9"/>
  <c r="H358" i="9"/>
  <c r="H357" i="9"/>
  <c r="H356" i="9"/>
  <c r="H355" i="9"/>
  <c r="H354" i="9"/>
  <c r="H353" i="9"/>
  <c r="H352" i="9"/>
  <c r="H351" i="9"/>
  <c r="H350" i="9"/>
  <c r="H349" i="9"/>
  <c r="H348" i="9"/>
  <c r="H347" i="9"/>
  <c r="H346" i="9"/>
  <c r="H345" i="9"/>
  <c r="H344" i="9"/>
  <c r="H343" i="9"/>
  <c r="H342" i="9"/>
  <c r="H341" i="9"/>
  <c r="H340" i="9"/>
  <c r="H339" i="9"/>
  <c r="H338" i="9"/>
  <c r="H337" i="9"/>
  <c r="H336" i="9"/>
  <c r="H335" i="9"/>
  <c r="H334" i="9"/>
  <c r="H333" i="9"/>
  <c r="H332" i="9"/>
  <c r="H331" i="9"/>
  <c r="H330" i="9"/>
  <c r="H329" i="9"/>
  <c r="H328" i="9"/>
  <c r="H327" i="9"/>
  <c r="H326" i="9"/>
  <c r="H325" i="9"/>
  <c r="H324" i="9"/>
  <c r="H323" i="9"/>
  <c r="H322" i="9"/>
  <c r="H321" i="9"/>
  <c r="H320" i="9"/>
  <c r="H319" i="9"/>
  <c r="H318" i="9"/>
  <c r="H317" i="9"/>
  <c r="H316" i="9"/>
  <c r="H315" i="9"/>
  <c r="H314" i="9"/>
  <c r="H313" i="9"/>
  <c r="H312" i="9"/>
  <c r="H311" i="9"/>
  <c r="H310" i="9"/>
  <c r="H309" i="9"/>
  <c r="H308" i="9"/>
  <c r="H307" i="9"/>
  <c r="H306" i="9"/>
  <c r="H305" i="9"/>
  <c r="H304" i="9"/>
  <c r="H303" i="9"/>
  <c r="H302" i="9"/>
  <c r="H301" i="9"/>
  <c r="H300" i="9"/>
  <c r="H299" i="9"/>
  <c r="H298" i="9"/>
  <c r="H297" i="9"/>
  <c r="H296" i="9"/>
  <c r="H295" i="9"/>
  <c r="H294" i="9"/>
  <c r="H293" i="9"/>
  <c r="H292" i="9"/>
  <c r="H291" i="9"/>
  <c r="H290" i="9"/>
  <c r="H289" i="9"/>
  <c r="H288" i="9"/>
  <c r="H287" i="9"/>
  <c r="H286" i="9"/>
  <c r="H285" i="9"/>
  <c r="H284" i="9"/>
  <c r="H283" i="9"/>
  <c r="H282" i="9"/>
  <c r="H281" i="9"/>
  <c r="H280" i="9"/>
  <c r="H279" i="9"/>
  <c r="H278" i="9"/>
  <c r="H277" i="9"/>
  <c r="H276" i="9"/>
  <c r="H275" i="9"/>
  <c r="H274" i="9"/>
  <c r="H273" i="9"/>
  <c r="H272" i="9"/>
  <c r="H271" i="9"/>
  <c r="H270" i="9"/>
  <c r="H269" i="9"/>
  <c r="H268" i="9"/>
  <c r="H267" i="9"/>
  <c r="H266" i="9"/>
  <c r="H265" i="9"/>
  <c r="H264" i="9"/>
  <c r="H263" i="9"/>
  <c r="H262" i="9"/>
  <c r="H261" i="9"/>
  <c r="H260" i="9"/>
  <c r="H259" i="9"/>
  <c r="H258" i="9"/>
  <c r="H257" i="9"/>
  <c r="H256" i="9"/>
  <c r="H255" i="9"/>
  <c r="H254" i="9"/>
  <c r="H253" i="9"/>
  <c r="H252" i="9"/>
  <c r="H251" i="9"/>
  <c r="H250" i="9"/>
  <c r="H249" i="9"/>
  <c r="H248" i="9"/>
  <c r="H247" i="9"/>
  <c r="H246" i="9"/>
  <c r="H245" i="9"/>
  <c r="H244" i="9"/>
  <c r="H243" i="9"/>
  <c r="H242" i="9"/>
  <c r="H241" i="9"/>
  <c r="H240" i="9"/>
  <c r="H239" i="9"/>
  <c r="H238" i="9"/>
  <c r="H237" i="9"/>
  <c r="H236" i="9"/>
  <c r="H235" i="9"/>
  <c r="H234" i="9"/>
  <c r="H233" i="9"/>
  <c r="H232" i="9"/>
  <c r="H231" i="9"/>
  <c r="H230" i="9"/>
  <c r="H229" i="9"/>
  <c r="H228" i="9"/>
  <c r="H227" i="9"/>
  <c r="H226" i="9"/>
  <c r="H225" i="9"/>
  <c r="H224" i="9"/>
  <c r="H223" i="9"/>
  <c r="H222" i="9"/>
  <c r="H221" i="9"/>
  <c r="H220" i="9"/>
  <c r="H219" i="9"/>
  <c r="H218" i="9"/>
  <c r="H217" i="9"/>
  <c r="H216" i="9"/>
  <c r="H215" i="9"/>
  <c r="H214" i="9"/>
  <c r="H213" i="9"/>
  <c r="H212" i="9"/>
  <c r="H211" i="9"/>
  <c r="H210" i="9"/>
  <c r="H209" i="9"/>
  <c r="H208" i="9"/>
  <c r="H207" i="9"/>
  <c r="H206" i="9"/>
  <c r="H205" i="9"/>
  <c r="H204" i="9"/>
  <c r="H203" i="9"/>
  <c r="H202" i="9"/>
  <c r="H201" i="9"/>
  <c r="H200" i="9"/>
  <c r="H199" i="9"/>
  <c r="H198" i="9"/>
  <c r="H197" i="9"/>
  <c r="H196" i="9"/>
  <c r="H195" i="9"/>
  <c r="H194" i="9"/>
  <c r="H193" i="9"/>
  <c r="H192" i="9"/>
  <c r="H191" i="9"/>
  <c r="H190" i="9"/>
  <c r="H189" i="9"/>
  <c r="H188" i="9"/>
  <c r="H187" i="9"/>
  <c r="H186" i="9"/>
  <c r="H185" i="9"/>
  <c r="H184" i="9"/>
  <c r="H183" i="9"/>
  <c r="H182" i="9"/>
  <c r="H181" i="9"/>
  <c r="H180" i="9"/>
  <c r="H179" i="9"/>
  <c r="H178" i="9"/>
  <c r="H177" i="9"/>
  <c r="H176" i="9"/>
  <c r="H175" i="9"/>
  <c r="H174" i="9"/>
  <c r="H173" i="9"/>
  <c r="H172" i="9"/>
  <c r="H171" i="9"/>
  <c r="H170" i="9"/>
  <c r="H169" i="9"/>
  <c r="H168" i="9"/>
  <c r="H167" i="9"/>
  <c r="H166" i="9"/>
  <c r="H165" i="9"/>
  <c r="H164" i="9"/>
  <c r="H163" i="9"/>
  <c r="H162" i="9"/>
  <c r="H161" i="9"/>
  <c r="H160" i="9"/>
  <c r="H159" i="9"/>
  <c r="H158" i="9"/>
  <c r="H157" i="9"/>
  <c r="H156" i="9"/>
  <c r="H155" i="9"/>
  <c r="H154" i="9"/>
  <c r="H153" i="9"/>
  <c r="H152" i="9"/>
  <c r="H151" i="9"/>
  <c r="H150" i="9"/>
  <c r="H149" i="9"/>
  <c r="H148" i="9"/>
  <c r="H147" i="9"/>
  <c r="H146" i="9"/>
  <c r="H145" i="9"/>
  <c r="H144" i="9"/>
  <c r="H143" i="9"/>
  <c r="H142" i="9"/>
  <c r="H141" i="9"/>
  <c r="H140" i="9"/>
  <c r="H139" i="9"/>
  <c r="H138" i="9"/>
  <c r="H137" i="9"/>
  <c r="H136" i="9"/>
  <c r="H135" i="9"/>
  <c r="H134" i="9"/>
  <c r="H133" i="9"/>
  <c r="H132" i="9"/>
  <c r="H131" i="9"/>
  <c r="H130" i="9"/>
  <c r="H129" i="9"/>
  <c r="H128" i="9"/>
  <c r="H127" i="9"/>
  <c r="H126" i="9"/>
  <c r="H125" i="9"/>
  <c r="H124" i="9"/>
  <c r="H123" i="9"/>
  <c r="H122" i="9"/>
  <c r="H121" i="9"/>
  <c r="H120" i="9"/>
  <c r="H119" i="9"/>
  <c r="H118" i="9"/>
  <c r="H117" i="9"/>
  <c r="H116" i="9"/>
  <c r="H115" i="9"/>
  <c r="H114" i="9"/>
  <c r="H113" i="9"/>
  <c r="H112" i="9"/>
  <c r="H111" i="9"/>
  <c r="H110" i="9"/>
  <c r="H109" i="9"/>
  <c r="H108" i="9"/>
  <c r="H107" i="9"/>
  <c r="H106" i="9"/>
  <c r="H105" i="9"/>
  <c r="H104" i="9"/>
  <c r="H103" i="9"/>
  <c r="H102" i="9"/>
  <c r="H101" i="9"/>
  <c r="H100" i="9"/>
  <c r="H99" i="9"/>
  <c r="H98" i="9"/>
  <c r="H97" i="9"/>
  <c r="H96" i="9"/>
  <c r="H95" i="9"/>
  <c r="H94" i="9"/>
  <c r="H93" i="9"/>
  <c r="H92" i="9"/>
  <c r="H91" i="9"/>
  <c r="H90" i="9"/>
  <c r="H89" i="9"/>
  <c r="H88" i="9"/>
  <c r="H87" i="9"/>
  <c r="H86" i="9"/>
  <c r="H85" i="9"/>
  <c r="H84" i="9"/>
  <c r="H83" i="9"/>
  <c r="H82" i="9"/>
  <c r="H81" i="9"/>
  <c r="H80" i="9"/>
  <c r="H79" i="9"/>
  <c r="H78" i="9"/>
  <c r="H77" i="9"/>
  <c r="H76" i="9"/>
  <c r="H75" i="9"/>
  <c r="H74" i="9"/>
  <c r="H73" i="9"/>
  <c r="H72" i="9"/>
  <c r="H71" i="9"/>
  <c r="H70" i="9"/>
  <c r="H69" i="9"/>
  <c r="H68" i="9"/>
  <c r="H67" i="9"/>
  <c r="H66" i="9"/>
  <c r="H65" i="9"/>
  <c r="H64" i="9"/>
  <c r="H63" i="9"/>
  <c r="H62" i="9"/>
  <c r="H61" i="9"/>
  <c r="H60" i="9"/>
  <c r="H59" i="9"/>
  <c r="H58" i="9"/>
  <c r="H57" i="9"/>
  <c r="H56" i="9"/>
  <c r="H55" i="9"/>
  <c r="H54" i="9"/>
  <c r="H53" i="9"/>
  <c r="H52" i="9"/>
  <c r="H51" i="9"/>
  <c r="H50" i="9"/>
  <c r="H49" i="9"/>
  <c r="H48" i="9"/>
  <c r="H47" i="9"/>
  <c r="H46" i="9"/>
  <c r="H45" i="9"/>
  <c r="H44" i="9"/>
  <c r="H43" i="9"/>
  <c r="H42" i="9"/>
  <c r="H41" i="9"/>
  <c r="H40" i="9"/>
  <c r="H39" i="9"/>
  <c r="H38" i="9"/>
  <c r="H37" i="9"/>
  <c r="H36" i="9"/>
  <c r="H35" i="9"/>
  <c r="H34" i="9"/>
  <c r="H33" i="9"/>
  <c r="H32" i="9"/>
  <c r="H31" i="9"/>
  <c r="H30" i="9"/>
  <c r="H29" i="9"/>
  <c r="H28" i="9"/>
  <c r="H27" i="9"/>
  <c r="H26" i="9"/>
  <c r="H25" i="9"/>
  <c r="H24" i="9"/>
  <c r="H23" i="9"/>
  <c r="H22" i="9"/>
  <c r="H21" i="9"/>
  <c r="H20" i="9"/>
  <c r="H19" i="9"/>
  <c r="H18" i="9"/>
  <c r="H17" i="9"/>
  <c r="H16" i="9"/>
  <c r="H15" i="9"/>
  <c r="H14" i="9"/>
  <c r="H13" i="9"/>
  <c r="H12" i="9"/>
  <c r="H11" i="9"/>
  <c r="H10" i="9"/>
  <c r="H9" i="9"/>
  <c r="H8" i="9"/>
  <c r="P13" i="14" s="1"/>
  <c r="H7" i="9"/>
  <c r="P12" i="14" s="1"/>
  <c r="H6" i="9"/>
  <c r="H5" i="9"/>
  <c r="H1004" i="8"/>
  <c r="H1003" i="8"/>
  <c r="H1002" i="8"/>
  <c r="H1001" i="8"/>
  <c r="H1000" i="8"/>
  <c r="H999" i="8"/>
  <c r="H998" i="8"/>
  <c r="H997" i="8"/>
  <c r="H996" i="8"/>
  <c r="H995" i="8"/>
  <c r="H994" i="8"/>
  <c r="H993" i="8"/>
  <c r="H992" i="8"/>
  <c r="H991" i="8"/>
  <c r="H990" i="8"/>
  <c r="H989" i="8"/>
  <c r="H988" i="8"/>
  <c r="H987" i="8"/>
  <c r="H986" i="8"/>
  <c r="H985" i="8"/>
  <c r="H984" i="8"/>
  <c r="H983" i="8"/>
  <c r="H982" i="8"/>
  <c r="H981" i="8"/>
  <c r="H980" i="8"/>
  <c r="H979" i="8"/>
  <c r="H978" i="8"/>
  <c r="H977" i="8"/>
  <c r="H976" i="8"/>
  <c r="H975" i="8"/>
  <c r="H974" i="8"/>
  <c r="H973" i="8"/>
  <c r="H972" i="8"/>
  <c r="H971" i="8"/>
  <c r="H970" i="8"/>
  <c r="H969" i="8"/>
  <c r="H968" i="8"/>
  <c r="H967" i="8"/>
  <c r="H966" i="8"/>
  <c r="H965" i="8"/>
  <c r="H964" i="8"/>
  <c r="H963" i="8"/>
  <c r="H962" i="8"/>
  <c r="H961" i="8"/>
  <c r="H960" i="8"/>
  <c r="H959" i="8"/>
  <c r="H958" i="8"/>
  <c r="H957" i="8"/>
  <c r="H956" i="8"/>
  <c r="H955" i="8"/>
  <c r="H954" i="8"/>
  <c r="H953" i="8"/>
  <c r="H952" i="8"/>
  <c r="H951" i="8"/>
  <c r="H950" i="8"/>
  <c r="H949" i="8"/>
  <c r="H948" i="8"/>
  <c r="H947" i="8"/>
  <c r="H946" i="8"/>
  <c r="H945" i="8"/>
  <c r="H944" i="8"/>
  <c r="H943" i="8"/>
  <c r="H942" i="8"/>
  <c r="H941" i="8"/>
  <c r="H940" i="8"/>
  <c r="H939" i="8"/>
  <c r="H938" i="8"/>
  <c r="H937" i="8"/>
  <c r="H936" i="8"/>
  <c r="H935" i="8"/>
  <c r="H934" i="8"/>
  <c r="H933" i="8"/>
  <c r="H932" i="8"/>
  <c r="H931" i="8"/>
  <c r="H930" i="8"/>
  <c r="H929" i="8"/>
  <c r="H928" i="8"/>
  <c r="H927" i="8"/>
  <c r="H926" i="8"/>
  <c r="H925" i="8"/>
  <c r="H924" i="8"/>
  <c r="H923" i="8"/>
  <c r="H922" i="8"/>
  <c r="H921" i="8"/>
  <c r="H920" i="8"/>
  <c r="H919" i="8"/>
  <c r="H918" i="8"/>
  <c r="H917" i="8"/>
  <c r="H916" i="8"/>
  <c r="H915" i="8"/>
  <c r="H914" i="8"/>
  <c r="H913" i="8"/>
  <c r="H912" i="8"/>
  <c r="H911" i="8"/>
  <c r="H910" i="8"/>
  <c r="H909" i="8"/>
  <c r="H908" i="8"/>
  <c r="H907" i="8"/>
  <c r="H906" i="8"/>
  <c r="H905" i="8"/>
  <c r="H904" i="8"/>
  <c r="H903" i="8"/>
  <c r="H902" i="8"/>
  <c r="H901" i="8"/>
  <c r="H900" i="8"/>
  <c r="H899" i="8"/>
  <c r="H898" i="8"/>
  <c r="H897" i="8"/>
  <c r="H896" i="8"/>
  <c r="H895" i="8"/>
  <c r="H894" i="8"/>
  <c r="H893" i="8"/>
  <c r="H892" i="8"/>
  <c r="H891" i="8"/>
  <c r="H890" i="8"/>
  <c r="H889" i="8"/>
  <c r="H888" i="8"/>
  <c r="H887" i="8"/>
  <c r="H886" i="8"/>
  <c r="H885" i="8"/>
  <c r="H884" i="8"/>
  <c r="H883" i="8"/>
  <c r="H882" i="8"/>
  <c r="H881" i="8"/>
  <c r="H880" i="8"/>
  <c r="H879" i="8"/>
  <c r="H878" i="8"/>
  <c r="H877" i="8"/>
  <c r="H876" i="8"/>
  <c r="H875" i="8"/>
  <c r="H874" i="8"/>
  <c r="H873" i="8"/>
  <c r="H872" i="8"/>
  <c r="H871" i="8"/>
  <c r="H870" i="8"/>
  <c r="H869" i="8"/>
  <c r="H868" i="8"/>
  <c r="H867" i="8"/>
  <c r="H866" i="8"/>
  <c r="H865" i="8"/>
  <c r="H864" i="8"/>
  <c r="H863" i="8"/>
  <c r="H862" i="8"/>
  <c r="H861" i="8"/>
  <c r="H860" i="8"/>
  <c r="H859" i="8"/>
  <c r="H858" i="8"/>
  <c r="H857" i="8"/>
  <c r="H856" i="8"/>
  <c r="H855" i="8"/>
  <c r="H854" i="8"/>
  <c r="H853" i="8"/>
  <c r="H852" i="8"/>
  <c r="H851" i="8"/>
  <c r="H850" i="8"/>
  <c r="H849" i="8"/>
  <c r="H848" i="8"/>
  <c r="H847" i="8"/>
  <c r="H846" i="8"/>
  <c r="H845" i="8"/>
  <c r="H844" i="8"/>
  <c r="H843" i="8"/>
  <c r="H842" i="8"/>
  <c r="H841" i="8"/>
  <c r="H840" i="8"/>
  <c r="H839" i="8"/>
  <c r="H838" i="8"/>
  <c r="H837" i="8"/>
  <c r="H836" i="8"/>
  <c r="H835" i="8"/>
  <c r="H834" i="8"/>
  <c r="H833" i="8"/>
  <c r="H832" i="8"/>
  <c r="H831" i="8"/>
  <c r="H830" i="8"/>
  <c r="H829" i="8"/>
  <c r="H828" i="8"/>
  <c r="H827" i="8"/>
  <c r="H826" i="8"/>
  <c r="H825" i="8"/>
  <c r="H824" i="8"/>
  <c r="H823" i="8"/>
  <c r="H822" i="8"/>
  <c r="H821" i="8"/>
  <c r="H820" i="8"/>
  <c r="H819" i="8"/>
  <c r="H818" i="8"/>
  <c r="H817" i="8"/>
  <c r="H816" i="8"/>
  <c r="H815" i="8"/>
  <c r="H814" i="8"/>
  <c r="H813" i="8"/>
  <c r="H812" i="8"/>
  <c r="H811" i="8"/>
  <c r="H810" i="8"/>
  <c r="H809" i="8"/>
  <c r="H808" i="8"/>
  <c r="H807" i="8"/>
  <c r="H806" i="8"/>
  <c r="H805" i="8"/>
  <c r="H804" i="8"/>
  <c r="H803" i="8"/>
  <c r="H802" i="8"/>
  <c r="H801" i="8"/>
  <c r="H800" i="8"/>
  <c r="H799" i="8"/>
  <c r="H798" i="8"/>
  <c r="H797" i="8"/>
  <c r="H796" i="8"/>
  <c r="H795" i="8"/>
  <c r="H794" i="8"/>
  <c r="H793" i="8"/>
  <c r="H792" i="8"/>
  <c r="H791" i="8"/>
  <c r="H790" i="8"/>
  <c r="H789" i="8"/>
  <c r="H788" i="8"/>
  <c r="H787" i="8"/>
  <c r="H786" i="8"/>
  <c r="H785" i="8"/>
  <c r="H784" i="8"/>
  <c r="H783" i="8"/>
  <c r="H782" i="8"/>
  <c r="H781" i="8"/>
  <c r="H780" i="8"/>
  <c r="H779" i="8"/>
  <c r="H778" i="8"/>
  <c r="H777" i="8"/>
  <c r="H776" i="8"/>
  <c r="H775" i="8"/>
  <c r="H774" i="8"/>
  <c r="H773" i="8"/>
  <c r="H772" i="8"/>
  <c r="H771" i="8"/>
  <c r="H770" i="8"/>
  <c r="H769" i="8"/>
  <c r="H768" i="8"/>
  <c r="H767" i="8"/>
  <c r="H766" i="8"/>
  <c r="H765" i="8"/>
  <c r="H764" i="8"/>
  <c r="H763" i="8"/>
  <c r="H762" i="8"/>
  <c r="H761" i="8"/>
  <c r="H760" i="8"/>
  <c r="H759" i="8"/>
  <c r="H758" i="8"/>
  <c r="H757" i="8"/>
  <c r="H756" i="8"/>
  <c r="H755" i="8"/>
  <c r="H754" i="8"/>
  <c r="H753" i="8"/>
  <c r="H752" i="8"/>
  <c r="H751" i="8"/>
  <c r="H750" i="8"/>
  <c r="H749" i="8"/>
  <c r="H748" i="8"/>
  <c r="H747" i="8"/>
  <c r="H746" i="8"/>
  <c r="H745" i="8"/>
  <c r="H744" i="8"/>
  <c r="H743" i="8"/>
  <c r="H742" i="8"/>
  <c r="H741" i="8"/>
  <c r="H740" i="8"/>
  <c r="H739" i="8"/>
  <c r="H738" i="8"/>
  <c r="H737" i="8"/>
  <c r="H736" i="8"/>
  <c r="H735" i="8"/>
  <c r="H734" i="8"/>
  <c r="H733" i="8"/>
  <c r="H732" i="8"/>
  <c r="H731" i="8"/>
  <c r="H730" i="8"/>
  <c r="H729" i="8"/>
  <c r="H728" i="8"/>
  <c r="H727" i="8"/>
  <c r="H726" i="8"/>
  <c r="H725" i="8"/>
  <c r="H724" i="8"/>
  <c r="H723" i="8"/>
  <c r="H722" i="8"/>
  <c r="H721" i="8"/>
  <c r="H720" i="8"/>
  <c r="H719" i="8"/>
  <c r="H718" i="8"/>
  <c r="H717" i="8"/>
  <c r="H716" i="8"/>
  <c r="H715" i="8"/>
  <c r="H714" i="8"/>
  <c r="H713" i="8"/>
  <c r="H712" i="8"/>
  <c r="H711" i="8"/>
  <c r="H710" i="8"/>
  <c r="H709" i="8"/>
  <c r="H708" i="8"/>
  <c r="H707" i="8"/>
  <c r="H706" i="8"/>
  <c r="H705" i="8"/>
  <c r="H704" i="8"/>
  <c r="H703" i="8"/>
  <c r="H702" i="8"/>
  <c r="H701" i="8"/>
  <c r="H700" i="8"/>
  <c r="H699" i="8"/>
  <c r="H698" i="8"/>
  <c r="H697" i="8"/>
  <c r="H696" i="8"/>
  <c r="H695" i="8"/>
  <c r="H694" i="8"/>
  <c r="H693" i="8"/>
  <c r="H692" i="8"/>
  <c r="H691" i="8"/>
  <c r="H690" i="8"/>
  <c r="H689" i="8"/>
  <c r="H688" i="8"/>
  <c r="H687" i="8"/>
  <c r="H686" i="8"/>
  <c r="H685" i="8"/>
  <c r="H684" i="8"/>
  <c r="H683" i="8"/>
  <c r="H682" i="8"/>
  <c r="H681" i="8"/>
  <c r="H680" i="8"/>
  <c r="H679" i="8"/>
  <c r="H678" i="8"/>
  <c r="H677" i="8"/>
  <c r="H676" i="8"/>
  <c r="H675" i="8"/>
  <c r="H674" i="8"/>
  <c r="H673" i="8"/>
  <c r="H672" i="8"/>
  <c r="H671" i="8"/>
  <c r="H670" i="8"/>
  <c r="H669" i="8"/>
  <c r="H668" i="8"/>
  <c r="H667" i="8"/>
  <c r="H666" i="8"/>
  <c r="H665" i="8"/>
  <c r="H664" i="8"/>
  <c r="H663" i="8"/>
  <c r="H662" i="8"/>
  <c r="H661" i="8"/>
  <c r="H660" i="8"/>
  <c r="H659" i="8"/>
  <c r="H658" i="8"/>
  <c r="H657" i="8"/>
  <c r="H656" i="8"/>
  <c r="H655" i="8"/>
  <c r="H654" i="8"/>
  <c r="H653" i="8"/>
  <c r="H652" i="8"/>
  <c r="H651" i="8"/>
  <c r="H650" i="8"/>
  <c r="H649" i="8"/>
  <c r="H648" i="8"/>
  <c r="H647" i="8"/>
  <c r="H646" i="8"/>
  <c r="H645" i="8"/>
  <c r="H644" i="8"/>
  <c r="H643" i="8"/>
  <c r="H642" i="8"/>
  <c r="H641" i="8"/>
  <c r="H640" i="8"/>
  <c r="H639" i="8"/>
  <c r="H638" i="8"/>
  <c r="H637" i="8"/>
  <c r="H636" i="8"/>
  <c r="H635" i="8"/>
  <c r="H634" i="8"/>
  <c r="H633" i="8"/>
  <c r="H632" i="8"/>
  <c r="H631" i="8"/>
  <c r="H630" i="8"/>
  <c r="H629" i="8"/>
  <c r="H628" i="8"/>
  <c r="H627" i="8"/>
  <c r="H626" i="8"/>
  <c r="H625" i="8"/>
  <c r="H624" i="8"/>
  <c r="H623" i="8"/>
  <c r="H622" i="8"/>
  <c r="H621" i="8"/>
  <c r="H620" i="8"/>
  <c r="H619" i="8"/>
  <c r="H618" i="8"/>
  <c r="H617" i="8"/>
  <c r="H616" i="8"/>
  <c r="H615" i="8"/>
  <c r="H614" i="8"/>
  <c r="H613" i="8"/>
  <c r="H612" i="8"/>
  <c r="H611" i="8"/>
  <c r="H610" i="8"/>
  <c r="H609" i="8"/>
  <c r="H608" i="8"/>
  <c r="H607" i="8"/>
  <c r="H606" i="8"/>
  <c r="H605" i="8"/>
  <c r="H604" i="8"/>
  <c r="H603" i="8"/>
  <c r="H602" i="8"/>
  <c r="H601" i="8"/>
  <c r="H600" i="8"/>
  <c r="H599" i="8"/>
  <c r="H598" i="8"/>
  <c r="H597" i="8"/>
  <c r="H596" i="8"/>
  <c r="H595" i="8"/>
  <c r="H594" i="8"/>
  <c r="H593" i="8"/>
  <c r="H592" i="8"/>
  <c r="H591" i="8"/>
  <c r="H590" i="8"/>
  <c r="H589" i="8"/>
  <c r="H588" i="8"/>
  <c r="H587" i="8"/>
  <c r="H586" i="8"/>
  <c r="H585" i="8"/>
  <c r="H584" i="8"/>
  <c r="H583" i="8"/>
  <c r="H582" i="8"/>
  <c r="H581" i="8"/>
  <c r="H580" i="8"/>
  <c r="H579" i="8"/>
  <c r="H578" i="8"/>
  <c r="H577" i="8"/>
  <c r="H576" i="8"/>
  <c r="H575" i="8"/>
  <c r="H574" i="8"/>
  <c r="H573" i="8"/>
  <c r="H572" i="8"/>
  <c r="H571" i="8"/>
  <c r="H570" i="8"/>
  <c r="H569" i="8"/>
  <c r="H568" i="8"/>
  <c r="H567" i="8"/>
  <c r="H566" i="8"/>
  <c r="H565" i="8"/>
  <c r="H564" i="8"/>
  <c r="H563" i="8"/>
  <c r="H562" i="8"/>
  <c r="H561" i="8"/>
  <c r="H560" i="8"/>
  <c r="H559" i="8"/>
  <c r="H558" i="8"/>
  <c r="H557" i="8"/>
  <c r="H556" i="8"/>
  <c r="H555" i="8"/>
  <c r="H554" i="8"/>
  <c r="H553" i="8"/>
  <c r="H552" i="8"/>
  <c r="H551" i="8"/>
  <c r="H550" i="8"/>
  <c r="H549" i="8"/>
  <c r="H548" i="8"/>
  <c r="H547" i="8"/>
  <c r="H546" i="8"/>
  <c r="H545" i="8"/>
  <c r="H544" i="8"/>
  <c r="H543" i="8"/>
  <c r="H542" i="8"/>
  <c r="H541" i="8"/>
  <c r="H540" i="8"/>
  <c r="H539" i="8"/>
  <c r="H538" i="8"/>
  <c r="H537" i="8"/>
  <c r="H536" i="8"/>
  <c r="H535" i="8"/>
  <c r="H534" i="8"/>
  <c r="H533" i="8"/>
  <c r="H532" i="8"/>
  <c r="H531" i="8"/>
  <c r="H530" i="8"/>
  <c r="H529" i="8"/>
  <c r="H528" i="8"/>
  <c r="H527" i="8"/>
  <c r="H526" i="8"/>
  <c r="H525" i="8"/>
  <c r="H524" i="8"/>
  <c r="H523" i="8"/>
  <c r="H522" i="8"/>
  <c r="H521" i="8"/>
  <c r="H520" i="8"/>
  <c r="H519" i="8"/>
  <c r="H518" i="8"/>
  <c r="H517" i="8"/>
  <c r="H516" i="8"/>
  <c r="H515" i="8"/>
  <c r="H514" i="8"/>
  <c r="H513" i="8"/>
  <c r="H512" i="8"/>
  <c r="H511" i="8"/>
  <c r="H510" i="8"/>
  <c r="H509" i="8"/>
  <c r="H508" i="8"/>
  <c r="H507" i="8"/>
  <c r="H506" i="8"/>
  <c r="H505" i="8"/>
  <c r="H504" i="8"/>
  <c r="H503" i="8"/>
  <c r="H502" i="8"/>
  <c r="H501" i="8"/>
  <c r="H500" i="8"/>
  <c r="H499" i="8"/>
  <c r="H498" i="8"/>
  <c r="H497" i="8"/>
  <c r="H496" i="8"/>
  <c r="H495" i="8"/>
  <c r="H494" i="8"/>
  <c r="H493" i="8"/>
  <c r="H492" i="8"/>
  <c r="H491" i="8"/>
  <c r="H490" i="8"/>
  <c r="H489" i="8"/>
  <c r="H488" i="8"/>
  <c r="H487" i="8"/>
  <c r="H486" i="8"/>
  <c r="H485" i="8"/>
  <c r="H484" i="8"/>
  <c r="H483" i="8"/>
  <c r="H482" i="8"/>
  <c r="H481" i="8"/>
  <c r="H480" i="8"/>
  <c r="H479" i="8"/>
  <c r="H478" i="8"/>
  <c r="H477" i="8"/>
  <c r="H476" i="8"/>
  <c r="H475" i="8"/>
  <c r="H474" i="8"/>
  <c r="H473" i="8"/>
  <c r="H472" i="8"/>
  <c r="H471" i="8"/>
  <c r="H470" i="8"/>
  <c r="H469" i="8"/>
  <c r="H468" i="8"/>
  <c r="H467" i="8"/>
  <c r="H466" i="8"/>
  <c r="H465" i="8"/>
  <c r="H464" i="8"/>
  <c r="H463" i="8"/>
  <c r="H462" i="8"/>
  <c r="H461" i="8"/>
  <c r="H460" i="8"/>
  <c r="H459" i="8"/>
  <c r="H458" i="8"/>
  <c r="H457" i="8"/>
  <c r="H456" i="8"/>
  <c r="H455" i="8"/>
  <c r="H454" i="8"/>
  <c r="H453" i="8"/>
  <c r="H452" i="8"/>
  <c r="H451" i="8"/>
  <c r="H450" i="8"/>
  <c r="H449" i="8"/>
  <c r="H448" i="8"/>
  <c r="H447" i="8"/>
  <c r="H446" i="8"/>
  <c r="H445" i="8"/>
  <c r="H444" i="8"/>
  <c r="H443" i="8"/>
  <c r="H442" i="8"/>
  <c r="H441" i="8"/>
  <c r="H440" i="8"/>
  <c r="H439" i="8"/>
  <c r="H438" i="8"/>
  <c r="H437" i="8"/>
  <c r="H436" i="8"/>
  <c r="H435" i="8"/>
  <c r="H434" i="8"/>
  <c r="H433" i="8"/>
  <c r="H432" i="8"/>
  <c r="H431" i="8"/>
  <c r="H430" i="8"/>
  <c r="H429" i="8"/>
  <c r="H428" i="8"/>
  <c r="H427" i="8"/>
  <c r="H426" i="8"/>
  <c r="H425" i="8"/>
  <c r="H424" i="8"/>
  <c r="H423" i="8"/>
  <c r="H422" i="8"/>
  <c r="H421" i="8"/>
  <c r="H420" i="8"/>
  <c r="H419" i="8"/>
  <c r="H418" i="8"/>
  <c r="H417" i="8"/>
  <c r="H416" i="8"/>
  <c r="H415" i="8"/>
  <c r="H414" i="8"/>
  <c r="H413" i="8"/>
  <c r="H412" i="8"/>
  <c r="H411" i="8"/>
  <c r="H410" i="8"/>
  <c r="H409" i="8"/>
  <c r="H408" i="8"/>
  <c r="H407" i="8"/>
  <c r="H406" i="8"/>
  <c r="H405" i="8"/>
  <c r="H404" i="8"/>
  <c r="H403" i="8"/>
  <c r="H402" i="8"/>
  <c r="H401" i="8"/>
  <c r="H400" i="8"/>
  <c r="H399" i="8"/>
  <c r="H398" i="8"/>
  <c r="H397" i="8"/>
  <c r="H396" i="8"/>
  <c r="H395" i="8"/>
  <c r="H394" i="8"/>
  <c r="H393" i="8"/>
  <c r="H392" i="8"/>
  <c r="H391" i="8"/>
  <c r="H390" i="8"/>
  <c r="H389" i="8"/>
  <c r="H388" i="8"/>
  <c r="H387" i="8"/>
  <c r="H386" i="8"/>
  <c r="H385" i="8"/>
  <c r="H384" i="8"/>
  <c r="H383" i="8"/>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H10" i="8"/>
  <c r="H9" i="8"/>
  <c r="H8" i="8"/>
  <c r="H7" i="8"/>
  <c r="H6" i="8"/>
  <c r="H5" i="8"/>
  <c r="E1004" i="7"/>
  <c r="E1003" i="7"/>
  <c r="E1002" i="7"/>
  <c r="E1001"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47" i="7"/>
  <c r="E946" i="7"/>
  <c r="E945" i="7"/>
  <c r="E944" i="7"/>
  <c r="E943" i="7"/>
  <c r="E942" i="7"/>
  <c r="E941" i="7"/>
  <c r="E940" i="7"/>
  <c r="E939"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1" i="7"/>
  <c r="E880" i="7"/>
  <c r="E879" i="7"/>
  <c r="E878" i="7"/>
  <c r="E877" i="7"/>
  <c r="E876" i="7"/>
  <c r="E875" i="7"/>
  <c r="E874" i="7"/>
  <c r="E873" i="7"/>
  <c r="E872" i="7"/>
  <c r="E871" i="7"/>
  <c r="E870" i="7"/>
  <c r="E869" i="7"/>
  <c r="E868" i="7"/>
  <c r="E867" i="7"/>
  <c r="E866" i="7"/>
  <c r="E865" i="7"/>
  <c r="E864" i="7"/>
  <c r="E863" i="7"/>
  <c r="E862" i="7"/>
  <c r="E861" i="7"/>
  <c r="E860" i="7"/>
  <c r="E859" i="7"/>
  <c r="E858" i="7"/>
  <c r="E857" i="7"/>
  <c r="E856" i="7"/>
  <c r="E855" i="7"/>
  <c r="E854" i="7"/>
  <c r="E853" i="7"/>
  <c r="E852" i="7"/>
  <c r="E851" i="7"/>
  <c r="E850" i="7"/>
  <c r="E849" i="7"/>
  <c r="E848" i="7"/>
  <c r="E847" i="7"/>
  <c r="E846" i="7"/>
  <c r="E845" i="7"/>
  <c r="E844" i="7"/>
  <c r="E843" i="7"/>
  <c r="E842" i="7"/>
  <c r="E841"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5"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9" i="7"/>
  <c r="E578" i="7"/>
  <c r="E577" i="7"/>
  <c r="E576" i="7"/>
  <c r="E575" i="7"/>
  <c r="E574" i="7"/>
  <c r="E573" i="7"/>
  <c r="E572" i="7"/>
  <c r="E571" i="7"/>
  <c r="E570" i="7"/>
  <c r="E569" i="7"/>
  <c r="E568" i="7"/>
  <c r="E567" i="7"/>
  <c r="E566" i="7"/>
  <c r="E565" i="7"/>
  <c r="E564" i="7"/>
  <c r="E563" i="7"/>
  <c r="E562" i="7"/>
  <c r="E561" i="7"/>
  <c r="E560" i="7"/>
  <c r="E559"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30"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35" i="7"/>
  <c r="E434" i="7"/>
  <c r="E433" i="7"/>
  <c r="E432" i="7"/>
  <c r="E431" i="7"/>
  <c r="E430" i="7"/>
  <c r="E429" i="7"/>
  <c r="E428" i="7"/>
  <c r="E427" i="7"/>
  <c r="E426" i="7"/>
  <c r="E425" i="7"/>
  <c r="E424" i="7"/>
  <c r="E423" i="7"/>
  <c r="E422"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70" i="7"/>
  <c r="E369" i="7"/>
  <c r="E368" i="7"/>
  <c r="E367" i="7"/>
  <c r="E366" i="7"/>
  <c r="E365" i="7"/>
  <c r="E364" i="7"/>
  <c r="E363" i="7"/>
  <c r="E362" i="7"/>
  <c r="E361" i="7"/>
  <c r="E360" i="7"/>
  <c r="E359" i="7"/>
  <c r="E358" i="7"/>
  <c r="E357" i="7"/>
  <c r="E356" i="7"/>
  <c r="E355" i="7"/>
  <c r="E354" i="7"/>
  <c r="E353" i="7"/>
  <c r="E352"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1"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5" i="7"/>
  <c r="E284" i="7"/>
  <c r="E283" i="7"/>
  <c r="E282" i="7"/>
  <c r="E281" i="7"/>
  <c r="E280" i="7"/>
  <c r="E279" i="7"/>
  <c r="E278" i="7"/>
  <c r="E277"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8"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F23" i="18" s="1"/>
  <c r="E22" i="7"/>
  <c r="F22" i="18" s="1"/>
  <c r="E21" i="7"/>
  <c r="E20" i="7"/>
  <c r="F20" i="18" s="1"/>
  <c r="E19" i="7"/>
  <c r="E18" i="7"/>
  <c r="F18" i="18" s="1"/>
  <c r="E17" i="7"/>
  <c r="E16" i="7"/>
  <c r="E15" i="7"/>
  <c r="F15" i="18" s="1"/>
  <c r="E14" i="7"/>
  <c r="E13" i="7"/>
  <c r="F13" i="18" s="1"/>
  <c r="E12" i="7"/>
  <c r="F12" i="18" s="1"/>
  <c r="E11" i="7"/>
  <c r="E10" i="7"/>
  <c r="F10" i="18" s="1"/>
  <c r="E9" i="7"/>
  <c r="E8" i="7"/>
  <c r="E7" i="7"/>
  <c r="F7" i="18" s="1"/>
  <c r="E6" i="7"/>
  <c r="E5" i="7"/>
  <c r="F5" i="18" s="1"/>
  <c r="G304" i="5"/>
  <c r="G303" i="5"/>
  <c r="G302" i="5"/>
  <c r="G301" i="5"/>
  <c r="G300" i="5"/>
  <c r="G299" i="5"/>
  <c r="G298" i="5"/>
  <c r="G297" i="5"/>
  <c r="G296" i="5"/>
  <c r="G295" i="5"/>
  <c r="G294" i="5"/>
  <c r="G293" i="5"/>
  <c r="G292" i="5"/>
  <c r="G291" i="5"/>
  <c r="G290" i="5"/>
  <c r="G289" i="5"/>
  <c r="G288" i="5"/>
  <c r="G287" i="5"/>
  <c r="G286" i="5"/>
  <c r="G285" i="5"/>
  <c r="G284" i="5"/>
  <c r="G283" i="5"/>
  <c r="G282" i="5"/>
  <c r="G281" i="5"/>
  <c r="G280" i="5"/>
  <c r="G279" i="5"/>
  <c r="G278" i="5"/>
  <c r="G277" i="5"/>
  <c r="G276" i="5"/>
  <c r="G275" i="5"/>
  <c r="G274" i="5"/>
  <c r="G273" i="5"/>
  <c r="G272" i="5"/>
  <c r="G271" i="5"/>
  <c r="G270" i="5"/>
  <c r="G269" i="5"/>
  <c r="G268" i="5"/>
  <c r="G267" i="5"/>
  <c r="G266" i="5"/>
  <c r="G265" i="5"/>
  <c r="G264" i="5"/>
  <c r="G263" i="5"/>
  <c r="G262" i="5"/>
  <c r="G261" i="5"/>
  <c r="G260" i="5"/>
  <c r="G259" i="5"/>
  <c r="G258" i="5"/>
  <c r="G257" i="5"/>
  <c r="G256" i="5"/>
  <c r="G255" i="5"/>
  <c r="G254" i="5"/>
  <c r="G253" i="5"/>
  <c r="G252" i="5"/>
  <c r="G251" i="5"/>
  <c r="G250" i="5"/>
  <c r="G249" i="5"/>
  <c r="G248" i="5"/>
  <c r="G247" i="5"/>
  <c r="G246" i="5"/>
  <c r="G245" i="5"/>
  <c r="G244" i="5"/>
  <c r="G243" i="5"/>
  <c r="G242" i="5"/>
  <c r="G241" i="5"/>
  <c r="G240" i="5"/>
  <c r="G239" i="5"/>
  <c r="G238" i="5"/>
  <c r="G237" i="5"/>
  <c r="G236" i="5"/>
  <c r="G235" i="5"/>
  <c r="G234" i="5"/>
  <c r="G233" i="5"/>
  <c r="G232" i="5"/>
  <c r="G231" i="5"/>
  <c r="G230" i="5"/>
  <c r="G229" i="5"/>
  <c r="G228" i="5"/>
  <c r="G227" i="5"/>
  <c r="G226" i="5"/>
  <c r="G225" i="5"/>
  <c r="G224" i="5"/>
  <c r="G223" i="5"/>
  <c r="G222" i="5"/>
  <c r="G221" i="5"/>
  <c r="G220" i="5"/>
  <c r="G219" i="5"/>
  <c r="G218" i="5"/>
  <c r="G217" i="5"/>
  <c r="G216" i="5"/>
  <c r="G215" i="5"/>
  <c r="G214" i="5"/>
  <c r="G213" i="5"/>
  <c r="G212" i="5"/>
  <c r="G211" i="5"/>
  <c r="G210" i="5"/>
  <c r="G209" i="5"/>
  <c r="G208" i="5"/>
  <c r="G207" i="5"/>
  <c r="G206" i="5"/>
  <c r="G205" i="5"/>
  <c r="G204" i="5"/>
  <c r="G203" i="5"/>
  <c r="G202" i="5"/>
  <c r="G201" i="5"/>
  <c r="G200" i="5"/>
  <c r="G199" i="5"/>
  <c r="G198" i="5"/>
  <c r="G197" i="5"/>
  <c r="G196" i="5"/>
  <c r="G195" i="5"/>
  <c r="G194" i="5"/>
  <c r="G193" i="5"/>
  <c r="G192" i="5"/>
  <c r="G191" i="5"/>
  <c r="G190" i="5"/>
  <c r="G189" i="5"/>
  <c r="G188" i="5"/>
  <c r="G187" i="5"/>
  <c r="G186" i="5"/>
  <c r="G185" i="5"/>
  <c r="G184" i="5"/>
  <c r="G183" i="5"/>
  <c r="G182" i="5"/>
  <c r="G181" i="5"/>
  <c r="G180" i="5"/>
  <c r="G179" i="5"/>
  <c r="G178" i="5"/>
  <c r="G177" i="5"/>
  <c r="G176" i="5"/>
  <c r="G175" i="5"/>
  <c r="G174" i="5"/>
  <c r="G173" i="5"/>
  <c r="G172" i="5"/>
  <c r="G171" i="5"/>
  <c r="G170" i="5"/>
  <c r="G169" i="5"/>
  <c r="G168" i="5"/>
  <c r="G167" i="5"/>
  <c r="G166" i="5"/>
  <c r="G165" i="5"/>
  <c r="G164" i="5"/>
  <c r="G163" i="5"/>
  <c r="G162" i="5"/>
  <c r="G161" i="5"/>
  <c r="G160" i="5"/>
  <c r="G159" i="5"/>
  <c r="G158" i="5"/>
  <c r="G157" i="5"/>
  <c r="G156" i="5"/>
  <c r="G155"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9"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B294" i="13" s="1"/>
  <c r="C15" i="4"/>
  <c r="A5" i="14" s="1"/>
  <c r="D10" i="4"/>
  <c r="B26" i="3"/>
  <c r="B22" i="3"/>
  <c r="A2" i="3"/>
  <c r="B291" i="19" l="1"/>
  <c r="B288" i="17"/>
  <c r="Q294" i="13"/>
  <c r="I294" i="13"/>
  <c r="A294" i="13"/>
  <c r="P294" i="13"/>
  <c r="H294" i="13"/>
  <c r="O294" i="13"/>
  <c r="G294" i="13"/>
  <c r="N294" i="13"/>
  <c r="F294" i="13"/>
  <c r="M294" i="13"/>
  <c r="E294" i="13"/>
  <c r="L294" i="13"/>
  <c r="D294" i="13"/>
  <c r="K294" i="13"/>
  <c r="C294" i="13"/>
  <c r="J294" i="13"/>
  <c r="A5" i="13"/>
  <c r="B15" i="13"/>
  <c r="B23" i="13"/>
  <c r="B31" i="13"/>
  <c r="B39" i="13"/>
  <c r="B47" i="13"/>
  <c r="B55" i="13"/>
  <c r="B63" i="13"/>
  <c r="B70" i="13"/>
  <c r="B95" i="13"/>
  <c r="B111" i="13"/>
  <c r="B143" i="13"/>
  <c r="B175" i="13"/>
  <c r="B230" i="13"/>
  <c r="B23" i="20"/>
  <c r="Q26" i="14"/>
  <c r="I26" i="14"/>
  <c r="A26" i="14"/>
  <c r="P26" i="14"/>
  <c r="H26" i="14"/>
  <c r="O26" i="14"/>
  <c r="G26" i="14"/>
  <c r="N26" i="14"/>
  <c r="F26" i="14"/>
  <c r="M26" i="14"/>
  <c r="E26" i="14"/>
  <c r="L26" i="14"/>
  <c r="D26" i="14"/>
  <c r="K26" i="14"/>
  <c r="C26" i="14"/>
  <c r="B309" i="13"/>
  <c r="B301" i="13"/>
  <c r="B293" i="13"/>
  <c r="B285" i="13"/>
  <c r="B277" i="13"/>
  <c r="B269" i="13"/>
  <c r="B261" i="13"/>
  <c r="B253" i="13"/>
  <c r="B245" i="13"/>
  <c r="B237" i="13"/>
  <c r="B229" i="13"/>
  <c r="B221" i="13"/>
  <c r="B213" i="13"/>
  <c r="B205" i="13"/>
  <c r="B197" i="13"/>
  <c r="B189" i="13"/>
  <c r="B181" i="13"/>
  <c r="B173" i="13"/>
  <c r="B165" i="13"/>
  <c r="B157" i="13"/>
  <c r="B149" i="13"/>
  <c r="B141" i="13"/>
  <c r="B133" i="13"/>
  <c r="B125" i="13"/>
  <c r="B117" i="13"/>
  <c r="B109" i="13"/>
  <c r="B101" i="13"/>
  <c r="B93" i="13"/>
  <c r="B85" i="13"/>
  <c r="B77" i="13"/>
  <c r="B69" i="13"/>
  <c r="B308" i="13"/>
  <c r="B300" i="13"/>
  <c r="B292" i="13"/>
  <c r="B284" i="13"/>
  <c r="B276" i="13"/>
  <c r="B268" i="13"/>
  <c r="B260" i="13"/>
  <c r="B252" i="13"/>
  <c r="B244" i="13"/>
  <c r="B236" i="13"/>
  <c r="B228" i="13"/>
  <c r="B220" i="13"/>
  <c r="B212" i="13"/>
  <c r="B204" i="13"/>
  <c r="B196" i="13"/>
  <c r="B188" i="13"/>
  <c r="B180" i="13"/>
  <c r="B172" i="13"/>
  <c r="B164" i="13"/>
  <c r="B156" i="13"/>
  <c r="B148" i="13"/>
  <c r="B140" i="13"/>
  <c r="B132" i="13"/>
  <c r="B124" i="13"/>
  <c r="B116" i="13"/>
  <c r="B108" i="13"/>
  <c r="B307" i="13"/>
  <c r="B299" i="13"/>
  <c r="B291" i="13"/>
  <c r="B283" i="13"/>
  <c r="B275" i="13"/>
  <c r="B267" i="13"/>
  <c r="B259" i="13"/>
  <c r="B251" i="13"/>
  <c r="B243" i="13"/>
  <c r="B235" i="13"/>
  <c r="B227" i="13"/>
  <c r="B219" i="13"/>
  <c r="B211" i="13"/>
  <c r="B203" i="13"/>
  <c r="B195" i="13"/>
  <c r="B187" i="13"/>
  <c r="B179" i="13"/>
  <c r="B171" i="13"/>
  <c r="B163" i="13"/>
  <c r="B155" i="13"/>
  <c r="B147" i="13"/>
  <c r="B139" i="13"/>
  <c r="B131" i="13"/>
  <c r="B123" i="13"/>
  <c r="B115" i="13"/>
  <c r="B107" i="13"/>
  <c r="B99" i="13"/>
  <c r="B91" i="13"/>
  <c r="B83" i="13"/>
  <c r="B75" i="13"/>
  <c r="B67" i="13"/>
  <c r="B306" i="13"/>
  <c r="B298" i="13"/>
  <c r="B290" i="13"/>
  <c r="B282" i="13"/>
  <c r="B274" i="13"/>
  <c r="B266" i="13"/>
  <c r="B258" i="13"/>
  <c r="B250" i="13"/>
  <c r="B242" i="13"/>
  <c r="B234" i="13"/>
  <c r="B226" i="13"/>
  <c r="B218" i="13"/>
  <c r="B210" i="13"/>
  <c r="B202" i="13"/>
  <c r="B194" i="13"/>
  <c r="B186" i="13"/>
  <c r="B178" i="13"/>
  <c r="B170" i="13"/>
  <c r="B162" i="13"/>
  <c r="B154" i="13"/>
  <c r="B146" i="13"/>
  <c r="B138" i="13"/>
  <c r="B130" i="13"/>
  <c r="B122" i="13"/>
  <c r="B114" i="13"/>
  <c r="B106" i="13"/>
  <c r="B98" i="13"/>
  <c r="B90" i="13"/>
  <c r="B82" i="13"/>
  <c r="B74" i="13"/>
  <c r="B305" i="13"/>
  <c r="B297" i="13"/>
  <c r="B289" i="13"/>
  <c r="B281" i="13"/>
  <c r="B273" i="13"/>
  <c r="B265" i="13"/>
  <c r="B257" i="13"/>
  <c r="B249" i="13"/>
  <c r="B241" i="13"/>
  <c r="B233" i="13"/>
  <c r="B225" i="13"/>
  <c r="B217" i="13"/>
  <c r="B209" i="13"/>
  <c r="B201" i="13"/>
  <c r="B193" i="13"/>
  <c r="B185" i="13"/>
  <c r="B177" i="13"/>
  <c r="B169" i="13"/>
  <c r="B161" i="13"/>
  <c r="B153" i="13"/>
  <c r="B145" i="13"/>
  <c r="B137" i="13"/>
  <c r="B129" i="13"/>
  <c r="B121" i="13"/>
  <c r="B113" i="13"/>
  <c r="B105" i="13"/>
  <c r="B97" i="13"/>
  <c r="B89" i="13"/>
  <c r="B81" i="13"/>
  <c r="B73" i="13"/>
  <c r="B304" i="13"/>
  <c r="B296" i="13"/>
  <c r="B288" i="13"/>
  <c r="B280" i="13"/>
  <c r="B272" i="13"/>
  <c r="B264" i="13"/>
  <c r="B256" i="13"/>
  <c r="B248" i="13"/>
  <c r="B240" i="13"/>
  <c r="B232" i="13"/>
  <c r="B224" i="13"/>
  <c r="B216" i="13"/>
  <c r="B208" i="13"/>
  <c r="B200" i="13"/>
  <c r="B192" i="13"/>
  <c r="B184" i="13"/>
  <c r="B176" i="13"/>
  <c r="B168" i="13"/>
  <c r="B160" i="13"/>
  <c r="B152" i="13"/>
  <c r="B144" i="13"/>
  <c r="B136" i="13"/>
  <c r="B128" i="13"/>
  <c r="B120" i="13"/>
  <c r="B112" i="13"/>
  <c r="B104" i="13"/>
  <c r="B96" i="13"/>
  <c r="B88" i="13"/>
  <c r="B80" i="13"/>
  <c r="B72" i="13"/>
  <c r="B303" i="13"/>
  <c r="B295" i="13"/>
  <c r="B287" i="13"/>
  <c r="B279" i="13"/>
  <c r="B271" i="13"/>
  <c r="B263" i="13"/>
  <c r="B255" i="13"/>
  <c r="B247" i="13"/>
  <c r="B239" i="13"/>
  <c r="B231" i="13"/>
  <c r="B223" i="13"/>
  <c r="B215" i="13"/>
  <c r="B207" i="13"/>
  <c r="B199" i="13"/>
  <c r="B191" i="13"/>
  <c r="B183" i="13"/>
  <c r="B16" i="13"/>
  <c r="B24" i="13"/>
  <c r="B32" i="13"/>
  <c r="B40" i="13"/>
  <c r="B48" i="13"/>
  <c r="B56" i="13"/>
  <c r="B64" i="13"/>
  <c r="B68" i="13"/>
  <c r="B84" i="13"/>
  <c r="B94" i="13"/>
  <c r="B134" i="13"/>
  <c r="B166" i="13"/>
  <c r="B238" i="13"/>
  <c r="B302" i="13"/>
  <c r="J26" i="14"/>
  <c r="B68" i="20"/>
  <c r="L71" i="14"/>
  <c r="Q71" i="14"/>
  <c r="I71" i="14"/>
  <c r="A71" i="14"/>
  <c r="P71" i="14"/>
  <c r="H71" i="14"/>
  <c r="K71" i="14"/>
  <c r="J71" i="14"/>
  <c r="G71" i="14"/>
  <c r="F71" i="14"/>
  <c r="E71" i="14"/>
  <c r="O71" i="14"/>
  <c r="D71" i="14"/>
  <c r="N71" i="14"/>
  <c r="C71" i="14"/>
  <c r="B85" i="20"/>
  <c r="K88" i="14"/>
  <c r="C88" i="14"/>
  <c r="P88" i="14"/>
  <c r="H88" i="14"/>
  <c r="O88" i="14"/>
  <c r="G88" i="14"/>
  <c r="M88" i="14"/>
  <c r="A88" i="14"/>
  <c r="L88" i="14"/>
  <c r="J88" i="14"/>
  <c r="I88" i="14"/>
  <c r="F88" i="14"/>
  <c r="E88" i="14"/>
  <c r="Q88" i="14"/>
  <c r="D88" i="14"/>
  <c r="B109" i="20"/>
  <c r="L112" i="14"/>
  <c r="D112" i="14"/>
  <c r="K112" i="14"/>
  <c r="C112" i="14"/>
  <c r="Q112" i="14"/>
  <c r="I112" i="14"/>
  <c r="A112" i="14"/>
  <c r="P112" i="14"/>
  <c r="H112" i="14"/>
  <c r="O112" i="14"/>
  <c r="G112" i="14"/>
  <c r="N112" i="14"/>
  <c r="M112" i="14"/>
  <c r="J112" i="14"/>
  <c r="F112" i="14"/>
  <c r="E112" i="14"/>
  <c r="B217" i="20"/>
  <c r="Q220" i="14"/>
  <c r="I220" i="14"/>
  <c r="A220" i="14"/>
  <c r="P220" i="14"/>
  <c r="H220" i="14"/>
  <c r="O220" i="14"/>
  <c r="G220" i="14"/>
  <c r="N220" i="14"/>
  <c r="F220" i="14"/>
  <c r="M220" i="14"/>
  <c r="E220" i="14"/>
  <c r="L220" i="14"/>
  <c r="D220" i="14"/>
  <c r="K220" i="14"/>
  <c r="C220" i="14"/>
  <c r="J220" i="14"/>
  <c r="B17" i="13"/>
  <c r="B25" i="13"/>
  <c r="B33" i="13"/>
  <c r="B41" i="13"/>
  <c r="B49" i="13"/>
  <c r="B57" i="13"/>
  <c r="B65" i="13"/>
  <c r="B79" i="13"/>
  <c r="B119" i="13"/>
  <c r="B151" i="13"/>
  <c r="B182" i="13"/>
  <c r="B246" i="13"/>
  <c r="B310" i="13"/>
  <c r="Q12" i="14"/>
  <c r="B39" i="20"/>
  <c r="Q42" i="14"/>
  <c r="I42" i="14"/>
  <c r="A42" i="14"/>
  <c r="P42" i="14"/>
  <c r="H42" i="14"/>
  <c r="O42" i="14"/>
  <c r="G42" i="14"/>
  <c r="N42" i="14"/>
  <c r="F42" i="14"/>
  <c r="M42" i="14"/>
  <c r="E42" i="14"/>
  <c r="L42" i="14"/>
  <c r="D42" i="14"/>
  <c r="K42" i="14"/>
  <c r="C42" i="14"/>
  <c r="B79" i="20"/>
  <c r="Q82" i="14"/>
  <c r="I82" i="14"/>
  <c r="A82" i="14"/>
  <c r="N82" i="14"/>
  <c r="F82" i="14"/>
  <c r="M82" i="14"/>
  <c r="E82" i="14"/>
  <c r="L82" i="14"/>
  <c r="K82" i="14"/>
  <c r="J82" i="14"/>
  <c r="H82" i="14"/>
  <c r="G82" i="14"/>
  <c r="D82" i="14"/>
  <c r="P82" i="14"/>
  <c r="C82" i="14"/>
  <c r="I39" i="15"/>
  <c r="H39" i="15"/>
  <c r="G39" i="15"/>
  <c r="F39" i="15"/>
  <c r="A50" i="15"/>
  <c r="D50" i="15"/>
  <c r="C50" i="15"/>
  <c r="I103" i="15"/>
  <c r="H103" i="15"/>
  <c r="G103" i="15"/>
  <c r="F103" i="15"/>
  <c r="A114" i="15"/>
  <c r="D114" i="15"/>
  <c r="C114" i="15"/>
  <c r="I247" i="15"/>
  <c r="H247" i="15"/>
  <c r="G247" i="15"/>
  <c r="F247" i="15"/>
  <c r="A258" i="15"/>
  <c r="D258" i="15"/>
  <c r="C258" i="15"/>
  <c r="I311" i="15"/>
  <c r="H311" i="15"/>
  <c r="G311" i="15"/>
  <c r="F311" i="15"/>
  <c r="A322" i="15"/>
  <c r="D322" i="15"/>
  <c r="C322" i="15"/>
  <c r="C378" i="15"/>
  <c r="A378" i="15"/>
  <c r="D378" i="15"/>
  <c r="C511" i="15"/>
  <c r="A511" i="15"/>
  <c r="D511" i="15"/>
  <c r="C567" i="15"/>
  <c r="A567" i="15"/>
  <c r="D567" i="15"/>
  <c r="C751" i="15"/>
  <c r="A751" i="15"/>
  <c r="D751" i="15"/>
  <c r="I953" i="15"/>
  <c r="F953" i="15"/>
  <c r="H953" i="15"/>
  <c r="G953" i="15"/>
  <c r="B18" i="13"/>
  <c r="B26" i="13"/>
  <c r="B34" i="13"/>
  <c r="B42" i="13"/>
  <c r="B50" i="13"/>
  <c r="B58" i="13"/>
  <c r="B66" i="13"/>
  <c r="B78" i="13"/>
  <c r="B103" i="13"/>
  <c r="B110" i="13"/>
  <c r="B142" i="13"/>
  <c r="B174" i="13"/>
  <c r="B190" i="13"/>
  <c r="B254" i="13"/>
  <c r="Q13" i="14"/>
  <c r="B15" i="20"/>
  <c r="Q18" i="14"/>
  <c r="I18" i="14"/>
  <c r="A18" i="14"/>
  <c r="P18" i="14"/>
  <c r="H18" i="14"/>
  <c r="O18" i="14"/>
  <c r="G18" i="14"/>
  <c r="N18" i="14"/>
  <c r="F18" i="14"/>
  <c r="M18" i="14"/>
  <c r="E18" i="14"/>
  <c r="L18" i="14"/>
  <c r="D18" i="14"/>
  <c r="K18" i="14"/>
  <c r="C18" i="14"/>
  <c r="J42" i="14"/>
  <c r="B55" i="20"/>
  <c r="Q58" i="14"/>
  <c r="I58" i="14"/>
  <c r="A58" i="14"/>
  <c r="P58" i="14"/>
  <c r="H58" i="14"/>
  <c r="O58" i="14"/>
  <c r="G58" i="14"/>
  <c r="N58" i="14"/>
  <c r="F58" i="14"/>
  <c r="M58" i="14"/>
  <c r="E58" i="14"/>
  <c r="L58" i="14"/>
  <c r="D58" i="14"/>
  <c r="K58" i="14"/>
  <c r="C58" i="14"/>
  <c r="B73" i="20"/>
  <c r="O76" i="14"/>
  <c r="G76" i="14"/>
  <c r="L76" i="14"/>
  <c r="D76" i="14"/>
  <c r="K76" i="14"/>
  <c r="C76" i="14"/>
  <c r="N76" i="14"/>
  <c r="A76" i="14"/>
  <c r="M76" i="14"/>
  <c r="J76" i="14"/>
  <c r="I76" i="14"/>
  <c r="H76" i="14"/>
  <c r="F76" i="14"/>
  <c r="Q76" i="14"/>
  <c r="E76" i="14"/>
  <c r="O82" i="14"/>
  <c r="B11" i="13"/>
  <c r="B19" i="13"/>
  <c r="B27" i="13"/>
  <c r="B35" i="13"/>
  <c r="B43" i="13"/>
  <c r="B51" i="13"/>
  <c r="B59" i="13"/>
  <c r="B92" i="13"/>
  <c r="B102" i="13"/>
  <c r="B127" i="13"/>
  <c r="B159" i="13"/>
  <c r="B198" i="13"/>
  <c r="B262" i="13"/>
  <c r="J18" i="14"/>
  <c r="J58" i="14"/>
  <c r="P76" i="14"/>
  <c r="B153" i="20"/>
  <c r="P156" i="14"/>
  <c r="H156" i="14"/>
  <c r="O156" i="14"/>
  <c r="G156" i="14"/>
  <c r="M156" i="14"/>
  <c r="E156" i="14"/>
  <c r="L156" i="14"/>
  <c r="D156" i="14"/>
  <c r="K156" i="14"/>
  <c r="C156" i="14"/>
  <c r="A156" i="14"/>
  <c r="Q156" i="14"/>
  <c r="N156" i="14"/>
  <c r="J156" i="14"/>
  <c r="I156" i="14"/>
  <c r="F156" i="14"/>
  <c r="B12" i="13"/>
  <c r="B20" i="13"/>
  <c r="B28" i="13"/>
  <c r="B36" i="13"/>
  <c r="B44" i="13"/>
  <c r="B52" i="13"/>
  <c r="B60" i="13"/>
  <c r="B87" i="13"/>
  <c r="B118" i="13"/>
  <c r="B150" i="13"/>
  <c r="B206" i="13"/>
  <c r="B270" i="13"/>
  <c r="B31" i="20"/>
  <c r="Q34" i="14"/>
  <c r="I34" i="14"/>
  <c r="A34" i="14"/>
  <c r="P34" i="14"/>
  <c r="H34" i="14"/>
  <c r="O34" i="14"/>
  <c r="G34" i="14"/>
  <c r="N34" i="14"/>
  <c r="F34" i="14"/>
  <c r="M34" i="14"/>
  <c r="E34" i="14"/>
  <c r="L34" i="14"/>
  <c r="D34" i="14"/>
  <c r="K34" i="14"/>
  <c r="C34" i="14"/>
  <c r="B47" i="20"/>
  <c r="Q50" i="14"/>
  <c r="I50" i="14"/>
  <c r="A50" i="14"/>
  <c r="P50" i="14"/>
  <c r="H50" i="14"/>
  <c r="O50" i="14"/>
  <c r="G50" i="14"/>
  <c r="N50" i="14"/>
  <c r="F50" i="14"/>
  <c r="M50" i="14"/>
  <c r="E50" i="14"/>
  <c r="L50" i="14"/>
  <c r="D50" i="14"/>
  <c r="K50" i="14"/>
  <c r="C50" i="14"/>
  <c r="B13" i="13"/>
  <c r="B21" i="13"/>
  <c r="B29" i="13"/>
  <c r="B37" i="13"/>
  <c r="B45" i="13"/>
  <c r="B53" i="13"/>
  <c r="B61" i="13"/>
  <c r="B76" i="13"/>
  <c r="B86" i="13"/>
  <c r="B135" i="13"/>
  <c r="B167" i="13"/>
  <c r="B214" i="13"/>
  <c r="B278" i="13"/>
  <c r="J34" i="14"/>
  <c r="J50" i="14"/>
  <c r="B14" i="13"/>
  <c r="B22" i="13"/>
  <c r="B30" i="13"/>
  <c r="B38" i="13"/>
  <c r="B46" i="13"/>
  <c r="B54" i="13"/>
  <c r="B62" i="13"/>
  <c r="B71" i="13"/>
  <c r="B100" i="13"/>
  <c r="B126" i="13"/>
  <c r="B158" i="13"/>
  <c r="B222" i="13"/>
  <c r="B286" i="13"/>
  <c r="B121" i="20"/>
  <c r="P124" i="14"/>
  <c r="H124" i="14"/>
  <c r="O124" i="14"/>
  <c r="G124" i="14"/>
  <c r="M124" i="14"/>
  <c r="E124" i="14"/>
  <c r="L124" i="14"/>
  <c r="D124" i="14"/>
  <c r="K124" i="14"/>
  <c r="C124" i="14"/>
  <c r="A124" i="14"/>
  <c r="Q124" i="14"/>
  <c r="N124" i="14"/>
  <c r="J124" i="14"/>
  <c r="I124" i="14"/>
  <c r="F124" i="14"/>
  <c r="B137" i="20"/>
  <c r="P140" i="14"/>
  <c r="H140" i="14"/>
  <c r="O140" i="14"/>
  <c r="G140" i="14"/>
  <c r="M140" i="14"/>
  <c r="E140" i="14"/>
  <c r="L140" i="14"/>
  <c r="D140" i="14"/>
  <c r="K140" i="14"/>
  <c r="C140" i="14"/>
  <c r="A140" i="14"/>
  <c r="Q140" i="14"/>
  <c r="N140" i="14"/>
  <c r="J140" i="14"/>
  <c r="I140" i="14"/>
  <c r="F140" i="14"/>
  <c r="B8" i="20"/>
  <c r="F17" i="16"/>
  <c r="F13" i="16"/>
  <c r="F16" i="16"/>
  <c r="F12" i="16"/>
  <c r="J11" i="14"/>
  <c r="G14" i="14"/>
  <c r="O14" i="14"/>
  <c r="F15" i="14"/>
  <c r="N15" i="14"/>
  <c r="E16" i="14"/>
  <c r="M16" i="14"/>
  <c r="O16" i="20"/>
  <c r="G16" i="20"/>
  <c r="N16" i="20"/>
  <c r="F16" i="20"/>
  <c r="M16" i="20"/>
  <c r="E16" i="20"/>
  <c r="L16" i="20"/>
  <c r="D16" i="20"/>
  <c r="S16" i="20"/>
  <c r="K16" i="20"/>
  <c r="C16" i="20"/>
  <c r="Q16" i="20"/>
  <c r="I16" i="20"/>
  <c r="A16" i="20"/>
  <c r="R16" i="20"/>
  <c r="P16" i="20"/>
  <c r="J16" i="20"/>
  <c r="H16" i="20"/>
  <c r="J19" i="14"/>
  <c r="A20" i="14"/>
  <c r="I20" i="14"/>
  <c r="Q20" i="14"/>
  <c r="G22" i="14"/>
  <c r="O22" i="14"/>
  <c r="F23" i="14"/>
  <c r="N23" i="14"/>
  <c r="E24" i="14"/>
  <c r="M24" i="14"/>
  <c r="O24" i="20"/>
  <c r="G24" i="20"/>
  <c r="N24" i="20"/>
  <c r="F24" i="20"/>
  <c r="M24" i="20"/>
  <c r="E24" i="20"/>
  <c r="L24" i="20"/>
  <c r="D24" i="20"/>
  <c r="S24" i="20"/>
  <c r="K24" i="20"/>
  <c r="C24" i="20"/>
  <c r="Q24" i="20"/>
  <c r="I24" i="20"/>
  <c r="A24" i="20"/>
  <c r="R24" i="20"/>
  <c r="P24" i="20"/>
  <c r="J24" i="20"/>
  <c r="H24" i="20"/>
  <c r="J27" i="14"/>
  <c r="A28" i="14"/>
  <c r="I28" i="14"/>
  <c r="Q28" i="14"/>
  <c r="G30" i="14"/>
  <c r="O30" i="14"/>
  <c r="F31" i="14"/>
  <c r="N31" i="14"/>
  <c r="E32" i="14"/>
  <c r="M32" i="14"/>
  <c r="O32" i="20"/>
  <c r="G32" i="20"/>
  <c r="N32" i="20"/>
  <c r="F32" i="20"/>
  <c r="M32" i="20"/>
  <c r="E32" i="20"/>
  <c r="L32" i="20"/>
  <c r="D32" i="20"/>
  <c r="S32" i="20"/>
  <c r="K32" i="20"/>
  <c r="C32" i="20"/>
  <c r="Q32" i="20"/>
  <c r="I32" i="20"/>
  <c r="A32" i="20"/>
  <c r="R32" i="20"/>
  <c r="J32" i="20"/>
  <c r="P32" i="20"/>
  <c r="H32" i="20"/>
  <c r="J35" i="14"/>
  <c r="A36" i="14"/>
  <c r="I36" i="14"/>
  <c r="Q36" i="14"/>
  <c r="G38" i="14"/>
  <c r="O38" i="14"/>
  <c r="F39" i="14"/>
  <c r="N39" i="14"/>
  <c r="E40" i="14"/>
  <c r="M40" i="14"/>
  <c r="O40" i="20"/>
  <c r="G40" i="20"/>
  <c r="N40" i="20"/>
  <c r="F40" i="20"/>
  <c r="M40" i="20"/>
  <c r="E40" i="20"/>
  <c r="L40" i="20"/>
  <c r="D40" i="20"/>
  <c r="S40" i="20"/>
  <c r="K40" i="20"/>
  <c r="C40" i="20"/>
  <c r="Q40" i="20"/>
  <c r="I40" i="20"/>
  <c r="A40" i="20"/>
  <c r="J40" i="20"/>
  <c r="H40" i="20"/>
  <c r="R40" i="20"/>
  <c r="P40" i="20"/>
  <c r="J43" i="14"/>
  <c r="A44" i="14"/>
  <c r="I44" i="14"/>
  <c r="Q44" i="14"/>
  <c r="H45" i="14"/>
  <c r="P45" i="14"/>
  <c r="G46" i="14"/>
  <c r="O46" i="14"/>
  <c r="F47" i="14"/>
  <c r="N47" i="14"/>
  <c r="E48" i="14"/>
  <c r="M48" i="14"/>
  <c r="N48" i="20"/>
  <c r="F48" i="20"/>
  <c r="M48" i="20"/>
  <c r="E48" i="20"/>
  <c r="L48" i="20"/>
  <c r="R48" i="20"/>
  <c r="J48" i="20"/>
  <c r="Q48" i="20"/>
  <c r="C48" i="20"/>
  <c r="P48" i="20"/>
  <c r="O48" i="20"/>
  <c r="A48" i="20"/>
  <c r="K48" i="20"/>
  <c r="I48" i="20"/>
  <c r="G48" i="20"/>
  <c r="S48" i="20"/>
  <c r="H48" i="20"/>
  <c r="D48" i="20"/>
  <c r="J51" i="14"/>
  <c r="A52" i="14"/>
  <c r="I52" i="14"/>
  <c r="Q52" i="14"/>
  <c r="H53" i="14"/>
  <c r="P53" i="14"/>
  <c r="G54" i="14"/>
  <c r="O54" i="14"/>
  <c r="F55" i="14"/>
  <c r="N55" i="14"/>
  <c r="E56" i="14"/>
  <c r="M56" i="14"/>
  <c r="N56" i="20"/>
  <c r="F56" i="20"/>
  <c r="M56" i="20"/>
  <c r="E56" i="20"/>
  <c r="L56" i="20"/>
  <c r="D56" i="20"/>
  <c r="S56" i="20"/>
  <c r="K56" i="20"/>
  <c r="C56" i="20"/>
  <c r="R56" i="20"/>
  <c r="J56" i="20"/>
  <c r="P56" i="20"/>
  <c r="H56" i="20"/>
  <c r="A56" i="20"/>
  <c r="Q56" i="20"/>
  <c r="I56" i="20"/>
  <c r="O56" i="20"/>
  <c r="G56" i="20"/>
  <c r="J59" i="14"/>
  <c r="A60" i="14"/>
  <c r="I60" i="14"/>
  <c r="Q60" i="14"/>
  <c r="H61" i="14"/>
  <c r="P61" i="14"/>
  <c r="G62" i="14"/>
  <c r="O62" i="14"/>
  <c r="F63" i="14"/>
  <c r="N63" i="14"/>
  <c r="E64" i="14"/>
  <c r="M64" i="14"/>
  <c r="E65" i="14"/>
  <c r="O65" i="14"/>
  <c r="H66" i="14"/>
  <c r="A67" i="14"/>
  <c r="J72" i="14"/>
  <c r="I75" i="14"/>
  <c r="A80" i="14"/>
  <c r="H84" i="14"/>
  <c r="G87" i="14"/>
  <c r="G90" i="14"/>
  <c r="B88" i="20"/>
  <c r="P91" i="14"/>
  <c r="H91" i="14"/>
  <c r="M91" i="14"/>
  <c r="E91" i="14"/>
  <c r="L91" i="14"/>
  <c r="D91" i="14"/>
  <c r="O91" i="14"/>
  <c r="J92" i="14"/>
  <c r="F96" i="14"/>
  <c r="J99" i="14"/>
  <c r="I100" i="14"/>
  <c r="N104" i="14"/>
  <c r="J108" i="14"/>
  <c r="Q116" i="14"/>
  <c r="B120" i="20"/>
  <c r="Q123" i="14"/>
  <c r="I123" i="14"/>
  <c r="A123" i="14"/>
  <c r="P123" i="14"/>
  <c r="H123" i="14"/>
  <c r="N123" i="14"/>
  <c r="F123" i="14"/>
  <c r="M123" i="14"/>
  <c r="E123" i="14"/>
  <c r="L123" i="14"/>
  <c r="D123" i="14"/>
  <c r="J128" i="14"/>
  <c r="Q132" i="14"/>
  <c r="B136" i="20"/>
  <c r="Q139" i="14"/>
  <c r="I139" i="14"/>
  <c r="A139" i="14"/>
  <c r="P139" i="14"/>
  <c r="H139" i="14"/>
  <c r="N139" i="14"/>
  <c r="F139" i="14"/>
  <c r="M139" i="14"/>
  <c r="E139" i="14"/>
  <c r="L139" i="14"/>
  <c r="D139" i="14"/>
  <c r="J144" i="14"/>
  <c r="K147" i="14"/>
  <c r="Q148" i="14"/>
  <c r="B152" i="20"/>
  <c r="Q155" i="14"/>
  <c r="I155" i="14"/>
  <c r="A155" i="14"/>
  <c r="P155" i="14"/>
  <c r="H155" i="14"/>
  <c r="N155" i="14"/>
  <c r="F155" i="14"/>
  <c r="M155" i="14"/>
  <c r="E155" i="14"/>
  <c r="L155" i="14"/>
  <c r="D155" i="14"/>
  <c r="B161" i="20"/>
  <c r="P164" i="14"/>
  <c r="H164" i="14"/>
  <c r="O164" i="14"/>
  <c r="G164" i="14"/>
  <c r="N164" i="14"/>
  <c r="F164" i="14"/>
  <c r="M164" i="14"/>
  <c r="E164" i="14"/>
  <c r="L164" i="14"/>
  <c r="D164" i="14"/>
  <c r="K164" i="14"/>
  <c r="C164" i="14"/>
  <c r="B177" i="20"/>
  <c r="Q180" i="14"/>
  <c r="I180" i="14"/>
  <c r="A180" i="14"/>
  <c r="P180" i="14"/>
  <c r="H180" i="14"/>
  <c r="O180" i="14"/>
  <c r="G180" i="14"/>
  <c r="N180" i="14"/>
  <c r="F180" i="14"/>
  <c r="M180" i="14"/>
  <c r="E180" i="14"/>
  <c r="L180" i="14"/>
  <c r="D180" i="14"/>
  <c r="K180" i="14"/>
  <c r="C180" i="14"/>
  <c r="B241" i="20"/>
  <c r="Q244" i="14"/>
  <c r="I244" i="14"/>
  <c r="A244" i="14"/>
  <c r="P244" i="14"/>
  <c r="H244" i="14"/>
  <c r="O244" i="14"/>
  <c r="G244" i="14"/>
  <c r="N244" i="14"/>
  <c r="F244" i="14"/>
  <c r="M244" i="14"/>
  <c r="E244" i="14"/>
  <c r="L244" i="14"/>
  <c r="D244" i="14"/>
  <c r="K244" i="14"/>
  <c r="C244" i="14"/>
  <c r="B273" i="20"/>
  <c r="Q276" i="14"/>
  <c r="I276" i="14"/>
  <c r="A276" i="14"/>
  <c r="P276" i="14"/>
  <c r="H276" i="14"/>
  <c r="O276" i="14"/>
  <c r="G276" i="14"/>
  <c r="N276" i="14"/>
  <c r="F276" i="14"/>
  <c r="M276" i="14"/>
  <c r="E276" i="14"/>
  <c r="L276" i="14"/>
  <c r="D276" i="14"/>
  <c r="K276" i="14"/>
  <c r="C276" i="14"/>
  <c r="B289" i="20"/>
  <c r="Q292" i="14"/>
  <c r="I292" i="14"/>
  <c r="A292" i="14"/>
  <c r="P292" i="14"/>
  <c r="H292" i="14"/>
  <c r="O292" i="14"/>
  <c r="G292" i="14"/>
  <c r="N292" i="14"/>
  <c r="F292" i="14"/>
  <c r="M292" i="14"/>
  <c r="E292" i="14"/>
  <c r="L292" i="14"/>
  <c r="D292" i="14"/>
  <c r="K292" i="14"/>
  <c r="C292" i="14"/>
  <c r="B305" i="20"/>
  <c r="Q308" i="14"/>
  <c r="I308" i="14"/>
  <c r="A308" i="14"/>
  <c r="P308" i="14"/>
  <c r="H308" i="14"/>
  <c r="O308" i="14"/>
  <c r="G308" i="14"/>
  <c r="N308" i="14"/>
  <c r="F308" i="14"/>
  <c r="M308" i="14"/>
  <c r="E308" i="14"/>
  <c r="L308" i="14"/>
  <c r="D308" i="14"/>
  <c r="K308" i="14"/>
  <c r="C308" i="14"/>
  <c r="I63" i="15"/>
  <c r="H63" i="15"/>
  <c r="G63" i="15"/>
  <c r="F63" i="15"/>
  <c r="A74" i="15"/>
  <c r="D74" i="15"/>
  <c r="C74" i="15"/>
  <c r="A218" i="15"/>
  <c r="D218" i="15"/>
  <c r="C218" i="15"/>
  <c r="I271" i="15"/>
  <c r="H271" i="15"/>
  <c r="G271" i="15"/>
  <c r="F271" i="15"/>
  <c r="A282" i="15"/>
  <c r="D282" i="15"/>
  <c r="C282" i="15"/>
  <c r="I335" i="15"/>
  <c r="H335" i="15"/>
  <c r="G335" i="15"/>
  <c r="F335" i="15"/>
  <c r="A354" i="15"/>
  <c r="D354" i="15"/>
  <c r="C354" i="15"/>
  <c r="A433" i="15"/>
  <c r="D433" i="15"/>
  <c r="C433" i="15"/>
  <c r="C463" i="15"/>
  <c r="A463" i="15"/>
  <c r="D463" i="15"/>
  <c r="A505" i="15"/>
  <c r="D505" i="15"/>
  <c r="C505" i="15"/>
  <c r="A553" i="15"/>
  <c r="D553" i="15"/>
  <c r="C553" i="15"/>
  <c r="A609" i="15"/>
  <c r="D609" i="15"/>
  <c r="C609" i="15"/>
  <c r="F612" i="15"/>
  <c r="I612" i="15"/>
  <c r="H612" i="15"/>
  <c r="G612" i="15"/>
  <c r="G936" i="15"/>
  <c r="I936" i="15"/>
  <c r="H936" i="15"/>
  <c r="F936" i="15"/>
  <c r="C11" i="14"/>
  <c r="C9" i="20"/>
  <c r="A9" i="20"/>
  <c r="N9" i="20"/>
  <c r="O9" i="20" s="1"/>
  <c r="F9" i="20"/>
  <c r="M9" i="20"/>
  <c r="G9" i="20"/>
  <c r="E9" i="20"/>
  <c r="J12" i="14"/>
  <c r="I16" i="16" s="1"/>
  <c r="J16" i="16" s="1"/>
  <c r="H14" i="14"/>
  <c r="P14" i="14"/>
  <c r="L17" i="20"/>
  <c r="D17" i="20"/>
  <c r="S17" i="20"/>
  <c r="K17" i="20"/>
  <c r="C17" i="20"/>
  <c r="R17" i="20"/>
  <c r="J17" i="20"/>
  <c r="Q17" i="20"/>
  <c r="I17" i="20"/>
  <c r="A17" i="20"/>
  <c r="P17" i="20"/>
  <c r="H17" i="20"/>
  <c r="N17" i="20"/>
  <c r="F17" i="20"/>
  <c r="O17" i="20"/>
  <c r="G17" i="20"/>
  <c r="M17" i="20"/>
  <c r="E17" i="20"/>
  <c r="J20" i="14"/>
  <c r="H22" i="14"/>
  <c r="P22" i="14"/>
  <c r="L25" i="20"/>
  <c r="D25" i="20"/>
  <c r="S25" i="20"/>
  <c r="K25" i="20"/>
  <c r="C25" i="20"/>
  <c r="R25" i="20"/>
  <c r="J25" i="20"/>
  <c r="Q25" i="20"/>
  <c r="I25" i="20"/>
  <c r="A25" i="20"/>
  <c r="P25" i="20"/>
  <c r="H25" i="20"/>
  <c r="N25" i="20"/>
  <c r="F25" i="20"/>
  <c r="G25" i="20"/>
  <c r="E25" i="20"/>
  <c r="O25" i="20"/>
  <c r="M25" i="20"/>
  <c r="J28" i="14"/>
  <c r="H30" i="14"/>
  <c r="P30" i="14"/>
  <c r="L33" i="20"/>
  <c r="D33" i="20"/>
  <c r="S33" i="20"/>
  <c r="K33" i="20"/>
  <c r="C33" i="20"/>
  <c r="R33" i="20"/>
  <c r="J33" i="20"/>
  <c r="Q33" i="20"/>
  <c r="I33" i="20"/>
  <c r="A33" i="20"/>
  <c r="P33" i="20"/>
  <c r="H33" i="20"/>
  <c r="N33" i="20"/>
  <c r="F33" i="20"/>
  <c r="O33" i="20"/>
  <c r="M33" i="20"/>
  <c r="G33" i="20"/>
  <c r="E33" i="20"/>
  <c r="J36" i="14"/>
  <c r="H38" i="14"/>
  <c r="P38" i="14"/>
  <c r="L41" i="20"/>
  <c r="D41" i="20"/>
  <c r="S41" i="20"/>
  <c r="K41" i="20"/>
  <c r="C41" i="20"/>
  <c r="R41" i="20"/>
  <c r="J41" i="20"/>
  <c r="Q41" i="20"/>
  <c r="I41" i="20"/>
  <c r="A41" i="20"/>
  <c r="P41" i="20"/>
  <c r="H41" i="20"/>
  <c r="N41" i="20"/>
  <c r="F41" i="20"/>
  <c r="O41" i="20"/>
  <c r="M41" i="20"/>
  <c r="G41" i="20"/>
  <c r="E41" i="20"/>
  <c r="J44" i="14"/>
  <c r="H46" i="14"/>
  <c r="P46" i="14"/>
  <c r="S49" i="20"/>
  <c r="K49" i="20"/>
  <c r="C49" i="20"/>
  <c r="R49" i="20"/>
  <c r="J49" i="20"/>
  <c r="Q49" i="20"/>
  <c r="I49" i="20"/>
  <c r="A49" i="20"/>
  <c r="O49" i="20"/>
  <c r="G49" i="20"/>
  <c r="N49" i="20"/>
  <c r="M49" i="20"/>
  <c r="L49" i="20"/>
  <c r="H49" i="20"/>
  <c r="F49" i="20"/>
  <c r="D49" i="20"/>
  <c r="E49" i="20"/>
  <c r="P49" i="20"/>
  <c r="J52" i="14"/>
  <c r="H54" i="14"/>
  <c r="P54" i="14"/>
  <c r="S57" i="20"/>
  <c r="K57" i="20"/>
  <c r="C57" i="20"/>
  <c r="R57" i="20"/>
  <c r="J57" i="20"/>
  <c r="Q57" i="20"/>
  <c r="I57" i="20"/>
  <c r="A57" i="20"/>
  <c r="P57" i="20"/>
  <c r="H57" i="20"/>
  <c r="O57" i="20"/>
  <c r="G57" i="20"/>
  <c r="M57" i="20"/>
  <c r="E57" i="20"/>
  <c r="N57" i="20"/>
  <c r="L57" i="20"/>
  <c r="F57" i="20"/>
  <c r="D57" i="20"/>
  <c r="J60" i="14"/>
  <c r="H62" i="14"/>
  <c r="P62" i="14"/>
  <c r="B64" i="20"/>
  <c r="M67" i="14"/>
  <c r="E67" i="14"/>
  <c r="L67" i="14"/>
  <c r="D67" i="14"/>
  <c r="N67" i="14"/>
  <c r="L72" i="14"/>
  <c r="B71" i="20"/>
  <c r="Q74" i="14"/>
  <c r="I74" i="14"/>
  <c r="A74" i="14"/>
  <c r="N74" i="14"/>
  <c r="F74" i="14"/>
  <c r="M74" i="14"/>
  <c r="E74" i="14"/>
  <c r="O74" i="14"/>
  <c r="B77" i="20"/>
  <c r="K80" i="14"/>
  <c r="C80" i="14"/>
  <c r="P80" i="14"/>
  <c r="H80" i="14"/>
  <c r="O80" i="14"/>
  <c r="G80" i="14"/>
  <c r="N80" i="14"/>
  <c r="M92" i="14"/>
  <c r="B117" i="20"/>
  <c r="L120" i="14"/>
  <c r="D120" i="14"/>
  <c r="K120" i="14"/>
  <c r="C120" i="14"/>
  <c r="Q120" i="14"/>
  <c r="I120" i="14"/>
  <c r="A120" i="14"/>
  <c r="P120" i="14"/>
  <c r="H120" i="14"/>
  <c r="O120" i="14"/>
  <c r="G120" i="14"/>
  <c r="M128" i="14"/>
  <c r="B133" i="20"/>
  <c r="L136" i="14"/>
  <c r="D136" i="14"/>
  <c r="K136" i="14"/>
  <c r="C136" i="14"/>
  <c r="Q136" i="14"/>
  <c r="I136" i="14"/>
  <c r="A136" i="14"/>
  <c r="P136" i="14"/>
  <c r="H136" i="14"/>
  <c r="O136" i="14"/>
  <c r="G136" i="14"/>
  <c r="B149" i="20"/>
  <c r="L152" i="14"/>
  <c r="D152" i="14"/>
  <c r="K152" i="14"/>
  <c r="C152" i="14"/>
  <c r="Q152" i="14"/>
  <c r="I152" i="14"/>
  <c r="A152" i="14"/>
  <c r="P152" i="14"/>
  <c r="H152" i="14"/>
  <c r="O152" i="14"/>
  <c r="G152" i="14"/>
  <c r="C155" i="14"/>
  <c r="I164" i="14"/>
  <c r="B201" i="20"/>
  <c r="Q204" i="14"/>
  <c r="I204" i="14"/>
  <c r="A204" i="14"/>
  <c r="P204" i="14"/>
  <c r="H204" i="14"/>
  <c r="O204" i="14"/>
  <c r="G204" i="14"/>
  <c r="N204" i="14"/>
  <c r="F204" i="14"/>
  <c r="M204" i="14"/>
  <c r="E204" i="14"/>
  <c r="L204" i="14"/>
  <c r="D204" i="14"/>
  <c r="K204" i="14"/>
  <c r="C204" i="14"/>
  <c r="J276" i="14"/>
  <c r="I23" i="15"/>
  <c r="H23" i="15"/>
  <c r="G23" i="15"/>
  <c r="F23" i="15"/>
  <c r="A34" i="15"/>
  <c r="D34" i="15"/>
  <c r="C34" i="15"/>
  <c r="I87" i="15"/>
  <c r="H87" i="15"/>
  <c r="G87" i="15"/>
  <c r="F87" i="15"/>
  <c r="A98" i="15"/>
  <c r="D98" i="15"/>
  <c r="C98" i="15"/>
  <c r="I127" i="15"/>
  <c r="H127" i="15"/>
  <c r="G127" i="15"/>
  <c r="F127" i="15"/>
  <c r="I143" i="15"/>
  <c r="H143" i="15"/>
  <c r="G143" i="15"/>
  <c r="F143" i="15"/>
  <c r="I159" i="15"/>
  <c r="H159" i="15"/>
  <c r="G159" i="15"/>
  <c r="F159" i="15"/>
  <c r="I175" i="15"/>
  <c r="H175" i="15"/>
  <c r="G175" i="15"/>
  <c r="F175" i="15"/>
  <c r="A186" i="15"/>
  <c r="D186" i="15"/>
  <c r="C186" i="15"/>
  <c r="I191" i="15"/>
  <c r="H191" i="15"/>
  <c r="G191" i="15"/>
  <c r="F191" i="15"/>
  <c r="A202" i="15"/>
  <c r="D202" i="15"/>
  <c r="C202" i="15"/>
  <c r="I207" i="15"/>
  <c r="H207" i="15"/>
  <c r="G207" i="15"/>
  <c r="F207" i="15"/>
  <c r="I231" i="15"/>
  <c r="H231" i="15"/>
  <c r="G231" i="15"/>
  <c r="F231" i="15"/>
  <c r="A242" i="15"/>
  <c r="D242" i="15"/>
  <c r="C242" i="15"/>
  <c r="I295" i="15"/>
  <c r="H295" i="15"/>
  <c r="G295" i="15"/>
  <c r="F295" i="15"/>
  <c r="A306" i="15"/>
  <c r="D306" i="15"/>
  <c r="C306" i="15"/>
  <c r="I343" i="15"/>
  <c r="H343" i="15"/>
  <c r="G343" i="15"/>
  <c r="F343" i="15"/>
  <c r="C399" i="15"/>
  <c r="A399" i="15"/>
  <c r="D399" i="15"/>
  <c r="I598" i="15"/>
  <c r="H598" i="15"/>
  <c r="G598" i="15"/>
  <c r="F598" i="15"/>
  <c r="G920" i="15"/>
  <c r="F920" i="15"/>
  <c r="I920" i="15"/>
  <c r="H920" i="15"/>
  <c r="D11" i="14"/>
  <c r="L11" i="14"/>
  <c r="C12" i="14"/>
  <c r="A10" i="20"/>
  <c r="N10" i="20"/>
  <c r="F10" i="20"/>
  <c r="E10" i="20"/>
  <c r="G10" i="20" s="1"/>
  <c r="C10" i="20"/>
  <c r="D10" i="20"/>
  <c r="J10" i="20"/>
  <c r="J13" i="14"/>
  <c r="I20" i="16" s="1"/>
  <c r="J20" i="16" s="1"/>
  <c r="A14" i="14"/>
  <c r="I14" i="14"/>
  <c r="Q14" i="14"/>
  <c r="H15" i="14"/>
  <c r="P15" i="14"/>
  <c r="G16" i="14"/>
  <c r="O16" i="14"/>
  <c r="D19" i="14"/>
  <c r="L19" i="14"/>
  <c r="C20" i="14"/>
  <c r="K20" i="14"/>
  <c r="Q18" i="20"/>
  <c r="I18" i="20"/>
  <c r="A18" i="20"/>
  <c r="P18" i="20"/>
  <c r="H18" i="20"/>
  <c r="O18" i="20"/>
  <c r="G18" i="20"/>
  <c r="N18" i="20"/>
  <c r="F18" i="20"/>
  <c r="M18" i="20"/>
  <c r="E18" i="20"/>
  <c r="S18" i="20"/>
  <c r="K18" i="20"/>
  <c r="C18" i="20"/>
  <c r="L18" i="20"/>
  <c r="J18" i="20"/>
  <c r="D18" i="20"/>
  <c r="R18" i="20"/>
  <c r="J21" i="14"/>
  <c r="A22" i="14"/>
  <c r="I22" i="14"/>
  <c r="Q22" i="14"/>
  <c r="H23" i="14"/>
  <c r="P23" i="14"/>
  <c r="G24" i="14"/>
  <c r="O24" i="14"/>
  <c r="D27" i="14"/>
  <c r="L27" i="14"/>
  <c r="C28" i="14"/>
  <c r="K28" i="14"/>
  <c r="Q26" i="20"/>
  <c r="I26" i="20"/>
  <c r="A26" i="20"/>
  <c r="P26" i="20"/>
  <c r="H26" i="20"/>
  <c r="O26" i="20"/>
  <c r="G26" i="20"/>
  <c r="N26" i="20"/>
  <c r="F26" i="20"/>
  <c r="M26" i="20"/>
  <c r="E26" i="20"/>
  <c r="S26" i="20"/>
  <c r="K26" i="20"/>
  <c r="C26" i="20"/>
  <c r="R26" i="20"/>
  <c r="L26" i="20"/>
  <c r="J26" i="20"/>
  <c r="D26" i="20"/>
  <c r="J29" i="14"/>
  <c r="A30" i="14"/>
  <c r="I30" i="14"/>
  <c r="Q30" i="14"/>
  <c r="H31" i="14"/>
  <c r="P31" i="14"/>
  <c r="G32" i="14"/>
  <c r="O32" i="14"/>
  <c r="D35" i="14"/>
  <c r="L35" i="14"/>
  <c r="C36" i="14"/>
  <c r="K36" i="14"/>
  <c r="Q34" i="20"/>
  <c r="I34" i="20"/>
  <c r="A34" i="20"/>
  <c r="P34" i="20"/>
  <c r="H34" i="20"/>
  <c r="O34" i="20"/>
  <c r="G34" i="20"/>
  <c r="N34" i="20"/>
  <c r="F34" i="20"/>
  <c r="M34" i="20"/>
  <c r="E34" i="20"/>
  <c r="S34" i="20"/>
  <c r="K34" i="20"/>
  <c r="C34" i="20"/>
  <c r="R34" i="20"/>
  <c r="L34" i="20"/>
  <c r="D34" i="20"/>
  <c r="J34" i="20"/>
  <c r="J37" i="14"/>
  <c r="A38" i="14"/>
  <c r="I38" i="14"/>
  <c r="Q38" i="14"/>
  <c r="H39" i="14"/>
  <c r="P39" i="14"/>
  <c r="G40" i="14"/>
  <c r="O40" i="14"/>
  <c r="D43" i="14"/>
  <c r="L43" i="14"/>
  <c r="C44" i="14"/>
  <c r="K44" i="14"/>
  <c r="P42" i="20"/>
  <c r="H42" i="20"/>
  <c r="O42" i="20"/>
  <c r="G42" i="20"/>
  <c r="K42" i="20"/>
  <c r="A42" i="20"/>
  <c r="J42" i="20"/>
  <c r="S42" i="20"/>
  <c r="I42" i="20"/>
  <c r="R42" i="20"/>
  <c r="F42" i="20"/>
  <c r="Q42" i="20"/>
  <c r="E42" i="20"/>
  <c r="M42" i="20"/>
  <c r="C42" i="20"/>
  <c r="D42" i="20"/>
  <c r="N42" i="20"/>
  <c r="L42" i="20"/>
  <c r="J45" i="14"/>
  <c r="A46" i="14"/>
  <c r="I46" i="14"/>
  <c r="Q46" i="14"/>
  <c r="H47" i="14"/>
  <c r="P47" i="14"/>
  <c r="G48" i="14"/>
  <c r="O48" i="14"/>
  <c r="C52" i="14"/>
  <c r="K52" i="14"/>
  <c r="P50" i="20"/>
  <c r="H50" i="20"/>
  <c r="O50" i="20"/>
  <c r="G50" i="20"/>
  <c r="N50" i="20"/>
  <c r="F50" i="20"/>
  <c r="L50" i="20"/>
  <c r="D50" i="20"/>
  <c r="K50" i="20"/>
  <c r="J50" i="20"/>
  <c r="I50" i="20"/>
  <c r="E50" i="20"/>
  <c r="S50" i="20"/>
  <c r="C50" i="20"/>
  <c r="Q50" i="20"/>
  <c r="A50" i="20"/>
  <c r="R50" i="20"/>
  <c r="M50" i="20"/>
  <c r="J53" i="14"/>
  <c r="A54" i="14"/>
  <c r="I54" i="14"/>
  <c r="Q54" i="14"/>
  <c r="H55" i="14"/>
  <c r="P55" i="14"/>
  <c r="G56" i="14"/>
  <c r="O56" i="14"/>
  <c r="C60" i="14"/>
  <c r="K60" i="14"/>
  <c r="P58" i="20"/>
  <c r="H58" i="20"/>
  <c r="O58" i="20"/>
  <c r="G58" i="20"/>
  <c r="N58" i="20"/>
  <c r="F58" i="20"/>
  <c r="M58" i="20"/>
  <c r="E58" i="20"/>
  <c r="L58" i="20"/>
  <c r="D58" i="20"/>
  <c r="R58" i="20"/>
  <c r="J58" i="20"/>
  <c r="S58" i="20"/>
  <c r="Q58" i="20"/>
  <c r="K58" i="20"/>
  <c r="C58" i="20"/>
  <c r="I58" i="20"/>
  <c r="A58" i="20"/>
  <c r="J61" i="14"/>
  <c r="A62" i="14"/>
  <c r="I62" i="14"/>
  <c r="Q62" i="14"/>
  <c r="H63" i="14"/>
  <c r="P63" i="14"/>
  <c r="G64" i="14"/>
  <c r="P64" i="14"/>
  <c r="H65" i="14"/>
  <c r="Q65" i="14"/>
  <c r="C67" i="14"/>
  <c r="O67" i="14"/>
  <c r="A72" i="14"/>
  <c r="C74" i="14"/>
  <c r="P74" i="14"/>
  <c r="D80" i="14"/>
  <c r="Q80" i="14"/>
  <c r="B80" i="20"/>
  <c r="P83" i="14"/>
  <c r="H83" i="14"/>
  <c r="M83" i="14"/>
  <c r="E83" i="14"/>
  <c r="L83" i="14"/>
  <c r="D83" i="14"/>
  <c r="O83" i="14"/>
  <c r="J84" i="14"/>
  <c r="J90" i="14"/>
  <c r="F91" i="14"/>
  <c r="A92" i="14"/>
  <c r="B92" i="20"/>
  <c r="L95" i="14"/>
  <c r="D95" i="14"/>
  <c r="Q95" i="14"/>
  <c r="I95" i="14"/>
  <c r="A95" i="14"/>
  <c r="P95" i="14"/>
  <c r="H95" i="14"/>
  <c r="N95" i="14"/>
  <c r="J96" i="14"/>
  <c r="M100" i="14"/>
  <c r="B100" i="20"/>
  <c r="M103" i="14"/>
  <c r="E103" i="14"/>
  <c r="L103" i="14"/>
  <c r="D103" i="14"/>
  <c r="Q103" i="14"/>
  <c r="I103" i="14"/>
  <c r="A103" i="14"/>
  <c r="P103" i="14"/>
  <c r="H103" i="14"/>
  <c r="Q108" i="14"/>
  <c r="E120" i="14"/>
  <c r="G123" i="14"/>
  <c r="E136" i="14"/>
  <c r="G139" i="14"/>
  <c r="E152" i="14"/>
  <c r="G155" i="14"/>
  <c r="J164" i="14"/>
  <c r="B225" i="20"/>
  <c r="Q228" i="14"/>
  <c r="I228" i="14"/>
  <c r="A228" i="14"/>
  <c r="P228" i="14"/>
  <c r="H228" i="14"/>
  <c r="O228" i="14"/>
  <c r="G228" i="14"/>
  <c r="N228" i="14"/>
  <c r="F228" i="14"/>
  <c r="M228" i="14"/>
  <c r="E228" i="14"/>
  <c r="L228" i="14"/>
  <c r="D228" i="14"/>
  <c r="K228" i="14"/>
  <c r="C228" i="14"/>
  <c r="I47" i="15"/>
  <c r="H47" i="15"/>
  <c r="G47" i="15"/>
  <c r="F47" i="15"/>
  <c r="A58" i="15"/>
  <c r="D58" i="15"/>
  <c r="C58" i="15"/>
  <c r="I111" i="15"/>
  <c r="H111" i="15"/>
  <c r="G111" i="15"/>
  <c r="F111" i="15"/>
  <c r="A122" i="15"/>
  <c r="D122" i="15"/>
  <c r="C122" i="15"/>
  <c r="A138" i="15"/>
  <c r="D138" i="15"/>
  <c r="C138" i="15"/>
  <c r="A154" i="15"/>
  <c r="D154" i="15"/>
  <c r="C154" i="15"/>
  <c r="A170" i="15"/>
  <c r="D170" i="15"/>
  <c r="C170" i="15"/>
  <c r="I255" i="15"/>
  <c r="H255" i="15"/>
  <c r="G255" i="15"/>
  <c r="F255" i="15"/>
  <c r="A266" i="15"/>
  <c r="D266" i="15"/>
  <c r="C266" i="15"/>
  <c r="I319" i="15"/>
  <c r="H319" i="15"/>
  <c r="G319" i="15"/>
  <c r="F319" i="15"/>
  <c r="A330" i="15"/>
  <c r="D330" i="15"/>
  <c r="C330" i="15"/>
  <c r="I351" i="15"/>
  <c r="H351" i="15"/>
  <c r="G351" i="15"/>
  <c r="F351" i="15"/>
  <c r="C375" i="15"/>
  <c r="A375" i="15"/>
  <c r="D375" i="15"/>
  <c r="F452" i="15"/>
  <c r="I452" i="15"/>
  <c r="H452" i="15"/>
  <c r="G452" i="15"/>
  <c r="C719" i="15"/>
  <c r="A719" i="15"/>
  <c r="D719" i="15"/>
  <c r="E11" i="14"/>
  <c r="K11" i="14" s="1"/>
  <c r="M11" i="14"/>
  <c r="D12" i="14"/>
  <c r="D9" i="20" s="1"/>
  <c r="L12" i="14"/>
  <c r="N11" i="20"/>
  <c r="F11" i="20"/>
  <c r="M11" i="20"/>
  <c r="E11" i="20"/>
  <c r="L11" i="20"/>
  <c r="D11" i="20"/>
  <c r="S11" i="20"/>
  <c r="K11" i="20"/>
  <c r="C11" i="20"/>
  <c r="R11" i="20"/>
  <c r="J11" i="20"/>
  <c r="P11" i="20"/>
  <c r="H11" i="20"/>
  <c r="Q11" i="20"/>
  <c r="O11" i="20"/>
  <c r="I11" i="20"/>
  <c r="G11" i="20"/>
  <c r="A11" i="20"/>
  <c r="J14" i="14"/>
  <c r="N19" i="20"/>
  <c r="F19" i="20"/>
  <c r="M19" i="20"/>
  <c r="E19" i="20"/>
  <c r="L19" i="20"/>
  <c r="D19" i="20"/>
  <c r="S19" i="20"/>
  <c r="K19" i="20"/>
  <c r="C19" i="20"/>
  <c r="R19" i="20"/>
  <c r="J19" i="20"/>
  <c r="P19" i="20"/>
  <c r="H19" i="20"/>
  <c r="Q19" i="20"/>
  <c r="O19" i="20"/>
  <c r="I19" i="20"/>
  <c r="A19" i="20"/>
  <c r="G19" i="20"/>
  <c r="J22" i="14"/>
  <c r="N27" i="20"/>
  <c r="F27" i="20"/>
  <c r="M27" i="20"/>
  <c r="E27" i="20"/>
  <c r="L27" i="20"/>
  <c r="D27" i="20"/>
  <c r="S27" i="20"/>
  <c r="K27" i="20"/>
  <c r="C27" i="20"/>
  <c r="R27" i="20"/>
  <c r="J27" i="20"/>
  <c r="P27" i="20"/>
  <c r="H27" i="20"/>
  <c r="A27" i="20"/>
  <c r="Q27" i="20"/>
  <c r="I27" i="20"/>
  <c r="O27" i="20"/>
  <c r="G27" i="20"/>
  <c r="J30" i="14"/>
  <c r="N35" i="20"/>
  <c r="F35" i="20"/>
  <c r="M35" i="20"/>
  <c r="E35" i="20"/>
  <c r="L35" i="20"/>
  <c r="D35" i="20"/>
  <c r="S35" i="20"/>
  <c r="K35" i="20"/>
  <c r="C35" i="20"/>
  <c r="R35" i="20"/>
  <c r="J35" i="20"/>
  <c r="P35" i="20"/>
  <c r="H35" i="20"/>
  <c r="I35" i="20"/>
  <c r="G35" i="20"/>
  <c r="A35" i="20"/>
  <c r="Q35" i="20"/>
  <c r="O35" i="20"/>
  <c r="J38" i="14"/>
  <c r="M43" i="20"/>
  <c r="E43" i="20"/>
  <c r="L43" i="20"/>
  <c r="D43" i="20"/>
  <c r="N43" i="20"/>
  <c r="K43" i="20"/>
  <c r="A43" i="20"/>
  <c r="J43" i="20"/>
  <c r="S43" i="20"/>
  <c r="I43" i="20"/>
  <c r="R43" i="20"/>
  <c r="H43" i="20"/>
  <c r="P43" i="20"/>
  <c r="F43" i="20"/>
  <c r="Q43" i="20"/>
  <c r="O43" i="20"/>
  <c r="G43" i="20"/>
  <c r="C43" i="20"/>
  <c r="J46" i="14"/>
  <c r="M51" i="20"/>
  <c r="E51" i="20"/>
  <c r="L51" i="20"/>
  <c r="D51" i="20"/>
  <c r="S51" i="20"/>
  <c r="K51" i="20"/>
  <c r="C51" i="20"/>
  <c r="Q51" i="20"/>
  <c r="I51" i="20"/>
  <c r="A51" i="20"/>
  <c r="H51" i="20"/>
  <c r="G51" i="20"/>
  <c r="F51" i="20"/>
  <c r="R51" i="20"/>
  <c r="P51" i="20"/>
  <c r="N51" i="20"/>
  <c r="O51" i="20"/>
  <c r="J51" i="20"/>
  <c r="J54" i="14"/>
  <c r="M59" i="20"/>
  <c r="E59" i="20"/>
  <c r="L59" i="20"/>
  <c r="D59" i="20"/>
  <c r="S59" i="20"/>
  <c r="K59" i="20"/>
  <c r="C59" i="20"/>
  <c r="R59" i="20"/>
  <c r="J59" i="20"/>
  <c r="Q59" i="20"/>
  <c r="I59" i="20"/>
  <c r="A59" i="20"/>
  <c r="O59" i="20"/>
  <c r="G59" i="20"/>
  <c r="H59" i="20"/>
  <c r="F59" i="20"/>
  <c r="P59" i="20"/>
  <c r="N59" i="20"/>
  <c r="J62" i="14"/>
  <c r="B69" i="20"/>
  <c r="K72" i="14"/>
  <c r="C72" i="14"/>
  <c r="P72" i="14"/>
  <c r="H72" i="14"/>
  <c r="O72" i="14"/>
  <c r="G72" i="14"/>
  <c r="N72" i="14"/>
  <c r="B89" i="20"/>
  <c r="O92" i="14"/>
  <c r="G92" i="14"/>
  <c r="L92" i="14"/>
  <c r="D92" i="14"/>
  <c r="K92" i="14"/>
  <c r="C92" i="14"/>
  <c r="P92" i="14"/>
  <c r="B101" i="20"/>
  <c r="L104" i="14"/>
  <c r="D104" i="14"/>
  <c r="K104" i="14"/>
  <c r="C104" i="14"/>
  <c r="Q104" i="14"/>
  <c r="I104" i="14"/>
  <c r="P104" i="14"/>
  <c r="H104" i="14"/>
  <c r="O104" i="14"/>
  <c r="G104" i="14"/>
  <c r="B113" i="20"/>
  <c r="P116" i="14"/>
  <c r="H116" i="14"/>
  <c r="O116" i="14"/>
  <c r="G116" i="14"/>
  <c r="M116" i="14"/>
  <c r="E116" i="14"/>
  <c r="L116" i="14"/>
  <c r="D116" i="14"/>
  <c r="K116" i="14"/>
  <c r="C116" i="14"/>
  <c r="B129" i="20"/>
  <c r="P132" i="14"/>
  <c r="H132" i="14"/>
  <c r="O132" i="14"/>
  <c r="G132" i="14"/>
  <c r="M132" i="14"/>
  <c r="E132" i="14"/>
  <c r="L132" i="14"/>
  <c r="D132" i="14"/>
  <c r="K132" i="14"/>
  <c r="C132" i="14"/>
  <c r="F136" i="14"/>
  <c r="B145" i="20"/>
  <c r="P148" i="14"/>
  <c r="H148" i="14"/>
  <c r="O148" i="14"/>
  <c r="G148" i="14"/>
  <c r="M148" i="14"/>
  <c r="E148" i="14"/>
  <c r="L148" i="14"/>
  <c r="D148" i="14"/>
  <c r="K148" i="14"/>
  <c r="C148" i="14"/>
  <c r="F152" i="14"/>
  <c r="J155" i="14"/>
  <c r="B160" i="20"/>
  <c r="Q163" i="14"/>
  <c r="I163" i="14"/>
  <c r="A163" i="14"/>
  <c r="P163" i="14"/>
  <c r="H163" i="14"/>
  <c r="O163" i="14"/>
  <c r="G163" i="14"/>
  <c r="N163" i="14"/>
  <c r="F163" i="14"/>
  <c r="M163" i="14"/>
  <c r="E163" i="14"/>
  <c r="L163" i="14"/>
  <c r="D163" i="14"/>
  <c r="B185" i="20"/>
  <c r="Q188" i="14"/>
  <c r="I188" i="14"/>
  <c r="A188" i="14"/>
  <c r="P188" i="14"/>
  <c r="H188" i="14"/>
  <c r="O188" i="14"/>
  <c r="G188" i="14"/>
  <c r="N188" i="14"/>
  <c r="F188" i="14"/>
  <c r="M188" i="14"/>
  <c r="E188" i="14"/>
  <c r="L188" i="14"/>
  <c r="D188" i="14"/>
  <c r="K188" i="14"/>
  <c r="C188" i="14"/>
  <c r="J228" i="14"/>
  <c r="B249" i="20"/>
  <c r="Q252" i="14"/>
  <c r="I252" i="14"/>
  <c r="A252" i="14"/>
  <c r="P252" i="14"/>
  <c r="H252" i="14"/>
  <c r="O252" i="14"/>
  <c r="G252" i="14"/>
  <c r="N252" i="14"/>
  <c r="F252" i="14"/>
  <c r="M252" i="14"/>
  <c r="E252" i="14"/>
  <c r="L252" i="14"/>
  <c r="D252" i="14"/>
  <c r="K252" i="14"/>
  <c r="C252" i="14"/>
  <c r="D18" i="15"/>
  <c r="C18" i="15"/>
  <c r="I71" i="15"/>
  <c r="H71" i="15"/>
  <c r="G71" i="15"/>
  <c r="F71" i="15"/>
  <c r="A82" i="15"/>
  <c r="D82" i="15"/>
  <c r="C82" i="15"/>
  <c r="I215" i="15"/>
  <c r="H215" i="15"/>
  <c r="G215" i="15"/>
  <c r="F215" i="15"/>
  <c r="A226" i="15"/>
  <c r="D226" i="15"/>
  <c r="C226" i="15"/>
  <c r="I279" i="15"/>
  <c r="H279" i="15"/>
  <c r="G279" i="15"/>
  <c r="F279" i="15"/>
  <c r="A290" i="15"/>
  <c r="D290" i="15"/>
  <c r="C290" i="15"/>
  <c r="F388" i="15"/>
  <c r="I388" i="15"/>
  <c r="H388" i="15"/>
  <c r="G388" i="15"/>
  <c r="I422" i="15"/>
  <c r="G422" i="15"/>
  <c r="F422" i="15"/>
  <c r="H422" i="15"/>
  <c r="A649" i="15"/>
  <c r="D649" i="15"/>
  <c r="C649" i="15"/>
  <c r="F652" i="15"/>
  <c r="I652" i="15"/>
  <c r="H652" i="15"/>
  <c r="G652" i="15"/>
  <c r="F11" i="14"/>
  <c r="F5" i="16" s="1"/>
  <c r="H5" i="16" s="1"/>
  <c r="E12" i="14"/>
  <c r="K12" i="14" s="1"/>
  <c r="M12" i="14"/>
  <c r="J9" i="20" s="1"/>
  <c r="C14" i="14"/>
  <c r="K14" i="14"/>
  <c r="S12" i="20"/>
  <c r="K12" i="20"/>
  <c r="C12" i="20"/>
  <c r="R12" i="20"/>
  <c r="J12" i="20"/>
  <c r="Q12" i="20"/>
  <c r="I12" i="20"/>
  <c r="A12" i="20"/>
  <c r="P12" i="20"/>
  <c r="H12" i="20"/>
  <c r="O12" i="20"/>
  <c r="G12" i="20"/>
  <c r="M12" i="20"/>
  <c r="E12" i="20"/>
  <c r="N12" i="20"/>
  <c r="F12" i="20"/>
  <c r="L12" i="20"/>
  <c r="D12" i="20"/>
  <c r="J15" i="14"/>
  <c r="A16" i="14"/>
  <c r="I16" i="14"/>
  <c r="Q16" i="14"/>
  <c r="E20" i="14"/>
  <c r="M20" i="14"/>
  <c r="C22" i="14"/>
  <c r="K22" i="14"/>
  <c r="S20" i="20"/>
  <c r="K20" i="20"/>
  <c r="C20" i="20"/>
  <c r="R20" i="20"/>
  <c r="J20" i="20"/>
  <c r="Q20" i="20"/>
  <c r="I20" i="20"/>
  <c r="A20" i="20"/>
  <c r="P20" i="20"/>
  <c r="H20" i="20"/>
  <c r="O20" i="20"/>
  <c r="G20" i="20"/>
  <c r="M20" i="20"/>
  <c r="E20" i="20"/>
  <c r="F20" i="20"/>
  <c r="D20" i="20"/>
  <c r="N20" i="20"/>
  <c r="L20" i="20"/>
  <c r="J23" i="14"/>
  <c r="A24" i="14"/>
  <c r="I24" i="14"/>
  <c r="Q24" i="14"/>
  <c r="E28" i="14"/>
  <c r="M28" i="14"/>
  <c r="C30" i="14"/>
  <c r="K30" i="14"/>
  <c r="S28" i="20"/>
  <c r="K28" i="20"/>
  <c r="C28" i="20"/>
  <c r="R28" i="20"/>
  <c r="J28" i="20"/>
  <c r="Q28" i="20"/>
  <c r="I28" i="20"/>
  <c r="A28" i="20"/>
  <c r="P28" i="20"/>
  <c r="H28" i="20"/>
  <c r="O28" i="20"/>
  <c r="G28" i="20"/>
  <c r="M28" i="20"/>
  <c r="E28" i="20"/>
  <c r="N28" i="20"/>
  <c r="L28" i="20"/>
  <c r="F28" i="20"/>
  <c r="D28" i="20"/>
  <c r="J31" i="14"/>
  <c r="A32" i="14"/>
  <c r="I32" i="14"/>
  <c r="Q32" i="14"/>
  <c r="E36" i="14"/>
  <c r="M36" i="14"/>
  <c r="C38" i="14"/>
  <c r="K38" i="14"/>
  <c r="S36" i="20"/>
  <c r="K36" i="20"/>
  <c r="C36" i="20"/>
  <c r="R36" i="20"/>
  <c r="J36" i="20"/>
  <c r="Q36" i="20"/>
  <c r="I36" i="20"/>
  <c r="A36" i="20"/>
  <c r="P36" i="20"/>
  <c r="H36" i="20"/>
  <c r="O36" i="20"/>
  <c r="G36" i="20"/>
  <c r="M36" i="20"/>
  <c r="E36" i="20"/>
  <c r="N36" i="20"/>
  <c r="L36" i="20"/>
  <c r="F36" i="20"/>
  <c r="D36" i="20"/>
  <c r="J39" i="14"/>
  <c r="A40" i="14"/>
  <c r="I40" i="14"/>
  <c r="Q40" i="14"/>
  <c r="E44" i="14"/>
  <c r="M44" i="14"/>
  <c r="C46" i="14"/>
  <c r="K46" i="14"/>
  <c r="R44" i="20"/>
  <c r="J44" i="20"/>
  <c r="Q44" i="20"/>
  <c r="I44" i="20"/>
  <c r="A44" i="20"/>
  <c r="O44" i="20"/>
  <c r="E44" i="20"/>
  <c r="N44" i="20"/>
  <c r="D44" i="20"/>
  <c r="M44" i="20"/>
  <c r="C44" i="20"/>
  <c r="L44" i="20"/>
  <c r="K44" i="20"/>
  <c r="S44" i="20"/>
  <c r="G44" i="20"/>
  <c r="H44" i="20"/>
  <c r="F44" i="20"/>
  <c r="P44" i="20"/>
  <c r="J47" i="14"/>
  <c r="A48" i="14"/>
  <c r="I48" i="14"/>
  <c r="Q48" i="14"/>
  <c r="E52" i="14"/>
  <c r="M52" i="14"/>
  <c r="C54" i="14"/>
  <c r="K54" i="14"/>
  <c r="R52" i="20"/>
  <c r="J52" i="20"/>
  <c r="Q52" i="20"/>
  <c r="I52" i="20"/>
  <c r="A52" i="20"/>
  <c r="P52" i="20"/>
  <c r="H52" i="20"/>
  <c r="N52" i="20"/>
  <c r="F52" i="20"/>
  <c r="E52" i="20"/>
  <c r="D52" i="20"/>
  <c r="S52" i="20"/>
  <c r="C52" i="20"/>
  <c r="O52" i="20"/>
  <c r="M52" i="20"/>
  <c r="K52" i="20"/>
  <c r="L52" i="20"/>
  <c r="G52" i="20"/>
  <c r="J55" i="14"/>
  <c r="I56" i="14"/>
  <c r="Q56" i="14"/>
  <c r="E60" i="14"/>
  <c r="M60" i="14"/>
  <c r="C62" i="14"/>
  <c r="K62" i="14"/>
  <c r="R60" i="20"/>
  <c r="J60" i="20"/>
  <c r="Q60" i="20"/>
  <c r="I60" i="20"/>
  <c r="A60" i="20"/>
  <c r="P60" i="20"/>
  <c r="H60" i="20"/>
  <c r="O60" i="20"/>
  <c r="G60" i="20"/>
  <c r="N60" i="20"/>
  <c r="F60" i="20"/>
  <c r="L60" i="20"/>
  <c r="D60" i="20"/>
  <c r="S60" i="20"/>
  <c r="M60" i="20"/>
  <c r="K60" i="20"/>
  <c r="E60" i="20"/>
  <c r="C60" i="20"/>
  <c r="J63" i="14"/>
  <c r="A64" i="14"/>
  <c r="A65" i="14"/>
  <c r="B63" i="20"/>
  <c r="N66" i="14"/>
  <c r="F66" i="14"/>
  <c r="M66" i="14"/>
  <c r="E66" i="14"/>
  <c r="L66" i="14"/>
  <c r="G67" i="14"/>
  <c r="Q67" i="14"/>
  <c r="D72" i="14"/>
  <c r="Q72" i="14"/>
  <c r="G74" i="14"/>
  <c r="B72" i="20"/>
  <c r="P75" i="14"/>
  <c r="H75" i="14"/>
  <c r="M75" i="14"/>
  <c r="E75" i="14"/>
  <c r="L75" i="14"/>
  <c r="D75" i="14"/>
  <c r="O75" i="14"/>
  <c r="F80" i="14"/>
  <c r="A84" i="14"/>
  <c r="B84" i="20"/>
  <c r="L87" i="14"/>
  <c r="D87" i="14"/>
  <c r="Q87" i="14"/>
  <c r="I87" i="14"/>
  <c r="A87" i="14"/>
  <c r="P87" i="14"/>
  <c r="H87" i="14"/>
  <c r="N87" i="14"/>
  <c r="E92" i="14"/>
  <c r="Q92" i="14"/>
  <c r="A96" i="14"/>
  <c r="B96" i="20"/>
  <c r="Q99" i="14"/>
  <c r="I99" i="14"/>
  <c r="A99" i="14"/>
  <c r="P99" i="14"/>
  <c r="H99" i="14"/>
  <c r="M99" i="14"/>
  <c r="E99" i="14"/>
  <c r="L99" i="14"/>
  <c r="D99" i="14"/>
  <c r="A100" i="14"/>
  <c r="E104" i="14"/>
  <c r="B112" i="20"/>
  <c r="Q115" i="14"/>
  <c r="I115" i="14"/>
  <c r="A115" i="14"/>
  <c r="P115" i="14"/>
  <c r="H115" i="14"/>
  <c r="N115" i="14"/>
  <c r="F115" i="14"/>
  <c r="M115" i="14"/>
  <c r="E115" i="14"/>
  <c r="L115" i="14"/>
  <c r="D115" i="14"/>
  <c r="F116" i="14"/>
  <c r="J120" i="14"/>
  <c r="B128" i="20"/>
  <c r="Q131" i="14"/>
  <c r="I131" i="14"/>
  <c r="A131" i="14"/>
  <c r="P131" i="14"/>
  <c r="H131" i="14"/>
  <c r="N131" i="14"/>
  <c r="F131" i="14"/>
  <c r="M131" i="14"/>
  <c r="E131" i="14"/>
  <c r="L131" i="14"/>
  <c r="D131" i="14"/>
  <c r="F132" i="14"/>
  <c r="J136" i="14"/>
  <c r="B144" i="20"/>
  <c r="Q147" i="14"/>
  <c r="I147" i="14"/>
  <c r="A147" i="14"/>
  <c r="P147" i="14"/>
  <c r="H147" i="14"/>
  <c r="N147" i="14"/>
  <c r="F147" i="14"/>
  <c r="M147" i="14"/>
  <c r="E147" i="14"/>
  <c r="L147" i="14"/>
  <c r="D147" i="14"/>
  <c r="F148" i="14"/>
  <c r="J152" i="14"/>
  <c r="C163" i="14"/>
  <c r="B209" i="20"/>
  <c r="Q212" i="14"/>
  <c r="I212" i="14"/>
  <c r="A212" i="14"/>
  <c r="P212" i="14"/>
  <c r="H212" i="14"/>
  <c r="O212" i="14"/>
  <c r="G212" i="14"/>
  <c r="N212" i="14"/>
  <c r="F212" i="14"/>
  <c r="M212" i="14"/>
  <c r="E212" i="14"/>
  <c r="L212" i="14"/>
  <c r="D212" i="14"/>
  <c r="K212" i="14"/>
  <c r="C212" i="14"/>
  <c r="B265" i="20"/>
  <c r="Q268" i="14"/>
  <c r="I268" i="14"/>
  <c r="A268" i="14"/>
  <c r="P268" i="14"/>
  <c r="H268" i="14"/>
  <c r="O268" i="14"/>
  <c r="G268" i="14"/>
  <c r="N268" i="14"/>
  <c r="F268" i="14"/>
  <c r="M268" i="14"/>
  <c r="E268" i="14"/>
  <c r="L268" i="14"/>
  <c r="D268" i="14"/>
  <c r="K268" i="14"/>
  <c r="C268" i="14"/>
  <c r="B281" i="20"/>
  <c r="Q284" i="14"/>
  <c r="I284" i="14"/>
  <c r="A284" i="14"/>
  <c r="P284" i="14"/>
  <c r="H284" i="14"/>
  <c r="O284" i="14"/>
  <c r="G284" i="14"/>
  <c r="N284" i="14"/>
  <c r="F284" i="14"/>
  <c r="M284" i="14"/>
  <c r="E284" i="14"/>
  <c r="L284" i="14"/>
  <c r="D284" i="14"/>
  <c r="K284" i="14"/>
  <c r="C284" i="14"/>
  <c r="B297" i="20"/>
  <c r="Q300" i="14"/>
  <c r="I300" i="14"/>
  <c r="A300" i="14"/>
  <c r="P300" i="14"/>
  <c r="H300" i="14"/>
  <c r="O300" i="14"/>
  <c r="G300" i="14"/>
  <c r="N300" i="14"/>
  <c r="F300" i="14"/>
  <c r="M300" i="14"/>
  <c r="E300" i="14"/>
  <c r="L300" i="14"/>
  <c r="D300" i="14"/>
  <c r="K300" i="14"/>
  <c r="C300" i="14"/>
  <c r="I31" i="15"/>
  <c r="H31" i="15"/>
  <c r="G31" i="15"/>
  <c r="F31" i="15"/>
  <c r="A42" i="15"/>
  <c r="D42" i="15"/>
  <c r="C42" i="15"/>
  <c r="I95" i="15"/>
  <c r="H95" i="15"/>
  <c r="G95" i="15"/>
  <c r="F95" i="15"/>
  <c r="A106" i="15"/>
  <c r="D106" i="15"/>
  <c r="C106" i="15"/>
  <c r="I239" i="15"/>
  <c r="H239" i="15"/>
  <c r="G239" i="15"/>
  <c r="F239" i="15"/>
  <c r="A250" i="15"/>
  <c r="D250" i="15"/>
  <c r="C250" i="15"/>
  <c r="I303" i="15"/>
  <c r="H303" i="15"/>
  <c r="G303" i="15"/>
  <c r="F303" i="15"/>
  <c r="A314" i="15"/>
  <c r="D314" i="15"/>
  <c r="C314" i="15"/>
  <c r="A338" i="15"/>
  <c r="D338" i="15"/>
  <c r="C338" i="15"/>
  <c r="I385" i="15"/>
  <c r="G385" i="15"/>
  <c r="F385" i="15"/>
  <c r="H385" i="15"/>
  <c r="C535" i="15"/>
  <c r="A535" i="15"/>
  <c r="D535" i="15"/>
  <c r="C639" i="15"/>
  <c r="A639" i="15"/>
  <c r="D639" i="15"/>
  <c r="G11" i="14"/>
  <c r="D14" i="14"/>
  <c r="L14" i="14"/>
  <c r="P13" i="20"/>
  <c r="H13" i="20"/>
  <c r="O13" i="20"/>
  <c r="G13" i="20"/>
  <c r="N13" i="20"/>
  <c r="F13" i="20"/>
  <c r="M13" i="20"/>
  <c r="E13" i="20"/>
  <c r="L13" i="20"/>
  <c r="D13" i="20"/>
  <c r="R13" i="20"/>
  <c r="J13" i="20"/>
  <c r="K13" i="20"/>
  <c r="I13" i="20"/>
  <c r="C13" i="20"/>
  <c r="A13" i="20"/>
  <c r="S13" i="20"/>
  <c r="Q13" i="20"/>
  <c r="J16" i="14"/>
  <c r="F20" i="14"/>
  <c r="N20" i="14"/>
  <c r="D22" i="14"/>
  <c r="L22" i="14"/>
  <c r="P21" i="20"/>
  <c r="H21" i="20"/>
  <c r="O21" i="20"/>
  <c r="G21" i="20"/>
  <c r="N21" i="20"/>
  <c r="F21" i="20"/>
  <c r="M21" i="20"/>
  <c r="E21" i="20"/>
  <c r="L21" i="20"/>
  <c r="D21" i="20"/>
  <c r="R21" i="20"/>
  <c r="J21" i="20"/>
  <c r="S21" i="20"/>
  <c r="Q21" i="20"/>
  <c r="K21" i="20"/>
  <c r="I21" i="20"/>
  <c r="C21" i="20"/>
  <c r="A21" i="20"/>
  <c r="J24" i="14"/>
  <c r="F28" i="14"/>
  <c r="N28" i="14"/>
  <c r="D30" i="14"/>
  <c r="L30" i="14"/>
  <c r="P29" i="20"/>
  <c r="H29" i="20"/>
  <c r="O29" i="20"/>
  <c r="G29" i="20"/>
  <c r="N29" i="20"/>
  <c r="F29" i="20"/>
  <c r="M29" i="20"/>
  <c r="E29" i="20"/>
  <c r="L29" i="20"/>
  <c r="D29" i="20"/>
  <c r="R29" i="20"/>
  <c r="J29" i="20"/>
  <c r="S29" i="20"/>
  <c r="Q29" i="20"/>
  <c r="K29" i="20"/>
  <c r="C29" i="20"/>
  <c r="I29" i="20"/>
  <c r="A29" i="20"/>
  <c r="J32" i="14"/>
  <c r="F36" i="14"/>
  <c r="N36" i="14"/>
  <c r="D38" i="14"/>
  <c r="L38" i="14"/>
  <c r="P37" i="20"/>
  <c r="H37" i="20"/>
  <c r="O37" i="20"/>
  <c r="G37" i="20"/>
  <c r="N37" i="20"/>
  <c r="F37" i="20"/>
  <c r="M37" i="20"/>
  <c r="E37" i="20"/>
  <c r="L37" i="20"/>
  <c r="D37" i="20"/>
  <c r="R37" i="20"/>
  <c r="J37" i="20"/>
  <c r="C37" i="20"/>
  <c r="A37" i="20"/>
  <c r="S37" i="20"/>
  <c r="K37" i="20"/>
  <c r="Q37" i="20"/>
  <c r="I37" i="20"/>
  <c r="J40" i="14"/>
  <c r="F44" i="14"/>
  <c r="N44" i="14"/>
  <c r="D46" i="14"/>
  <c r="L46" i="14"/>
  <c r="O45" i="20"/>
  <c r="G45" i="20"/>
  <c r="N45" i="20"/>
  <c r="F45" i="20"/>
  <c r="R45" i="20"/>
  <c r="H45" i="20"/>
  <c r="Q45" i="20"/>
  <c r="E45" i="20"/>
  <c r="P45" i="20"/>
  <c r="D45" i="20"/>
  <c r="M45" i="20"/>
  <c r="C45" i="20"/>
  <c r="L45" i="20"/>
  <c r="J45" i="20"/>
  <c r="S45" i="20"/>
  <c r="K45" i="20"/>
  <c r="A45" i="20"/>
  <c r="I45" i="20"/>
  <c r="J48" i="14"/>
  <c r="F52" i="14"/>
  <c r="N52" i="14"/>
  <c r="D54" i="14"/>
  <c r="L54" i="14"/>
  <c r="O53" i="20"/>
  <c r="G53" i="20"/>
  <c r="N53" i="20"/>
  <c r="F53" i="20"/>
  <c r="M53" i="20"/>
  <c r="E53" i="20"/>
  <c r="S53" i="20"/>
  <c r="K53" i="20"/>
  <c r="C53" i="20"/>
  <c r="Q53" i="20"/>
  <c r="I53" i="20"/>
  <c r="A53" i="20"/>
  <c r="R53" i="20"/>
  <c r="P53" i="20"/>
  <c r="L53" i="20"/>
  <c r="H53" i="20"/>
  <c r="J53" i="20"/>
  <c r="D53" i="20"/>
  <c r="J56" i="14"/>
  <c r="F60" i="14"/>
  <c r="N60" i="14"/>
  <c r="D62" i="14"/>
  <c r="L62" i="14"/>
  <c r="K63" i="14"/>
  <c r="B61" i="20"/>
  <c r="O64" i="14"/>
  <c r="J64" i="14"/>
  <c r="B62" i="20"/>
  <c r="N65" i="14"/>
  <c r="F65" i="14"/>
  <c r="K65" i="14"/>
  <c r="H67" i="14"/>
  <c r="E72" i="14"/>
  <c r="H74" i="14"/>
  <c r="I80" i="14"/>
  <c r="B81" i="20"/>
  <c r="O84" i="14"/>
  <c r="G84" i="14"/>
  <c r="L84" i="14"/>
  <c r="D84" i="14"/>
  <c r="K84" i="14"/>
  <c r="C84" i="14"/>
  <c r="P84" i="14"/>
  <c r="C87" i="14"/>
  <c r="O87" i="14"/>
  <c r="B87" i="20"/>
  <c r="Q90" i="14"/>
  <c r="I90" i="14"/>
  <c r="A90" i="14"/>
  <c r="N90" i="14"/>
  <c r="F90" i="14"/>
  <c r="M90" i="14"/>
  <c r="E90" i="14"/>
  <c r="O90" i="14"/>
  <c r="F92" i="14"/>
  <c r="B93" i="20"/>
  <c r="K96" i="14"/>
  <c r="C96" i="14"/>
  <c r="P96" i="14"/>
  <c r="H96" i="14"/>
  <c r="O96" i="14"/>
  <c r="G96" i="14"/>
  <c r="N96" i="14"/>
  <c r="B97" i="20"/>
  <c r="P100" i="14"/>
  <c r="H100" i="14"/>
  <c r="O100" i="14"/>
  <c r="G100" i="14"/>
  <c r="L100" i="14"/>
  <c r="D100" i="14"/>
  <c r="K100" i="14"/>
  <c r="C100" i="14"/>
  <c r="F104" i="14"/>
  <c r="B105" i="20"/>
  <c r="P108" i="14"/>
  <c r="H108" i="14"/>
  <c r="O108" i="14"/>
  <c r="G108" i="14"/>
  <c r="M108" i="14"/>
  <c r="E108" i="14"/>
  <c r="L108" i="14"/>
  <c r="D108" i="14"/>
  <c r="K108" i="14"/>
  <c r="C108" i="14"/>
  <c r="I116" i="14"/>
  <c r="M120" i="14"/>
  <c r="B125" i="20"/>
  <c r="L128" i="14"/>
  <c r="D128" i="14"/>
  <c r="K128" i="14"/>
  <c r="C128" i="14"/>
  <c r="Q128" i="14"/>
  <c r="I128" i="14"/>
  <c r="A128" i="14"/>
  <c r="P128" i="14"/>
  <c r="H128" i="14"/>
  <c r="O128" i="14"/>
  <c r="G128" i="14"/>
  <c r="I132" i="14"/>
  <c r="M136" i="14"/>
  <c r="O139" i="14"/>
  <c r="B141" i="20"/>
  <c r="L144" i="14"/>
  <c r="D144" i="14"/>
  <c r="K144" i="14"/>
  <c r="C144" i="14"/>
  <c r="Q144" i="14"/>
  <c r="I144" i="14"/>
  <c r="A144" i="14"/>
  <c r="P144" i="14"/>
  <c r="H144" i="14"/>
  <c r="O144" i="14"/>
  <c r="G144" i="14"/>
  <c r="C147" i="14"/>
  <c r="I148" i="14"/>
  <c r="M152" i="14"/>
  <c r="O155" i="14"/>
  <c r="J163" i="14"/>
  <c r="B169" i="20"/>
  <c r="Q172" i="14"/>
  <c r="I172" i="14"/>
  <c r="A172" i="14"/>
  <c r="P172" i="14"/>
  <c r="H172" i="14"/>
  <c r="O172" i="14"/>
  <c r="G172" i="14"/>
  <c r="N172" i="14"/>
  <c r="F172" i="14"/>
  <c r="M172" i="14"/>
  <c r="E172" i="14"/>
  <c r="L172" i="14"/>
  <c r="D172" i="14"/>
  <c r="K172" i="14"/>
  <c r="C172" i="14"/>
  <c r="J212" i="14"/>
  <c r="B233" i="20"/>
  <c r="Q236" i="14"/>
  <c r="I236" i="14"/>
  <c r="A236" i="14"/>
  <c r="P236" i="14"/>
  <c r="H236" i="14"/>
  <c r="O236" i="14"/>
  <c r="G236" i="14"/>
  <c r="N236" i="14"/>
  <c r="F236" i="14"/>
  <c r="M236" i="14"/>
  <c r="E236" i="14"/>
  <c r="L236" i="14"/>
  <c r="D236" i="14"/>
  <c r="K236" i="14"/>
  <c r="C236" i="14"/>
  <c r="J268" i="14"/>
  <c r="J284" i="14"/>
  <c r="J300" i="14"/>
  <c r="I55" i="15"/>
  <c r="H55" i="15"/>
  <c r="G55" i="15"/>
  <c r="F55" i="15"/>
  <c r="A66" i="15"/>
  <c r="D66" i="15"/>
  <c r="C66" i="15"/>
  <c r="I119" i="15"/>
  <c r="H119" i="15"/>
  <c r="G119" i="15"/>
  <c r="F119" i="15"/>
  <c r="I135" i="15"/>
  <c r="H135" i="15"/>
  <c r="G135" i="15"/>
  <c r="F135" i="15"/>
  <c r="I151" i="15"/>
  <c r="H151" i="15"/>
  <c r="G151" i="15"/>
  <c r="F151" i="15"/>
  <c r="I167" i="15"/>
  <c r="H167" i="15"/>
  <c r="G167" i="15"/>
  <c r="F167" i="15"/>
  <c r="I183" i="15"/>
  <c r="H183" i="15"/>
  <c r="G183" i="15"/>
  <c r="F183" i="15"/>
  <c r="A194" i="15"/>
  <c r="D194" i="15"/>
  <c r="C194" i="15"/>
  <c r="I199" i="15"/>
  <c r="H199" i="15"/>
  <c r="G199" i="15"/>
  <c r="F199" i="15"/>
  <c r="A210" i="15"/>
  <c r="D210" i="15"/>
  <c r="C210" i="15"/>
  <c r="I263" i="15"/>
  <c r="H263" i="15"/>
  <c r="G263" i="15"/>
  <c r="F263" i="15"/>
  <c r="A274" i="15"/>
  <c r="D274" i="15"/>
  <c r="C274" i="15"/>
  <c r="I327" i="15"/>
  <c r="H327" i="15"/>
  <c r="G327" i="15"/>
  <c r="F327" i="15"/>
  <c r="A346" i="15"/>
  <c r="D346" i="15"/>
  <c r="C346" i="15"/>
  <c r="F412" i="15"/>
  <c r="I412" i="15"/>
  <c r="H412" i="15"/>
  <c r="G412" i="15"/>
  <c r="F524" i="15"/>
  <c r="I524" i="15"/>
  <c r="H524" i="15"/>
  <c r="G524" i="15"/>
  <c r="I574" i="15"/>
  <c r="H574" i="15"/>
  <c r="G574" i="15"/>
  <c r="F574" i="15"/>
  <c r="C687" i="15"/>
  <c r="A687" i="15"/>
  <c r="D687" i="15"/>
  <c r="A819" i="15"/>
  <c r="D819" i="15"/>
  <c r="C819" i="15"/>
  <c r="H11" i="14"/>
  <c r="I9" i="16" s="1"/>
  <c r="J9" i="16" s="1"/>
  <c r="P11" i="14"/>
  <c r="Q11" i="14" s="1"/>
  <c r="G12" i="14"/>
  <c r="F13" i="14"/>
  <c r="M10" i="20" s="1"/>
  <c r="O10" i="20" s="1"/>
  <c r="E14" i="14"/>
  <c r="M14" i="14"/>
  <c r="D15" i="14"/>
  <c r="L15" i="14"/>
  <c r="C16" i="14"/>
  <c r="K16" i="14"/>
  <c r="M14" i="20"/>
  <c r="E14" i="20"/>
  <c r="L14" i="20"/>
  <c r="D14" i="20"/>
  <c r="S14" i="20"/>
  <c r="K14" i="20"/>
  <c r="C14" i="20"/>
  <c r="R14" i="20"/>
  <c r="J14" i="20"/>
  <c r="Q14" i="20"/>
  <c r="I14" i="20"/>
  <c r="A14" i="20"/>
  <c r="O14" i="20"/>
  <c r="G14" i="20"/>
  <c r="P14" i="20"/>
  <c r="N14" i="20"/>
  <c r="H14" i="20"/>
  <c r="F14" i="20"/>
  <c r="J17" i="14"/>
  <c r="H19" i="14"/>
  <c r="P19" i="14"/>
  <c r="G20" i="14"/>
  <c r="O20" i="14"/>
  <c r="F21" i="14"/>
  <c r="N21" i="14"/>
  <c r="E22" i="14"/>
  <c r="M22" i="14"/>
  <c r="D23" i="14"/>
  <c r="L23" i="14"/>
  <c r="C24" i="14"/>
  <c r="K24" i="14"/>
  <c r="M22" i="20"/>
  <c r="E22" i="20"/>
  <c r="L22" i="20"/>
  <c r="D22" i="20"/>
  <c r="S22" i="20"/>
  <c r="K22" i="20"/>
  <c r="C22" i="20"/>
  <c r="R22" i="20"/>
  <c r="J22" i="20"/>
  <c r="Q22" i="20"/>
  <c r="I22" i="20"/>
  <c r="A22" i="20"/>
  <c r="O22" i="20"/>
  <c r="G22" i="20"/>
  <c r="P22" i="20"/>
  <c r="H22" i="20"/>
  <c r="N22" i="20"/>
  <c r="F22" i="20"/>
  <c r="J25" i="14"/>
  <c r="H27" i="14"/>
  <c r="P27" i="14"/>
  <c r="G28" i="14"/>
  <c r="O28" i="14"/>
  <c r="F29" i="14"/>
  <c r="N29" i="14"/>
  <c r="E30" i="14"/>
  <c r="M30" i="14"/>
  <c r="D31" i="14"/>
  <c r="L31" i="14"/>
  <c r="C32" i="14"/>
  <c r="K32" i="14"/>
  <c r="M30" i="20"/>
  <c r="E30" i="20"/>
  <c r="L30" i="20"/>
  <c r="D30" i="20"/>
  <c r="S30" i="20"/>
  <c r="K30" i="20"/>
  <c r="C30" i="20"/>
  <c r="R30" i="20"/>
  <c r="J30" i="20"/>
  <c r="Q30" i="20"/>
  <c r="I30" i="20"/>
  <c r="A30" i="20"/>
  <c r="O30" i="20"/>
  <c r="G30" i="20"/>
  <c r="H30" i="20"/>
  <c r="F30" i="20"/>
  <c r="P30" i="20"/>
  <c r="N30" i="20"/>
  <c r="J33" i="14"/>
  <c r="H35" i="14"/>
  <c r="P35" i="14"/>
  <c r="G36" i="14"/>
  <c r="O36" i="14"/>
  <c r="F37" i="14"/>
  <c r="N37" i="14"/>
  <c r="E38" i="14"/>
  <c r="M38" i="14"/>
  <c r="D39" i="14"/>
  <c r="L39" i="14"/>
  <c r="C40" i="14"/>
  <c r="K40" i="14"/>
  <c r="M38" i="20"/>
  <c r="E38" i="20"/>
  <c r="L38" i="20"/>
  <c r="D38" i="20"/>
  <c r="S38" i="20"/>
  <c r="K38" i="20"/>
  <c r="C38" i="20"/>
  <c r="R38" i="20"/>
  <c r="J38" i="20"/>
  <c r="Q38" i="20"/>
  <c r="I38" i="20"/>
  <c r="A38" i="20"/>
  <c r="O38" i="20"/>
  <c r="G38" i="20"/>
  <c r="P38" i="20"/>
  <c r="N38" i="20"/>
  <c r="H38" i="20"/>
  <c r="F38" i="20"/>
  <c r="J41" i="14"/>
  <c r="H43" i="14"/>
  <c r="P43" i="14"/>
  <c r="G44" i="14"/>
  <c r="O44" i="14"/>
  <c r="F45" i="14"/>
  <c r="N45" i="14"/>
  <c r="E46" i="14"/>
  <c r="M46" i="14"/>
  <c r="D47" i="14"/>
  <c r="L47" i="14"/>
  <c r="C48" i="14"/>
  <c r="K48" i="14"/>
  <c r="L46" i="20"/>
  <c r="D46" i="20"/>
  <c r="S46" i="20"/>
  <c r="K46" i="20"/>
  <c r="C46" i="20"/>
  <c r="I46" i="20"/>
  <c r="R46" i="20"/>
  <c r="H46" i="20"/>
  <c r="Q46" i="20"/>
  <c r="G46" i="20"/>
  <c r="P46" i="20"/>
  <c r="F46" i="20"/>
  <c r="O46" i="20"/>
  <c r="E46" i="20"/>
  <c r="M46" i="20"/>
  <c r="A46" i="20"/>
  <c r="N46" i="20"/>
  <c r="J46" i="20"/>
  <c r="J49" i="14"/>
  <c r="H51" i="14"/>
  <c r="P51" i="14"/>
  <c r="G52" i="14"/>
  <c r="O52" i="14"/>
  <c r="F53" i="14"/>
  <c r="N53" i="14"/>
  <c r="E54" i="14"/>
  <c r="M54" i="14"/>
  <c r="D55" i="14"/>
  <c r="L55" i="14"/>
  <c r="C56" i="14"/>
  <c r="K56" i="14"/>
  <c r="L54" i="20"/>
  <c r="D54" i="20"/>
  <c r="S54" i="20"/>
  <c r="K54" i="20"/>
  <c r="C54" i="20"/>
  <c r="R54" i="20"/>
  <c r="J54" i="20"/>
  <c r="Q54" i="20"/>
  <c r="I54" i="20"/>
  <c r="A54" i="20"/>
  <c r="P54" i="20"/>
  <c r="H54" i="20"/>
  <c r="N54" i="20"/>
  <c r="F54" i="20"/>
  <c r="G54" i="20"/>
  <c r="E54" i="20"/>
  <c r="O54" i="20"/>
  <c r="M54" i="20"/>
  <c r="J57" i="14"/>
  <c r="H59" i="14"/>
  <c r="P59" i="14"/>
  <c r="G60" i="14"/>
  <c r="O60" i="14"/>
  <c r="F61" i="14"/>
  <c r="N61" i="14"/>
  <c r="E62" i="14"/>
  <c r="M62" i="14"/>
  <c r="D63" i="14"/>
  <c r="L63" i="14"/>
  <c r="C64" i="14"/>
  <c r="K64" i="14"/>
  <c r="C65" i="14"/>
  <c r="L65" i="14"/>
  <c r="D66" i="14"/>
  <c r="P66" i="14"/>
  <c r="I67" i="14"/>
  <c r="B65" i="20"/>
  <c r="L68" i="14"/>
  <c r="D68" i="14"/>
  <c r="K68" i="14"/>
  <c r="C68" i="14"/>
  <c r="N68" i="14"/>
  <c r="F72" i="14"/>
  <c r="J74" i="14"/>
  <c r="F75" i="14"/>
  <c r="B76" i="20"/>
  <c r="L79" i="14"/>
  <c r="D79" i="14"/>
  <c r="Q79" i="14"/>
  <c r="I79" i="14"/>
  <c r="A79" i="14"/>
  <c r="P79" i="14"/>
  <c r="H79" i="14"/>
  <c r="N79" i="14"/>
  <c r="J80" i="14"/>
  <c r="I83" i="14"/>
  <c r="E84" i="14"/>
  <c r="Q84" i="14"/>
  <c r="E87" i="14"/>
  <c r="C90" i="14"/>
  <c r="P90" i="14"/>
  <c r="K91" i="14"/>
  <c r="H92" i="14"/>
  <c r="G95" i="14"/>
  <c r="D96" i="14"/>
  <c r="Q96" i="14"/>
  <c r="F99" i="14"/>
  <c r="E100" i="14"/>
  <c r="J103" i="14"/>
  <c r="J104" i="14"/>
  <c r="B104" i="20"/>
  <c r="Q107" i="14"/>
  <c r="I107" i="14"/>
  <c r="A107" i="14"/>
  <c r="P107" i="14"/>
  <c r="H107" i="14"/>
  <c r="N107" i="14"/>
  <c r="F107" i="14"/>
  <c r="M107" i="14"/>
  <c r="E107" i="14"/>
  <c r="L107" i="14"/>
  <c r="D107" i="14"/>
  <c r="F108" i="14"/>
  <c r="G115" i="14"/>
  <c r="J116" i="14"/>
  <c r="N120" i="14"/>
  <c r="E128" i="14"/>
  <c r="G131" i="14"/>
  <c r="J132" i="14"/>
  <c r="N136" i="14"/>
  <c r="E144" i="14"/>
  <c r="G147" i="14"/>
  <c r="J148" i="14"/>
  <c r="N152" i="14"/>
  <c r="K163" i="14"/>
  <c r="B193" i="20"/>
  <c r="Q196" i="14"/>
  <c r="I196" i="14"/>
  <c r="A196" i="14"/>
  <c r="P196" i="14"/>
  <c r="H196" i="14"/>
  <c r="O196" i="14"/>
  <c r="G196" i="14"/>
  <c r="N196" i="14"/>
  <c r="F196" i="14"/>
  <c r="M196" i="14"/>
  <c r="E196" i="14"/>
  <c r="L196" i="14"/>
  <c r="D196" i="14"/>
  <c r="K196" i="14"/>
  <c r="C196" i="14"/>
  <c r="J236" i="14"/>
  <c r="B257" i="20"/>
  <c r="Q260" i="14"/>
  <c r="I260" i="14"/>
  <c r="A260" i="14"/>
  <c r="P260" i="14"/>
  <c r="H260" i="14"/>
  <c r="O260" i="14"/>
  <c r="G260" i="14"/>
  <c r="N260" i="14"/>
  <c r="F260" i="14"/>
  <c r="M260" i="14"/>
  <c r="E260" i="14"/>
  <c r="L260" i="14"/>
  <c r="D260" i="14"/>
  <c r="K260" i="14"/>
  <c r="C260" i="14"/>
  <c r="I15" i="15"/>
  <c r="H15" i="15"/>
  <c r="G15" i="15"/>
  <c r="F15" i="15"/>
  <c r="A26" i="15"/>
  <c r="D26" i="15"/>
  <c r="C26" i="15"/>
  <c r="I79" i="15"/>
  <c r="H79" i="15"/>
  <c r="G79" i="15"/>
  <c r="F79" i="15"/>
  <c r="A90" i="15"/>
  <c r="D90" i="15"/>
  <c r="C90" i="15"/>
  <c r="A130" i="15"/>
  <c r="D130" i="15"/>
  <c r="C130" i="15"/>
  <c r="A146" i="15"/>
  <c r="D146" i="15"/>
  <c r="C146" i="15"/>
  <c r="A162" i="15"/>
  <c r="D162" i="15"/>
  <c r="C162" i="15"/>
  <c r="A178" i="15"/>
  <c r="D178" i="15"/>
  <c r="C178" i="15"/>
  <c r="I223" i="15"/>
  <c r="H223" i="15"/>
  <c r="G223" i="15"/>
  <c r="F223" i="15"/>
  <c r="A234" i="15"/>
  <c r="D234" i="15"/>
  <c r="C234" i="15"/>
  <c r="I287" i="15"/>
  <c r="H287" i="15"/>
  <c r="G287" i="15"/>
  <c r="F287" i="15"/>
  <c r="A298" i="15"/>
  <c r="D298" i="15"/>
  <c r="C298" i="15"/>
  <c r="I359" i="15"/>
  <c r="H359" i="15"/>
  <c r="G359" i="15"/>
  <c r="F359" i="15"/>
  <c r="C367" i="15"/>
  <c r="A367" i="15"/>
  <c r="D367" i="15"/>
  <c r="I470" i="15"/>
  <c r="H470" i="15"/>
  <c r="G470" i="15"/>
  <c r="F470" i="15"/>
  <c r="I790" i="15"/>
  <c r="H790" i="15"/>
  <c r="G790" i="15"/>
  <c r="F790" i="15"/>
  <c r="P66" i="20"/>
  <c r="H66" i="20"/>
  <c r="O66" i="20"/>
  <c r="G66" i="20"/>
  <c r="N66" i="20"/>
  <c r="F66" i="20"/>
  <c r="M66" i="20"/>
  <c r="E66" i="20"/>
  <c r="L66" i="20"/>
  <c r="D66" i="20"/>
  <c r="R66" i="20"/>
  <c r="J66" i="20"/>
  <c r="C66" i="20"/>
  <c r="A66" i="20"/>
  <c r="S66" i="20"/>
  <c r="K66" i="20"/>
  <c r="Q66" i="20"/>
  <c r="I66" i="20"/>
  <c r="J69" i="14"/>
  <c r="A70" i="14"/>
  <c r="I70" i="14"/>
  <c r="Q70" i="14"/>
  <c r="F73" i="14"/>
  <c r="N73" i="14"/>
  <c r="P74" i="20"/>
  <c r="H74" i="20"/>
  <c r="O74" i="20"/>
  <c r="G74" i="20"/>
  <c r="N74" i="20"/>
  <c r="F74" i="20"/>
  <c r="M74" i="20"/>
  <c r="E74" i="20"/>
  <c r="L74" i="20"/>
  <c r="D74" i="20"/>
  <c r="R74" i="20"/>
  <c r="J74" i="20"/>
  <c r="K74" i="20"/>
  <c r="I74" i="20"/>
  <c r="C74" i="20"/>
  <c r="A74" i="20"/>
  <c r="S74" i="20"/>
  <c r="Q74" i="20"/>
  <c r="J77" i="14"/>
  <c r="A78" i="14"/>
  <c r="I78" i="14"/>
  <c r="Q78" i="14"/>
  <c r="F81" i="14"/>
  <c r="N81" i="14"/>
  <c r="P82" i="20"/>
  <c r="H82" i="20"/>
  <c r="O82" i="20"/>
  <c r="G82" i="20"/>
  <c r="N82" i="20"/>
  <c r="F82" i="20"/>
  <c r="M82" i="20"/>
  <c r="E82" i="20"/>
  <c r="L82" i="20"/>
  <c r="D82" i="20"/>
  <c r="R82" i="20"/>
  <c r="J82" i="20"/>
  <c r="S82" i="20"/>
  <c r="Q82" i="20"/>
  <c r="K82" i="20"/>
  <c r="I82" i="20"/>
  <c r="C82" i="20"/>
  <c r="A82" i="20"/>
  <c r="J85" i="14"/>
  <c r="A86" i="14"/>
  <c r="I86" i="14"/>
  <c r="Q86" i="14"/>
  <c r="F89" i="14"/>
  <c r="N89" i="14"/>
  <c r="P90" i="20"/>
  <c r="H90" i="20"/>
  <c r="O90" i="20"/>
  <c r="G90" i="20"/>
  <c r="N90" i="20"/>
  <c r="F90" i="20"/>
  <c r="M90" i="20"/>
  <c r="E90" i="20"/>
  <c r="L90" i="20"/>
  <c r="D90" i="20"/>
  <c r="R90" i="20"/>
  <c r="J90" i="20"/>
  <c r="S90" i="20"/>
  <c r="Q90" i="20"/>
  <c r="K90" i="20"/>
  <c r="C90" i="20"/>
  <c r="I90" i="20"/>
  <c r="A90" i="20"/>
  <c r="J93" i="14"/>
  <c r="A94" i="14"/>
  <c r="I94" i="14"/>
  <c r="Q94" i="14"/>
  <c r="F97" i="14"/>
  <c r="N97" i="14"/>
  <c r="E98" i="14"/>
  <c r="M98" i="14"/>
  <c r="P98" i="20"/>
  <c r="H98" i="20"/>
  <c r="N98" i="20"/>
  <c r="F98" i="20"/>
  <c r="L98" i="20"/>
  <c r="D98" i="20"/>
  <c r="M98" i="20"/>
  <c r="A98" i="20"/>
  <c r="K98" i="20"/>
  <c r="J98" i="20"/>
  <c r="I98" i="20"/>
  <c r="S98" i="20"/>
  <c r="G98" i="20"/>
  <c r="Q98" i="20"/>
  <c r="C98" i="20"/>
  <c r="R98" i="20"/>
  <c r="E98" i="20"/>
  <c r="O98" i="20"/>
  <c r="J101" i="14"/>
  <c r="A102" i="14"/>
  <c r="I102" i="14"/>
  <c r="Q102" i="14"/>
  <c r="F105" i="14"/>
  <c r="N105" i="14"/>
  <c r="E106" i="14"/>
  <c r="M106" i="14"/>
  <c r="P106" i="20"/>
  <c r="H106" i="20"/>
  <c r="O106" i="20"/>
  <c r="G106" i="20"/>
  <c r="N106" i="20"/>
  <c r="F106" i="20"/>
  <c r="M106" i="20"/>
  <c r="E106" i="20"/>
  <c r="L106" i="20"/>
  <c r="D106" i="20"/>
  <c r="R106" i="20"/>
  <c r="J106" i="20"/>
  <c r="S106" i="20"/>
  <c r="Q106" i="20"/>
  <c r="K106" i="20"/>
  <c r="I106" i="20"/>
  <c r="C106" i="20"/>
  <c r="A106" i="20"/>
  <c r="J109" i="14"/>
  <c r="A110" i="14"/>
  <c r="I110" i="14"/>
  <c r="Q110" i="14"/>
  <c r="H111" i="14"/>
  <c r="P111" i="14"/>
  <c r="N113" i="14"/>
  <c r="E114" i="14"/>
  <c r="M114" i="14"/>
  <c r="P114" i="20"/>
  <c r="H114" i="20"/>
  <c r="O114" i="20"/>
  <c r="G114" i="20"/>
  <c r="N114" i="20"/>
  <c r="F114" i="20"/>
  <c r="M114" i="20"/>
  <c r="E114" i="20"/>
  <c r="L114" i="20"/>
  <c r="D114" i="20"/>
  <c r="R114" i="20"/>
  <c r="J114" i="20"/>
  <c r="S114" i="20"/>
  <c r="Q114" i="20"/>
  <c r="K114" i="20"/>
  <c r="C114" i="20"/>
  <c r="I114" i="20"/>
  <c r="A114" i="20"/>
  <c r="J117" i="14"/>
  <c r="A118" i="14"/>
  <c r="I118" i="14"/>
  <c r="Q118" i="14"/>
  <c r="H119" i="14"/>
  <c r="P119" i="14"/>
  <c r="E122" i="14"/>
  <c r="M122" i="14"/>
  <c r="P122" i="20"/>
  <c r="H122" i="20"/>
  <c r="O122" i="20"/>
  <c r="G122" i="20"/>
  <c r="N122" i="20"/>
  <c r="F122" i="20"/>
  <c r="M122" i="20"/>
  <c r="E122" i="20"/>
  <c r="L122" i="20"/>
  <c r="D122" i="20"/>
  <c r="R122" i="20"/>
  <c r="J122" i="20"/>
  <c r="C122" i="20"/>
  <c r="A122" i="20"/>
  <c r="S122" i="20"/>
  <c r="K122" i="20"/>
  <c r="Q122" i="20"/>
  <c r="I122" i="20"/>
  <c r="J125" i="14"/>
  <c r="A126" i="14"/>
  <c r="I126" i="14"/>
  <c r="Q126" i="14"/>
  <c r="H127" i="14"/>
  <c r="P127" i="14"/>
  <c r="E130" i="14"/>
  <c r="M130" i="14"/>
  <c r="P130" i="20"/>
  <c r="H130" i="20"/>
  <c r="O130" i="20"/>
  <c r="G130" i="20"/>
  <c r="N130" i="20"/>
  <c r="F130" i="20"/>
  <c r="M130" i="20"/>
  <c r="E130" i="20"/>
  <c r="L130" i="20"/>
  <c r="D130" i="20"/>
  <c r="R130" i="20"/>
  <c r="J130" i="20"/>
  <c r="K130" i="20"/>
  <c r="I130" i="20"/>
  <c r="C130" i="20"/>
  <c r="A130" i="20"/>
  <c r="S130" i="20"/>
  <c r="Q130" i="20"/>
  <c r="J133" i="14"/>
  <c r="A134" i="14"/>
  <c r="I134" i="14"/>
  <c r="Q134" i="14"/>
  <c r="H135" i="14"/>
  <c r="P135" i="14"/>
  <c r="E138" i="14"/>
  <c r="M138" i="14"/>
  <c r="P138" i="20"/>
  <c r="H138" i="20"/>
  <c r="O138" i="20"/>
  <c r="G138" i="20"/>
  <c r="N138" i="20"/>
  <c r="F138" i="20"/>
  <c r="M138" i="20"/>
  <c r="E138" i="20"/>
  <c r="L138" i="20"/>
  <c r="D138" i="20"/>
  <c r="R138" i="20"/>
  <c r="J138" i="20"/>
  <c r="S138" i="20"/>
  <c r="Q138" i="20"/>
  <c r="K138" i="20"/>
  <c r="I138" i="20"/>
  <c r="C138" i="20"/>
  <c r="A138" i="20"/>
  <c r="J141" i="14"/>
  <c r="A142" i="14"/>
  <c r="I142" i="14"/>
  <c r="Q142" i="14"/>
  <c r="H143" i="14"/>
  <c r="P143" i="14"/>
  <c r="E146" i="14"/>
  <c r="M146" i="14"/>
  <c r="P146" i="20"/>
  <c r="H146" i="20"/>
  <c r="O146" i="20"/>
  <c r="G146" i="20"/>
  <c r="N146" i="20"/>
  <c r="F146" i="20"/>
  <c r="L146" i="20"/>
  <c r="D146" i="20"/>
  <c r="K146" i="20"/>
  <c r="J146" i="20"/>
  <c r="I146" i="20"/>
  <c r="E146" i="20"/>
  <c r="S146" i="20"/>
  <c r="C146" i="20"/>
  <c r="Q146" i="20"/>
  <c r="A146" i="20"/>
  <c r="R146" i="20"/>
  <c r="M146" i="20"/>
  <c r="J149" i="14"/>
  <c r="A150" i="14"/>
  <c r="I150" i="14"/>
  <c r="Q150" i="14"/>
  <c r="H151" i="14"/>
  <c r="P151" i="14"/>
  <c r="E154" i="14"/>
  <c r="M154" i="14"/>
  <c r="P154" i="20"/>
  <c r="H154" i="20"/>
  <c r="O154" i="20"/>
  <c r="G154" i="20"/>
  <c r="N154" i="20"/>
  <c r="F154" i="20"/>
  <c r="L154" i="20"/>
  <c r="D154" i="20"/>
  <c r="S154" i="20"/>
  <c r="C154" i="20"/>
  <c r="R154" i="20"/>
  <c r="Q154" i="20"/>
  <c r="A154" i="20"/>
  <c r="M154" i="20"/>
  <c r="K154" i="20"/>
  <c r="I154" i="20"/>
  <c r="J154" i="20"/>
  <c r="E154" i="20"/>
  <c r="J157" i="14"/>
  <c r="A158" i="14"/>
  <c r="I158" i="14"/>
  <c r="Q158" i="14"/>
  <c r="H159" i="14"/>
  <c r="P159" i="14"/>
  <c r="G160" i="14"/>
  <c r="O160" i="14"/>
  <c r="E162" i="14"/>
  <c r="M162" i="14"/>
  <c r="R162" i="20"/>
  <c r="J162" i="20"/>
  <c r="Q162" i="20"/>
  <c r="I162" i="20"/>
  <c r="A162" i="20"/>
  <c r="P162" i="20"/>
  <c r="H162" i="20"/>
  <c r="O162" i="20"/>
  <c r="G162" i="20"/>
  <c r="N162" i="20"/>
  <c r="F162" i="20"/>
  <c r="L162" i="20"/>
  <c r="D162" i="20"/>
  <c r="S162" i="20"/>
  <c r="M162" i="20"/>
  <c r="E162" i="20"/>
  <c r="K162" i="20"/>
  <c r="C162" i="20"/>
  <c r="J165" i="14"/>
  <c r="A166" i="14"/>
  <c r="I166" i="14"/>
  <c r="Q166" i="14"/>
  <c r="H167" i="14"/>
  <c r="P167" i="14"/>
  <c r="G168" i="14"/>
  <c r="O168" i="14"/>
  <c r="E170" i="14"/>
  <c r="M170" i="14"/>
  <c r="D171" i="14"/>
  <c r="L171" i="14"/>
  <c r="R170" i="20"/>
  <c r="J170" i="20"/>
  <c r="Q170" i="20"/>
  <c r="I170" i="20"/>
  <c r="A170" i="20"/>
  <c r="P170" i="20"/>
  <c r="H170" i="20"/>
  <c r="O170" i="20"/>
  <c r="G170" i="20"/>
  <c r="N170" i="20"/>
  <c r="F170" i="20"/>
  <c r="L170" i="20"/>
  <c r="D170" i="20"/>
  <c r="E170" i="20"/>
  <c r="C170" i="20"/>
  <c r="M170" i="20"/>
  <c r="S170" i="20"/>
  <c r="K170" i="20"/>
  <c r="J173" i="14"/>
  <c r="A174" i="14"/>
  <c r="I174" i="14"/>
  <c r="Q174" i="14"/>
  <c r="H175" i="14"/>
  <c r="P175" i="14"/>
  <c r="G176" i="14"/>
  <c r="O176" i="14"/>
  <c r="E178" i="14"/>
  <c r="M178" i="14"/>
  <c r="D179" i="14"/>
  <c r="L179" i="14"/>
  <c r="R178" i="20"/>
  <c r="J178" i="20"/>
  <c r="Q178" i="20"/>
  <c r="I178" i="20"/>
  <c r="A178" i="20"/>
  <c r="P178" i="20"/>
  <c r="H178" i="20"/>
  <c r="O178" i="20"/>
  <c r="G178" i="20"/>
  <c r="N178" i="20"/>
  <c r="F178" i="20"/>
  <c r="L178" i="20"/>
  <c r="D178" i="20"/>
  <c r="M178" i="20"/>
  <c r="K178" i="20"/>
  <c r="E178" i="20"/>
  <c r="C178" i="20"/>
  <c r="S178" i="20"/>
  <c r="J181" i="14"/>
  <c r="A182" i="14"/>
  <c r="I182" i="14"/>
  <c r="Q182" i="14"/>
  <c r="H183" i="14"/>
  <c r="P183" i="14"/>
  <c r="G184" i="14"/>
  <c r="O184" i="14"/>
  <c r="E186" i="14"/>
  <c r="M186" i="14"/>
  <c r="D187" i="14"/>
  <c r="L187" i="14"/>
  <c r="R186" i="20"/>
  <c r="J186" i="20"/>
  <c r="Q186" i="20"/>
  <c r="I186" i="20"/>
  <c r="A186" i="20"/>
  <c r="P186" i="20"/>
  <c r="H186" i="20"/>
  <c r="O186" i="20"/>
  <c r="G186" i="20"/>
  <c r="N186" i="20"/>
  <c r="F186" i="20"/>
  <c r="L186" i="20"/>
  <c r="D186" i="20"/>
  <c r="S186" i="20"/>
  <c r="M186" i="20"/>
  <c r="K186" i="20"/>
  <c r="E186" i="20"/>
  <c r="C186" i="20"/>
  <c r="J189" i="14"/>
  <c r="A190" i="14"/>
  <c r="I190" i="14"/>
  <c r="Q190" i="14"/>
  <c r="H191" i="14"/>
  <c r="P191" i="14"/>
  <c r="G192" i="14"/>
  <c r="O192" i="14"/>
  <c r="E194" i="14"/>
  <c r="M194" i="14"/>
  <c r="D195" i="14"/>
  <c r="L195" i="14"/>
  <c r="P194" i="20"/>
  <c r="H194" i="20"/>
  <c r="N194" i="20"/>
  <c r="F194" i="20"/>
  <c r="S194" i="20"/>
  <c r="I194" i="20"/>
  <c r="R194" i="20"/>
  <c r="G194" i="20"/>
  <c r="Q194" i="20"/>
  <c r="E194" i="20"/>
  <c r="O194" i="20"/>
  <c r="D194" i="20"/>
  <c r="M194" i="20"/>
  <c r="C194" i="20"/>
  <c r="K194" i="20"/>
  <c r="A194" i="20"/>
  <c r="L194" i="20"/>
  <c r="J194" i="20"/>
  <c r="J197" i="14"/>
  <c r="A198" i="14"/>
  <c r="I198" i="14"/>
  <c r="Q198" i="14"/>
  <c r="H199" i="14"/>
  <c r="P199" i="14"/>
  <c r="G200" i="14"/>
  <c r="O200" i="14"/>
  <c r="E202" i="14"/>
  <c r="M202" i="14"/>
  <c r="D203" i="14"/>
  <c r="L203" i="14"/>
  <c r="P202" i="20"/>
  <c r="H202" i="20"/>
  <c r="O202" i="20"/>
  <c r="G202" i="20"/>
  <c r="N202" i="20"/>
  <c r="F202" i="20"/>
  <c r="L202" i="20"/>
  <c r="D202" i="20"/>
  <c r="J202" i="20"/>
  <c r="I202" i="20"/>
  <c r="E202" i="20"/>
  <c r="S202" i="20"/>
  <c r="C202" i="20"/>
  <c r="R202" i="20"/>
  <c r="M202" i="20"/>
  <c r="Q202" i="20"/>
  <c r="K202" i="20"/>
  <c r="A202" i="20"/>
  <c r="J205" i="14"/>
  <c r="A206" i="14"/>
  <c r="I206" i="14"/>
  <c r="Q206" i="14"/>
  <c r="H207" i="14"/>
  <c r="P207" i="14"/>
  <c r="G208" i="14"/>
  <c r="O208" i="14"/>
  <c r="E210" i="14"/>
  <c r="M210" i="14"/>
  <c r="D211" i="14"/>
  <c r="L211" i="14"/>
  <c r="P210" i="20"/>
  <c r="H210" i="20"/>
  <c r="O210" i="20"/>
  <c r="G210" i="20"/>
  <c r="N210" i="20"/>
  <c r="F210" i="20"/>
  <c r="L210" i="20"/>
  <c r="D210" i="20"/>
  <c r="R210" i="20"/>
  <c r="Q210" i="20"/>
  <c r="A210" i="20"/>
  <c r="M210" i="20"/>
  <c r="K210" i="20"/>
  <c r="J210" i="20"/>
  <c r="E210" i="20"/>
  <c r="I210" i="20"/>
  <c r="C210" i="20"/>
  <c r="S210" i="20"/>
  <c r="J213" i="14"/>
  <c r="A214" i="14"/>
  <c r="I214" i="14"/>
  <c r="Q214" i="14"/>
  <c r="H215" i="14"/>
  <c r="P215" i="14"/>
  <c r="G216" i="14"/>
  <c r="O216" i="14"/>
  <c r="E218" i="14"/>
  <c r="M218" i="14"/>
  <c r="D219" i="14"/>
  <c r="L219" i="14"/>
  <c r="R218" i="20"/>
  <c r="J218" i="20"/>
  <c r="M218" i="20"/>
  <c r="D218" i="20"/>
  <c r="L218" i="20"/>
  <c r="C218" i="20"/>
  <c r="K218" i="20"/>
  <c r="A218" i="20"/>
  <c r="Q218" i="20"/>
  <c r="H218" i="20"/>
  <c r="O218" i="20"/>
  <c r="N218" i="20"/>
  <c r="I218" i="20"/>
  <c r="G218" i="20"/>
  <c r="F218" i="20"/>
  <c r="S218" i="20"/>
  <c r="E218" i="20"/>
  <c r="P218" i="20"/>
  <c r="J221" i="14"/>
  <c r="A222" i="14"/>
  <c r="I222" i="14"/>
  <c r="Q222" i="14"/>
  <c r="H223" i="14"/>
  <c r="P223" i="14"/>
  <c r="G224" i="14"/>
  <c r="O224" i="14"/>
  <c r="E226" i="14"/>
  <c r="M226" i="14"/>
  <c r="D227" i="14"/>
  <c r="L227" i="14"/>
  <c r="R226" i="20"/>
  <c r="J226" i="20"/>
  <c r="Q226" i="20"/>
  <c r="I226" i="20"/>
  <c r="A226" i="20"/>
  <c r="P226" i="20"/>
  <c r="H226" i="20"/>
  <c r="N226" i="20"/>
  <c r="F226" i="20"/>
  <c r="D226" i="20"/>
  <c r="S226" i="20"/>
  <c r="C226" i="20"/>
  <c r="O226" i="20"/>
  <c r="M226" i="20"/>
  <c r="L226" i="20"/>
  <c r="G226" i="20"/>
  <c r="K226" i="20"/>
  <c r="E226" i="20"/>
  <c r="J229" i="14"/>
  <c r="A230" i="14"/>
  <c r="I230" i="14"/>
  <c r="Q230" i="14"/>
  <c r="H231" i="14"/>
  <c r="P231" i="14"/>
  <c r="G232" i="14"/>
  <c r="O232" i="14"/>
  <c r="E234" i="14"/>
  <c r="M234" i="14"/>
  <c r="D235" i="14"/>
  <c r="L235" i="14"/>
  <c r="O234" i="20"/>
  <c r="G234" i="20"/>
  <c r="N234" i="20"/>
  <c r="F234" i="20"/>
  <c r="L234" i="20"/>
  <c r="D234" i="20"/>
  <c r="M234" i="20"/>
  <c r="A234" i="20"/>
  <c r="K234" i="20"/>
  <c r="J234" i="20"/>
  <c r="I234" i="20"/>
  <c r="S234" i="20"/>
  <c r="H234" i="20"/>
  <c r="Q234" i="20"/>
  <c r="C234" i="20"/>
  <c r="R234" i="20"/>
  <c r="E234" i="20"/>
  <c r="P234" i="20"/>
  <c r="J237" i="14"/>
  <c r="A238" i="14"/>
  <c r="I238" i="14"/>
  <c r="Q238" i="14"/>
  <c r="H239" i="14"/>
  <c r="P239" i="14"/>
  <c r="G240" i="14"/>
  <c r="O240" i="14"/>
  <c r="E242" i="14"/>
  <c r="M242" i="14"/>
  <c r="D243" i="14"/>
  <c r="L243" i="14"/>
  <c r="O242" i="20"/>
  <c r="G242" i="20"/>
  <c r="N242" i="20"/>
  <c r="F242" i="20"/>
  <c r="L242" i="20"/>
  <c r="D242" i="20"/>
  <c r="P242" i="20"/>
  <c r="M242" i="20"/>
  <c r="A242" i="20"/>
  <c r="K242" i="20"/>
  <c r="J242" i="20"/>
  <c r="I242" i="20"/>
  <c r="R242" i="20"/>
  <c r="E242" i="20"/>
  <c r="S242" i="20"/>
  <c r="H242" i="20"/>
  <c r="Q242" i="20"/>
  <c r="C242" i="20"/>
  <c r="J245" i="14"/>
  <c r="A246" i="14"/>
  <c r="I246" i="14"/>
  <c r="Q246" i="14"/>
  <c r="H247" i="14"/>
  <c r="P247" i="14"/>
  <c r="G248" i="14"/>
  <c r="O248" i="14"/>
  <c r="E250" i="14"/>
  <c r="M250" i="14"/>
  <c r="D251" i="14"/>
  <c r="L251" i="14"/>
  <c r="O250" i="20"/>
  <c r="G250" i="20"/>
  <c r="N250" i="20"/>
  <c r="F250" i="20"/>
  <c r="L250" i="20"/>
  <c r="D250" i="20"/>
  <c r="Q250" i="20"/>
  <c r="C250" i="20"/>
  <c r="P250" i="20"/>
  <c r="M250" i="20"/>
  <c r="A250" i="20"/>
  <c r="K250" i="20"/>
  <c r="J250" i="20"/>
  <c r="S250" i="20"/>
  <c r="H250" i="20"/>
  <c r="I250" i="20"/>
  <c r="R250" i="20"/>
  <c r="E250" i="20"/>
  <c r="J253" i="14"/>
  <c r="A254" i="14"/>
  <c r="I254" i="14"/>
  <c r="Q254" i="14"/>
  <c r="H255" i="14"/>
  <c r="P255" i="14"/>
  <c r="G256" i="14"/>
  <c r="O256" i="14"/>
  <c r="E258" i="14"/>
  <c r="M258" i="14"/>
  <c r="D259" i="14"/>
  <c r="L259" i="14"/>
  <c r="O258" i="20"/>
  <c r="G258" i="20"/>
  <c r="N258" i="20"/>
  <c r="F258" i="20"/>
  <c r="L258" i="20"/>
  <c r="D258" i="20"/>
  <c r="R258" i="20"/>
  <c r="J258" i="20"/>
  <c r="P258" i="20"/>
  <c r="H258" i="20"/>
  <c r="E258" i="20"/>
  <c r="C258" i="20"/>
  <c r="A258" i="20"/>
  <c r="S258" i="20"/>
  <c r="Q258" i="20"/>
  <c r="K258" i="20"/>
  <c r="M258" i="20"/>
  <c r="I258" i="20"/>
  <c r="J261" i="14"/>
  <c r="H263" i="14"/>
  <c r="P263" i="14"/>
  <c r="G264" i="14"/>
  <c r="O264" i="14"/>
  <c r="E266" i="14"/>
  <c r="M266" i="14"/>
  <c r="D267" i="14"/>
  <c r="L267" i="14"/>
  <c r="O266" i="20"/>
  <c r="G266" i="20"/>
  <c r="N266" i="20"/>
  <c r="F266" i="20"/>
  <c r="L266" i="20"/>
  <c r="D266" i="20"/>
  <c r="R266" i="20"/>
  <c r="J266" i="20"/>
  <c r="P266" i="20"/>
  <c r="H266" i="20"/>
  <c r="C266" i="20"/>
  <c r="A266" i="20"/>
  <c r="S266" i="20"/>
  <c r="Q266" i="20"/>
  <c r="M266" i="20"/>
  <c r="I266" i="20"/>
  <c r="K266" i="20"/>
  <c r="E266" i="20"/>
  <c r="J269" i="14"/>
  <c r="H271" i="14"/>
  <c r="P271" i="14"/>
  <c r="G272" i="14"/>
  <c r="O272" i="14"/>
  <c r="E274" i="14"/>
  <c r="M274" i="14"/>
  <c r="D275" i="14"/>
  <c r="L275" i="14"/>
  <c r="N274" i="20"/>
  <c r="F274" i="20"/>
  <c r="M274" i="20"/>
  <c r="E274" i="20"/>
  <c r="S274" i="20"/>
  <c r="K274" i="20"/>
  <c r="C274" i="20"/>
  <c r="Q274" i="20"/>
  <c r="I274" i="20"/>
  <c r="A274" i="20"/>
  <c r="O274" i="20"/>
  <c r="L274" i="20"/>
  <c r="H274" i="20"/>
  <c r="D274" i="20"/>
  <c r="P274" i="20"/>
  <c r="R274" i="20"/>
  <c r="J274" i="20"/>
  <c r="G274" i="20"/>
  <c r="J277" i="14"/>
  <c r="H279" i="14"/>
  <c r="P279" i="14"/>
  <c r="G280" i="14"/>
  <c r="O280" i="14"/>
  <c r="E282" i="14"/>
  <c r="M282" i="14"/>
  <c r="D283" i="14"/>
  <c r="L283" i="14"/>
  <c r="N282" i="20"/>
  <c r="F282" i="20"/>
  <c r="M282" i="20"/>
  <c r="E282" i="20"/>
  <c r="S282" i="20"/>
  <c r="K282" i="20"/>
  <c r="C282" i="20"/>
  <c r="Q282" i="20"/>
  <c r="I282" i="20"/>
  <c r="A282" i="20"/>
  <c r="G282" i="20"/>
  <c r="D282" i="20"/>
  <c r="P282" i="20"/>
  <c r="L282" i="20"/>
  <c r="H282" i="20"/>
  <c r="J282" i="20"/>
  <c r="R282" i="20"/>
  <c r="O282" i="20"/>
  <c r="J285" i="14"/>
  <c r="H287" i="14"/>
  <c r="P287" i="14"/>
  <c r="G288" i="14"/>
  <c r="O288" i="14"/>
  <c r="E290" i="14"/>
  <c r="M290" i="14"/>
  <c r="D291" i="14"/>
  <c r="L291" i="14"/>
  <c r="N290" i="20"/>
  <c r="F290" i="20"/>
  <c r="M290" i="20"/>
  <c r="E290" i="20"/>
  <c r="S290" i="20"/>
  <c r="K290" i="20"/>
  <c r="C290" i="20"/>
  <c r="Q290" i="20"/>
  <c r="I290" i="20"/>
  <c r="A290" i="20"/>
  <c r="O290" i="20"/>
  <c r="L290" i="20"/>
  <c r="H290" i="20"/>
  <c r="D290" i="20"/>
  <c r="P290" i="20"/>
  <c r="R290" i="20"/>
  <c r="J290" i="20"/>
  <c r="G290" i="20"/>
  <c r="J293" i="14"/>
  <c r="H295" i="14"/>
  <c r="P295" i="14"/>
  <c r="G296" i="14"/>
  <c r="O296" i="14"/>
  <c r="E298" i="14"/>
  <c r="M298" i="14"/>
  <c r="D299" i="14"/>
  <c r="L299" i="14"/>
  <c r="N298" i="20"/>
  <c r="F298" i="20"/>
  <c r="M298" i="20"/>
  <c r="E298" i="20"/>
  <c r="S298" i="20"/>
  <c r="K298" i="20"/>
  <c r="C298" i="20"/>
  <c r="Q298" i="20"/>
  <c r="I298" i="20"/>
  <c r="A298" i="20"/>
  <c r="G298" i="20"/>
  <c r="D298" i="20"/>
  <c r="P298" i="20"/>
  <c r="L298" i="20"/>
  <c r="H298" i="20"/>
  <c r="O298" i="20"/>
  <c r="R298" i="20"/>
  <c r="J298" i="20"/>
  <c r="J301" i="14"/>
  <c r="H303" i="14"/>
  <c r="P303" i="14"/>
  <c r="G304" i="14"/>
  <c r="O304" i="14"/>
  <c r="E306" i="14"/>
  <c r="M306" i="14"/>
  <c r="D307" i="14"/>
  <c r="L307" i="14"/>
  <c r="N306" i="20"/>
  <c r="F306" i="20"/>
  <c r="M306" i="20"/>
  <c r="E306" i="20"/>
  <c r="S306" i="20"/>
  <c r="K306" i="20"/>
  <c r="C306" i="20"/>
  <c r="Q306" i="20"/>
  <c r="I306" i="20"/>
  <c r="A306" i="20"/>
  <c r="O306" i="20"/>
  <c r="G306" i="20"/>
  <c r="P306" i="20"/>
  <c r="L306" i="20"/>
  <c r="H306" i="20"/>
  <c r="R306" i="20"/>
  <c r="J306" i="20"/>
  <c r="D306" i="20"/>
  <c r="J309" i="14"/>
  <c r="H13" i="15"/>
  <c r="G14" i="15"/>
  <c r="D17" i="15"/>
  <c r="H21" i="15"/>
  <c r="G22" i="15"/>
  <c r="D25" i="15"/>
  <c r="H29" i="15"/>
  <c r="G30" i="15"/>
  <c r="D33" i="15"/>
  <c r="H37" i="15"/>
  <c r="G38" i="15"/>
  <c r="D41" i="15"/>
  <c r="H45" i="15"/>
  <c r="G46" i="15"/>
  <c r="D49" i="15"/>
  <c r="H53" i="15"/>
  <c r="G54" i="15"/>
  <c r="D57" i="15"/>
  <c r="H61" i="15"/>
  <c r="G62" i="15"/>
  <c r="D65" i="15"/>
  <c r="H69" i="15"/>
  <c r="G70" i="15"/>
  <c r="D73" i="15"/>
  <c r="H77" i="15"/>
  <c r="G78" i="15"/>
  <c r="D81" i="15"/>
  <c r="H85" i="15"/>
  <c r="G86" i="15"/>
  <c r="D89" i="15"/>
  <c r="H93" i="15"/>
  <c r="G94" i="15"/>
  <c r="D97" i="15"/>
  <c r="H101" i="15"/>
  <c r="G102" i="15"/>
  <c r="D105" i="15"/>
  <c r="H109" i="15"/>
  <c r="G110" i="15"/>
  <c r="D113" i="15"/>
  <c r="H117" i="15"/>
  <c r="G118" i="15"/>
  <c r="D121" i="15"/>
  <c r="G126" i="15"/>
  <c r="D129" i="15"/>
  <c r="G134" i="15"/>
  <c r="D137" i="15"/>
  <c r="G142" i="15"/>
  <c r="D145" i="15"/>
  <c r="G150" i="15"/>
  <c r="D153" i="15"/>
  <c r="G158" i="15"/>
  <c r="D161" i="15"/>
  <c r="G166" i="15"/>
  <c r="D169" i="15"/>
  <c r="G174" i="15"/>
  <c r="D177" i="15"/>
  <c r="G182" i="15"/>
  <c r="D185" i="15"/>
  <c r="G190" i="15"/>
  <c r="D193" i="15"/>
  <c r="G198" i="15"/>
  <c r="D201" i="15"/>
  <c r="G206" i="15"/>
  <c r="D209" i="15"/>
  <c r="G214" i="15"/>
  <c r="D217" i="15"/>
  <c r="G222" i="15"/>
  <c r="D225" i="15"/>
  <c r="G230" i="15"/>
  <c r="D233" i="15"/>
  <c r="G238" i="15"/>
  <c r="D241" i="15"/>
  <c r="G246" i="15"/>
  <c r="D249" i="15"/>
  <c r="G254" i="15"/>
  <c r="D257" i="15"/>
  <c r="G262" i="15"/>
  <c r="D265" i="15"/>
  <c r="G270" i="15"/>
  <c r="D273" i="15"/>
  <c r="G278" i="15"/>
  <c r="D281" i="15"/>
  <c r="G286" i="15"/>
  <c r="D289" i="15"/>
  <c r="G294" i="15"/>
  <c r="D297" i="15"/>
  <c r="G302" i="15"/>
  <c r="D305" i="15"/>
  <c r="G310" i="15"/>
  <c r="D313" i="15"/>
  <c r="G318" i="15"/>
  <c r="D321" i="15"/>
  <c r="G326" i="15"/>
  <c r="D329" i="15"/>
  <c r="G334" i="15"/>
  <c r="D337" i="15"/>
  <c r="A340" i="15"/>
  <c r="G342" i="15"/>
  <c r="D345" i="15"/>
  <c r="A348" i="15"/>
  <c r="G350" i="15"/>
  <c r="D353" i="15"/>
  <c r="G358" i="15"/>
  <c r="D361" i="15"/>
  <c r="D362" i="15"/>
  <c r="I364" i="15"/>
  <c r="H368" i="15"/>
  <c r="G368" i="15"/>
  <c r="A393" i="15"/>
  <c r="D393" i="15"/>
  <c r="C393" i="15"/>
  <c r="D396" i="15"/>
  <c r="C396" i="15"/>
  <c r="A396" i="15"/>
  <c r="I406" i="15"/>
  <c r="G406" i="15"/>
  <c r="F406" i="15"/>
  <c r="I433" i="15"/>
  <c r="G433" i="15"/>
  <c r="F433" i="15"/>
  <c r="D436" i="15"/>
  <c r="C436" i="15"/>
  <c r="A436" i="15"/>
  <c r="C439" i="15"/>
  <c r="A439" i="15"/>
  <c r="A457" i="15"/>
  <c r="D457" i="15"/>
  <c r="C457" i="15"/>
  <c r="C471" i="15"/>
  <c r="A471" i="15"/>
  <c r="F484" i="15"/>
  <c r="I484" i="15"/>
  <c r="H484" i="15"/>
  <c r="I494" i="15"/>
  <c r="H494" i="15"/>
  <c r="G494" i="15"/>
  <c r="F494" i="15"/>
  <c r="A529" i="15"/>
  <c r="D529" i="15"/>
  <c r="C529" i="15"/>
  <c r="I542" i="15"/>
  <c r="H542" i="15"/>
  <c r="G542" i="15"/>
  <c r="F542" i="15"/>
  <c r="F556" i="15"/>
  <c r="I556" i="15"/>
  <c r="H556" i="15"/>
  <c r="A561" i="15"/>
  <c r="D561" i="15"/>
  <c r="C561" i="15"/>
  <c r="C575" i="15"/>
  <c r="A575" i="15"/>
  <c r="C599" i="15"/>
  <c r="A599" i="15"/>
  <c r="I630" i="15"/>
  <c r="H630" i="15"/>
  <c r="G630" i="15"/>
  <c r="F630" i="15"/>
  <c r="A641" i="15"/>
  <c r="D641" i="15"/>
  <c r="C641" i="15"/>
  <c r="F644" i="15"/>
  <c r="I644" i="15"/>
  <c r="H644" i="15"/>
  <c r="I678" i="15"/>
  <c r="H678" i="15"/>
  <c r="G678" i="15"/>
  <c r="F678" i="15"/>
  <c r="A689" i="15"/>
  <c r="D689" i="15"/>
  <c r="C689" i="15"/>
  <c r="F692" i="15"/>
  <c r="I692" i="15"/>
  <c r="H692" i="15"/>
  <c r="I710" i="15"/>
  <c r="H710" i="15"/>
  <c r="G710" i="15"/>
  <c r="F710" i="15"/>
  <c r="A721" i="15"/>
  <c r="D721" i="15"/>
  <c r="C721" i="15"/>
  <c r="F724" i="15"/>
  <c r="I724" i="15"/>
  <c r="H724" i="15"/>
  <c r="H759" i="15"/>
  <c r="F759" i="15"/>
  <c r="I759" i="15"/>
  <c r="A786" i="15"/>
  <c r="D786" i="15"/>
  <c r="C786" i="15"/>
  <c r="I819" i="15"/>
  <c r="G819" i="15"/>
  <c r="H819" i="15"/>
  <c r="F819" i="15"/>
  <c r="I867" i="15"/>
  <c r="G867" i="15"/>
  <c r="F867" i="15"/>
  <c r="C871" i="15"/>
  <c r="D871" i="15"/>
  <c r="A871" i="15"/>
  <c r="H884" i="15"/>
  <c r="F884" i="15"/>
  <c r="G884" i="15"/>
  <c r="C889" i="15"/>
  <c r="A889" i="15"/>
  <c r="D889" i="15"/>
  <c r="A899" i="15"/>
  <c r="D899" i="15"/>
  <c r="C899" i="15"/>
  <c r="C916" i="15"/>
  <c r="A916" i="15"/>
  <c r="D916" i="15"/>
  <c r="C964" i="15"/>
  <c r="D964" i="15"/>
  <c r="A964" i="15"/>
  <c r="A1003" i="15"/>
  <c r="D1003" i="15"/>
  <c r="C1003" i="15"/>
  <c r="M67" i="20"/>
  <c r="E67" i="20"/>
  <c r="L67" i="20"/>
  <c r="D67" i="20"/>
  <c r="S67" i="20"/>
  <c r="K67" i="20"/>
  <c r="C67" i="20"/>
  <c r="R67" i="20"/>
  <c r="J67" i="20"/>
  <c r="Q67" i="20"/>
  <c r="I67" i="20"/>
  <c r="A67" i="20"/>
  <c r="O67" i="20"/>
  <c r="G67" i="20"/>
  <c r="P67" i="20"/>
  <c r="N67" i="20"/>
  <c r="H67" i="20"/>
  <c r="F67" i="20"/>
  <c r="J70" i="14"/>
  <c r="G73" i="14"/>
  <c r="O73" i="14"/>
  <c r="M75" i="20"/>
  <c r="E75" i="20"/>
  <c r="L75" i="20"/>
  <c r="D75" i="20"/>
  <c r="S75" i="20"/>
  <c r="K75" i="20"/>
  <c r="C75" i="20"/>
  <c r="R75" i="20"/>
  <c r="J75" i="20"/>
  <c r="Q75" i="20"/>
  <c r="I75" i="20"/>
  <c r="A75" i="20"/>
  <c r="O75" i="20"/>
  <c r="G75" i="20"/>
  <c r="P75" i="20"/>
  <c r="N75" i="20"/>
  <c r="H75" i="20"/>
  <c r="F75" i="20"/>
  <c r="J78" i="14"/>
  <c r="G81" i="14"/>
  <c r="O81" i="14"/>
  <c r="M83" i="20"/>
  <c r="E83" i="20"/>
  <c r="L83" i="20"/>
  <c r="D83" i="20"/>
  <c r="S83" i="20"/>
  <c r="K83" i="20"/>
  <c r="C83" i="20"/>
  <c r="R83" i="20"/>
  <c r="J83" i="20"/>
  <c r="Q83" i="20"/>
  <c r="I83" i="20"/>
  <c r="A83" i="20"/>
  <c r="O83" i="20"/>
  <c r="G83" i="20"/>
  <c r="P83" i="20"/>
  <c r="H83" i="20"/>
  <c r="N83" i="20"/>
  <c r="F83" i="20"/>
  <c r="J86" i="14"/>
  <c r="G89" i="14"/>
  <c r="O89" i="14"/>
  <c r="M91" i="20"/>
  <c r="N91" i="20"/>
  <c r="E91" i="20"/>
  <c r="L91" i="20"/>
  <c r="D91" i="20"/>
  <c r="K91" i="20"/>
  <c r="C91" i="20"/>
  <c r="S91" i="20"/>
  <c r="J91" i="20"/>
  <c r="R91" i="20"/>
  <c r="I91" i="20"/>
  <c r="A91" i="20"/>
  <c r="P91" i="20"/>
  <c r="G91" i="20"/>
  <c r="H91" i="20"/>
  <c r="F91" i="20"/>
  <c r="Q91" i="20"/>
  <c r="O91" i="20"/>
  <c r="J94" i="14"/>
  <c r="G97" i="14"/>
  <c r="O97" i="14"/>
  <c r="F98" i="14"/>
  <c r="N98" i="14"/>
  <c r="M99" i="20"/>
  <c r="E99" i="20"/>
  <c r="L99" i="20"/>
  <c r="S99" i="20"/>
  <c r="K99" i="20"/>
  <c r="C99" i="20"/>
  <c r="R99" i="20"/>
  <c r="J99" i="20"/>
  <c r="Q99" i="20"/>
  <c r="I99" i="20"/>
  <c r="A99" i="20"/>
  <c r="G99" i="20"/>
  <c r="F99" i="20"/>
  <c r="D99" i="20"/>
  <c r="P99" i="20"/>
  <c r="N99" i="20"/>
  <c r="O99" i="20"/>
  <c r="H99" i="20"/>
  <c r="J102" i="14"/>
  <c r="G105" i="14"/>
  <c r="O105" i="14"/>
  <c r="F106" i="14"/>
  <c r="N106" i="14"/>
  <c r="M107" i="20"/>
  <c r="E107" i="20"/>
  <c r="L107" i="20"/>
  <c r="D107" i="20"/>
  <c r="S107" i="20"/>
  <c r="K107" i="20"/>
  <c r="C107" i="20"/>
  <c r="R107" i="20"/>
  <c r="J107" i="20"/>
  <c r="Q107" i="20"/>
  <c r="I107" i="20"/>
  <c r="A107" i="20"/>
  <c r="O107" i="20"/>
  <c r="G107" i="20"/>
  <c r="P107" i="20"/>
  <c r="H107" i="20"/>
  <c r="N107" i="20"/>
  <c r="F107" i="20"/>
  <c r="J110" i="14"/>
  <c r="A111" i="14"/>
  <c r="I111" i="14"/>
  <c r="Q111" i="14"/>
  <c r="O113" i="14"/>
  <c r="F114" i="14"/>
  <c r="N114" i="14"/>
  <c r="M115" i="20"/>
  <c r="E115" i="20"/>
  <c r="L115" i="20"/>
  <c r="D115" i="20"/>
  <c r="S115" i="20"/>
  <c r="K115" i="20"/>
  <c r="C115" i="20"/>
  <c r="R115" i="20"/>
  <c r="J115" i="20"/>
  <c r="Q115" i="20"/>
  <c r="I115" i="20"/>
  <c r="A115" i="20"/>
  <c r="O115" i="20"/>
  <c r="G115" i="20"/>
  <c r="H115" i="20"/>
  <c r="F115" i="20"/>
  <c r="P115" i="20"/>
  <c r="N115" i="20"/>
  <c r="J118" i="14"/>
  <c r="A119" i="14"/>
  <c r="I119" i="14"/>
  <c r="Q119" i="14"/>
  <c r="F122" i="14"/>
  <c r="N122" i="14"/>
  <c r="M123" i="20"/>
  <c r="E123" i="20"/>
  <c r="L123" i="20"/>
  <c r="D123" i="20"/>
  <c r="S123" i="20"/>
  <c r="K123" i="20"/>
  <c r="C123" i="20"/>
  <c r="R123" i="20"/>
  <c r="J123" i="20"/>
  <c r="Q123" i="20"/>
  <c r="I123" i="20"/>
  <c r="A123" i="20"/>
  <c r="O123" i="20"/>
  <c r="G123" i="20"/>
  <c r="P123" i="20"/>
  <c r="N123" i="20"/>
  <c r="H123" i="20"/>
  <c r="F123" i="20"/>
  <c r="J126" i="14"/>
  <c r="A127" i="14"/>
  <c r="I127" i="14"/>
  <c r="Q127" i="14"/>
  <c r="F130" i="14"/>
  <c r="N130" i="14"/>
  <c r="M131" i="20"/>
  <c r="E131" i="20"/>
  <c r="L131" i="20"/>
  <c r="D131" i="20"/>
  <c r="S131" i="20"/>
  <c r="K131" i="20"/>
  <c r="C131" i="20"/>
  <c r="R131" i="20"/>
  <c r="J131" i="20"/>
  <c r="Q131" i="20"/>
  <c r="I131" i="20"/>
  <c r="A131" i="20"/>
  <c r="O131" i="20"/>
  <c r="G131" i="20"/>
  <c r="P131" i="20"/>
  <c r="N131" i="20"/>
  <c r="H131" i="20"/>
  <c r="F131" i="20"/>
  <c r="J134" i="14"/>
  <c r="A135" i="14"/>
  <c r="I135" i="14"/>
  <c r="Q135" i="14"/>
  <c r="F138" i="14"/>
  <c r="N138" i="14"/>
  <c r="L139" i="20"/>
  <c r="S139" i="20"/>
  <c r="K139" i="20"/>
  <c r="Q139" i="20"/>
  <c r="I139" i="20"/>
  <c r="P139" i="20"/>
  <c r="E139" i="20"/>
  <c r="O139" i="20"/>
  <c r="D139" i="20"/>
  <c r="N139" i="20"/>
  <c r="C139" i="20"/>
  <c r="M139" i="20"/>
  <c r="J139" i="20"/>
  <c r="A139" i="20"/>
  <c r="G139" i="20"/>
  <c r="H139" i="20"/>
  <c r="R139" i="20"/>
  <c r="F139" i="20"/>
  <c r="J142" i="14"/>
  <c r="A143" i="14"/>
  <c r="I143" i="14"/>
  <c r="Q143" i="14"/>
  <c r="F146" i="14"/>
  <c r="N146" i="14"/>
  <c r="M147" i="20"/>
  <c r="E147" i="20"/>
  <c r="L147" i="20"/>
  <c r="D147" i="20"/>
  <c r="S147" i="20"/>
  <c r="K147" i="20"/>
  <c r="C147" i="20"/>
  <c r="Q147" i="20"/>
  <c r="I147" i="20"/>
  <c r="A147" i="20"/>
  <c r="H147" i="20"/>
  <c r="G147" i="20"/>
  <c r="F147" i="20"/>
  <c r="R147" i="20"/>
  <c r="P147" i="20"/>
  <c r="N147" i="20"/>
  <c r="O147" i="20"/>
  <c r="J147" i="20"/>
  <c r="J150" i="14"/>
  <c r="A151" i="14"/>
  <c r="I151" i="14"/>
  <c r="Q151" i="14"/>
  <c r="F154" i="14"/>
  <c r="N154" i="14"/>
  <c r="M155" i="20"/>
  <c r="E155" i="20"/>
  <c r="L155" i="20"/>
  <c r="D155" i="20"/>
  <c r="S155" i="20"/>
  <c r="K155" i="20"/>
  <c r="C155" i="20"/>
  <c r="Q155" i="20"/>
  <c r="I155" i="20"/>
  <c r="A155" i="20"/>
  <c r="P155" i="20"/>
  <c r="O155" i="20"/>
  <c r="N155" i="20"/>
  <c r="J155" i="20"/>
  <c r="H155" i="20"/>
  <c r="F155" i="20"/>
  <c r="G155" i="20"/>
  <c r="R155" i="20"/>
  <c r="J158" i="14"/>
  <c r="A159" i="14"/>
  <c r="I159" i="14"/>
  <c r="Q159" i="14"/>
  <c r="H160" i="14"/>
  <c r="P160" i="14"/>
  <c r="F162" i="14"/>
  <c r="N162" i="14"/>
  <c r="O163" i="20"/>
  <c r="G163" i="20"/>
  <c r="N163" i="20"/>
  <c r="F163" i="20"/>
  <c r="M163" i="20"/>
  <c r="E163" i="20"/>
  <c r="L163" i="20"/>
  <c r="D163" i="20"/>
  <c r="S163" i="20"/>
  <c r="K163" i="20"/>
  <c r="C163" i="20"/>
  <c r="Q163" i="20"/>
  <c r="I163" i="20"/>
  <c r="A163" i="20"/>
  <c r="J163" i="20"/>
  <c r="H163" i="20"/>
  <c r="R163" i="20"/>
  <c r="P163" i="20"/>
  <c r="J166" i="14"/>
  <c r="A167" i="14"/>
  <c r="I167" i="14"/>
  <c r="Q167" i="14"/>
  <c r="H168" i="14"/>
  <c r="P168" i="14"/>
  <c r="F170" i="14"/>
  <c r="N170" i="14"/>
  <c r="E171" i="14"/>
  <c r="M171" i="14"/>
  <c r="O171" i="20"/>
  <c r="G171" i="20"/>
  <c r="N171" i="20"/>
  <c r="F171" i="20"/>
  <c r="M171" i="20"/>
  <c r="E171" i="20"/>
  <c r="L171" i="20"/>
  <c r="D171" i="20"/>
  <c r="S171" i="20"/>
  <c r="K171" i="20"/>
  <c r="C171" i="20"/>
  <c r="Q171" i="20"/>
  <c r="I171" i="20"/>
  <c r="A171" i="20"/>
  <c r="R171" i="20"/>
  <c r="P171" i="20"/>
  <c r="J171" i="20"/>
  <c r="H171" i="20"/>
  <c r="J174" i="14"/>
  <c r="A175" i="14"/>
  <c r="I175" i="14"/>
  <c r="Q175" i="14"/>
  <c r="H176" i="14"/>
  <c r="P176" i="14"/>
  <c r="F178" i="14"/>
  <c r="N178" i="14"/>
  <c r="E179" i="14"/>
  <c r="M179" i="14"/>
  <c r="O179" i="20"/>
  <c r="G179" i="20"/>
  <c r="N179" i="20"/>
  <c r="F179" i="20"/>
  <c r="M179" i="20"/>
  <c r="E179" i="20"/>
  <c r="L179" i="20"/>
  <c r="D179" i="20"/>
  <c r="S179" i="20"/>
  <c r="K179" i="20"/>
  <c r="C179" i="20"/>
  <c r="Q179" i="20"/>
  <c r="I179" i="20"/>
  <c r="A179" i="20"/>
  <c r="R179" i="20"/>
  <c r="P179" i="20"/>
  <c r="J179" i="20"/>
  <c r="H179" i="20"/>
  <c r="J182" i="14"/>
  <c r="A183" i="14"/>
  <c r="I183" i="14"/>
  <c r="Q183" i="14"/>
  <c r="H184" i="14"/>
  <c r="P184" i="14"/>
  <c r="F186" i="14"/>
  <c r="N186" i="14"/>
  <c r="E187" i="14"/>
  <c r="M187" i="14"/>
  <c r="O187" i="20"/>
  <c r="G187" i="20"/>
  <c r="N187" i="20"/>
  <c r="F187" i="20"/>
  <c r="M187" i="20"/>
  <c r="E187" i="20"/>
  <c r="L187" i="20"/>
  <c r="D187" i="20"/>
  <c r="S187" i="20"/>
  <c r="K187" i="20"/>
  <c r="C187" i="20"/>
  <c r="Q187" i="20"/>
  <c r="I187" i="20"/>
  <c r="A187" i="20"/>
  <c r="R187" i="20"/>
  <c r="J187" i="20"/>
  <c r="P187" i="20"/>
  <c r="H187" i="20"/>
  <c r="J190" i="14"/>
  <c r="A191" i="14"/>
  <c r="I191" i="14"/>
  <c r="Q191" i="14"/>
  <c r="H192" i="14"/>
  <c r="P192" i="14"/>
  <c r="F194" i="14"/>
  <c r="N194" i="14"/>
  <c r="E195" i="14"/>
  <c r="M195" i="14"/>
  <c r="M195" i="20"/>
  <c r="E195" i="20"/>
  <c r="S195" i="20"/>
  <c r="K195" i="20"/>
  <c r="C195" i="20"/>
  <c r="J195" i="20"/>
  <c r="I195" i="20"/>
  <c r="R195" i="20"/>
  <c r="H195" i="20"/>
  <c r="Q195" i="20"/>
  <c r="G195" i="20"/>
  <c r="P195" i="20"/>
  <c r="F195" i="20"/>
  <c r="N195" i="20"/>
  <c r="O195" i="20"/>
  <c r="D195" i="20"/>
  <c r="L195" i="20"/>
  <c r="A195" i="20"/>
  <c r="J198" i="14"/>
  <c r="A199" i="14"/>
  <c r="I199" i="14"/>
  <c r="Q199" i="14"/>
  <c r="H200" i="14"/>
  <c r="P200" i="14"/>
  <c r="F202" i="14"/>
  <c r="N202" i="14"/>
  <c r="E203" i="14"/>
  <c r="M203" i="14"/>
  <c r="M203" i="20"/>
  <c r="E203" i="20"/>
  <c r="L203" i="20"/>
  <c r="D203" i="20"/>
  <c r="S203" i="20"/>
  <c r="K203" i="20"/>
  <c r="C203" i="20"/>
  <c r="Q203" i="20"/>
  <c r="I203" i="20"/>
  <c r="A203" i="20"/>
  <c r="G203" i="20"/>
  <c r="F203" i="20"/>
  <c r="R203" i="20"/>
  <c r="P203" i="20"/>
  <c r="O203" i="20"/>
  <c r="J203" i="20"/>
  <c r="N203" i="20"/>
  <c r="H203" i="20"/>
  <c r="J206" i="14"/>
  <c r="A207" i="14"/>
  <c r="I207" i="14"/>
  <c r="Q207" i="14"/>
  <c r="H208" i="14"/>
  <c r="P208" i="14"/>
  <c r="F210" i="14"/>
  <c r="N210" i="14"/>
  <c r="E211" i="14"/>
  <c r="M211" i="14"/>
  <c r="M211" i="20"/>
  <c r="E211" i="20"/>
  <c r="L211" i="20"/>
  <c r="D211" i="20"/>
  <c r="S211" i="20"/>
  <c r="K211" i="20"/>
  <c r="C211" i="20"/>
  <c r="Q211" i="20"/>
  <c r="I211" i="20"/>
  <c r="A211" i="20"/>
  <c r="O211" i="20"/>
  <c r="N211" i="20"/>
  <c r="J211" i="20"/>
  <c r="H211" i="20"/>
  <c r="G211" i="20"/>
  <c r="R211" i="20"/>
  <c r="F211" i="20"/>
  <c r="P211" i="20"/>
  <c r="J214" i="14"/>
  <c r="A215" i="14"/>
  <c r="I215" i="14"/>
  <c r="Q215" i="14"/>
  <c r="H216" i="14"/>
  <c r="P216" i="14"/>
  <c r="F218" i="14"/>
  <c r="N218" i="14"/>
  <c r="E219" i="14"/>
  <c r="M219" i="14"/>
  <c r="O219" i="20"/>
  <c r="G219" i="20"/>
  <c r="L219" i="20"/>
  <c r="C219" i="20"/>
  <c r="K219" i="20"/>
  <c r="S219" i="20"/>
  <c r="J219" i="20"/>
  <c r="A219" i="20"/>
  <c r="Q219" i="20"/>
  <c r="H219" i="20"/>
  <c r="N219" i="20"/>
  <c r="M219" i="20"/>
  <c r="I219" i="20"/>
  <c r="F219" i="20"/>
  <c r="E219" i="20"/>
  <c r="R219" i="20"/>
  <c r="P219" i="20"/>
  <c r="D219" i="20"/>
  <c r="J222" i="14"/>
  <c r="A223" i="14"/>
  <c r="I223" i="14"/>
  <c r="Q223" i="14"/>
  <c r="H224" i="14"/>
  <c r="P224" i="14"/>
  <c r="F226" i="14"/>
  <c r="N226" i="14"/>
  <c r="E227" i="14"/>
  <c r="M227" i="14"/>
  <c r="O227" i="20"/>
  <c r="G227" i="20"/>
  <c r="N227" i="20"/>
  <c r="F227" i="20"/>
  <c r="M227" i="20"/>
  <c r="E227" i="20"/>
  <c r="S227" i="20"/>
  <c r="K227" i="20"/>
  <c r="C227" i="20"/>
  <c r="Q227" i="20"/>
  <c r="A227" i="20"/>
  <c r="P227" i="20"/>
  <c r="L227" i="20"/>
  <c r="J227" i="20"/>
  <c r="I227" i="20"/>
  <c r="D227" i="20"/>
  <c r="H227" i="20"/>
  <c r="R227" i="20"/>
  <c r="J230" i="14"/>
  <c r="A231" i="14"/>
  <c r="I231" i="14"/>
  <c r="Q231" i="14"/>
  <c r="H232" i="14"/>
  <c r="P232" i="14"/>
  <c r="F234" i="14"/>
  <c r="N234" i="14"/>
  <c r="E235" i="14"/>
  <c r="M235" i="14"/>
  <c r="L235" i="20"/>
  <c r="D235" i="20"/>
  <c r="S235" i="20"/>
  <c r="K235" i="20"/>
  <c r="C235" i="20"/>
  <c r="Q235" i="20"/>
  <c r="I235" i="20"/>
  <c r="A235" i="20"/>
  <c r="G235" i="20"/>
  <c r="R235" i="20"/>
  <c r="F235" i="20"/>
  <c r="P235" i="20"/>
  <c r="E235" i="20"/>
  <c r="O235" i="20"/>
  <c r="N235" i="20"/>
  <c r="J235" i="20"/>
  <c r="M235" i="20"/>
  <c r="H235" i="20"/>
  <c r="J238" i="14"/>
  <c r="A239" i="14"/>
  <c r="I239" i="14"/>
  <c r="Q239" i="14"/>
  <c r="H240" i="14"/>
  <c r="P240" i="14"/>
  <c r="F242" i="14"/>
  <c r="N242" i="14"/>
  <c r="E243" i="14"/>
  <c r="M243" i="14"/>
  <c r="L243" i="20"/>
  <c r="D243" i="20"/>
  <c r="S243" i="20"/>
  <c r="K243" i="20"/>
  <c r="C243" i="20"/>
  <c r="Q243" i="20"/>
  <c r="I243" i="20"/>
  <c r="A243" i="20"/>
  <c r="H243" i="20"/>
  <c r="G243" i="20"/>
  <c r="R243" i="20"/>
  <c r="F243" i="20"/>
  <c r="P243" i="20"/>
  <c r="E243" i="20"/>
  <c r="O243" i="20"/>
  <c r="M243" i="20"/>
  <c r="N243" i="20"/>
  <c r="J243" i="20"/>
  <c r="J246" i="14"/>
  <c r="A247" i="14"/>
  <c r="I247" i="14"/>
  <c r="Q247" i="14"/>
  <c r="H248" i="14"/>
  <c r="P248" i="14"/>
  <c r="F250" i="14"/>
  <c r="N250" i="14"/>
  <c r="E251" i="14"/>
  <c r="M251" i="14"/>
  <c r="L251" i="20"/>
  <c r="D251" i="20"/>
  <c r="S251" i="20"/>
  <c r="K251" i="20"/>
  <c r="C251" i="20"/>
  <c r="Q251" i="20"/>
  <c r="I251" i="20"/>
  <c r="A251" i="20"/>
  <c r="J251" i="20"/>
  <c r="H251" i="20"/>
  <c r="G251" i="20"/>
  <c r="R251" i="20"/>
  <c r="F251" i="20"/>
  <c r="P251" i="20"/>
  <c r="E251" i="20"/>
  <c r="N251" i="20"/>
  <c r="O251" i="20"/>
  <c r="M251" i="20"/>
  <c r="J254" i="14"/>
  <c r="A255" i="14"/>
  <c r="I255" i="14"/>
  <c r="Q255" i="14"/>
  <c r="H256" i="14"/>
  <c r="P256" i="14"/>
  <c r="F258" i="14"/>
  <c r="N258" i="14"/>
  <c r="E259" i="14"/>
  <c r="M259" i="14"/>
  <c r="L259" i="20"/>
  <c r="D259" i="20"/>
  <c r="S259" i="20"/>
  <c r="K259" i="20"/>
  <c r="C259" i="20"/>
  <c r="Q259" i="20"/>
  <c r="I259" i="20"/>
  <c r="A259" i="20"/>
  <c r="O259" i="20"/>
  <c r="G259" i="20"/>
  <c r="M259" i="20"/>
  <c r="E259" i="20"/>
  <c r="H259" i="20"/>
  <c r="F259" i="20"/>
  <c r="R259" i="20"/>
  <c r="N259" i="20"/>
  <c r="P259" i="20"/>
  <c r="J259" i="20"/>
  <c r="J262" i="14"/>
  <c r="A263" i="14"/>
  <c r="I263" i="14"/>
  <c r="Q263" i="14"/>
  <c r="H264" i="14"/>
  <c r="P264" i="14"/>
  <c r="G265" i="14"/>
  <c r="O265" i="14"/>
  <c r="F266" i="14"/>
  <c r="N266" i="14"/>
  <c r="E267" i="14"/>
  <c r="M267" i="14"/>
  <c r="C269" i="14"/>
  <c r="K269" i="14"/>
  <c r="L267" i="20"/>
  <c r="D267" i="20"/>
  <c r="S267" i="20"/>
  <c r="K267" i="20"/>
  <c r="C267" i="20"/>
  <c r="Q267" i="20"/>
  <c r="I267" i="20"/>
  <c r="A267" i="20"/>
  <c r="O267" i="20"/>
  <c r="G267" i="20"/>
  <c r="M267" i="20"/>
  <c r="E267" i="20"/>
  <c r="F267" i="20"/>
  <c r="R267" i="20"/>
  <c r="P267" i="20"/>
  <c r="J267" i="20"/>
  <c r="N267" i="20"/>
  <c r="H267" i="20"/>
  <c r="J270" i="14"/>
  <c r="A271" i="14"/>
  <c r="I271" i="14"/>
  <c r="Q271" i="14"/>
  <c r="H272" i="14"/>
  <c r="P272" i="14"/>
  <c r="G273" i="14"/>
  <c r="O273" i="14"/>
  <c r="F274" i="14"/>
  <c r="N274" i="14"/>
  <c r="E275" i="14"/>
  <c r="M275" i="14"/>
  <c r="C277" i="14"/>
  <c r="K277" i="14"/>
  <c r="S275" i="20"/>
  <c r="K275" i="20"/>
  <c r="C275" i="20"/>
  <c r="R275" i="20"/>
  <c r="J275" i="20"/>
  <c r="P275" i="20"/>
  <c r="H275" i="20"/>
  <c r="N275" i="20"/>
  <c r="F275" i="20"/>
  <c r="L275" i="20"/>
  <c r="I275" i="20"/>
  <c r="E275" i="20"/>
  <c r="Q275" i="20"/>
  <c r="A275" i="20"/>
  <c r="M275" i="20"/>
  <c r="O275" i="20"/>
  <c r="G275" i="20"/>
  <c r="D275" i="20"/>
  <c r="J278" i="14"/>
  <c r="A279" i="14"/>
  <c r="I279" i="14"/>
  <c r="Q279" i="14"/>
  <c r="H280" i="14"/>
  <c r="P280" i="14"/>
  <c r="G281" i="14"/>
  <c r="O281" i="14"/>
  <c r="F282" i="14"/>
  <c r="N282" i="14"/>
  <c r="E283" i="14"/>
  <c r="M283" i="14"/>
  <c r="C285" i="14"/>
  <c r="K285" i="14"/>
  <c r="S283" i="20"/>
  <c r="K283" i="20"/>
  <c r="C283" i="20"/>
  <c r="R283" i="20"/>
  <c r="J283" i="20"/>
  <c r="P283" i="20"/>
  <c r="H283" i="20"/>
  <c r="N283" i="20"/>
  <c r="F283" i="20"/>
  <c r="D283" i="20"/>
  <c r="Q283" i="20"/>
  <c r="A283" i="20"/>
  <c r="M283" i="20"/>
  <c r="I283" i="20"/>
  <c r="E283" i="20"/>
  <c r="O283" i="20"/>
  <c r="L283" i="20"/>
  <c r="G283" i="20"/>
  <c r="J286" i="14"/>
  <c r="A287" i="14"/>
  <c r="I287" i="14"/>
  <c r="Q287" i="14"/>
  <c r="H288" i="14"/>
  <c r="P288" i="14"/>
  <c r="G289" i="14"/>
  <c r="O289" i="14"/>
  <c r="F290" i="14"/>
  <c r="N290" i="14"/>
  <c r="E291" i="14"/>
  <c r="M291" i="14"/>
  <c r="C293" i="14"/>
  <c r="K293" i="14"/>
  <c r="S291" i="20"/>
  <c r="K291" i="20"/>
  <c r="C291" i="20"/>
  <c r="R291" i="20"/>
  <c r="J291" i="20"/>
  <c r="P291" i="20"/>
  <c r="H291" i="20"/>
  <c r="N291" i="20"/>
  <c r="F291" i="20"/>
  <c r="L291" i="20"/>
  <c r="I291" i="20"/>
  <c r="E291" i="20"/>
  <c r="Q291" i="20"/>
  <c r="A291" i="20"/>
  <c r="M291" i="20"/>
  <c r="G291" i="20"/>
  <c r="D291" i="20"/>
  <c r="O291" i="20"/>
  <c r="J294" i="14"/>
  <c r="A295" i="14"/>
  <c r="I295" i="14"/>
  <c r="Q295" i="14"/>
  <c r="H296" i="14"/>
  <c r="P296" i="14"/>
  <c r="G297" i="14"/>
  <c r="O297" i="14"/>
  <c r="F298" i="14"/>
  <c r="N298" i="14"/>
  <c r="E299" i="14"/>
  <c r="M299" i="14"/>
  <c r="C301" i="14"/>
  <c r="K301" i="14"/>
  <c r="S299" i="20"/>
  <c r="K299" i="20"/>
  <c r="C299" i="20"/>
  <c r="R299" i="20"/>
  <c r="J299" i="20"/>
  <c r="P299" i="20"/>
  <c r="H299" i="20"/>
  <c r="N299" i="20"/>
  <c r="F299" i="20"/>
  <c r="D299" i="20"/>
  <c r="Q299" i="20"/>
  <c r="A299" i="20"/>
  <c r="M299" i="20"/>
  <c r="I299" i="20"/>
  <c r="E299" i="20"/>
  <c r="O299" i="20"/>
  <c r="L299" i="20"/>
  <c r="G299" i="20"/>
  <c r="J302" i="14"/>
  <c r="A303" i="14"/>
  <c r="I303" i="14"/>
  <c r="Q303" i="14"/>
  <c r="H304" i="14"/>
  <c r="P304" i="14"/>
  <c r="G305" i="14"/>
  <c r="O305" i="14"/>
  <c r="F306" i="14"/>
  <c r="N306" i="14"/>
  <c r="E307" i="14"/>
  <c r="M307" i="14"/>
  <c r="C309" i="14"/>
  <c r="K309" i="14"/>
  <c r="S307" i="20"/>
  <c r="K307" i="20"/>
  <c r="C307" i="20"/>
  <c r="R307" i="20"/>
  <c r="J307" i="20"/>
  <c r="P307" i="20"/>
  <c r="H307" i="20"/>
  <c r="N307" i="20"/>
  <c r="F307" i="20"/>
  <c r="L307" i="20"/>
  <c r="D307" i="20"/>
  <c r="Q307" i="20"/>
  <c r="O307" i="20"/>
  <c r="M307" i="20"/>
  <c r="I307" i="20"/>
  <c r="G307" i="20"/>
  <c r="E307" i="20"/>
  <c r="A307" i="20"/>
  <c r="J310" i="14"/>
  <c r="A13" i="15"/>
  <c r="H14" i="15"/>
  <c r="F16" i="15"/>
  <c r="A21" i="15"/>
  <c r="H22" i="15"/>
  <c r="F24" i="15"/>
  <c r="A29" i="15"/>
  <c r="H30" i="15"/>
  <c r="F32" i="15"/>
  <c r="A37" i="15"/>
  <c r="H38" i="15"/>
  <c r="F40" i="15"/>
  <c r="A45" i="15"/>
  <c r="H46" i="15"/>
  <c r="F48" i="15"/>
  <c r="A53" i="15"/>
  <c r="H54" i="15"/>
  <c r="F56" i="15"/>
  <c r="A61" i="15"/>
  <c r="H62" i="15"/>
  <c r="F64" i="15"/>
  <c r="A69" i="15"/>
  <c r="H70" i="15"/>
  <c r="F72" i="15"/>
  <c r="A77" i="15"/>
  <c r="H78" i="15"/>
  <c r="F80" i="15"/>
  <c r="A85" i="15"/>
  <c r="H86" i="15"/>
  <c r="F88" i="15"/>
  <c r="A93" i="15"/>
  <c r="H94" i="15"/>
  <c r="F96" i="15"/>
  <c r="A101" i="15"/>
  <c r="H102" i="15"/>
  <c r="F104" i="15"/>
  <c r="A109" i="15"/>
  <c r="H110" i="15"/>
  <c r="F112" i="15"/>
  <c r="A117" i="15"/>
  <c r="H118" i="15"/>
  <c r="F120" i="15"/>
  <c r="A125" i="15"/>
  <c r="H126" i="15"/>
  <c r="F128" i="15"/>
  <c r="A133" i="15"/>
  <c r="H134" i="15"/>
  <c r="F136" i="15"/>
  <c r="A141" i="15"/>
  <c r="H142" i="15"/>
  <c r="F144" i="15"/>
  <c r="A149" i="15"/>
  <c r="H150" i="15"/>
  <c r="F152" i="15"/>
  <c r="A157" i="15"/>
  <c r="H158" i="15"/>
  <c r="F160" i="15"/>
  <c r="A165" i="15"/>
  <c r="H166" i="15"/>
  <c r="F168" i="15"/>
  <c r="A173" i="15"/>
  <c r="H174" i="15"/>
  <c r="F176" i="15"/>
  <c r="A181" i="15"/>
  <c r="H182" i="15"/>
  <c r="F184" i="15"/>
  <c r="A189" i="15"/>
  <c r="H190" i="15"/>
  <c r="F192" i="15"/>
  <c r="A197" i="15"/>
  <c r="H198" i="15"/>
  <c r="F200" i="15"/>
  <c r="A205" i="15"/>
  <c r="H206" i="15"/>
  <c r="F208" i="15"/>
  <c r="A213" i="15"/>
  <c r="H214" i="15"/>
  <c r="A221" i="15"/>
  <c r="H222" i="15"/>
  <c r="A229" i="15"/>
  <c r="H230" i="15"/>
  <c r="A237" i="15"/>
  <c r="H238" i="15"/>
  <c r="A245" i="15"/>
  <c r="H246" i="15"/>
  <c r="A253" i="15"/>
  <c r="H254" i="15"/>
  <c r="A261" i="15"/>
  <c r="H262" i="15"/>
  <c r="A269" i="15"/>
  <c r="H270" i="15"/>
  <c r="A277" i="15"/>
  <c r="H278" i="15"/>
  <c r="A285" i="15"/>
  <c r="H286" i="15"/>
  <c r="A293" i="15"/>
  <c r="H294" i="15"/>
  <c r="A301" i="15"/>
  <c r="H302" i="15"/>
  <c r="A309" i="15"/>
  <c r="H310" i="15"/>
  <c r="A317" i="15"/>
  <c r="H318" i="15"/>
  <c r="A325" i="15"/>
  <c r="H326" i="15"/>
  <c r="A333" i="15"/>
  <c r="H334" i="15"/>
  <c r="A341" i="15"/>
  <c r="H342" i="15"/>
  <c r="A349" i="15"/>
  <c r="H350" i="15"/>
  <c r="A357" i="15"/>
  <c r="H358" i="15"/>
  <c r="I367" i="15"/>
  <c r="H367" i="15"/>
  <c r="I375" i="15"/>
  <c r="H375" i="15"/>
  <c r="F375" i="15"/>
  <c r="I382" i="15"/>
  <c r="G382" i="15"/>
  <c r="F382" i="15"/>
  <c r="I393" i="15"/>
  <c r="G393" i="15"/>
  <c r="F393" i="15"/>
  <c r="F396" i="15"/>
  <c r="I396" i="15"/>
  <c r="H396" i="15"/>
  <c r="H406" i="15"/>
  <c r="A417" i="15"/>
  <c r="D417" i="15"/>
  <c r="C417" i="15"/>
  <c r="D420" i="15"/>
  <c r="C420" i="15"/>
  <c r="A420" i="15"/>
  <c r="C423" i="15"/>
  <c r="A423" i="15"/>
  <c r="F436" i="15"/>
  <c r="I436" i="15"/>
  <c r="H436" i="15"/>
  <c r="D439" i="15"/>
  <c r="I446" i="15"/>
  <c r="G446" i="15"/>
  <c r="F446" i="15"/>
  <c r="F460" i="15"/>
  <c r="I460" i="15"/>
  <c r="H460" i="15"/>
  <c r="D471" i="15"/>
  <c r="G484" i="15"/>
  <c r="A489" i="15"/>
  <c r="D489" i="15"/>
  <c r="C489" i="15"/>
  <c r="C495" i="15"/>
  <c r="A495" i="15"/>
  <c r="F508" i="15"/>
  <c r="I508" i="15"/>
  <c r="H508" i="15"/>
  <c r="I518" i="15"/>
  <c r="H518" i="15"/>
  <c r="G518" i="15"/>
  <c r="F518" i="15"/>
  <c r="C543" i="15"/>
  <c r="A543" i="15"/>
  <c r="G556" i="15"/>
  <c r="D575" i="15"/>
  <c r="I582" i="15"/>
  <c r="H582" i="15"/>
  <c r="G582" i="15"/>
  <c r="F582" i="15"/>
  <c r="I590" i="15"/>
  <c r="H590" i="15"/>
  <c r="G590" i="15"/>
  <c r="F590" i="15"/>
  <c r="A601" i="15"/>
  <c r="D601" i="15"/>
  <c r="C601" i="15"/>
  <c r="F604" i="15"/>
  <c r="I604" i="15"/>
  <c r="H604" i="15"/>
  <c r="C631" i="15"/>
  <c r="A631" i="15"/>
  <c r="I670" i="15"/>
  <c r="H670" i="15"/>
  <c r="G670" i="15"/>
  <c r="F670" i="15"/>
  <c r="C679" i="15"/>
  <c r="A679" i="15"/>
  <c r="C711" i="15"/>
  <c r="A711" i="15"/>
  <c r="F748" i="15"/>
  <c r="I748" i="15"/>
  <c r="H748" i="15"/>
  <c r="I801" i="15"/>
  <c r="F801" i="15"/>
  <c r="H801" i="15"/>
  <c r="G801" i="15"/>
  <c r="D806" i="15"/>
  <c r="A806" i="15"/>
  <c r="C806" i="15"/>
  <c r="C823" i="15"/>
  <c r="A823" i="15"/>
  <c r="D823" i="15"/>
  <c r="F838" i="15"/>
  <c r="I838" i="15"/>
  <c r="G838" i="15"/>
  <c r="G856" i="15"/>
  <c r="F856" i="15"/>
  <c r="I856" i="15"/>
  <c r="G872" i="15"/>
  <c r="I872" i="15"/>
  <c r="H872" i="15"/>
  <c r="F872" i="15"/>
  <c r="I889" i="15"/>
  <c r="F889" i="15"/>
  <c r="H889" i="15"/>
  <c r="G889" i="15"/>
  <c r="I937" i="15"/>
  <c r="F937" i="15"/>
  <c r="G937" i="15"/>
  <c r="H964" i="15"/>
  <c r="F964" i="15"/>
  <c r="I964" i="15"/>
  <c r="G964" i="15"/>
  <c r="C969" i="15"/>
  <c r="A969" i="15"/>
  <c r="D969" i="15"/>
  <c r="G976" i="15"/>
  <c r="F976" i="15"/>
  <c r="I976" i="15"/>
  <c r="I985" i="15"/>
  <c r="F985" i="15"/>
  <c r="G985" i="15"/>
  <c r="I1003" i="15"/>
  <c r="H1003" i="15"/>
  <c r="G1003" i="15"/>
  <c r="F1003" i="15"/>
  <c r="R108" i="20"/>
  <c r="J108" i="20"/>
  <c r="Q108" i="20"/>
  <c r="I108" i="20"/>
  <c r="A108" i="20"/>
  <c r="P108" i="20"/>
  <c r="H108" i="20"/>
  <c r="O108" i="20"/>
  <c r="G108" i="20"/>
  <c r="N108" i="20"/>
  <c r="F108" i="20"/>
  <c r="L108" i="20"/>
  <c r="D108" i="20"/>
  <c r="M108" i="20"/>
  <c r="K108" i="20"/>
  <c r="E108" i="20"/>
  <c r="C108" i="20"/>
  <c r="S108" i="20"/>
  <c r="J111" i="14"/>
  <c r="R116" i="20"/>
  <c r="J116" i="20"/>
  <c r="Q116" i="20"/>
  <c r="I116" i="20"/>
  <c r="A116" i="20"/>
  <c r="P116" i="20"/>
  <c r="H116" i="20"/>
  <c r="O116" i="20"/>
  <c r="G116" i="20"/>
  <c r="N116" i="20"/>
  <c r="F116" i="20"/>
  <c r="L116" i="20"/>
  <c r="D116" i="20"/>
  <c r="S116" i="20"/>
  <c r="M116" i="20"/>
  <c r="K116" i="20"/>
  <c r="E116" i="20"/>
  <c r="C116" i="20"/>
  <c r="J119" i="14"/>
  <c r="R124" i="20"/>
  <c r="J124" i="20"/>
  <c r="Q124" i="20"/>
  <c r="I124" i="20"/>
  <c r="A124" i="20"/>
  <c r="P124" i="20"/>
  <c r="H124" i="20"/>
  <c r="O124" i="20"/>
  <c r="G124" i="20"/>
  <c r="N124" i="20"/>
  <c r="F124" i="20"/>
  <c r="L124" i="20"/>
  <c r="D124" i="20"/>
  <c r="S124" i="20"/>
  <c r="M124" i="20"/>
  <c r="E124" i="20"/>
  <c r="K124" i="20"/>
  <c r="C124" i="20"/>
  <c r="J127" i="14"/>
  <c r="R132" i="20"/>
  <c r="J132" i="20"/>
  <c r="Q132" i="20"/>
  <c r="I132" i="20"/>
  <c r="A132" i="20"/>
  <c r="P132" i="20"/>
  <c r="H132" i="20"/>
  <c r="O132" i="20"/>
  <c r="G132" i="20"/>
  <c r="N132" i="20"/>
  <c r="F132" i="20"/>
  <c r="L132" i="20"/>
  <c r="D132" i="20"/>
  <c r="E132" i="20"/>
  <c r="C132" i="20"/>
  <c r="M132" i="20"/>
  <c r="S132" i="20"/>
  <c r="K132" i="20"/>
  <c r="J135" i="14"/>
  <c r="R140" i="20"/>
  <c r="J140" i="20"/>
  <c r="Q140" i="20"/>
  <c r="I140" i="20"/>
  <c r="A140" i="20"/>
  <c r="P140" i="20"/>
  <c r="H140" i="20"/>
  <c r="N140" i="20"/>
  <c r="F140" i="20"/>
  <c r="M140" i="20"/>
  <c r="L140" i="20"/>
  <c r="K140" i="20"/>
  <c r="G140" i="20"/>
  <c r="E140" i="20"/>
  <c r="S140" i="20"/>
  <c r="C140" i="20"/>
  <c r="O140" i="20"/>
  <c r="D140" i="20"/>
  <c r="J143" i="14"/>
  <c r="R148" i="20"/>
  <c r="J148" i="20"/>
  <c r="Q148" i="20"/>
  <c r="I148" i="20"/>
  <c r="A148" i="20"/>
  <c r="P148" i="20"/>
  <c r="H148" i="20"/>
  <c r="N148" i="20"/>
  <c r="F148" i="20"/>
  <c r="E148" i="20"/>
  <c r="D148" i="20"/>
  <c r="S148" i="20"/>
  <c r="C148" i="20"/>
  <c r="O148" i="20"/>
  <c r="M148" i="20"/>
  <c r="K148" i="20"/>
  <c r="L148" i="20"/>
  <c r="G148" i="20"/>
  <c r="J151" i="14"/>
  <c r="R156" i="20"/>
  <c r="J156" i="20"/>
  <c r="Q156" i="20"/>
  <c r="I156" i="20"/>
  <c r="A156" i="20"/>
  <c r="P156" i="20"/>
  <c r="H156" i="20"/>
  <c r="N156" i="20"/>
  <c r="F156" i="20"/>
  <c r="M156" i="20"/>
  <c r="L156" i="20"/>
  <c r="K156" i="20"/>
  <c r="G156" i="20"/>
  <c r="E156" i="20"/>
  <c r="S156" i="20"/>
  <c r="C156" i="20"/>
  <c r="D156" i="20"/>
  <c r="O156" i="20"/>
  <c r="J159" i="14"/>
  <c r="A160" i="14"/>
  <c r="I160" i="14"/>
  <c r="Q160" i="14"/>
  <c r="L164" i="20"/>
  <c r="D164" i="20"/>
  <c r="S164" i="20"/>
  <c r="K164" i="20"/>
  <c r="C164" i="20"/>
  <c r="R164" i="20"/>
  <c r="J164" i="20"/>
  <c r="Q164" i="20"/>
  <c r="I164" i="20"/>
  <c r="A164" i="20"/>
  <c r="P164" i="20"/>
  <c r="H164" i="20"/>
  <c r="N164" i="20"/>
  <c r="F164" i="20"/>
  <c r="O164" i="20"/>
  <c r="M164" i="20"/>
  <c r="G164" i="20"/>
  <c r="E164" i="20"/>
  <c r="J167" i="14"/>
  <c r="A168" i="14"/>
  <c r="I168" i="14"/>
  <c r="Q168" i="14"/>
  <c r="F171" i="14"/>
  <c r="N171" i="14"/>
  <c r="L172" i="20"/>
  <c r="D172" i="20"/>
  <c r="S172" i="20"/>
  <c r="K172" i="20"/>
  <c r="C172" i="20"/>
  <c r="R172" i="20"/>
  <c r="J172" i="20"/>
  <c r="Q172" i="20"/>
  <c r="I172" i="20"/>
  <c r="A172" i="20"/>
  <c r="P172" i="20"/>
  <c r="H172" i="20"/>
  <c r="N172" i="20"/>
  <c r="F172" i="20"/>
  <c r="O172" i="20"/>
  <c r="G172" i="20"/>
  <c r="M172" i="20"/>
  <c r="E172" i="20"/>
  <c r="J175" i="14"/>
  <c r="A176" i="14"/>
  <c r="I176" i="14"/>
  <c r="Q176" i="14"/>
  <c r="F179" i="14"/>
  <c r="N179" i="14"/>
  <c r="L180" i="20"/>
  <c r="D180" i="20"/>
  <c r="S180" i="20"/>
  <c r="K180" i="20"/>
  <c r="C180" i="20"/>
  <c r="R180" i="20"/>
  <c r="J180" i="20"/>
  <c r="Q180" i="20"/>
  <c r="I180" i="20"/>
  <c r="A180" i="20"/>
  <c r="P180" i="20"/>
  <c r="H180" i="20"/>
  <c r="N180" i="20"/>
  <c r="F180" i="20"/>
  <c r="G180" i="20"/>
  <c r="E180" i="20"/>
  <c r="O180" i="20"/>
  <c r="M180" i="20"/>
  <c r="J183" i="14"/>
  <c r="A184" i="14"/>
  <c r="I184" i="14"/>
  <c r="Q184" i="14"/>
  <c r="F187" i="14"/>
  <c r="N187" i="14"/>
  <c r="L188" i="20"/>
  <c r="D188" i="20"/>
  <c r="S188" i="20"/>
  <c r="K188" i="20"/>
  <c r="C188" i="20"/>
  <c r="R188" i="20"/>
  <c r="J188" i="20"/>
  <c r="Q188" i="20"/>
  <c r="I188" i="20"/>
  <c r="A188" i="20"/>
  <c r="P188" i="20"/>
  <c r="H188" i="20"/>
  <c r="N188" i="20"/>
  <c r="F188" i="20"/>
  <c r="O188" i="20"/>
  <c r="M188" i="20"/>
  <c r="G188" i="20"/>
  <c r="E188" i="20"/>
  <c r="J191" i="14"/>
  <c r="A192" i="14"/>
  <c r="I192" i="14"/>
  <c r="Q192" i="14"/>
  <c r="F195" i="14"/>
  <c r="N195" i="14"/>
  <c r="R196" i="20"/>
  <c r="J196" i="20"/>
  <c r="Q196" i="20"/>
  <c r="P196" i="20"/>
  <c r="H196" i="20"/>
  <c r="M196" i="20"/>
  <c r="C196" i="20"/>
  <c r="L196" i="20"/>
  <c r="A196" i="20"/>
  <c r="K196" i="20"/>
  <c r="I196" i="20"/>
  <c r="G196" i="20"/>
  <c r="O196" i="20"/>
  <c r="E196" i="20"/>
  <c r="S196" i="20"/>
  <c r="N196" i="20"/>
  <c r="F196" i="20"/>
  <c r="D196" i="20"/>
  <c r="J199" i="14"/>
  <c r="A200" i="14"/>
  <c r="I200" i="14"/>
  <c r="Q200" i="14"/>
  <c r="F203" i="14"/>
  <c r="N203" i="14"/>
  <c r="R204" i="20"/>
  <c r="J204" i="20"/>
  <c r="Q204" i="20"/>
  <c r="I204" i="20"/>
  <c r="A204" i="20"/>
  <c r="P204" i="20"/>
  <c r="H204" i="20"/>
  <c r="N204" i="20"/>
  <c r="F204" i="20"/>
  <c r="D204" i="20"/>
  <c r="S204" i="20"/>
  <c r="C204" i="20"/>
  <c r="O204" i="20"/>
  <c r="M204" i="20"/>
  <c r="L204" i="20"/>
  <c r="G204" i="20"/>
  <c r="K204" i="20"/>
  <c r="E204" i="20"/>
  <c r="J207" i="14"/>
  <c r="A208" i="14"/>
  <c r="I208" i="14"/>
  <c r="Q208" i="14"/>
  <c r="F211" i="14"/>
  <c r="N211" i="14"/>
  <c r="R212" i="20"/>
  <c r="J212" i="20"/>
  <c r="Q212" i="20"/>
  <c r="I212" i="20"/>
  <c r="A212" i="20"/>
  <c r="P212" i="20"/>
  <c r="H212" i="20"/>
  <c r="N212" i="20"/>
  <c r="F212" i="20"/>
  <c r="L212" i="20"/>
  <c r="K212" i="20"/>
  <c r="G212" i="20"/>
  <c r="E212" i="20"/>
  <c r="D212" i="20"/>
  <c r="O212" i="20"/>
  <c r="S212" i="20"/>
  <c r="M212" i="20"/>
  <c r="C212" i="20"/>
  <c r="J215" i="14"/>
  <c r="A216" i="14"/>
  <c r="I216" i="14"/>
  <c r="Q216" i="14"/>
  <c r="F219" i="14"/>
  <c r="N219" i="14"/>
  <c r="L220" i="20"/>
  <c r="D220" i="20"/>
  <c r="K220" i="20"/>
  <c r="S220" i="20"/>
  <c r="J220" i="20"/>
  <c r="A220" i="20"/>
  <c r="R220" i="20"/>
  <c r="I220" i="20"/>
  <c r="P220" i="20"/>
  <c r="G220" i="20"/>
  <c r="N220" i="20"/>
  <c r="M220" i="20"/>
  <c r="H220" i="20"/>
  <c r="F220" i="20"/>
  <c r="E220" i="20"/>
  <c r="Q220" i="20"/>
  <c r="O220" i="20"/>
  <c r="C220" i="20"/>
  <c r="J223" i="14"/>
  <c r="A224" i="14"/>
  <c r="I224" i="14"/>
  <c r="Q224" i="14"/>
  <c r="F227" i="14"/>
  <c r="N227" i="14"/>
  <c r="L228" i="20"/>
  <c r="D228" i="20"/>
  <c r="S228" i="20"/>
  <c r="K228" i="20"/>
  <c r="C228" i="20"/>
  <c r="R228" i="20"/>
  <c r="J228" i="20"/>
  <c r="P228" i="20"/>
  <c r="H228" i="20"/>
  <c r="N228" i="20"/>
  <c r="M228" i="20"/>
  <c r="I228" i="20"/>
  <c r="G228" i="20"/>
  <c r="F228" i="20"/>
  <c r="Q228" i="20"/>
  <c r="A228" i="20"/>
  <c r="E228" i="20"/>
  <c r="O228" i="20"/>
  <c r="J231" i="14"/>
  <c r="A232" i="14"/>
  <c r="I232" i="14"/>
  <c r="Q232" i="14"/>
  <c r="F235" i="14"/>
  <c r="N235" i="14"/>
  <c r="Q236" i="20"/>
  <c r="I236" i="20"/>
  <c r="A236" i="20"/>
  <c r="P236" i="20"/>
  <c r="H236" i="20"/>
  <c r="N236" i="20"/>
  <c r="F236" i="20"/>
  <c r="M236" i="20"/>
  <c r="L236" i="20"/>
  <c r="K236" i="20"/>
  <c r="J236" i="20"/>
  <c r="G236" i="20"/>
  <c r="R236" i="20"/>
  <c r="D236" i="20"/>
  <c r="E236" i="20"/>
  <c r="C236" i="20"/>
  <c r="S236" i="20"/>
  <c r="O236" i="20"/>
  <c r="J239" i="14"/>
  <c r="A240" i="14"/>
  <c r="I240" i="14"/>
  <c r="Q240" i="14"/>
  <c r="F243" i="14"/>
  <c r="N243" i="14"/>
  <c r="Q244" i="20"/>
  <c r="I244" i="20"/>
  <c r="A244" i="20"/>
  <c r="P244" i="20"/>
  <c r="H244" i="20"/>
  <c r="N244" i="20"/>
  <c r="F244" i="20"/>
  <c r="O244" i="20"/>
  <c r="C244" i="20"/>
  <c r="M244" i="20"/>
  <c r="L244" i="20"/>
  <c r="K244" i="20"/>
  <c r="J244" i="20"/>
  <c r="S244" i="20"/>
  <c r="E244" i="20"/>
  <c r="G244" i="20"/>
  <c r="D244" i="20"/>
  <c r="R244" i="20"/>
  <c r="J247" i="14"/>
  <c r="A248" i="14"/>
  <c r="I248" i="14"/>
  <c r="Q248" i="14"/>
  <c r="F251" i="14"/>
  <c r="N251" i="14"/>
  <c r="Q252" i="20"/>
  <c r="I252" i="20"/>
  <c r="A252" i="20"/>
  <c r="P252" i="20"/>
  <c r="H252" i="20"/>
  <c r="N252" i="20"/>
  <c r="F252" i="20"/>
  <c r="R252" i="20"/>
  <c r="D252" i="20"/>
  <c r="O252" i="20"/>
  <c r="C252" i="20"/>
  <c r="M252" i="20"/>
  <c r="L252" i="20"/>
  <c r="K252" i="20"/>
  <c r="G252" i="20"/>
  <c r="J252" i="20"/>
  <c r="E252" i="20"/>
  <c r="S252" i="20"/>
  <c r="J255" i="14"/>
  <c r="A256" i="14"/>
  <c r="I256" i="14"/>
  <c r="Q256" i="14"/>
  <c r="F259" i="14"/>
  <c r="N259" i="14"/>
  <c r="Q260" i="20"/>
  <c r="I260" i="20"/>
  <c r="A260" i="20"/>
  <c r="P260" i="20"/>
  <c r="H260" i="20"/>
  <c r="N260" i="20"/>
  <c r="F260" i="20"/>
  <c r="L260" i="20"/>
  <c r="D260" i="20"/>
  <c r="R260" i="20"/>
  <c r="J260" i="20"/>
  <c r="K260" i="20"/>
  <c r="G260" i="20"/>
  <c r="E260" i="20"/>
  <c r="C260" i="20"/>
  <c r="O260" i="20"/>
  <c r="S260" i="20"/>
  <c r="M260" i="20"/>
  <c r="J263" i="14"/>
  <c r="A264" i="14"/>
  <c r="I264" i="14"/>
  <c r="Q264" i="14"/>
  <c r="F267" i="14"/>
  <c r="N267" i="14"/>
  <c r="Q268" i="20"/>
  <c r="I268" i="20"/>
  <c r="A268" i="20"/>
  <c r="P268" i="20"/>
  <c r="H268" i="20"/>
  <c r="N268" i="20"/>
  <c r="F268" i="20"/>
  <c r="L268" i="20"/>
  <c r="D268" i="20"/>
  <c r="R268" i="20"/>
  <c r="J268" i="20"/>
  <c r="G268" i="20"/>
  <c r="E268" i="20"/>
  <c r="C268" i="20"/>
  <c r="S268" i="20"/>
  <c r="M268" i="20"/>
  <c r="O268" i="20"/>
  <c r="K268" i="20"/>
  <c r="J271" i="14"/>
  <c r="A272" i="14"/>
  <c r="I272" i="14"/>
  <c r="Q272" i="14"/>
  <c r="F275" i="14"/>
  <c r="N275" i="14"/>
  <c r="P276" i="20"/>
  <c r="H276" i="20"/>
  <c r="O276" i="20"/>
  <c r="G276" i="20"/>
  <c r="M276" i="20"/>
  <c r="E276" i="20"/>
  <c r="S276" i="20"/>
  <c r="K276" i="20"/>
  <c r="C276" i="20"/>
  <c r="I276" i="20"/>
  <c r="F276" i="20"/>
  <c r="R276" i="20"/>
  <c r="N276" i="20"/>
  <c r="J276" i="20"/>
  <c r="Q276" i="20"/>
  <c r="D276" i="20"/>
  <c r="L276" i="20"/>
  <c r="A276" i="20"/>
  <c r="J279" i="14"/>
  <c r="A280" i="14"/>
  <c r="I280" i="14"/>
  <c r="Q280" i="14"/>
  <c r="F283" i="14"/>
  <c r="N283" i="14"/>
  <c r="P284" i="20"/>
  <c r="H284" i="20"/>
  <c r="O284" i="20"/>
  <c r="G284" i="20"/>
  <c r="M284" i="20"/>
  <c r="E284" i="20"/>
  <c r="S284" i="20"/>
  <c r="K284" i="20"/>
  <c r="C284" i="20"/>
  <c r="Q284" i="20"/>
  <c r="A284" i="20"/>
  <c r="N284" i="20"/>
  <c r="J284" i="20"/>
  <c r="F284" i="20"/>
  <c r="R284" i="20"/>
  <c r="L284" i="20"/>
  <c r="I284" i="20"/>
  <c r="D284" i="20"/>
  <c r="J287" i="14"/>
  <c r="A288" i="14"/>
  <c r="I288" i="14"/>
  <c r="Q288" i="14"/>
  <c r="F291" i="14"/>
  <c r="N291" i="14"/>
  <c r="P292" i="20"/>
  <c r="H292" i="20"/>
  <c r="O292" i="20"/>
  <c r="G292" i="20"/>
  <c r="M292" i="20"/>
  <c r="E292" i="20"/>
  <c r="S292" i="20"/>
  <c r="K292" i="20"/>
  <c r="C292" i="20"/>
  <c r="I292" i="20"/>
  <c r="F292" i="20"/>
  <c r="R292" i="20"/>
  <c r="N292" i="20"/>
  <c r="J292" i="20"/>
  <c r="Q292" i="20"/>
  <c r="L292" i="20"/>
  <c r="A292" i="20"/>
  <c r="D292" i="20"/>
  <c r="J295" i="14"/>
  <c r="A296" i="14"/>
  <c r="I296" i="14"/>
  <c r="Q296" i="14"/>
  <c r="F299" i="14"/>
  <c r="N299" i="14"/>
  <c r="P300" i="20"/>
  <c r="H300" i="20"/>
  <c r="O300" i="20"/>
  <c r="G300" i="20"/>
  <c r="M300" i="20"/>
  <c r="E300" i="20"/>
  <c r="S300" i="20"/>
  <c r="K300" i="20"/>
  <c r="C300" i="20"/>
  <c r="Q300" i="20"/>
  <c r="I300" i="20"/>
  <c r="A300" i="20"/>
  <c r="N300" i="20"/>
  <c r="J300" i="20"/>
  <c r="D300" i="20"/>
  <c r="L300" i="20"/>
  <c r="F300" i="20"/>
  <c r="R300" i="20"/>
  <c r="J303" i="14"/>
  <c r="A304" i="14"/>
  <c r="I304" i="14"/>
  <c r="Q304" i="14"/>
  <c r="F307" i="14"/>
  <c r="N307" i="14"/>
  <c r="A14" i="15"/>
  <c r="A22" i="15"/>
  <c r="A30" i="15"/>
  <c r="A38" i="15"/>
  <c r="A46" i="15"/>
  <c r="A54" i="15"/>
  <c r="A62" i="15"/>
  <c r="A70" i="15"/>
  <c r="A78" i="15"/>
  <c r="A86" i="15"/>
  <c r="A94" i="15"/>
  <c r="A102" i="15"/>
  <c r="A110" i="15"/>
  <c r="A118" i="15"/>
  <c r="A126" i="15"/>
  <c r="A134" i="15"/>
  <c r="A142" i="15"/>
  <c r="A150" i="15"/>
  <c r="A158" i="15"/>
  <c r="A166" i="15"/>
  <c r="A174" i="15"/>
  <c r="A182" i="15"/>
  <c r="A190" i="15"/>
  <c r="A198" i="15"/>
  <c r="A206" i="15"/>
  <c r="A214" i="15"/>
  <c r="A222" i="15"/>
  <c r="A230" i="15"/>
  <c r="A238" i="15"/>
  <c r="A246" i="15"/>
  <c r="A254" i="15"/>
  <c r="A262" i="15"/>
  <c r="A270" i="15"/>
  <c r="A278" i="15"/>
  <c r="A286" i="15"/>
  <c r="A294" i="15"/>
  <c r="A302" i="15"/>
  <c r="A310" i="15"/>
  <c r="A318" i="15"/>
  <c r="A326" i="15"/>
  <c r="A334" i="15"/>
  <c r="F337" i="15"/>
  <c r="A342" i="15"/>
  <c r="F345" i="15"/>
  <c r="A350" i="15"/>
  <c r="A358" i="15"/>
  <c r="A377" i="15"/>
  <c r="D377" i="15"/>
  <c r="A401" i="15"/>
  <c r="D401" i="15"/>
  <c r="C401" i="15"/>
  <c r="D404" i="15"/>
  <c r="C404" i="15"/>
  <c r="A404" i="15"/>
  <c r="C407" i="15"/>
  <c r="A407" i="15"/>
  <c r="I417" i="15"/>
  <c r="G417" i="15"/>
  <c r="F417" i="15"/>
  <c r="F420" i="15"/>
  <c r="I420" i="15"/>
  <c r="H420" i="15"/>
  <c r="D423" i="15"/>
  <c r="I430" i="15"/>
  <c r="G430" i="15"/>
  <c r="F430" i="15"/>
  <c r="G436" i="15"/>
  <c r="H446" i="15"/>
  <c r="G460" i="15"/>
  <c r="A465" i="15"/>
  <c r="D465" i="15"/>
  <c r="C465" i="15"/>
  <c r="I478" i="15"/>
  <c r="H478" i="15"/>
  <c r="G478" i="15"/>
  <c r="F478" i="15"/>
  <c r="D495" i="15"/>
  <c r="G508" i="15"/>
  <c r="A513" i="15"/>
  <c r="D513" i="15"/>
  <c r="C513" i="15"/>
  <c r="C519" i="15"/>
  <c r="A519" i="15"/>
  <c r="F532" i="15"/>
  <c r="I532" i="15"/>
  <c r="H532" i="15"/>
  <c r="A537" i="15"/>
  <c r="D537" i="15"/>
  <c r="C537" i="15"/>
  <c r="D543" i="15"/>
  <c r="F564" i="15"/>
  <c r="I564" i="15"/>
  <c r="H564" i="15"/>
  <c r="A569" i="15"/>
  <c r="D569" i="15"/>
  <c r="C569" i="15"/>
  <c r="C583" i="15"/>
  <c r="A583" i="15"/>
  <c r="C591" i="15"/>
  <c r="A591" i="15"/>
  <c r="G604" i="15"/>
  <c r="I622" i="15"/>
  <c r="H622" i="15"/>
  <c r="G622" i="15"/>
  <c r="F622" i="15"/>
  <c r="D631" i="15"/>
  <c r="A633" i="15"/>
  <c r="D633" i="15"/>
  <c r="C633" i="15"/>
  <c r="F636" i="15"/>
  <c r="I636" i="15"/>
  <c r="H636" i="15"/>
  <c r="I662" i="15"/>
  <c r="H662" i="15"/>
  <c r="G662" i="15"/>
  <c r="F662" i="15"/>
  <c r="C671" i="15"/>
  <c r="A671" i="15"/>
  <c r="D679" i="15"/>
  <c r="A681" i="15"/>
  <c r="D681" i="15"/>
  <c r="C681" i="15"/>
  <c r="F684" i="15"/>
  <c r="I684" i="15"/>
  <c r="H684" i="15"/>
  <c r="I702" i="15"/>
  <c r="H702" i="15"/>
  <c r="G702" i="15"/>
  <c r="F702" i="15"/>
  <c r="D711" i="15"/>
  <c r="A713" i="15"/>
  <c r="D713" i="15"/>
  <c r="C713" i="15"/>
  <c r="F716" i="15"/>
  <c r="I716" i="15"/>
  <c r="H716" i="15"/>
  <c r="I734" i="15"/>
  <c r="H734" i="15"/>
  <c r="G734" i="15"/>
  <c r="F734" i="15"/>
  <c r="G748" i="15"/>
  <c r="G771" i="15"/>
  <c r="F771" i="15"/>
  <c r="I771" i="15"/>
  <c r="H838" i="15"/>
  <c r="C852" i="15"/>
  <c r="A852" i="15"/>
  <c r="D852" i="15"/>
  <c r="H856" i="15"/>
  <c r="C900" i="15"/>
  <c r="D900" i="15"/>
  <c r="A900" i="15"/>
  <c r="H937" i="15"/>
  <c r="A947" i="15"/>
  <c r="D947" i="15"/>
  <c r="C947" i="15"/>
  <c r="H976" i="15"/>
  <c r="H985" i="15"/>
  <c r="I170" i="16"/>
  <c r="A170" i="16"/>
  <c r="H170" i="16"/>
  <c r="G170" i="16"/>
  <c r="N170" i="16"/>
  <c r="F170" i="16"/>
  <c r="L170" i="16"/>
  <c r="D170" i="16"/>
  <c r="C170" i="16"/>
  <c r="M170" i="16"/>
  <c r="K170" i="16"/>
  <c r="J170" i="16"/>
  <c r="O157" i="20"/>
  <c r="G157" i="20"/>
  <c r="N157" i="20"/>
  <c r="F157" i="20"/>
  <c r="M157" i="20"/>
  <c r="E157" i="20"/>
  <c r="S157" i="20"/>
  <c r="K157" i="20"/>
  <c r="C157" i="20"/>
  <c r="J157" i="20"/>
  <c r="I157" i="20"/>
  <c r="H157" i="20"/>
  <c r="D157" i="20"/>
  <c r="R157" i="20"/>
  <c r="P157" i="20"/>
  <c r="Q157" i="20"/>
  <c r="L157" i="20"/>
  <c r="A157" i="20"/>
  <c r="J160" i="14"/>
  <c r="Q165" i="20"/>
  <c r="I165" i="20"/>
  <c r="A165" i="20"/>
  <c r="P165" i="20"/>
  <c r="H165" i="20"/>
  <c r="O165" i="20"/>
  <c r="G165" i="20"/>
  <c r="N165" i="20"/>
  <c r="F165" i="20"/>
  <c r="M165" i="20"/>
  <c r="E165" i="20"/>
  <c r="S165" i="20"/>
  <c r="K165" i="20"/>
  <c r="C165" i="20"/>
  <c r="D165" i="20"/>
  <c r="L165" i="20"/>
  <c r="R165" i="20"/>
  <c r="J165" i="20"/>
  <c r="J168" i="14"/>
  <c r="G171" i="14"/>
  <c r="O171" i="14"/>
  <c r="Q173" i="20"/>
  <c r="I173" i="20"/>
  <c r="A173" i="20"/>
  <c r="P173" i="20"/>
  <c r="H173" i="20"/>
  <c r="O173" i="20"/>
  <c r="G173" i="20"/>
  <c r="N173" i="20"/>
  <c r="F173" i="20"/>
  <c r="M173" i="20"/>
  <c r="E173" i="20"/>
  <c r="S173" i="20"/>
  <c r="K173" i="20"/>
  <c r="C173" i="20"/>
  <c r="L173" i="20"/>
  <c r="J173" i="20"/>
  <c r="D173" i="20"/>
  <c r="R173" i="20"/>
  <c r="J176" i="14"/>
  <c r="G179" i="14"/>
  <c r="O179" i="14"/>
  <c r="Q181" i="20"/>
  <c r="I181" i="20"/>
  <c r="A181" i="20"/>
  <c r="P181" i="20"/>
  <c r="H181" i="20"/>
  <c r="O181" i="20"/>
  <c r="G181" i="20"/>
  <c r="N181" i="20"/>
  <c r="F181" i="20"/>
  <c r="M181" i="20"/>
  <c r="E181" i="20"/>
  <c r="S181" i="20"/>
  <c r="K181" i="20"/>
  <c r="C181" i="20"/>
  <c r="R181" i="20"/>
  <c r="L181" i="20"/>
  <c r="J181" i="20"/>
  <c r="D181" i="20"/>
  <c r="J184" i="14"/>
  <c r="G187" i="14"/>
  <c r="O187" i="14"/>
  <c r="Q189" i="20"/>
  <c r="I189" i="20"/>
  <c r="A189" i="20"/>
  <c r="P189" i="20"/>
  <c r="H189" i="20"/>
  <c r="O189" i="20"/>
  <c r="G189" i="20"/>
  <c r="N189" i="20"/>
  <c r="F189" i="20"/>
  <c r="M189" i="20"/>
  <c r="E189" i="20"/>
  <c r="S189" i="20"/>
  <c r="K189" i="20"/>
  <c r="C189" i="20"/>
  <c r="R189" i="20"/>
  <c r="L189" i="20"/>
  <c r="D189" i="20"/>
  <c r="J189" i="20"/>
  <c r="J192" i="14"/>
  <c r="G195" i="14"/>
  <c r="O195" i="14"/>
  <c r="O197" i="20"/>
  <c r="G197" i="20"/>
  <c r="N197" i="20"/>
  <c r="F197" i="20"/>
  <c r="M197" i="20"/>
  <c r="E197" i="20"/>
  <c r="S197" i="20"/>
  <c r="K197" i="20"/>
  <c r="C197" i="20"/>
  <c r="I197" i="20"/>
  <c r="H197" i="20"/>
  <c r="D197" i="20"/>
  <c r="R197" i="20"/>
  <c r="Q197" i="20"/>
  <c r="A197" i="20"/>
  <c r="L197" i="20"/>
  <c r="P197" i="20"/>
  <c r="J197" i="20"/>
  <c r="J200" i="14"/>
  <c r="G203" i="14"/>
  <c r="O203" i="14"/>
  <c r="O205" i="20"/>
  <c r="G205" i="20"/>
  <c r="N205" i="20"/>
  <c r="F205" i="20"/>
  <c r="M205" i="20"/>
  <c r="E205" i="20"/>
  <c r="S205" i="20"/>
  <c r="K205" i="20"/>
  <c r="C205" i="20"/>
  <c r="Q205" i="20"/>
  <c r="A205" i="20"/>
  <c r="P205" i="20"/>
  <c r="L205" i="20"/>
  <c r="J205" i="20"/>
  <c r="I205" i="20"/>
  <c r="D205" i="20"/>
  <c r="R205" i="20"/>
  <c r="H205" i="20"/>
  <c r="J208" i="14"/>
  <c r="G211" i="14"/>
  <c r="O211" i="14"/>
  <c r="O213" i="20"/>
  <c r="G213" i="20"/>
  <c r="N213" i="20"/>
  <c r="F213" i="20"/>
  <c r="M213" i="20"/>
  <c r="E213" i="20"/>
  <c r="S213" i="20"/>
  <c r="K213" i="20"/>
  <c r="C213" i="20"/>
  <c r="I213" i="20"/>
  <c r="H213" i="20"/>
  <c r="D213" i="20"/>
  <c r="R213" i="20"/>
  <c r="Q213" i="20"/>
  <c r="A213" i="20"/>
  <c r="L213" i="20"/>
  <c r="P213" i="20"/>
  <c r="J213" i="20"/>
  <c r="J216" i="14"/>
  <c r="G219" i="14"/>
  <c r="O219" i="14"/>
  <c r="Q221" i="20"/>
  <c r="I221" i="20"/>
  <c r="A221" i="20"/>
  <c r="P221" i="20"/>
  <c r="K221" i="20"/>
  <c r="J221" i="20"/>
  <c r="S221" i="20"/>
  <c r="H221" i="20"/>
  <c r="O221" i="20"/>
  <c r="F221" i="20"/>
  <c r="M221" i="20"/>
  <c r="L221" i="20"/>
  <c r="G221" i="20"/>
  <c r="E221" i="20"/>
  <c r="D221" i="20"/>
  <c r="R221" i="20"/>
  <c r="C221" i="20"/>
  <c r="N221" i="20"/>
  <c r="J224" i="14"/>
  <c r="G227" i="14"/>
  <c r="O227" i="14"/>
  <c r="Q229" i="20"/>
  <c r="I229" i="20"/>
  <c r="A229" i="20"/>
  <c r="P229" i="20"/>
  <c r="H229" i="20"/>
  <c r="O229" i="20"/>
  <c r="G229" i="20"/>
  <c r="M229" i="20"/>
  <c r="E229" i="20"/>
  <c r="K229" i="20"/>
  <c r="J229" i="20"/>
  <c r="F229" i="20"/>
  <c r="D229" i="20"/>
  <c r="S229" i="20"/>
  <c r="C229" i="20"/>
  <c r="N229" i="20"/>
  <c r="R229" i="20"/>
  <c r="L229" i="20"/>
  <c r="J232" i="14"/>
  <c r="G235" i="14"/>
  <c r="O235" i="14"/>
  <c r="N237" i="20"/>
  <c r="F237" i="20"/>
  <c r="M237" i="20"/>
  <c r="E237" i="20"/>
  <c r="S237" i="20"/>
  <c r="K237" i="20"/>
  <c r="C237" i="20"/>
  <c r="H237" i="20"/>
  <c r="R237" i="20"/>
  <c r="G237" i="20"/>
  <c r="Q237" i="20"/>
  <c r="D237" i="20"/>
  <c r="P237" i="20"/>
  <c r="O237" i="20"/>
  <c r="A237" i="20"/>
  <c r="J237" i="20"/>
  <c r="L237" i="20"/>
  <c r="I237" i="20"/>
  <c r="J240" i="14"/>
  <c r="G243" i="14"/>
  <c r="O243" i="14"/>
  <c r="N245" i="20"/>
  <c r="F245" i="20"/>
  <c r="M245" i="20"/>
  <c r="E245" i="20"/>
  <c r="S245" i="20"/>
  <c r="K245" i="20"/>
  <c r="C245" i="20"/>
  <c r="I245" i="20"/>
  <c r="H245" i="20"/>
  <c r="R245" i="20"/>
  <c r="G245" i="20"/>
  <c r="Q245" i="20"/>
  <c r="D245" i="20"/>
  <c r="P245" i="20"/>
  <c r="L245" i="20"/>
  <c r="O245" i="20"/>
  <c r="A245" i="20"/>
  <c r="J245" i="20"/>
  <c r="J248" i="14"/>
  <c r="G251" i="14"/>
  <c r="O251" i="14"/>
  <c r="N253" i="20"/>
  <c r="F253" i="20"/>
  <c r="M253" i="20"/>
  <c r="E253" i="20"/>
  <c r="S253" i="20"/>
  <c r="K253" i="20"/>
  <c r="C253" i="20"/>
  <c r="Q253" i="20"/>
  <c r="I253" i="20"/>
  <c r="O253" i="20"/>
  <c r="G253" i="20"/>
  <c r="P253" i="20"/>
  <c r="L253" i="20"/>
  <c r="J253" i="20"/>
  <c r="H253" i="20"/>
  <c r="D253" i="20"/>
  <c r="A253" i="20"/>
  <c r="R253" i="20"/>
  <c r="J256" i="14"/>
  <c r="G259" i="14"/>
  <c r="O259" i="14"/>
  <c r="N261" i="20"/>
  <c r="F261" i="20"/>
  <c r="M261" i="20"/>
  <c r="E261" i="20"/>
  <c r="S261" i="20"/>
  <c r="K261" i="20"/>
  <c r="C261" i="20"/>
  <c r="Q261" i="20"/>
  <c r="I261" i="20"/>
  <c r="A261" i="20"/>
  <c r="O261" i="20"/>
  <c r="G261" i="20"/>
  <c r="L261" i="20"/>
  <c r="J261" i="20"/>
  <c r="H261" i="20"/>
  <c r="D261" i="20"/>
  <c r="R261" i="20"/>
  <c r="P261" i="20"/>
  <c r="J264" i="14"/>
  <c r="G267" i="14"/>
  <c r="O267" i="14"/>
  <c r="N269" i="20"/>
  <c r="F269" i="20"/>
  <c r="M269" i="20"/>
  <c r="E269" i="20"/>
  <c r="S269" i="20"/>
  <c r="K269" i="20"/>
  <c r="C269" i="20"/>
  <c r="Q269" i="20"/>
  <c r="I269" i="20"/>
  <c r="A269" i="20"/>
  <c r="O269" i="20"/>
  <c r="G269" i="20"/>
  <c r="J269" i="20"/>
  <c r="H269" i="20"/>
  <c r="D269" i="20"/>
  <c r="P269" i="20"/>
  <c r="R269" i="20"/>
  <c r="L269" i="20"/>
  <c r="J272" i="14"/>
  <c r="G275" i="14"/>
  <c r="O275" i="14"/>
  <c r="M277" i="20"/>
  <c r="E277" i="20"/>
  <c r="L277" i="20"/>
  <c r="D277" i="20"/>
  <c r="R277" i="20"/>
  <c r="J277" i="20"/>
  <c r="P277" i="20"/>
  <c r="H277" i="20"/>
  <c r="F277" i="20"/>
  <c r="S277" i="20"/>
  <c r="C277" i="20"/>
  <c r="O277" i="20"/>
  <c r="K277" i="20"/>
  <c r="G277" i="20"/>
  <c r="Q277" i="20"/>
  <c r="N277" i="20"/>
  <c r="I277" i="20"/>
  <c r="A277" i="20"/>
  <c r="J280" i="14"/>
  <c r="G283" i="14"/>
  <c r="O283" i="14"/>
  <c r="M285" i="20"/>
  <c r="E285" i="20"/>
  <c r="L285" i="20"/>
  <c r="D285" i="20"/>
  <c r="R285" i="20"/>
  <c r="J285" i="20"/>
  <c r="P285" i="20"/>
  <c r="H285" i="20"/>
  <c r="N285" i="20"/>
  <c r="K285" i="20"/>
  <c r="G285" i="20"/>
  <c r="S285" i="20"/>
  <c r="C285" i="20"/>
  <c r="O285" i="20"/>
  <c r="Q285" i="20"/>
  <c r="F285" i="20"/>
  <c r="I285" i="20"/>
  <c r="A285" i="20"/>
  <c r="J288" i="14"/>
  <c r="G291" i="14"/>
  <c r="O291" i="14"/>
  <c r="M293" i="20"/>
  <c r="E293" i="20"/>
  <c r="L293" i="20"/>
  <c r="D293" i="20"/>
  <c r="R293" i="20"/>
  <c r="J293" i="20"/>
  <c r="P293" i="20"/>
  <c r="H293" i="20"/>
  <c r="F293" i="20"/>
  <c r="S293" i="20"/>
  <c r="C293" i="20"/>
  <c r="O293" i="20"/>
  <c r="K293" i="20"/>
  <c r="G293" i="20"/>
  <c r="N293" i="20"/>
  <c r="I293" i="20"/>
  <c r="A293" i="20"/>
  <c r="Q293" i="20"/>
  <c r="J296" i="14"/>
  <c r="G299" i="14"/>
  <c r="O299" i="14"/>
  <c r="M301" i="20"/>
  <c r="E301" i="20"/>
  <c r="L301" i="20"/>
  <c r="D301" i="20"/>
  <c r="R301" i="20"/>
  <c r="J301" i="20"/>
  <c r="P301" i="20"/>
  <c r="H301" i="20"/>
  <c r="N301" i="20"/>
  <c r="F301" i="20"/>
  <c r="C301" i="20"/>
  <c r="A301" i="20"/>
  <c r="Q301" i="20"/>
  <c r="K301" i="20"/>
  <c r="G301" i="20"/>
  <c r="S301" i="20"/>
  <c r="I301" i="20"/>
  <c r="O301" i="20"/>
  <c r="J304" i="14"/>
  <c r="G307" i="14"/>
  <c r="O307" i="14"/>
  <c r="A369" i="15"/>
  <c r="D369" i="15"/>
  <c r="D380" i="15"/>
  <c r="C380" i="15"/>
  <c r="A380" i="15"/>
  <c r="C383" i="15"/>
  <c r="A383" i="15"/>
  <c r="I390" i="15"/>
  <c r="G390" i="15"/>
  <c r="F390" i="15"/>
  <c r="I401" i="15"/>
  <c r="G401" i="15"/>
  <c r="F401" i="15"/>
  <c r="F404" i="15"/>
  <c r="I404" i="15"/>
  <c r="H404" i="15"/>
  <c r="A441" i="15"/>
  <c r="D441" i="15"/>
  <c r="C441" i="15"/>
  <c r="D444" i="15"/>
  <c r="C444" i="15"/>
  <c r="A444" i="15"/>
  <c r="C447" i="15"/>
  <c r="A447" i="15"/>
  <c r="F468" i="15"/>
  <c r="I468" i="15"/>
  <c r="H468" i="15"/>
  <c r="A473" i="15"/>
  <c r="D473" i="15"/>
  <c r="C473" i="15"/>
  <c r="C479" i="15"/>
  <c r="A479" i="15"/>
  <c r="F492" i="15"/>
  <c r="I492" i="15"/>
  <c r="H492" i="15"/>
  <c r="I502" i="15"/>
  <c r="H502" i="15"/>
  <c r="G502" i="15"/>
  <c r="F502" i="15"/>
  <c r="F540" i="15"/>
  <c r="I540" i="15"/>
  <c r="H540" i="15"/>
  <c r="I550" i="15"/>
  <c r="H550" i="15"/>
  <c r="G550" i="15"/>
  <c r="F550" i="15"/>
  <c r="F572" i="15"/>
  <c r="I572" i="15"/>
  <c r="H572" i="15"/>
  <c r="A577" i="15"/>
  <c r="D577" i="15"/>
  <c r="C577" i="15"/>
  <c r="A593" i="15"/>
  <c r="D593" i="15"/>
  <c r="C593" i="15"/>
  <c r="F596" i="15"/>
  <c r="I596" i="15"/>
  <c r="H596" i="15"/>
  <c r="C623" i="15"/>
  <c r="A623" i="15"/>
  <c r="I654" i="15"/>
  <c r="H654" i="15"/>
  <c r="G654" i="15"/>
  <c r="F654" i="15"/>
  <c r="C663" i="15"/>
  <c r="A663" i="15"/>
  <c r="A673" i="15"/>
  <c r="D673" i="15"/>
  <c r="C673" i="15"/>
  <c r="C703" i="15"/>
  <c r="A703" i="15"/>
  <c r="C735" i="15"/>
  <c r="A735" i="15"/>
  <c r="I742" i="15"/>
  <c r="H742" i="15"/>
  <c r="G742" i="15"/>
  <c r="F742" i="15"/>
  <c r="D779" i="15"/>
  <c r="C779" i="15"/>
  <c r="A779" i="15"/>
  <c r="I803" i="15"/>
  <c r="G803" i="15"/>
  <c r="F803" i="15"/>
  <c r="C807" i="15"/>
  <c r="D807" i="15"/>
  <c r="A807" i="15"/>
  <c r="H820" i="15"/>
  <c r="F820" i="15"/>
  <c r="G820" i="15"/>
  <c r="C825" i="15"/>
  <c r="A825" i="15"/>
  <c r="D825" i="15"/>
  <c r="A835" i="15"/>
  <c r="D835" i="15"/>
  <c r="C835" i="15"/>
  <c r="I873" i="15"/>
  <c r="F873" i="15"/>
  <c r="G873" i="15"/>
  <c r="H900" i="15"/>
  <c r="F900" i="15"/>
  <c r="I900" i="15"/>
  <c r="G900" i="15"/>
  <c r="C905" i="15"/>
  <c r="A905" i="15"/>
  <c r="D905" i="15"/>
  <c r="D918" i="15"/>
  <c r="A918" i="15"/>
  <c r="C918" i="15"/>
  <c r="I947" i="15"/>
  <c r="G947" i="15"/>
  <c r="H947" i="15"/>
  <c r="F947" i="15"/>
  <c r="E170" i="16"/>
  <c r="I198" i="16"/>
  <c r="A198" i="16"/>
  <c r="H198" i="16"/>
  <c r="G198" i="16"/>
  <c r="N198" i="16"/>
  <c r="F198" i="16"/>
  <c r="L198" i="16"/>
  <c r="D198" i="16"/>
  <c r="M198" i="16"/>
  <c r="K198" i="16"/>
  <c r="J198" i="16"/>
  <c r="E198" i="16"/>
  <c r="C198" i="16"/>
  <c r="L70" i="20"/>
  <c r="D70" i="20"/>
  <c r="S70" i="20"/>
  <c r="K70" i="20"/>
  <c r="C70" i="20"/>
  <c r="R70" i="20"/>
  <c r="J70" i="20"/>
  <c r="Q70" i="20"/>
  <c r="I70" i="20"/>
  <c r="A70" i="20"/>
  <c r="P70" i="20"/>
  <c r="H70" i="20"/>
  <c r="N70" i="20"/>
  <c r="F70" i="20"/>
  <c r="O70" i="20"/>
  <c r="M70" i="20"/>
  <c r="G70" i="20"/>
  <c r="E70" i="20"/>
  <c r="J73" i="14"/>
  <c r="L78" i="20"/>
  <c r="D78" i="20"/>
  <c r="S78" i="20"/>
  <c r="K78" i="20"/>
  <c r="C78" i="20"/>
  <c r="R78" i="20"/>
  <c r="J78" i="20"/>
  <c r="Q78" i="20"/>
  <c r="I78" i="20"/>
  <c r="A78" i="20"/>
  <c r="P78" i="20"/>
  <c r="H78" i="20"/>
  <c r="N78" i="20"/>
  <c r="F78" i="20"/>
  <c r="O78" i="20"/>
  <c r="G78" i="20"/>
  <c r="M78" i="20"/>
  <c r="E78" i="20"/>
  <c r="J81" i="14"/>
  <c r="L86" i="20"/>
  <c r="D86" i="20"/>
  <c r="S86" i="20"/>
  <c r="K86" i="20"/>
  <c r="C86" i="20"/>
  <c r="R86" i="20"/>
  <c r="J86" i="20"/>
  <c r="Q86" i="20"/>
  <c r="I86" i="20"/>
  <c r="A86" i="20"/>
  <c r="P86" i="20"/>
  <c r="H86" i="20"/>
  <c r="N86" i="20"/>
  <c r="F86" i="20"/>
  <c r="G86" i="20"/>
  <c r="E86" i="20"/>
  <c r="O86" i="20"/>
  <c r="M86" i="20"/>
  <c r="J89" i="14"/>
  <c r="L94" i="20"/>
  <c r="D94" i="20"/>
  <c r="R94" i="20"/>
  <c r="K94" i="20"/>
  <c r="J94" i="20"/>
  <c r="A94" i="20"/>
  <c r="S94" i="20"/>
  <c r="I94" i="20"/>
  <c r="Q94" i="20"/>
  <c r="H94" i="20"/>
  <c r="P94" i="20"/>
  <c r="G94" i="20"/>
  <c r="N94" i="20"/>
  <c r="E94" i="20"/>
  <c r="O94" i="20"/>
  <c r="M94" i="20"/>
  <c r="F94" i="20"/>
  <c r="C94" i="20"/>
  <c r="J97" i="14"/>
  <c r="A98" i="14"/>
  <c r="I98" i="14"/>
  <c r="Q98" i="14"/>
  <c r="L102" i="20"/>
  <c r="D102" i="20"/>
  <c r="S102" i="20"/>
  <c r="K102" i="20"/>
  <c r="C102" i="20"/>
  <c r="R102" i="20"/>
  <c r="J102" i="20"/>
  <c r="Q102" i="20"/>
  <c r="I102" i="20"/>
  <c r="A102" i="20"/>
  <c r="P102" i="20"/>
  <c r="H102" i="20"/>
  <c r="N102" i="20"/>
  <c r="F102" i="20"/>
  <c r="O102" i="20"/>
  <c r="G102" i="20"/>
  <c r="M102" i="20"/>
  <c r="E102" i="20"/>
  <c r="J105" i="14"/>
  <c r="A106" i="14"/>
  <c r="I106" i="14"/>
  <c r="Q106" i="14"/>
  <c r="D111" i="14"/>
  <c r="L111" i="14"/>
  <c r="L110" i="20"/>
  <c r="D110" i="20"/>
  <c r="S110" i="20"/>
  <c r="K110" i="20"/>
  <c r="C110" i="20"/>
  <c r="R110" i="20"/>
  <c r="J110" i="20"/>
  <c r="Q110" i="20"/>
  <c r="I110" i="20"/>
  <c r="A110" i="20"/>
  <c r="P110" i="20"/>
  <c r="H110" i="20"/>
  <c r="N110" i="20"/>
  <c r="F110" i="20"/>
  <c r="G110" i="20"/>
  <c r="E110" i="20"/>
  <c r="O110" i="20"/>
  <c r="M110" i="20"/>
  <c r="J113" i="14"/>
  <c r="A114" i="14"/>
  <c r="I114" i="14"/>
  <c r="Q114" i="14"/>
  <c r="F117" i="14"/>
  <c r="N117" i="14"/>
  <c r="E118" i="14"/>
  <c r="M118" i="14"/>
  <c r="D119" i="14"/>
  <c r="L119" i="14"/>
  <c r="L118" i="20"/>
  <c r="D118" i="20"/>
  <c r="S118" i="20"/>
  <c r="K118" i="20"/>
  <c r="C118" i="20"/>
  <c r="R118" i="20"/>
  <c r="J118" i="20"/>
  <c r="Q118" i="20"/>
  <c r="I118" i="20"/>
  <c r="A118" i="20"/>
  <c r="P118" i="20"/>
  <c r="H118" i="20"/>
  <c r="N118" i="20"/>
  <c r="F118" i="20"/>
  <c r="O118" i="20"/>
  <c r="M118" i="20"/>
  <c r="G118" i="20"/>
  <c r="E118" i="20"/>
  <c r="J121" i="14"/>
  <c r="A122" i="14"/>
  <c r="I122" i="14"/>
  <c r="Q122" i="14"/>
  <c r="F125" i="14"/>
  <c r="N125" i="14"/>
  <c r="E126" i="14"/>
  <c r="M126" i="14"/>
  <c r="D127" i="14"/>
  <c r="L127" i="14"/>
  <c r="L126" i="20"/>
  <c r="D126" i="20"/>
  <c r="S126" i="20"/>
  <c r="K126" i="20"/>
  <c r="C126" i="20"/>
  <c r="R126" i="20"/>
  <c r="J126" i="20"/>
  <c r="Q126" i="20"/>
  <c r="I126" i="20"/>
  <c r="A126" i="20"/>
  <c r="P126" i="20"/>
  <c r="H126" i="20"/>
  <c r="N126" i="20"/>
  <c r="F126" i="20"/>
  <c r="O126" i="20"/>
  <c r="M126" i="20"/>
  <c r="G126" i="20"/>
  <c r="E126" i="20"/>
  <c r="J129" i="14"/>
  <c r="A130" i="14"/>
  <c r="I130" i="14"/>
  <c r="Q130" i="14"/>
  <c r="F133" i="14"/>
  <c r="N133" i="14"/>
  <c r="E134" i="14"/>
  <c r="M134" i="14"/>
  <c r="D135" i="14"/>
  <c r="L135" i="14"/>
  <c r="L134" i="20"/>
  <c r="D134" i="20"/>
  <c r="S134" i="20"/>
  <c r="K134" i="20"/>
  <c r="C134" i="20"/>
  <c r="R134" i="20"/>
  <c r="J134" i="20"/>
  <c r="Q134" i="20"/>
  <c r="I134" i="20"/>
  <c r="A134" i="20"/>
  <c r="P134" i="20"/>
  <c r="H134" i="20"/>
  <c r="N134" i="20"/>
  <c r="F134" i="20"/>
  <c r="O134" i="20"/>
  <c r="G134" i="20"/>
  <c r="M134" i="20"/>
  <c r="E134" i="20"/>
  <c r="J137" i="14"/>
  <c r="A138" i="14"/>
  <c r="I138" i="14"/>
  <c r="Q138" i="14"/>
  <c r="F141" i="14"/>
  <c r="N141" i="14"/>
  <c r="E142" i="14"/>
  <c r="M142" i="14"/>
  <c r="D143" i="14"/>
  <c r="L143" i="14"/>
  <c r="L142" i="20"/>
  <c r="D142" i="20"/>
  <c r="S142" i="20"/>
  <c r="K142" i="20"/>
  <c r="C142" i="20"/>
  <c r="R142" i="20"/>
  <c r="J142" i="20"/>
  <c r="P142" i="20"/>
  <c r="H142" i="20"/>
  <c r="G142" i="20"/>
  <c r="F142" i="20"/>
  <c r="E142" i="20"/>
  <c r="Q142" i="20"/>
  <c r="A142" i="20"/>
  <c r="O142" i="20"/>
  <c r="M142" i="20"/>
  <c r="N142" i="20"/>
  <c r="I142" i="20"/>
  <c r="J145" i="14"/>
  <c r="A146" i="14"/>
  <c r="I146" i="14"/>
  <c r="Q146" i="14"/>
  <c r="F149" i="14"/>
  <c r="N149" i="14"/>
  <c r="E150" i="14"/>
  <c r="M150" i="14"/>
  <c r="D151" i="14"/>
  <c r="L151" i="14"/>
  <c r="L150" i="20"/>
  <c r="D150" i="20"/>
  <c r="S150" i="20"/>
  <c r="K150" i="20"/>
  <c r="C150" i="20"/>
  <c r="R150" i="20"/>
  <c r="J150" i="20"/>
  <c r="P150" i="20"/>
  <c r="H150" i="20"/>
  <c r="O150" i="20"/>
  <c r="N150" i="20"/>
  <c r="M150" i="20"/>
  <c r="I150" i="20"/>
  <c r="G150" i="20"/>
  <c r="E150" i="20"/>
  <c r="Q150" i="20"/>
  <c r="F150" i="20"/>
  <c r="A150" i="20"/>
  <c r="J153" i="14"/>
  <c r="A154" i="14"/>
  <c r="I154" i="14"/>
  <c r="Q154" i="14"/>
  <c r="F157" i="14"/>
  <c r="N157" i="14"/>
  <c r="E158" i="14"/>
  <c r="M158" i="14"/>
  <c r="D159" i="14"/>
  <c r="L159" i="14"/>
  <c r="C160" i="14"/>
  <c r="K160" i="14"/>
  <c r="L158" i="20"/>
  <c r="D158" i="20"/>
  <c r="S158" i="20"/>
  <c r="K158" i="20"/>
  <c r="C158" i="20"/>
  <c r="R158" i="20"/>
  <c r="J158" i="20"/>
  <c r="P158" i="20"/>
  <c r="H158" i="20"/>
  <c r="G158" i="20"/>
  <c r="F158" i="20"/>
  <c r="E158" i="20"/>
  <c r="Q158" i="20"/>
  <c r="A158" i="20"/>
  <c r="O158" i="20"/>
  <c r="M158" i="20"/>
  <c r="N158" i="20"/>
  <c r="I158" i="20"/>
  <c r="J161" i="14"/>
  <c r="A162" i="14"/>
  <c r="I162" i="14"/>
  <c r="Q162" i="14"/>
  <c r="F165" i="14"/>
  <c r="N165" i="14"/>
  <c r="E166" i="14"/>
  <c r="M166" i="14"/>
  <c r="D167" i="14"/>
  <c r="L167" i="14"/>
  <c r="C168" i="14"/>
  <c r="K168" i="14"/>
  <c r="N166" i="20"/>
  <c r="F166" i="20"/>
  <c r="M166" i="20"/>
  <c r="E166" i="20"/>
  <c r="L166" i="20"/>
  <c r="D166" i="20"/>
  <c r="S166" i="20"/>
  <c r="K166" i="20"/>
  <c r="C166" i="20"/>
  <c r="R166" i="20"/>
  <c r="J166" i="20"/>
  <c r="P166" i="20"/>
  <c r="H166" i="20"/>
  <c r="Q166" i="20"/>
  <c r="O166" i="20"/>
  <c r="I166" i="20"/>
  <c r="G166" i="20"/>
  <c r="A166" i="20"/>
  <c r="J169" i="14"/>
  <c r="A170" i="14"/>
  <c r="I170" i="14"/>
  <c r="Q170" i="14"/>
  <c r="H171" i="14"/>
  <c r="P171" i="14"/>
  <c r="F173" i="14"/>
  <c r="N173" i="14"/>
  <c r="E174" i="14"/>
  <c r="M174" i="14"/>
  <c r="D175" i="14"/>
  <c r="L175" i="14"/>
  <c r="C176" i="14"/>
  <c r="K176" i="14"/>
  <c r="N174" i="20"/>
  <c r="F174" i="20"/>
  <c r="M174" i="20"/>
  <c r="E174" i="20"/>
  <c r="L174" i="20"/>
  <c r="D174" i="20"/>
  <c r="S174" i="20"/>
  <c r="K174" i="20"/>
  <c r="C174" i="20"/>
  <c r="R174" i="20"/>
  <c r="J174" i="20"/>
  <c r="P174" i="20"/>
  <c r="H174" i="20"/>
  <c r="Q174" i="20"/>
  <c r="O174" i="20"/>
  <c r="I174" i="20"/>
  <c r="A174" i="20"/>
  <c r="G174" i="20"/>
  <c r="J177" i="14"/>
  <c r="A178" i="14"/>
  <c r="I178" i="14"/>
  <c r="Q178" i="14"/>
  <c r="H179" i="14"/>
  <c r="P179" i="14"/>
  <c r="F181" i="14"/>
  <c r="N181" i="14"/>
  <c r="E182" i="14"/>
  <c r="M182" i="14"/>
  <c r="D183" i="14"/>
  <c r="L183" i="14"/>
  <c r="C184" i="14"/>
  <c r="K184" i="14"/>
  <c r="N182" i="20"/>
  <c r="F182" i="20"/>
  <c r="M182" i="20"/>
  <c r="E182" i="20"/>
  <c r="L182" i="20"/>
  <c r="D182" i="20"/>
  <c r="S182" i="20"/>
  <c r="K182" i="20"/>
  <c r="C182" i="20"/>
  <c r="R182" i="20"/>
  <c r="J182" i="20"/>
  <c r="P182" i="20"/>
  <c r="H182" i="20"/>
  <c r="A182" i="20"/>
  <c r="Q182" i="20"/>
  <c r="I182" i="20"/>
  <c r="O182" i="20"/>
  <c r="G182" i="20"/>
  <c r="J185" i="14"/>
  <c r="A186" i="14"/>
  <c r="I186" i="14"/>
  <c r="Q186" i="14"/>
  <c r="H187" i="14"/>
  <c r="P187" i="14"/>
  <c r="F189" i="14"/>
  <c r="N189" i="14"/>
  <c r="E190" i="14"/>
  <c r="M190" i="14"/>
  <c r="D191" i="14"/>
  <c r="L191" i="14"/>
  <c r="C192" i="14"/>
  <c r="K192" i="14"/>
  <c r="N190" i="20"/>
  <c r="F190" i="20"/>
  <c r="M190" i="20"/>
  <c r="E190" i="20"/>
  <c r="L190" i="20"/>
  <c r="D190" i="20"/>
  <c r="S190" i="20"/>
  <c r="K190" i="20"/>
  <c r="C190" i="20"/>
  <c r="R190" i="20"/>
  <c r="J190" i="20"/>
  <c r="P190" i="20"/>
  <c r="H190" i="20"/>
  <c r="I190" i="20"/>
  <c r="G190" i="20"/>
  <c r="A190" i="20"/>
  <c r="Q190" i="20"/>
  <c r="O190" i="20"/>
  <c r="J193" i="14"/>
  <c r="A194" i="14"/>
  <c r="I194" i="14"/>
  <c r="Q194" i="14"/>
  <c r="H195" i="14"/>
  <c r="P195" i="14"/>
  <c r="F197" i="14"/>
  <c r="N197" i="14"/>
  <c r="E198" i="14"/>
  <c r="M198" i="14"/>
  <c r="D199" i="14"/>
  <c r="L199" i="14"/>
  <c r="C200" i="14"/>
  <c r="K200" i="14"/>
  <c r="L198" i="20"/>
  <c r="D198" i="20"/>
  <c r="S198" i="20"/>
  <c r="K198" i="20"/>
  <c r="C198" i="20"/>
  <c r="R198" i="20"/>
  <c r="J198" i="20"/>
  <c r="P198" i="20"/>
  <c r="H198" i="20"/>
  <c r="F198" i="20"/>
  <c r="E198" i="20"/>
  <c r="Q198" i="20"/>
  <c r="A198" i="20"/>
  <c r="O198" i="20"/>
  <c r="N198" i="20"/>
  <c r="I198" i="20"/>
  <c r="M198" i="20"/>
  <c r="G198" i="20"/>
  <c r="J201" i="14"/>
  <c r="A202" i="14"/>
  <c r="I202" i="14"/>
  <c r="Q202" i="14"/>
  <c r="H203" i="14"/>
  <c r="P203" i="14"/>
  <c r="F205" i="14"/>
  <c r="N205" i="14"/>
  <c r="E206" i="14"/>
  <c r="M206" i="14"/>
  <c r="D207" i="14"/>
  <c r="L207" i="14"/>
  <c r="C208" i="14"/>
  <c r="K208" i="14"/>
  <c r="L206" i="20"/>
  <c r="D206" i="20"/>
  <c r="S206" i="20"/>
  <c r="K206" i="20"/>
  <c r="C206" i="20"/>
  <c r="R206" i="20"/>
  <c r="J206" i="20"/>
  <c r="P206" i="20"/>
  <c r="H206" i="20"/>
  <c r="N206" i="20"/>
  <c r="M206" i="20"/>
  <c r="I206" i="20"/>
  <c r="G206" i="20"/>
  <c r="F206" i="20"/>
  <c r="Q206" i="20"/>
  <c r="A206" i="20"/>
  <c r="O206" i="20"/>
  <c r="E206" i="20"/>
  <c r="J209" i="14"/>
  <c r="A210" i="14"/>
  <c r="I210" i="14"/>
  <c r="Q210" i="14"/>
  <c r="H211" i="14"/>
  <c r="P211" i="14"/>
  <c r="F213" i="14"/>
  <c r="N213" i="14"/>
  <c r="E214" i="14"/>
  <c r="M214" i="14"/>
  <c r="D215" i="14"/>
  <c r="L215" i="14"/>
  <c r="C216" i="14"/>
  <c r="K216" i="14"/>
  <c r="L214" i="20"/>
  <c r="D214" i="20"/>
  <c r="S214" i="20"/>
  <c r="K214" i="20"/>
  <c r="C214" i="20"/>
  <c r="R214" i="20"/>
  <c r="J214" i="20"/>
  <c r="P214" i="20"/>
  <c r="H214" i="20"/>
  <c r="F214" i="20"/>
  <c r="E214" i="20"/>
  <c r="Q214" i="20"/>
  <c r="A214" i="20"/>
  <c r="O214" i="20"/>
  <c r="N214" i="20"/>
  <c r="I214" i="20"/>
  <c r="M214" i="20"/>
  <c r="G214" i="20"/>
  <c r="J217" i="14"/>
  <c r="A218" i="14"/>
  <c r="I218" i="14"/>
  <c r="Q218" i="14"/>
  <c r="H219" i="14"/>
  <c r="P219" i="14"/>
  <c r="F221" i="14"/>
  <c r="N221" i="14"/>
  <c r="E222" i="14"/>
  <c r="M222" i="14"/>
  <c r="D223" i="14"/>
  <c r="L223" i="14"/>
  <c r="C224" i="14"/>
  <c r="K224" i="14"/>
  <c r="N222" i="20"/>
  <c r="F222" i="20"/>
  <c r="M222" i="20"/>
  <c r="E222" i="20"/>
  <c r="R222" i="20"/>
  <c r="L222" i="20"/>
  <c r="K222" i="20"/>
  <c r="A222" i="20"/>
  <c r="J222" i="20"/>
  <c r="S222" i="20"/>
  <c r="H222" i="20"/>
  <c r="P222" i="20"/>
  <c r="O222" i="20"/>
  <c r="I222" i="20"/>
  <c r="G222" i="20"/>
  <c r="D222" i="20"/>
  <c r="C222" i="20"/>
  <c r="Q222" i="20"/>
  <c r="J225" i="14"/>
  <c r="A226" i="14"/>
  <c r="I226" i="14"/>
  <c r="Q226" i="14"/>
  <c r="H227" i="14"/>
  <c r="P227" i="14"/>
  <c r="F229" i="14"/>
  <c r="N229" i="14"/>
  <c r="E230" i="14"/>
  <c r="M230" i="14"/>
  <c r="D231" i="14"/>
  <c r="L231" i="14"/>
  <c r="C232" i="14"/>
  <c r="K232" i="14"/>
  <c r="N230" i="20"/>
  <c r="F230" i="20"/>
  <c r="M230" i="20"/>
  <c r="E230" i="20"/>
  <c r="L230" i="20"/>
  <c r="D230" i="20"/>
  <c r="R230" i="20"/>
  <c r="J230" i="20"/>
  <c r="P230" i="20"/>
  <c r="H230" i="20"/>
  <c r="G230" i="20"/>
  <c r="C230" i="20"/>
  <c r="S230" i="20"/>
  <c r="A230" i="20"/>
  <c r="Q230" i="20"/>
  <c r="K230" i="20"/>
  <c r="O230" i="20"/>
  <c r="I230" i="20"/>
  <c r="J233" i="14"/>
  <c r="A234" i="14"/>
  <c r="I234" i="14"/>
  <c r="Q234" i="14"/>
  <c r="H235" i="14"/>
  <c r="P235" i="14"/>
  <c r="F237" i="14"/>
  <c r="N237" i="14"/>
  <c r="E238" i="14"/>
  <c r="M238" i="14"/>
  <c r="D239" i="14"/>
  <c r="L239" i="14"/>
  <c r="C240" i="14"/>
  <c r="K240" i="14"/>
  <c r="S238" i="20"/>
  <c r="K238" i="20"/>
  <c r="C238" i="20"/>
  <c r="R238" i="20"/>
  <c r="J238" i="20"/>
  <c r="P238" i="20"/>
  <c r="H238" i="20"/>
  <c r="N238" i="20"/>
  <c r="A238" i="20"/>
  <c r="M238" i="20"/>
  <c r="L238" i="20"/>
  <c r="I238" i="20"/>
  <c r="G238" i="20"/>
  <c r="Q238" i="20"/>
  <c r="E238" i="20"/>
  <c r="O238" i="20"/>
  <c r="F238" i="20"/>
  <c r="D238" i="20"/>
  <c r="J241" i="14"/>
  <c r="A242" i="14"/>
  <c r="I242" i="14"/>
  <c r="Q242" i="14"/>
  <c r="H243" i="14"/>
  <c r="P243" i="14"/>
  <c r="F245" i="14"/>
  <c r="N245" i="14"/>
  <c r="E246" i="14"/>
  <c r="M246" i="14"/>
  <c r="D247" i="14"/>
  <c r="L247" i="14"/>
  <c r="C248" i="14"/>
  <c r="K248" i="14"/>
  <c r="S246" i="20"/>
  <c r="K246" i="20"/>
  <c r="C246" i="20"/>
  <c r="R246" i="20"/>
  <c r="J246" i="20"/>
  <c r="P246" i="20"/>
  <c r="H246" i="20"/>
  <c r="O246" i="20"/>
  <c r="D246" i="20"/>
  <c r="N246" i="20"/>
  <c r="A246" i="20"/>
  <c r="M246" i="20"/>
  <c r="L246" i="20"/>
  <c r="I246" i="20"/>
  <c r="F246" i="20"/>
  <c r="Q246" i="20"/>
  <c r="G246" i="20"/>
  <c r="E246" i="20"/>
  <c r="J249" i="14"/>
  <c r="A250" i="14"/>
  <c r="I250" i="14"/>
  <c r="Q250" i="14"/>
  <c r="H251" i="14"/>
  <c r="P251" i="14"/>
  <c r="F253" i="14"/>
  <c r="N253" i="14"/>
  <c r="E254" i="14"/>
  <c r="M254" i="14"/>
  <c r="D255" i="14"/>
  <c r="L255" i="14"/>
  <c r="C256" i="14"/>
  <c r="K256" i="14"/>
  <c r="S254" i="20"/>
  <c r="K254" i="20"/>
  <c r="C254" i="20"/>
  <c r="R254" i="20"/>
  <c r="J254" i="20"/>
  <c r="P254" i="20"/>
  <c r="H254" i="20"/>
  <c r="N254" i="20"/>
  <c r="F254" i="20"/>
  <c r="L254" i="20"/>
  <c r="D254" i="20"/>
  <c r="Q254" i="20"/>
  <c r="O254" i="20"/>
  <c r="M254" i="20"/>
  <c r="I254" i="20"/>
  <c r="G254" i="20"/>
  <c r="A254" i="20"/>
  <c r="E254" i="20"/>
  <c r="J257" i="14"/>
  <c r="A258" i="14"/>
  <c r="I258" i="14"/>
  <c r="Q258" i="14"/>
  <c r="H259" i="14"/>
  <c r="P259" i="14"/>
  <c r="F261" i="14"/>
  <c r="N261" i="14"/>
  <c r="D263" i="14"/>
  <c r="L263" i="14"/>
  <c r="C264" i="14"/>
  <c r="K264" i="14"/>
  <c r="S262" i="20"/>
  <c r="K262" i="20"/>
  <c r="C262" i="20"/>
  <c r="R262" i="20"/>
  <c r="J262" i="20"/>
  <c r="P262" i="20"/>
  <c r="H262" i="20"/>
  <c r="N262" i="20"/>
  <c r="F262" i="20"/>
  <c r="L262" i="20"/>
  <c r="D262" i="20"/>
  <c r="O262" i="20"/>
  <c r="M262" i="20"/>
  <c r="I262" i="20"/>
  <c r="G262" i="20"/>
  <c r="E262" i="20"/>
  <c r="A262" i="20"/>
  <c r="Q262" i="20"/>
  <c r="J265" i="14"/>
  <c r="A266" i="14"/>
  <c r="I266" i="14"/>
  <c r="Q266" i="14"/>
  <c r="H267" i="14"/>
  <c r="P267" i="14"/>
  <c r="F269" i="14"/>
  <c r="N269" i="14"/>
  <c r="D271" i="14"/>
  <c r="L271" i="14"/>
  <c r="C272" i="14"/>
  <c r="K272" i="14"/>
  <c r="S270" i="20"/>
  <c r="K270" i="20"/>
  <c r="C270" i="20"/>
  <c r="R270" i="20"/>
  <c r="J270" i="20"/>
  <c r="P270" i="20"/>
  <c r="H270" i="20"/>
  <c r="N270" i="20"/>
  <c r="F270" i="20"/>
  <c r="L270" i="20"/>
  <c r="D270" i="20"/>
  <c r="M270" i="20"/>
  <c r="I270" i="20"/>
  <c r="G270" i="20"/>
  <c r="E270" i="20"/>
  <c r="A270" i="20"/>
  <c r="Q270" i="20"/>
  <c r="O270" i="20"/>
  <c r="J273" i="14"/>
  <c r="A274" i="14"/>
  <c r="I274" i="14"/>
  <c r="Q274" i="14"/>
  <c r="H275" i="14"/>
  <c r="P275" i="14"/>
  <c r="F277" i="14"/>
  <c r="N277" i="14"/>
  <c r="D279" i="14"/>
  <c r="L279" i="14"/>
  <c r="C280" i="14"/>
  <c r="K280" i="14"/>
  <c r="R278" i="20"/>
  <c r="J278" i="20"/>
  <c r="Q278" i="20"/>
  <c r="I278" i="20"/>
  <c r="A278" i="20"/>
  <c r="O278" i="20"/>
  <c r="G278" i="20"/>
  <c r="M278" i="20"/>
  <c r="E278" i="20"/>
  <c r="S278" i="20"/>
  <c r="C278" i="20"/>
  <c r="P278" i="20"/>
  <c r="L278" i="20"/>
  <c r="H278" i="20"/>
  <c r="D278" i="20"/>
  <c r="K278" i="20"/>
  <c r="N278" i="20"/>
  <c r="F278" i="20"/>
  <c r="J281" i="14"/>
  <c r="A282" i="14"/>
  <c r="I282" i="14"/>
  <c r="Q282" i="14"/>
  <c r="H283" i="14"/>
  <c r="P283" i="14"/>
  <c r="F285" i="14"/>
  <c r="N285" i="14"/>
  <c r="D287" i="14"/>
  <c r="L287" i="14"/>
  <c r="C288" i="14"/>
  <c r="K288" i="14"/>
  <c r="R286" i="20"/>
  <c r="J286" i="20"/>
  <c r="Q286" i="20"/>
  <c r="I286" i="20"/>
  <c r="A286" i="20"/>
  <c r="O286" i="20"/>
  <c r="G286" i="20"/>
  <c r="M286" i="20"/>
  <c r="E286" i="20"/>
  <c r="K286" i="20"/>
  <c r="H286" i="20"/>
  <c r="D286" i="20"/>
  <c r="P286" i="20"/>
  <c r="L286" i="20"/>
  <c r="S286" i="20"/>
  <c r="N286" i="20"/>
  <c r="F286" i="20"/>
  <c r="C286" i="20"/>
  <c r="J289" i="14"/>
  <c r="A290" i="14"/>
  <c r="I290" i="14"/>
  <c r="Q290" i="14"/>
  <c r="H291" i="14"/>
  <c r="P291" i="14"/>
  <c r="F293" i="14"/>
  <c r="N293" i="14"/>
  <c r="D295" i="14"/>
  <c r="L295" i="14"/>
  <c r="C296" i="14"/>
  <c r="K296" i="14"/>
  <c r="R294" i="20"/>
  <c r="J294" i="20"/>
  <c r="Q294" i="20"/>
  <c r="I294" i="20"/>
  <c r="A294" i="20"/>
  <c r="O294" i="20"/>
  <c r="G294" i="20"/>
  <c r="M294" i="20"/>
  <c r="E294" i="20"/>
  <c r="S294" i="20"/>
  <c r="C294" i="20"/>
  <c r="P294" i="20"/>
  <c r="L294" i="20"/>
  <c r="H294" i="20"/>
  <c r="D294" i="20"/>
  <c r="N294" i="20"/>
  <c r="F294" i="20"/>
  <c r="K294" i="20"/>
  <c r="J297" i="14"/>
  <c r="A298" i="14"/>
  <c r="I298" i="14"/>
  <c r="Q298" i="14"/>
  <c r="H299" i="14"/>
  <c r="P299" i="14"/>
  <c r="F301" i="14"/>
  <c r="N301" i="14"/>
  <c r="D303" i="14"/>
  <c r="L303" i="14"/>
  <c r="C304" i="14"/>
  <c r="K304" i="14"/>
  <c r="R302" i="20"/>
  <c r="J302" i="20"/>
  <c r="Q302" i="20"/>
  <c r="I302" i="20"/>
  <c r="A302" i="20"/>
  <c r="O302" i="20"/>
  <c r="G302" i="20"/>
  <c r="M302" i="20"/>
  <c r="E302" i="20"/>
  <c r="S302" i="20"/>
  <c r="K302" i="20"/>
  <c r="C302" i="20"/>
  <c r="F302" i="20"/>
  <c r="D302" i="20"/>
  <c r="N302" i="20"/>
  <c r="H302" i="20"/>
  <c r="P302" i="20"/>
  <c r="L302" i="20"/>
  <c r="J305" i="14"/>
  <c r="A306" i="14"/>
  <c r="I306" i="14"/>
  <c r="Q306" i="14"/>
  <c r="H307" i="14"/>
  <c r="P307" i="14"/>
  <c r="F309" i="14"/>
  <c r="N309" i="14"/>
  <c r="F11" i="15"/>
  <c r="C14" i="15"/>
  <c r="G18" i="15"/>
  <c r="F19" i="15"/>
  <c r="C22" i="15"/>
  <c r="G26" i="15"/>
  <c r="F27" i="15"/>
  <c r="C30" i="15"/>
  <c r="G34" i="15"/>
  <c r="F35" i="15"/>
  <c r="C38" i="15"/>
  <c r="G42" i="15"/>
  <c r="F43" i="15"/>
  <c r="C46" i="15"/>
  <c r="G50" i="15"/>
  <c r="F51" i="15"/>
  <c r="C54" i="15"/>
  <c r="G58" i="15"/>
  <c r="F59" i="15"/>
  <c r="C62" i="15"/>
  <c r="G66" i="15"/>
  <c r="F67" i="15"/>
  <c r="C70" i="15"/>
  <c r="G74" i="15"/>
  <c r="F75" i="15"/>
  <c r="C78" i="15"/>
  <c r="G82" i="15"/>
  <c r="F83" i="15"/>
  <c r="C86" i="15"/>
  <c r="G90" i="15"/>
  <c r="F91" i="15"/>
  <c r="C94" i="15"/>
  <c r="G98" i="15"/>
  <c r="F99" i="15"/>
  <c r="C102" i="15"/>
  <c r="G106" i="15"/>
  <c r="F107" i="15"/>
  <c r="C110" i="15"/>
  <c r="G114" i="15"/>
  <c r="F115" i="15"/>
  <c r="C118" i="15"/>
  <c r="G122" i="15"/>
  <c r="F123" i="15"/>
  <c r="C126" i="15"/>
  <c r="G130" i="15"/>
  <c r="F131" i="15"/>
  <c r="C134" i="15"/>
  <c r="G138" i="15"/>
  <c r="F139" i="15"/>
  <c r="C142" i="15"/>
  <c r="G146" i="15"/>
  <c r="F147" i="15"/>
  <c r="C150" i="15"/>
  <c r="G154" i="15"/>
  <c r="F155" i="15"/>
  <c r="C158" i="15"/>
  <c r="G162" i="15"/>
  <c r="F163" i="15"/>
  <c r="C166" i="15"/>
  <c r="G170" i="15"/>
  <c r="F171" i="15"/>
  <c r="C174" i="15"/>
  <c r="G178" i="15"/>
  <c r="F179" i="15"/>
  <c r="C182" i="15"/>
  <c r="H185" i="15"/>
  <c r="G186" i="15"/>
  <c r="F187" i="15"/>
  <c r="C190" i="15"/>
  <c r="H193" i="15"/>
  <c r="G194" i="15"/>
  <c r="F195" i="15"/>
  <c r="C198" i="15"/>
  <c r="H201" i="15"/>
  <c r="G202" i="15"/>
  <c r="F203" i="15"/>
  <c r="C206" i="15"/>
  <c r="H209" i="15"/>
  <c r="G210" i="15"/>
  <c r="F211" i="15"/>
  <c r="C214" i="15"/>
  <c r="H217" i="15"/>
  <c r="G218" i="15"/>
  <c r="F219" i="15"/>
  <c r="C222" i="15"/>
  <c r="H225" i="15"/>
  <c r="G226" i="15"/>
  <c r="F227" i="15"/>
  <c r="C230" i="15"/>
  <c r="H233" i="15"/>
  <c r="G234" i="15"/>
  <c r="F235" i="15"/>
  <c r="C238" i="15"/>
  <c r="H241" i="15"/>
  <c r="G242" i="15"/>
  <c r="F243" i="15"/>
  <c r="C246" i="15"/>
  <c r="H249" i="15"/>
  <c r="G250" i="15"/>
  <c r="F251" i="15"/>
  <c r="C254" i="15"/>
  <c r="H257" i="15"/>
  <c r="G258" i="15"/>
  <c r="F259" i="15"/>
  <c r="C262" i="15"/>
  <c r="H265" i="15"/>
  <c r="G266" i="15"/>
  <c r="F267" i="15"/>
  <c r="C270" i="15"/>
  <c r="H273" i="15"/>
  <c r="G274" i="15"/>
  <c r="F275" i="15"/>
  <c r="C278" i="15"/>
  <c r="H281" i="15"/>
  <c r="G282" i="15"/>
  <c r="F283" i="15"/>
  <c r="C286" i="15"/>
  <c r="H289" i="15"/>
  <c r="G290" i="15"/>
  <c r="F291" i="15"/>
  <c r="C294" i="15"/>
  <c r="H297" i="15"/>
  <c r="G298" i="15"/>
  <c r="F299" i="15"/>
  <c r="C302" i="15"/>
  <c r="H305" i="15"/>
  <c r="G306" i="15"/>
  <c r="F307" i="15"/>
  <c r="C310" i="15"/>
  <c r="H313" i="15"/>
  <c r="G314" i="15"/>
  <c r="F315" i="15"/>
  <c r="C318" i="15"/>
  <c r="H321" i="15"/>
  <c r="G322" i="15"/>
  <c r="F323" i="15"/>
  <c r="C326" i="15"/>
  <c r="H329" i="15"/>
  <c r="G330" i="15"/>
  <c r="F331" i="15"/>
  <c r="C334" i="15"/>
  <c r="H337" i="15"/>
  <c r="G338" i="15"/>
  <c r="F339" i="15"/>
  <c r="C342" i="15"/>
  <c r="H345" i="15"/>
  <c r="G346" i="15"/>
  <c r="F347" i="15"/>
  <c r="C350" i="15"/>
  <c r="H353" i="15"/>
  <c r="G354" i="15"/>
  <c r="F355" i="15"/>
  <c r="C358" i="15"/>
  <c r="H361" i="15"/>
  <c r="A363" i="15"/>
  <c r="D364" i="15"/>
  <c r="C364" i="15"/>
  <c r="F366" i="15"/>
  <c r="C369" i="15"/>
  <c r="I374" i="15"/>
  <c r="G374" i="15"/>
  <c r="I377" i="15"/>
  <c r="G377" i="15"/>
  <c r="F377" i="15"/>
  <c r="F380" i="15"/>
  <c r="I380" i="15"/>
  <c r="D383" i="15"/>
  <c r="H390" i="15"/>
  <c r="H401" i="15"/>
  <c r="G404" i="15"/>
  <c r="I414" i="15"/>
  <c r="G414" i="15"/>
  <c r="F414" i="15"/>
  <c r="A425" i="15"/>
  <c r="D425" i="15"/>
  <c r="C425" i="15"/>
  <c r="D428" i="15"/>
  <c r="C428" i="15"/>
  <c r="A428" i="15"/>
  <c r="C431" i="15"/>
  <c r="A431" i="15"/>
  <c r="I441" i="15"/>
  <c r="G441" i="15"/>
  <c r="F441" i="15"/>
  <c r="F444" i="15"/>
  <c r="I444" i="15"/>
  <c r="H444" i="15"/>
  <c r="D447" i="15"/>
  <c r="I454" i="15"/>
  <c r="H454" i="15"/>
  <c r="G454" i="15"/>
  <c r="F454" i="15"/>
  <c r="G468" i="15"/>
  <c r="D479" i="15"/>
  <c r="G492" i="15"/>
  <c r="A497" i="15"/>
  <c r="D497" i="15"/>
  <c r="C497" i="15"/>
  <c r="C503" i="15"/>
  <c r="A503" i="15"/>
  <c r="F516" i="15"/>
  <c r="I516" i="15"/>
  <c r="H516" i="15"/>
  <c r="I526" i="15"/>
  <c r="H526" i="15"/>
  <c r="G526" i="15"/>
  <c r="F526" i="15"/>
  <c r="G540" i="15"/>
  <c r="A545" i="15"/>
  <c r="D545" i="15"/>
  <c r="C545" i="15"/>
  <c r="C551" i="15"/>
  <c r="A551" i="15"/>
  <c r="I558" i="15"/>
  <c r="H558" i="15"/>
  <c r="G558" i="15"/>
  <c r="F558" i="15"/>
  <c r="G572" i="15"/>
  <c r="F580" i="15"/>
  <c r="I580" i="15"/>
  <c r="H580" i="15"/>
  <c r="A585" i="15"/>
  <c r="D585" i="15"/>
  <c r="C585" i="15"/>
  <c r="F588" i="15"/>
  <c r="I588" i="15"/>
  <c r="H588" i="15"/>
  <c r="G596" i="15"/>
  <c r="I614" i="15"/>
  <c r="H614" i="15"/>
  <c r="G614" i="15"/>
  <c r="F614" i="15"/>
  <c r="D623" i="15"/>
  <c r="A625" i="15"/>
  <c r="D625" i="15"/>
  <c r="C625" i="15"/>
  <c r="F628" i="15"/>
  <c r="I628" i="15"/>
  <c r="H628" i="15"/>
  <c r="C655" i="15"/>
  <c r="A655" i="15"/>
  <c r="D663" i="15"/>
  <c r="A665" i="15"/>
  <c r="D665" i="15"/>
  <c r="C665" i="15"/>
  <c r="F668" i="15"/>
  <c r="I668" i="15"/>
  <c r="H668" i="15"/>
  <c r="F676" i="15"/>
  <c r="I676" i="15"/>
  <c r="H676" i="15"/>
  <c r="I694" i="15"/>
  <c r="H694" i="15"/>
  <c r="G694" i="15"/>
  <c r="F694" i="15"/>
  <c r="D703" i="15"/>
  <c r="A705" i="15"/>
  <c r="D705" i="15"/>
  <c r="C705" i="15"/>
  <c r="F708" i="15"/>
  <c r="I708" i="15"/>
  <c r="H708" i="15"/>
  <c r="I726" i="15"/>
  <c r="H726" i="15"/>
  <c r="G726" i="15"/>
  <c r="F726" i="15"/>
  <c r="D735" i="15"/>
  <c r="C743" i="15"/>
  <c r="A743" i="15"/>
  <c r="C756" i="15"/>
  <c r="D756" i="15"/>
  <c r="A756" i="15"/>
  <c r="G779" i="15"/>
  <c r="I779" i="15"/>
  <c r="H779" i="15"/>
  <c r="F779" i="15"/>
  <c r="H803" i="15"/>
  <c r="G808" i="15"/>
  <c r="I808" i="15"/>
  <c r="H808" i="15"/>
  <c r="F808" i="15"/>
  <c r="I820" i="15"/>
  <c r="I825" i="15"/>
  <c r="F825" i="15"/>
  <c r="H825" i="15"/>
  <c r="G825" i="15"/>
  <c r="H873" i="15"/>
  <c r="A883" i="15"/>
  <c r="D883" i="15"/>
  <c r="C883" i="15"/>
  <c r="F918" i="15"/>
  <c r="I918" i="15"/>
  <c r="H918" i="15"/>
  <c r="G918" i="15"/>
  <c r="D934" i="15"/>
  <c r="A934" i="15"/>
  <c r="C934" i="15"/>
  <c r="C951" i="15"/>
  <c r="A951" i="15"/>
  <c r="D951" i="15"/>
  <c r="F966" i="15"/>
  <c r="I966" i="15"/>
  <c r="G966" i="15"/>
  <c r="Q95" i="20"/>
  <c r="I95" i="20"/>
  <c r="A95" i="20"/>
  <c r="O95" i="20"/>
  <c r="G95" i="20"/>
  <c r="M95" i="20"/>
  <c r="C95" i="20"/>
  <c r="L95" i="20"/>
  <c r="K95" i="20"/>
  <c r="J95" i="20"/>
  <c r="S95" i="20"/>
  <c r="H95" i="20"/>
  <c r="P95" i="20"/>
  <c r="E95" i="20"/>
  <c r="F95" i="20"/>
  <c r="D95" i="20"/>
  <c r="R95" i="20"/>
  <c r="N95" i="20"/>
  <c r="J98" i="14"/>
  <c r="Q103" i="20"/>
  <c r="I103" i="20"/>
  <c r="A103" i="20"/>
  <c r="P103" i="20"/>
  <c r="H103" i="20"/>
  <c r="O103" i="20"/>
  <c r="G103" i="20"/>
  <c r="N103" i="20"/>
  <c r="F103" i="20"/>
  <c r="M103" i="20"/>
  <c r="E103" i="20"/>
  <c r="S103" i="20"/>
  <c r="K103" i="20"/>
  <c r="C103" i="20"/>
  <c r="L103" i="20"/>
  <c r="J103" i="20"/>
  <c r="D103" i="20"/>
  <c r="R103" i="20"/>
  <c r="J106" i="14"/>
  <c r="E111" i="14"/>
  <c r="M111" i="14"/>
  <c r="Q111" i="20"/>
  <c r="I111" i="20"/>
  <c r="A111" i="20"/>
  <c r="P111" i="20"/>
  <c r="H111" i="20"/>
  <c r="O111" i="20"/>
  <c r="G111" i="20"/>
  <c r="N111" i="20"/>
  <c r="F111" i="20"/>
  <c r="M111" i="20"/>
  <c r="E111" i="20"/>
  <c r="S111" i="20"/>
  <c r="K111" i="20"/>
  <c r="C111" i="20"/>
  <c r="R111" i="20"/>
  <c r="L111" i="20"/>
  <c r="J111" i="20"/>
  <c r="D111" i="20"/>
  <c r="J114" i="14"/>
  <c r="E119" i="14"/>
  <c r="M119" i="14"/>
  <c r="Q119" i="20"/>
  <c r="I119" i="20"/>
  <c r="A119" i="20"/>
  <c r="P119" i="20"/>
  <c r="H119" i="20"/>
  <c r="O119" i="20"/>
  <c r="G119" i="20"/>
  <c r="N119" i="20"/>
  <c r="F119" i="20"/>
  <c r="M119" i="20"/>
  <c r="E119" i="20"/>
  <c r="S119" i="20"/>
  <c r="K119" i="20"/>
  <c r="C119" i="20"/>
  <c r="R119" i="20"/>
  <c r="L119" i="20"/>
  <c r="D119" i="20"/>
  <c r="J119" i="20"/>
  <c r="J122" i="14"/>
  <c r="E127" i="14"/>
  <c r="M127" i="14"/>
  <c r="Q127" i="20"/>
  <c r="I127" i="20"/>
  <c r="A127" i="20"/>
  <c r="P127" i="20"/>
  <c r="H127" i="20"/>
  <c r="O127" i="20"/>
  <c r="G127" i="20"/>
  <c r="N127" i="20"/>
  <c r="F127" i="20"/>
  <c r="M127" i="20"/>
  <c r="E127" i="20"/>
  <c r="S127" i="20"/>
  <c r="K127" i="20"/>
  <c r="C127" i="20"/>
  <c r="D127" i="20"/>
  <c r="L127" i="20"/>
  <c r="R127" i="20"/>
  <c r="J127" i="20"/>
  <c r="J130" i="14"/>
  <c r="E135" i="14"/>
  <c r="M135" i="14"/>
  <c r="Q135" i="20"/>
  <c r="I135" i="20"/>
  <c r="A135" i="20"/>
  <c r="P135" i="20"/>
  <c r="H135" i="20"/>
  <c r="O135" i="20"/>
  <c r="G135" i="20"/>
  <c r="N135" i="20"/>
  <c r="F135" i="20"/>
  <c r="M135" i="20"/>
  <c r="E135" i="20"/>
  <c r="S135" i="20"/>
  <c r="K135" i="20"/>
  <c r="C135" i="20"/>
  <c r="L135" i="20"/>
  <c r="J135" i="20"/>
  <c r="D135" i="20"/>
  <c r="R135" i="20"/>
  <c r="J138" i="14"/>
  <c r="E143" i="14"/>
  <c r="M143" i="14"/>
  <c r="Q143" i="20"/>
  <c r="I143" i="20"/>
  <c r="A143" i="20"/>
  <c r="P143" i="20"/>
  <c r="H143" i="20"/>
  <c r="O143" i="20"/>
  <c r="G143" i="20"/>
  <c r="M143" i="20"/>
  <c r="E143" i="20"/>
  <c r="D143" i="20"/>
  <c r="S143" i="20"/>
  <c r="C143" i="20"/>
  <c r="R143" i="20"/>
  <c r="N143" i="20"/>
  <c r="L143" i="20"/>
  <c r="J143" i="20"/>
  <c r="K143" i="20"/>
  <c r="F143" i="20"/>
  <c r="J146" i="14"/>
  <c r="E151" i="14"/>
  <c r="M151" i="14"/>
  <c r="Q151" i="20"/>
  <c r="I151" i="20"/>
  <c r="A151" i="20"/>
  <c r="P151" i="20"/>
  <c r="H151" i="20"/>
  <c r="O151" i="20"/>
  <c r="G151" i="20"/>
  <c r="M151" i="20"/>
  <c r="E151" i="20"/>
  <c r="L151" i="20"/>
  <c r="K151" i="20"/>
  <c r="J151" i="20"/>
  <c r="F151" i="20"/>
  <c r="D151" i="20"/>
  <c r="R151" i="20"/>
  <c r="S151" i="20"/>
  <c r="N151" i="20"/>
  <c r="C151" i="20"/>
  <c r="J154" i="14"/>
  <c r="E159" i="14"/>
  <c r="M159" i="14"/>
  <c r="D160" i="14"/>
  <c r="L160" i="14"/>
  <c r="Q159" i="20"/>
  <c r="I159" i="20"/>
  <c r="A159" i="20"/>
  <c r="P159" i="20"/>
  <c r="H159" i="20"/>
  <c r="O159" i="20"/>
  <c r="G159" i="20"/>
  <c r="M159" i="20"/>
  <c r="E159" i="20"/>
  <c r="D159" i="20"/>
  <c r="S159" i="20"/>
  <c r="C159" i="20"/>
  <c r="R159" i="20"/>
  <c r="N159" i="20"/>
  <c r="L159" i="20"/>
  <c r="J159" i="20"/>
  <c r="K159" i="20"/>
  <c r="F159" i="20"/>
  <c r="J162" i="14"/>
  <c r="E167" i="14"/>
  <c r="M167" i="14"/>
  <c r="D168" i="14"/>
  <c r="L168" i="14"/>
  <c r="S167" i="20"/>
  <c r="K167" i="20"/>
  <c r="C167" i="20"/>
  <c r="R167" i="20"/>
  <c r="J167" i="20"/>
  <c r="Q167" i="20"/>
  <c r="I167" i="20"/>
  <c r="A167" i="20"/>
  <c r="P167" i="20"/>
  <c r="H167" i="20"/>
  <c r="O167" i="20"/>
  <c r="G167" i="20"/>
  <c r="M167" i="20"/>
  <c r="E167" i="20"/>
  <c r="N167" i="20"/>
  <c r="F167" i="20"/>
  <c r="L167" i="20"/>
  <c r="D167" i="20"/>
  <c r="J170" i="14"/>
  <c r="A171" i="14"/>
  <c r="I171" i="14"/>
  <c r="Q171" i="14"/>
  <c r="E175" i="14"/>
  <c r="M175" i="14"/>
  <c r="D176" i="14"/>
  <c r="L176" i="14"/>
  <c r="S175" i="20"/>
  <c r="K175" i="20"/>
  <c r="C175" i="20"/>
  <c r="R175" i="20"/>
  <c r="J175" i="20"/>
  <c r="Q175" i="20"/>
  <c r="I175" i="20"/>
  <c r="A175" i="20"/>
  <c r="P175" i="20"/>
  <c r="H175" i="20"/>
  <c r="O175" i="20"/>
  <c r="G175" i="20"/>
  <c r="M175" i="20"/>
  <c r="E175" i="20"/>
  <c r="F175" i="20"/>
  <c r="D175" i="20"/>
  <c r="N175" i="20"/>
  <c r="L175" i="20"/>
  <c r="J178" i="14"/>
  <c r="A179" i="14"/>
  <c r="I179" i="14"/>
  <c r="Q179" i="14"/>
  <c r="E183" i="14"/>
  <c r="M183" i="14"/>
  <c r="D184" i="14"/>
  <c r="L184" i="14"/>
  <c r="S183" i="20"/>
  <c r="K183" i="20"/>
  <c r="C183" i="20"/>
  <c r="R183" i="20"/>
  <c r="J183" i="20"/>
  <c r="Q183" i="20"/>
  <c r="I183" i="20"/>
  <c r="A183" i="20"/>
  <c r="P183" i="20"/>
  <c r="H183" i="20"/>
  <c r="O183" i="20"/>
  <c r="G183" i="20"/>
  <c r="M183" i="20"/>
  <c r="E183" i="20"/>
  <c r="N183" i="20"/>
  <c r="L183" i="20"/>
  <c r="F183" i="20"/>
  <c r="D183" i="20"/>
  <c r="J186" i="14"/>
  <c r="A187" i="14"/>
  <c r="I187" i="14"/>
  <c r="Q187" i="14"/>
  <c r="E191" i="14"/>
  <c r="M191" i="14"/>
  <c r="D192" i="14"/>
  <c r="L192" i="14"/>
  <c r="Q191" i="20"/>
  <c r="I191" i="20"/>
  <c r="O191" i="20"/>
  <c r="L191" i="20"/>
  <c r="C191" i="20"/>
  <c r="K191" i="20"/>
  <c r="J191" i="20"/>
  <c r="A191" i="20"/>
  <c r="S191" i="20"/>
  <c r="H191" i="20"/>
  <c r="R191" i="20"/>
  <c r="G191" i="20"/>
  <c r="N191" i="20"/>
  <c r="E191" i="20"/>
  <c r="P191" i="20"/>
  <c r="M191" i="20"/>
  <c r="F191" i="20"/>
  <c r="D191" i="20"/>
  <c r="J194" i="14"/>
  <c r="A195" i="14"/>
  <c r="I195" i="14"/>
  <c r="Q195" i="14"/>
  <c r="E199" i="14"/>
  <c r="M199" i="14"/>
  <c r="D200" i="14"/>
  <c r="L200" i="14"/>
  <c r="Q199" i="20"/>
  <c r="I199" i="20"/>
  <c r="A199" i="20"/>
  <c r="P199" i="20"/>
  <c r="H199" i="20"/>
  <c r="O199" i="20"/>
  <c r="G199" i="20"/>
  <c r="M199" i="20"/>
  <c r="E199" i="20"/>
  <c r="S199" i="20"/>
  <c r="C199" i="20"/>
  <c r="R199" i="20"/>
  <c r="N199" i="20"/>
  <c r="L199" i="20"/>
  <c r="K199" i="20"/>
  <c r="F199" i="20"/>
  <c r="J199" i="20"/>
  <c r="D199" i="20"/>
  <c r="J202" i="14"/>
  <c r="A203" i="14"/>
  <c r="I203" i="14"/>
  <c r="Q203" i="14"/>
  <c r="E207" i="14"/>
  <c r="M207" i="14"/>
  <c r="D208" i="14"/>
  <c r="L208" i="14"/>
  <c r="Q207" i="20"/>
  <c r="I207" i="20"/>
  <c r="A207" i="20"/>
  <c r="P207" i="20"/>
  <c r="H207" i="20"/>
  <c r="O207" i="20"/>
  <c r="G207" i="20"/>
  <c r="M207" i="20"/>
  <c r="E207" i="20"/>
  <c r="K207" i="20"/>
  <c r="J207" i="20"/>
  <c r="F207" i="20"/>
  <c r="D207" i="20"/>
  <c r="S207" i="20"/>
  <c r="C207" i="20"/>
  <c r="N207" i="20"/>
  <c r="R207" i="20"/>
  <c r="L207" i="20"/>
  <c r="J210" i="14"/>
  <c r="A211" i="14"/>
  <c r="I211" i="14"/>
  <c r="Q211" i="14"/>
  <c r="E215" i="14"/>
  <c r="M215" i="14"/>
  <c r="D216" i="14"/>
  <c r="L216" i="14"/>
  <c r="Q215" i="20"/>
  <c r="I215" i="20"/>
  <c r="A215" i="20"/>
  <c r="P215" i="20"/>
  <c r="H215" i="20"/>
  <c r="O215" i="20"/>
  <c r="G215" i="20"/>
  <c r="M215" i="20"/>
  <c r="E215" i="20"/>
  <c r="S215" i="20"/>
  <c r="C215" i="20"/>
  <c r="R215" i="20"/>
  <c r="N215" i="20"/>
  <c r="L215" i="20"/>
  <c r="K215" i="20"/>
  <c r="F215" i="20"/>
  <c r="J215" i="20"/>
  <c r="D215" i="20"/>
  <c r="J218" i="14"/>
  <c r="A219" i="14"/>
  <c r="I219" i="14"/>
  <c r="Q219" i="14"/>
  <c r="E223" i="14"/>
  <c r="M223" i="14"/>
  <c r="D224" i="14"/>
  <c r="L224" i="14"/>
  <c r="S223" i="20"/>
  <c r="K223" i="20"/>
  <c r="C223" i="20"/>
  <c r="R223" i="20"/>
  <c r="J223" i="20"/>
  <c r="Q223" i="20"/>
  <c r="I223" i="20"/>
  <c r="A223" i="20"/>
  <c r="O223" i="20"/>
  <c r="G223" i="20"/>
  <c r="H223" i="20"/>
  <c r="F223" i="20"/>
  <c r="E223" i="20"/>
  <c r="P223" i="20"/>
  <c r="N223" i="20"/>
  <c r="M223" i="20"/>
  <c r="D223" i="20"/>
  <c r="L223" i="20"/>
  <c r="J226" i="14"/>
  <c r="A227" i="14"/>
  <c r="I227" i="14"/>
  <c r="Q227" i="14"/>
  <c r="E231" i="14"/>
  <c r="M231" i="14"/>
  <c r="D232" i="14"/>
  <c r="L232" i="14"/>
  <c r="O231" i="20"/>
  <c r="K231" i="20"/>
  <c r="C231" i="20"/>
  <c r="S231" i="20"/>
  <c r="J231" i="20"/>
  <c r="R231" i="20"/>
  <c r="I231" i="20"/>
  <c r="A231" i="20"/>
  <c r="Q231" i="20"/>
  <c r="P231" i="20"/>
  <c r="G231" i="20"/>
  <c r="M231" i="20"/>
  <c r="E231" i="20"/>
  <c r="H231" i="20"/>
  <c r="F231" i="20"/>
  <c r="D231" i="20"/>
  <c r="N231" i="20"/>
  <c r="L231" i="20"/>
  <c r="J234" i="14"/>
  <c r="A235" i="14"/>
  <c r="I235" i="14"/>
  <c r="Q235" i="14"/>
  <c r="E239" i="14"/>
  <c r="M239" i="14"/>
  <c r="D240" i="14"/>
  <c r="L240" i="14"/>
  <c r="P239" i="20"/>
  <c r="H239" i="20"/>
  <c r="O239" i="20"/>
  <c r="G239" i="20"/>
  <c r="M239" i="20"/>
  <c r="E239" i="20"/>
  <c r="I239" i="20"/>
  <c r="S239" i="20"/>
  <c r="F239" i="20"/>
  <c r="R239" i="20"/>
  <c r="D239" i="20"/>
  <c r="Q239" i="20"/>
  <c r="C239" i="20"/>
  <c r="N239" i="20"/>
  <c r="K239" i="20"/>
  <c r="A239" i="20"/>
  <c r="L239" i="20"/>
  <c r="J239" i="20"/>
  <c r="J242" i="14"/>
  <c r="A243" i="14"/>
  <c r="I243" i="14"/>
  <c r="Q243" i="14"/>
  <c r="E247" i="14"/>
  <c r="M247" i="14"/>
  <c r="D248" i="14"/>
  <c r="L248" i="14"/>
  <c r="P247" i="20"/>
  <c r="H247" i="20"/>
  <c r="O247" i="20"/>
  <c r="G247" i="20"/>
  <c r="M247" i="20"/>
  <c r="E247" i="20"/>
  <c r="J247" i="20"/>
  <c r="I247" i="20"/>
  <c r="S247" i="20"/>
  <c r="F247" i="20"/>
  <c r="R247" i="20"/>
  <c r="D247" i="20"/>
  <c r="Q247" i="20"/>
  <c r="C247" i="20"/>
  <c r="L247" i="20"/>
  <c r="A247" i="20"/>
  <c r="N247" i="20"/>
  <c r="K247" i="20"/>
  <c r="J250" i="14"/>
  <c r="A251" i="14"/>
  <c r="I251" i="14"/>
  <c r="Q251" i="14"/>
  <c r="E255" i="14"/>
  <c r="M255" i="14"/>
  <c r="D256" i="14"/>
  <c r="L256" i="14"/>
  <c r="P255" i="20"/>
  <c r="H255" i="20"/>
  <c r="O255" i="20"/>
  <c r="G255" i="20"/>
  <c r="M255" i="20"/>
  <c r="E255" i="20"/>
  <c r="S255" i="20"/>
  <c r="K255" i="20"/>
  <c r="C255" i="20"/>
  <c r="Q255" i="20"/>
  <c r="I255" i="20"/>
  <c r="A255" i="20"/>
  <c r="R255" i="20"/>
  <c r="N255" i="20"/>
  <c r="L255" i="20"/>
  <c r="J255" i="20"/>
  <c r="D255" i="20"/>
  <c r="F255" i="20"/>
  <c r="J258" i="14"/>
  <c r="A259" i="14"/>
  <c r="I259" i="14"/>
  <c r="Q259" i="14"/>
  <c r="E263" i="14"/>
  <c r="M263" i="14"/>
  <c r="D264" i="14"/>
  <c r="L264" i="14"/>
  <c r="P263" i="20"/>
  <c r="H263" i="20"/>
  <c r="O263" i="20"/>
  <c r="G263" i="20"/>
  <c r="M263" i="20"/>
  <c r="E263" i="20"/>
  <c r="S263" i="20"/>
  <c r="K263" i="20"/>
  <c r="C263" i="20"/>
  <c r="Q263" i="20"/>
  <c r="I263" i="20"/>
  <c r="A263" i="20"/>
  <c r="R263" i="20"/>
  <c r="N263" i="20"/>
  <c r="L263" i="20"/>
  <c r="J263" i="20"/>
  <c r="F263" i="20"/>
  <c r="D263" i="20"/>
  <c r="J266" i="14"/>
  <c r="A267" i="14"/>
  <c r="I267" i="14"/>
  <c r="Q267" i="14"/>
  <c r="E271" i="14"/>
  <c r="M271" i="14"/>
  <c r="D272" i="14"/>
  <c r="L272" i="14"/>
  <c r="P271" i="20"/>
  <c r="H271" i="20"/>
  <c r="O271" i="20"/>
  <c r="G271" i="20"/>
  <c r="M271" i="20"/>
  <c r="E271" i="20"/>
  <c r="S271" i="20"/>
  <c r="K271" i="20"/>
  <c r="C271" i="20"/>
  <c r="Q271" i="20"/>
  <c r="I271" i="20"/>
  <c r="A271" i="20"/>
  <c r="N271" i="20"/>
  <c r="L271" i="20"/>
  <c r="J271" i="20"/>
  <c r="F271" i="20"/>
  <c r="D271" i="20"/>
  <c r="R271" i="20"/>
  <c r="J274" i="14"/>
  <c r="A275" i="14"/>
  <c r="I275" i="14"/>
  <c r="Q275" i="14"/>
  <c r="E279" i="14"/>
  <c r="M279" i="14"/>
  <c r="D280" i="14"/>
  <c r="L280" i="14"/>
  <c r="O279" i="20"/>
  <c r="G279" i="20"/>
  <c r="N279" i="20"/>
  <c r="F279" i="20"/>
  <c r="L279" i="20"/>
  <c r="D279" i="20"/>
  <c r="R279" i="20"/>
  <c r="J279" i="20"/>
  <c r="P279" i="20"/>
  <c r="M279" i="20"/>
  <c r="I279" i="20"/>
  <c r="E279" i="20"/>
  <c r="Q279" i="20"/>
  <c r="A279" i="20"/>
  <c r="S279" i="20"/>
  <c r="K279" i="20"/>
  <c r="H279" i="20"/>
  <c r="C279" i="20"/>
  <c r="J282" i="14"/>
  <c r="A283" i="14"/>
  <c r="I283" i="14"/>
  <c r="Q283" i="14"/>
  <c r="E287" i="14"/>
  <c r="M287" i="14"/>
  <c r="D288" i="14"/>
  <c r="L288" i="14"/>
  <c r="O287" i="20"/>
  <c r="G287" i="20"/>
  <c r="N287" i="20"/>
  <c r="F287" i="20"/>
  <c r="L287" i="20"/>
  <c r="D287" i="20"/>
  <c r="R287" i="20"/>
  <c r="J287" i="20"/>
  <c r="H287" i="20"/>
  <c r="E287" i="20"/>
  <c r="Q287" i="20"/>
  <c r="A287" i="20"/>
  <c r="M287" i="20"/>
  <c r="I287" i="20"/>
  <c r="S287" i="20"/>
  <c r="K287" i="20"/>
  <c r="P287" i="20"/>
  <c r="C287" i="20"/>
  <c r="J290" i="14"/>
  <c r="A291" i="14"/>
  <c r="I291" i="14"/>
  <c r="Q291" i="14"/>
  <c r="E295" i="14"/>
  <c r="M295" i="14"/>
  <c r="D296" i="14"/>
  <c r="L296" i="14"/>
  <c r="O295" i="20"/>
  <c r="G295" i="20"/>
  <c r="N295" i="20"/>
  <c r="F295" i="20"/>
  <c r="L295" i="20"/>
  <c r="D295" i="20"/>
  <c r="R295" i="20"/>
  <c r="J295" i="20"/>
  <c r="P295" i="20"/>
  <c r="M295" i="20"/>
  <c r="I295" i="20"/>
  <c r="E295" i="20"/>
  <c r="Q295" i="20"/>
  <c r="A295" i="20"/>
  <c r="S295" i="20"/>
  <c r="K295" i="20"/>
  <c r="H295" i="20"/>
  <c r="C295" i="20"/>
  <c r="J298" i="14"/>
  <c r="A299" i="14"/>
  <c r="I299" i="14"/>
  <c r="Q299" i="14"/>
  <c r="E303" i="14"/>
  <c r="M303" i="14"/>
  <c r="D304" i="14"/>
  <c r="L304" i="14"/>
  <c r="O303" i="20"/>
  <c r="G303" i="20"/>
  <c r="N303" i="20"/>
  <c r="F303" i="20"/>
  <c r="L303" i="20"/>
  <c r="D303" i="20"/>
  <c r="R303" i="20"/>
  <c r="J303" i="20"/>
  <c r="P303" i="20"/>
  <c r="H303" i="20"/>
  <c r="I303" i="20"/>
  <c r="E303" i="20"/>
  <c r="A303" i="20"/>
  <c r="Q303" i="20"/>
  <c r="K303" i="20"/>
  <c r="M303" i="20"/>
  <c r="C303" i="20"/>
  <c r="S303" i="20"/>
  <c r="J306" i="14"/>
  <c r="A307" i="14"/>
  <c r="I307" i="14"/>
  <c r="Q307" i="14"/>
  <c r="G11" i="15"/>
  <c r="G19" i="15"/>
  <c r="G27" i="15"/>
  <c r="G35" i="15"/>
  <c r="G43" i="15"/>
  <c r="G51" i="15"/>
  <c r="G59" i="15"/>
  <c r="G67" i="15"/>
  <c r="G75" i="15"/>
  <c r="G83" i="15"/>
  <c r="G91" i="15"/>
  <c r="G99" i="15"/>
  <c r="G107" i="15"/>
  <c r="G115" i="15"/>
  <c r="G123" i="15"/>
  <c r="G131" i="15"/>
  <c r="G139" i="15"/>
  <c r="G147" i="15"/>
  <c r="G155" i="15"/>
  <c r="G163" i="15"/>
  <c r="G171" i="15"/>
  <c r="G179" i="15"/>
  <c r="G187" i="15"/>
  <c r="G195" i="15"/>
  <c r="G203" i="15"/>
  <c r="G211" i="15"/>
  <c r="G219" i="15"/>
  <c r="G227" i="15"/>
  <c r="G235" i="15"/>
  <c r="G243" i="15"/>
  <c r="G251" i="15"/>
  <c r="G259" i="15"/>
  <c r="G267" i="15"/>
  <c r="G275" i="15"/>
  <c r="G283" i="15"/>
  <c r="G291" i="15"/>
  <c r="G299" i="15"/>
  <c r="G307" i="15"/>
  <c r="G315" i="15"/>
  <c r="G323" i="15"/>
  <c r="G331" i="15"/>
  <c r="G339" i="15"/>
  <c r="G347" i="15"/>
  <c r="G355" i="15"/>
  <c r="G366" i="15"/>
  <c r="I369" i="15"/>
  <c r="G369" i="15"/>
  <c r="F369" i="15"/>
  <c r="D372" i="15"/>
  <c r="C372" i="15"/>
  <c r="A372" i="15"/>
  <c r="F374" i="15"/>
  <c r="H377" i="15"/>
  <c r="G380" i="15"/>
  <c r="C391" i="15"/>
  <c r="A391" i="15"/>
  <c r="I398" i="15"/>
  <c r="G398" i="15"/>
  <c r="F398" i="15"/>
  <c r="A409" i="15"/>
  <c r="D409" i="15"/>
  <c r="C409" i="15"/>
  <c r="H414" i="15"/>
  <c r="I425" i="15"/>
  <c r="G425" i="15"/>
  <c r="F425" i="15"/>
  <c r="F428" i="15"/>
  <c r="I428" i="15"/>
  <c r="H428" i="15"/>
  <c r="D431" i="15"/>
  <c r="H441" i="15"/>
  <c r="G444" i="15"/>
  <c r="C455" i="15"/>
  <c r="A455" i="15"/>
  <c r="F476" i="15"/>
  <c r="I476" i="15"/>
  <c r="H476" i="15"/>
  <c r="I486" i="15"/>
  <c r="H486" i="15"/>
  <c r="G486" i="15"/>
  <c r="F486" i="15"/>
  <c r="D503" i="15"/>
  <c r="G516" i="15"/>
  <c r="A521" i="15"/>
  <c r="D521" i="15"/>
  <c r="C521" i="15"/>
  <c r="C527" i="15"/>
  <c r="A527" i="15"/>
  <c r="D551" i="15"/>
  <c r="C559" i="15"/>
  <c r="A559" i="15"/>
  <c r="G580" i="15"/>
  <c r="G588" i="15"/>
  <c r="I606" i="15"/>
  <c r="H606" i="15"/>
  <c r="G606" i="15"/>
  <c r="F606" i="15"/>
  <c r="C615" i="15"/>
  <c r="A615" i="15"/>
  <c r="G628" i="15"/>
  <c r="I646" i="15"/>
  <c r="H646" i="15"/>
  <c r="G646" i="15"/>
  <c r="F646" i="15"/>
  <c r="D655" i="15"/>
  <c r="A657" i="15"/>
  <c r="D657" i="15"/>
  <c r="C657" i="15"/>
  <c r="F660" i="15"/>
  <c r="I660" i="15"/>
  <c r="H660" i="15"/>
  <c r="G668" i="15"/>
  <c r="G676" i="15"/>
  <c r="C695" i="15"/>
  <c r="A695" i="15"/>
  <c r="C727" i="15"/>
  <c r="A727" i="15"/>
  <c r="F756" i="15"/>
  <c r="I756" i="15"/>
  <c r="H756" i="15"/>
  <c r="G756" i="15"/>
  <c r="D766" i="15"/>
  <c r="A766" i="15"/>
  <c r="C766" i="15"/>
  <c r="C778" i="15"/>
  <c r="A778" i="15"/>
  <c r="I782" i="15"/>
  <c r="F782" i="15"/>
  <c r="H782" i="15"/>
  <c r="D787" i="15"/>
  <c r="A787" i="15"/>
  <c r="C787" i="15"/>
  <c r="C836" i="15"/>
  <c r="D836" i="15"/>
  <c r="A836" i="15"/>
  <c r="D854" i="15"/>
  <c r="A854" i="15"/>
  <c r="C854" i="15"/>
  <c r="I883" i="15"/>
  <c r="G883" i="15"/>
  <c r="H883" i="15"/>
  <c r="F883" i="15"/>
  <c r="H980" i="15"/>
  <c r="G980" i="15"/>
  <c r="F980" i="15"/>
  <c r="I980" i="15"/>
  <c r="I993" i="15"/>
  <c r="H993" i="15"/>
  <c r="F993" i="15"/>
  <c r="G993" i="15"/>
  <c r="P168" i="20"/>
  <c r="H168" i="20"/>
  <c r="O168" i="20"/>
  <c r="G168" i="20"/>
  <c r="N168" i="20"/>
  <c r="F168" i="20"/>
  <c r="M168" i="20"/>
  <c r="E168" i="20"/>
  <c r="L168" i="20"/>
  <c r="D168" i="20"/>
  <c r="R168" i="20"/>
  <c r="J168" i="20"/>
  <c r="K168" i="20"/>
  <c r="I168" i="20"/>
  <c r="C168" i="20"/>
  <c r="A168" i="20"/>
  <c r="S168" i="20"/>
  <c r="Q168" i="20"/>
  <c r="J171" i="14"/>
  <c r="P176" i="20"/>
  <c r="H176" i="20"/>
  <c r="O176" i="20"/>
  <c r="G176" i="20"/>
  <c r="N176" i="20"/>
  <c r="F176" i="20"/>
  <c r="M176" i="20"/>
  <c r="E176" i="20"/>
  <c r="L176" i="20"/>
  <c r="D176" i="20"/>
  <c r="R176" i="20"/>
  <c r="J176" i="20"/>
  <c r="S176" i="20"/>
  <c r="Q176" i="20"/>
  <c r="K176" i="20"/>
  <c r="I176" i="20"/>
  <c r="C176" i="20"/>
  <c r="A176" i="20"/>
  <c r="J179" i="14"/>
  <c r="P184" i="20"/>
  <c r="H184" i="20"/>
  <c r="O184" i="20"/>
  <c r="G184" i="20"/>
  <c r="N184" i="20"/>
  <c r="F184" i="20"/>
  <c r="M184" i="20"/>
  <c r="E184" i="20"/>
  <c r="L184" i="20"/>
  <c r="D184" i="20"/>
  <c r="R184" i="20"/>
  <c r="J184" i="20"/>
  <c r="S184" i="20"/>
  <c r="Q184" i="20"/>
  <c r="K184" i="20"/>
  <c r="C184" i="20"/>
  <c r="I184" i="20"/>
  <c r="A184" i="20"/>
  <c r="J187" i="14"/>
  <c r="N192" i="20"/>
  <c r="F192" i="20"/>
  <c r="L192" i="20"/>
  <c r="D192" i="20"/>
  <c r="O192" i="20"/>
  <c r="C192" i="20"/>
  <c r="M192" i="20"/>
  <c r="K192" i="20"/>
  <c r="A192" i="20"/>
  <c r="J192" i="20"/>
  <c r="S192" i="20"/>
  <c r="I192" i="20"/>
  <c r="Q192" i="20"/>
  <c r="G192" i="20"/>
  <c r="H192" i="20"/>
  <c r="E192" i="20"/>
  <c r="R192" i="20"/>
  <c r="P192" i="20"/>
  <c r="J195" i="14"/>
  <c r="N200" i="20"/>
  <c r="F200" i="20"/>
  <c r="M200" i="20"/>
  <c r="E200" i="20"/>
  <c r="L200" i="20"/>
  <c r="D200" i="20"/>
  <c r="R200" i="20"/>
  <c r="J200" i="20"/>
  <c r="P200" i="20"/>
  <c r="O200" i="20"/>
  <c r="K200" i="20"/>
  <c r="I200" i="20"/>
  <c r="H200" i="20"/>
  <c r="S200" i="20"/>
  <c r="C200" i="20"/>
  <c r="G200" i="20"/>
  <c r="A200" i="20"/>
  <c r="Q200" i="20"/>
  <c r="J203" i="14"/>
  <c r="N208" i="20"/>
  <c r="F208" i="20"/>
  <c r="M208" i="20"/>
  <c r="E208" i="20"/>
  <c r="L208" i="20"/>
  <c r="D208" i="20"/>
  <c r="R208" i="20"/>
  <c r="J208" i="20"/>
  <c r="H208" i="20"/>
  <c r="G208" i="20"/>
  <c r="S208" i="20"/>
  <c r="C208" i="20"/>
  <c r="Q208" i="20"/>
  <c r="A208" i="20"/>
  <c r="P208" i="20"/>
  <c r="K208" i="20"/>
  <c r="O208" i="20"/>
  <c r="I208" i="20"/>
  <c r="J211" i="14"/>
  <c r="P216" i="20"/>
  <c r="N216" i="20"/>
  <c r="F216" i="20"/>
  <c r="M216" i="20"/>
  <c r="E216" i="20"/>
  <c r="L216" i="20"/>
  <c r="D216" i="20"/>
  <c r="S216" i="20"/>
  <c r="J216" i="20"/>
  <c r="Q216" i="20"/>
  <c r="O216" i="20"/>
  <c r="K216" i="20"/>
  <c r="I216" i="20"/>
  <c r="H216" i="20"/>
  <c r="C216" i="20"/>
  <c r="R216" i="20"/>
  <c r="G216" i="20"/>
  <c r="A216" i="20"/>
  <c r="J219" i="14"/>
  <c r="P224" i="20"/>
  <c r="H224" i="20"/>
  <c r="O224" i="20"/>
  <c r="G224" i="20"/>
  <c r="N224" i="20"/>
  <c r="F224" i="20"/>
  <c r="L224" i="20"/>
  <c r="D224" i="20"/>
  <c r="E224" i="20"/>
  <c r="S224" i="20"/>
  <c r="C224" i="20"/>
  <c r="R224" i="20"/>
  <c r="M224" i="20"/>
  <c r="J224" i="20"/>
  <c r="I224" i="20"/>
  <c r="A224" i="20"/>
  <c r="Q224" i="20"/>
  <c r="K224" i="20"/>
  <c r="J227" i="14"/>
  <c r="M232" i="20"/>
  <c r="L232" i="20"/>
  <c r="D232" i="20"/>
  <c r="R232" i="20"/>
  <c r="J232" i="20"/>
  <c r="N232" i="20"/>
  <c r="A232" i="20"/>
  <c r="K232" i="20"/>
  <c r="I232" i="20"/>
  <c r="H232" i="20"/>
  <c r="S232" i="20"/>
  <c r="G232" i="20"/>
  <c r="P232" i="20"/>
  <c r="E232" i="20"/>
  <c r="Q232" i="20"/>
  <c r="O232" i="20"/>
  <c r="F232" i="20"/>
  <c r="C232" i="20"/>
  <c r="J235" i="14"/>
  <c r="M240" i="20"/>
  <c r="E240" i="20"/>
  <c r="L240" i="20"/>
  <c r="D240" i="20"/>
  <c r="R240" i="20"/>
  <c r="J240" i="20"/>
  <c r="O240" i="20"/>
  <c r="A240" i="20"/>
  <c r="N240" i="20"/>
  <c r="K240" i="20"/>
  <c r="I240" i="20"/>
  <c r="H240" i="20"/>
  <c r="Q240" i="20"/>
  <c r="F240" i="20"/>
  <c r="S240" i="20"/>
  <c r="P240" i="20"/>
  <c r="G240" i="20"/>
  <c r="C240" i="20"/>
  <c r="J243" i="14"/>
  <c r="M248" i="20"/>
  <c r="E248" i="20"/>
  <c r="L248" i="20"/>
  <c r="D248" i="20"/>
  <c r="R248" i="20"/>
  <c r="J248" i="20"/>
  <c r="P248" i="20"/>
  <c r="C248" i="20"/>
  <c r="O248" i="20"/>
  <c r="A248" i="20"/>
  <c r="N248" i="20"/>
  <c r="K248" i="20"/>
  <c r="I248" i="20"/>
  <c r="S248" i="20"/>
  <c r="G248" i="20"/>
  <c r="Q248" i="20"/>
  <c r="H248" i="20"/>
  <c r="F248" i="20"/>
  <c r="J251" i="14"/>
  <c r="M256" i="20"/>
  <c r="E256" i="20"/>
  <c r="L256" i="20"/>
  <c r="D256" i="20"/>
  <c r="R256" i="20"/>
  <c r="J256" i="20"/>
  <c r="P256" i="20"/>
  <c r="H256" i="20"/>
  <c r="N256" i="20"/>
  <c r="F256" i="20"/>
  <c r="A256" i="20"/>
  <c r="S256" i="20"/>
  <c r="Q256" i="20"/>
  <c r="O256" i="20"/>
  <c r="K256" i="20"/>
  <c r="G256" i="20"/>
  <c r="I256" i="20"/>
  <c r="C256" i="20"/>
  <c r="J259" i="14"/>
  <c r="M264" i="20"/>
  <c r="E264" i="20"/>
  <c r="L264" i="20"/>
  <c r="D264" i="20"/>
  <c r="R264" i="20"/>
  <c r="J264" i="20"/>
  <c r="P264" i="20"/>
  <c r="H264" i="20"/>
  <c r="N264" i="20"/>
  <c r="F264" i="20"/>
  <c r="S264" i="20"/>
  <c r="Q264" i="20"/>
  <c r="O264" i="20"/>
  <c r="K264" i="20"/>
  <c r="I264" i="20"/>
  <c r="C264" i="20"/>
  <c r="G264" i="20"/>
  <c r="A264" i="20"/>
  <c r="J267" i="14"/>
  <c r="L272" i="20"/>
  <c r="S272" i="20"/>
  <c r="K272" i="20"/>
  <c r="Q272" i="20"/>
  <c r="I272" i="20"/>
  <c r="O272" i="20"/>
  <c r="G272" i="20"/>
  <c r="E272" i="20"/>
  <c r="R272" i="20"/>
  <c r="D272" i="20"/>
  <c r="N272" i="20"/>
  <c r="J272" i="20"/>
  <c r="F272" i="20"/>
  <c r="P272" i="20"/>
  <c r="M272" i="20"/>
  <c r="H272" i="20"/>
  <c r="A272" i="20"/>
  <c r="C272" i="20"/>
  <c r="J275" i="14"/>
  <c r="L280" i="20"/>
  <c r="D280" i="20"/>
  <c r="S280" i="20"/>
  <c r="K280" i="20"/>
  <c r="C280" i="20"/>
  <c r="Q280" i="20"/>
  <c r="I280" i="20"/>
  <c r="A280" i="20"/>
  <c r="O280" i="20"/>
  <c r="G280" i="20"/>
  <c r="M280" i="20"/>
  <c r="J280" i="20"/>
  <c r="F280" i="20"/>
  <c r="R280" i="20"/>
  <c r="N280" i="20"/>
  <c r="E280" i="20"/>
  <c r="P280" i="20"/>
  <c r="H280" i="20"/>
  <c r="J283" i="14"/>
  <c r="L288" i="20"/>
  <c r="D288" i="20"/>
  <c r="S288" i="20"/>
  <c r="K288" i="20"/>
  <c r="C288" i="20"/>
  <c r="Q288" i="20"/>
  <c r="I288" i="20"/>
  <c r="A288" i="20"/>
  <c r="O288" i="20"/>
  <c r="G288" i="20"/>
  <c r="E288" i="20"/>
  <c r="R288" i="20"/>
  <c r="N288" i="20"/>
  <c r="J288" i="20"/>
  <c r="F288" i="20"/>
  <c r="P288" i="20"/>
  <c r="M288" i="20"/>
  <c r="H288" i="20"/>
  <c r="J291" i="14"/>
  <c r="L296" i="20"/>
  <c r="D296" i="20"/>
  <c r="S296" i="20"/>
  <c r="K296" i="20"/>
  <c r="C296" i="20"/>
  <c r="Q296" i="20"/>
  <c r="I296" i="20"/>
  <c r="A296" i="20"/>
  <c r="O296" i="20"/>
  <c r="G296" i="20"/>
  <c r="M296" i="20"/>
  <c r="J296" i="20"/>
  <c r="F296" i="20"/>
  <c r="R296" i="20"/>
  <c r="N296" i="20"/>
  <c r="H296" i="20"/>
  <c r="P296" i="20"/>
  <c r="E296" i="20"/>
  <c r="J299" i="14"/>
  <c r="L304" i="20"/>
  <c r="D304" i="20"/>
  <c r="S304" i="20"/>
  <c r="K304" i="20"/>
  <c r="C304" i="20"/>
  <c r="Q304" i="20"/>
  <c r="I304" i="20"/>
  <c r="A304" i="20"/>
  <c r="O304" i="20"/>
  <c r="G304" i="20"/>
  <c r="M304" i="20"/>
  <c r="E304" i="20"/>
  <c r="J304" i="20"/>
  <c r="H304" i="20"/>
  <c r="R304" i="20"/>
  <c r="N304" i="20"/>
  <c r="F304" i="20"/>
  <c r="P304" i="20"/>
  <c r="J307" i="14"/>
  <c r="H366" i="15"/>
  <c r="F372" i="15"/>
  <c r="I372" i="15"/>
  <c r="A385" i="15"/>
  <c r="D385" i="15"/>
  <c r="C385" i="15"/>
  <c r="D388" i="15"/>
  <c r="C388" i="15"/>
  <c r="A388" i="15"/>
  <c r="I409" i="15"/>
  <c r="G409" i="15"/>
  <c r="F409" i="15"/>
  <c r="D412" i="15"/>
  <c r="C412" i="15"/>
  <c r="A412" i="15"/>
  <c r="C415" i="15"/>
  <c r="A415" i="15"/>
  <c r="I438" i="15"/>
  <c r="G438" i="15"/>
  <c r="F438" i="15"/>
  <c r="A449" i="15"/>
  <c r="D449" i="15"/>
  <c r="C449" i="15"/>
  <c r="I462" i="15"/>
  <c r="H462" i="15"/>
  <c r="G462" i="15"/>
  <c r="F462" i="15"/>
  <c r="A481" i="15"/>
  <c r="D481" i="15"/>
  <c r="C481" i="15"/>
  <c r="C487" i="15"/>
  <c r="A487" i="15"/>
  <c r="F500" i="15"/>
  <c r="I500" i="15"/>
  <c r="H500" i="15"/>
  <c r="I510" i="15"/>
  <c r="H510" i="15"/>
  <c r="G510" i="15"/>
  <c r="F510" i="15"/>
  <c r="I534" i="15"/>
  <c r="H534" i="15"/>
  <c r="G534" i="15"/>
  <c r="F534" i="15"/>
  <c r="F548" i="15"/>
  <c r="I548" i="15"/>
  <c r="H548" i="15"/>
  <c r="I566" i="15"/>
  <c r="H566" i="15"/>
  <c r="G566" i="15"/>
  <c r="F566" i="15"/>
  <c r="C607" i="15"/>
  <c r="A607" i="15"/>
  <c r="A617" i="15"/>
  <c r="D617" i="15"/>
  <c r="C617" i="15"/>
  <c r="F620" i="15"/>
  <c r="I620" i="15"/>
  <c r="H620" i="15"/>
  <c r="I638" i="15"/>
  <c r="H638" i="15"/>
  <c r="G638" i="15"/>
  <c r="F638" i="15"/>
  <c r="C647" i="15"/>
  <c r="A647" i="15"/>
  <c r="I686" i="15"/>
  <c r="H686" i="15"/>
  <c r="G686" i="15"/>
  <c r="F686" i="15"/>
  <c r="A697" i="15"/>
  <c r="D697" i="15"/>
  <c r="C697" i="15"/>
  <c r="F700" i="15"/>
  <c r="I700" i="15"/>
  <c r="H700" i="15"/>
  <c r="I718" i="15"/>
  <c r="H718" i="15"/>
  <c r="G718" i="15"/>
  <c r="F718" i="15"/>
  <c r="A729" i="15"/>
  <c r="D729" i="15"/>
  <c r="C729" i="15"/>
  <c r="F732" i="15"/>
  <c r="I732" i="15"/>
  <c r="H732" i="15"/>
  <c r="A737" i="15"/>
  <c r="D737" i="15"/>
  <c r="C737" i="15"/>
  <c r="F740" i="15"/>
  <c r="I740" i="15"/>
  <c r="H740" i="15"/>
  <c r="A745" i="15"/>
  <c r="D745" i="15"/>
  <c r="C745" i="15"/>
  <c r="I750" i="15"/>
  <c r="H750" i="15"/>
  <c r="G750" i="15"/>
  <c r="F750" i="15"/>
  <c r="G760" i="15"/>
  <c r="F760" i="15"/>
  <c r="I760" i="15"/>
  <c r="I769" i="15"/>
  <c r="F769" i="15"/>
  <c r="H769" i="15"/>
  <c r="G769" i="15"/>
  <c r="D790" i="15"/>
  <c r="A790" i="15"/>
  <c r="C790" i="15"/>
  <c r="I793" i="15"/>
  <c r="F793" i="15"/>
  <c r="G793" i="15"/>
  <c r="D798" i="15"/>
  <c r="A798" i="15"/>
  <c r="C798" i="15"/>
  <c r="I809" i="15"/>
  <c r="F809" i="15"/>
  <c r="G809" i="15"/>
  <c r="H836" i="15"/>
  <c r="F836" i="15"/>
  <c r="I836" i="15"/>
  <c r="G836" i="15"/>
  <c r="C841" i="15"/>
  <c r="A841" i="15"/>
  <c r="D841" i="15"/>
  <c r="F854" i="15"/>
  <c r="I854" i="15"/>
  <c r="H854" i="15"/>
  <c r="G854" i="15"/>
  <c r="D870" i="15"/>
  <c r="A870" i="15"/>
  <c r="C870" i="15"/>
  <c r="C887" i="15"/>
  <c r="A887" i="15"/>
  <c r="D887" i="15"/>
  <c r="F902" i="15"/>
  <c r="I902" i="15"/>
  <c r="G902" i="15"/>
  <c r="I931" i="15"/>
  <c r="G931" i="15"/>
  <c r="F931" i="15"/>
  <c r="C935" i="15"/>
  <c r="D935" i="15"/>
  <c r="A935" i="15"/>
  <c r="H948" i="15"/>
  <c r="F948" i="15"/>
  <c r="G948" i="15"/>
  <c r="C953" i="15"/>
  <c r="A953" i="15"/>
  <c r="D953" i="15"/>
  <c r="A963" i="15"/>
  <c r="D963" i="15"/>
  <c r="C963" i="15"/>
  <c r="G984" i="15"/>
  <c r="I984" i="15"/>
  <c r="H984" i="15"/>
  <c r="F984" i="15"/>
  <c r="C988" i="15"/>
  <c r="D988" i="15"/>
  <c r="A988" i="15"/>
  <c r="A995" i="15"/>
  <c r="D995" i="15"/>
  <c r="C995" i="15"/>
  <c r="I182" i="16"/>
  <c r="A182" i="16"/>
  <c r="H182" i="16"/>
  <c r="G182" i="16"/>
  <c r="N182" i="16"/>
  <c r="F182" i="16"/>
  <c r="L182" i="16"/>
  <c r="D182" i="16"/>
  <c r="M182" i="16"/>
  <c r="K182" i="16"/>
  <c r="J182" i="16"/>
  <c r="E182" i="16"/>
  <c r="C182" i="16"/>
  <c r="N433" i="16"/>
  <c r="F433" i="16"/>
  <c r="H433" i="16"/>
  <c r="K433" i="16"/>
  <c r="A433" i="16"/>
  <c r="J433" i="16"/>
  <c r="I433" i="16"/>
  <c r="G433" i="16"/>
  <c r="E433" i="16"/>
  <c r="D433" i="16"/>
  <c r="M433" i="16"/>
  <c r="C433" i="16"/>
  <c r="L433" i="16"/>
  <c r="A731" i="15"/>
  <c r="I731" i="15"/>
  <c r="A739" i="15"/>
  <c r="I739" i="15"/>
  <c r="A747" i="15"/>
  <c r="A763" i="15"/>
  <c r="D777" i="15"/>
  <c r="H780" i="15"/>
  <c r="G791" i="15"/>
  <c r="A794" i="15"/>
  <c r="A795" i="15"/>
  <c r="A804" i="15"/>
  <c r="A811" i="15"/>
  <c r="D811" i="15"/>
  <c r="H812" i="15"/>
  <c r="F812" i="15"/>
  <c r="C817" i="15"/>
  <c r="A817" i="15"/>
  <c r="F830" i="15"/>
  <c r="I830" i="15"/>
  <c r="H832" i="15"/>
  <c r="A839" i="15"/>
  <c r="D846" i="15"/>
  <c r="A846" i="15"/>
  <c r="I859" i="15"/>
  <c r="G859" i="15"/>
  <c r="I865" i="15"/>
  <c r="F865" i="15"/>
  <c r="A868" i="15"/>
  <c r="A875" i="15"/>
  <c r="D875" i="15"/>
  <c r="H876" i="15"/>
  <c r="F876" i="15"/>
  <c r="C881" i="15"/>
  <c r="A881" i="15"/>
  <c r="F894" i="15"/>
  <c r="I894" i="15"/>
  <c r="H896" i="15"/>
  <c r="A903" i="15"/>
  <c r="D910" i="15"/>
  <c r="A910" i="15"/>
  <c r="I923" i="15"/>
  <c r="G923" i="15"/>
  <c r="I929" i="15"/>
  <c r="F929" i="15"/>
  <c r="A932" i="15"/>
  <c r="A939" i="15"/>
  <c r="D939" i="15"/>
  <c r="H940" i="15"/>
  <c r="F940" i="15"/>
  <c r="C945" i="15"/>
  <c r="A945" i="15"/>
  <c r="F958" i="15"/>
  <c r="I958" i="15"/>
  <c r="H960" i="15"/>
  <c r="A967" i="15"/>
  <c r="A972" i="15"/>
  <c r="I979" i="15"/>
  <c r="H979" i="15"/>
  <c r="G979" i="15"/>
  <c r="D982" i="15"/>
  <c r="A982" i="15"/>
  <c r="A987" i="15"/>
  <c r="D987" i="15"/>
  <c r="I992" i="15"/>
  <c r="G992" i="15"/>
  <c r="D998" i="15"/>
  <c r="C998" i="15"/>
  <c r="A998" i="15"/>
  <c r="A1004" i="15"/>
  <c r="I26" i="16"/>
  <c r="A26" i="16"/>
  <c r="H26" i="16"/>
  <c r="G26" i="16"/>
  <c r="N26" i="16"/>
  <c r="F26" i="16"/>
  <c r="L26" i="16"/>
  <c r="D26" i="16"/>
  <c r="E30" i="16"/>
  <c r="K34" i="16"/>
  <c r="K38" i="16"/>
  <c r="K42" i="16"/>
  <c r="K46" i="16"/>
  <c r="K50" i="16"/>
  <c r="K54" i="16"/>
  <c r="K58" i="16"/>
  <c r="K62" i="16"/>
  <c r="K66" i="16"/>
  <c r="K70" i="16"/>
  <c r="K74" i="16"/>
  <c r="I82" i="16"/>
  <c r="A82" i="16"/>
  <c r="H82" i="16"/>
  <c r="G82" i="16"/>
  <c r="N82" i="16"/>
  <c r="F82" i="16"/>
  <c r="L82" i="16"/>
  <c r="D82" i="16"/>
  <c r="E86" i="16"/>
  <c r="K90" i="16"/>
  <c r="I98" i="16"/>
  <c r="A98" i="16"/>
  <c r="H98" i="16"/>
  <c r="G98" i="16"/>
  <c r="N98" i="16"/>
  <c r="F98" i="16"/>
  <c r="L98" i="16"/>
  <c r="D98" i="16"/>
  <c r="E102" i="16"/>
  <c r="K106" i="16"/>
  <c r="I114" i="16"/>
  <c r="A114" i="16"/>
  <c r="H114" i="16"/>
  <c r="G114" i="16"/>
  <c r="N114" i="16"/>
  <c r="F114" i="16"/>
  <c r="L114" i="16"/>
  <c r="D114" i="16"/>
  <c r="E118" i="16"/>
  <c r="K122" i="16"/>
  <c r="I130" i="16"/>
  <c r="A130" i="16"/>
  <c r="H130" i="16"/>
  <c r="G130" i="16"/>
  <c r="N130" i="16"/>
  <c r="F130" i="16"/>
  <c r="L130" i="16"/>
  <c r="D130" i="16"/>
  <c r="E134" i="16"/>
  <c r="K138" i="16"/>
  <c r="I146" i="16"/>
  <c r="A146" i="16"/>
  <c r="H146" i="16"/>
  <c r="G146" i="16"/>
  <c r="N146" i="16"/>
  <c r="F146" i="16"/>
  <c r="L146" i="16"/>
  <c r="D146" i="16"/>
  <c r="E150" i="16"/>
  <c r="K154" i="16"/>
  <c r="I162" i="16"/>
  <c r="A162" i="16"/>
  <c r="H162" i="16"/>
  <c r="G162" i="16"/>
  <c r="N162" i="16"/>
  <c r="F162" i="16"/>
  <c r="L162" i="16"/>
  <c r="D162" i="16"/>
  <c r="E166" i="16"/>
  <c r="J186" i="16"/>
  <c r="F383" i="15"/>
  <c r="F391" i="15"/>
  <c r="F399" i="15"/>
  <c r="F407" i="15"/>
  <c r="F415" i="15"/>
  <c r="F423" i="15"/>
  <c r="F431" i="15"/>
  <c r="F439" i="15"/>
  <c r="F447" i="15"/>
  <c r="A452" i="15"/>
  <c r="F455" i="15"/>
  <c r="A460" i="15"/>
  <c r="F463" i="15"/>
  <c r="A468" i="15"/>
  <c r="F471" i="15"/>
  <c r="A476" i="15"/>
  <c r="F479" i="15"/>
  <c r="A484" i="15"/>
  <c r="F487" i="15"/>
  <c r="A492" i="15"/>
  <c r="F495" i="15"/>
  <c r="A500" i="15"/>
  <c r="F503" i="15"/>
  <c r="A508" i="15"/>
  <c r="F511" i="15"/>
  <c r="A516" i="15"/>
  <c r="F519" i="15"/>
  <c r="A524" i="15"/>
  <c r="F527" i="15"/>
  <c r="A532" i="15"/>
  <c r="F535" i="15"/>
  <c r="A540" i="15"/>
  <c r="F543" i="15"/>
  <c r="A548" i="15"/>
  <c r="F551" i="15"/>
  <c r="A556" i="15"/>
  <c r="F559" i="15"/>
  <c r="A564" i="15"/>
  <c r="F567" i="15"/>
  <c r="A572" i="15"/>
  <c r="F575" i="15"/>
  <c r="A580" i="15"/>
  <c r="F583" i="15"/>
  <c r="C586" i="15"/>
  <c r="F591" i="15"/>
  <c r="C594" i="15"/>
  <c r="F599" i="15"/>
  <c r="C602" i="15"/>
  <c r="F607" i="15"/>
  <c r="C610" i="15"/>
  <c r="F615" i="15"/>
  <c r="C618" i="15"/>
  <c r="F623" i="15"/>
  <c r="C626" i="15"/>
  <c r="F631" i="15"/>
  <c r="C634" i="15"/>
  <c r="F639" i="15"/>
  <c r="C642" i="15"/>
  <c r="F647" i="15"/>
  <c r="C650" i="15"/>
  <c r="F655" i="15"/>
  <c r="C658" i="15"/>
  <c r="F663" i="15"/>
  <c r="C666" i="15"/>
  <c r="F671" i="15"/>
  <c r="C674" i="15"/>
  <c r="F679" i="15"/>
  <c r="C682" i="15"/>
  <c r="F687" i="15"/>
  <c r="C690" i="15"/>
  <c r="F695" i="15"/>
  <c r="C698" i="15"/>
  <c r="F703" i="15"/>
  <c r="C706" i="15"/>
  <c r="F711" i="15"/>
  <c r="C714" i="15"/>
  <c r="F719" i="15"/>
  <c r="C722" i="15"/>
  <c r="F727" i="15"/>
  <c r="D774" i="15"/>
  <c r="A774" i="15"/>
  <c r="I777" i="15"/>
  <c r="F777" i="15"/>
  <c r="F806" i="15"/>
  <c r="I806" i="15"/>
  <c r="D822" i="15"/>
  <c r="A822" i="15"/>
  <c r="I835" i="15"/>
  <c r="G835" i="15"/>
  <c r="I841" i="15"/>
  <c r="F841" i="15"/>
  <c r="A851" i="15"/>
  <c r="D851" i="15"/>
  <c r="H852" i="15"/>
  <c r="F852" i="15"/>
  <c r="C857" i="15"/>
  <c r="A857" i="15"/>
  <c r="F870" i="15"/>
  <c r="I870" i="15"/>
  <c r="D886" i="15"/>
  <c r="A886" i="15"/>
  <c r="I899" i="15"/>
  <c r="G899" i="15"/>
  <c r="I905" i="15"/>
  <c r="F905" i="15"/>
  <c r="A915" i="15"/>
  <c r="D915" i="15"/>
  <c r="H916" i="15"/>
  <c r="F916" i="15"/>
  <c r="C921" i="15"/>
  <c r="A921" i="15"/>
  <c r="F934" i="15"/>
  <c r="I934" i="15"/>
  <c r="D950" i="15"/>
  <c r="A950" i="15"/>
  <c r="I963" i="15"/>
  <c r="G963" i="15"/>
  <c r="I969" i="15"/>
  <c r="F969" i="15"/>
  <c r="I995" i="15"/>
  <c r="H995" i="15"/>
  <c r="G995" i="15"/>
  <c r="F995" i="15"/>
  <c r="I1009" i="15"/>
  <c r="H1009" i="15"/>
  <c r="F1009" i="15"/>
  <c r="C26" i="16"/>
  <c r="J30" i="16"/>
  <c r="C82" i="16"/>
  <c r="J86" i="16"/>
  <c r="C98" i="16"/>
  <c r="J102" i="16"/>
  <c r="C114" i="16"/>
  <c r="J118" i="16"/>
  <c r="C130" i="16"/>
  <c r="J134" i="16"/>
  <c r="C146" i="16"/>
  <c r="J150" i="16"/>
  <c r="C162" i="16"/>
  <c r="J166" i="16"/>
  <c r="I178" i="16"/>
  <c r="A178" i="16"/>
  <c r="H178" i="16"/>
  <c r="G178" i="16"/>
  <c r="N178" i="16"/>
  <c r="F178" i="16"/>
  <c r="L178" i="16"/>
  <c r="D178" i="16"/>
  <c r="I194" i="16"/>
  <c r="A194" i="16"/>
  <c r="H194" i="16"/>
  <c r="G194" i="16"/>
  <c r="N194" i="16"/>
  <c r="F194" i="16"/>
  <c r="L194" i="16"/>
  <c r="D194" i="16"/>
  <c r="L440" i="16"/>
  <c r="D440" i="16"/>
  <c r="N440" i="16"/>
  <c r="F440" i="16"/>
  <c r="K440" i="16"/>
  <c r="A440" i="16"/>
  <c r="J440" i="16"/>
  <c r="I440" i="16"/>
  <c r="H440" i="16"/>
  <c r="G440" i="16"/>
  <c r="E440" i="16"/>
  <c r="C440" i="16"/>
  <c r="K773" i="16"/>
  <c r="C773" i="16"/>
  <c r="H773" i="16"/>
  <c r="I773" i="16"/>
  <c r="G773" i="16"/>
  <c r="F773" i="16"/>
  <c r="E773" i="16"/>
  <c r="N773" i="16"/>
  <c r="D773" i="16"/>
  <c r="L773" i="16"/>
  <c r="A773" i="16"/>
  <c r="M773" i="16"/>
  <c r="J773" i="16"/>
  <c r="F584" i="15"/>
  <c r="C587" i="15"/>
  <c r="G591" i="15"/>
  <c r="F592" i="15"/>
  <c r="C595" i="15"/>
  <c r="G599" i="15"/>
  <c r="F600" i="15"/>
  <c r="C603" i="15"/>
  <c r="G607" i="15"/>
  <c r="F608" i="15"/>
  <c r="C611" i="15"/>
  <c r="G615" i="15"/>
  <c r="F616" i="15"/>
  <c r="C619" i="15"/>
  <c r="G623" i="15"/>
  <c r="F624" i="15"/>
  <c r="C627" i="15"/>
  <c r="G631" i="15"/>
  <c r="F632" i="15"/>
  <c r="C635" i="15"/>
  <c r="G639" i="15"/>
  <c r="F640" i="15"/>
  <c r="C643" i="15"/>
  <c r="G647" i="15"/>
  <c r="F648" i="15"/>
  <c r="C651" i="15"/>
  <c r="G655" i="15"/>
  <c r="F656" i="15"/>
  <c r="C659" i="15"/>
  <c r="G663" i="15"/>
  <c r="F664" i="15"/>
  <c r="C667" i="15"/>
  <c r="G671" i="15"/>
  <c r="F672" i="15"/>
  <c r="C675" i="15"/>
  <c r="G679" i="15"/>
  <c r="F680" i="15"/>
  <c r="C683" i="15"/>
  <c r="G687" i="15"/>
  <c r="F688" i="15"/>
  <c r="C691" i="15"/>
  <c r="G695" i="15"/>
  <c r="F696" i="15"/>
  <c r="C699" i="15"/>
  <c r="G703" i="15"/>
  <c r="F704" i="15"/>
  <c r="C707" i="15"/>
  <c r="G711" i="15"/>
  <c r="F712" i="15"/>
  <c r="C715" i="15"/>
  <c r="G719" i="15"/>
  <c r="F720" i="15"/>
  <c r="C723" i="15"/>
  <c r="G727" i="15"/>
  <c r="F728" i="15"/>
  <c r="C731" i="15"/>
  <c r="F736" i="15"/>
  <c r="C739" i="15"/>
  <c r="F744" i="15"/>
  <c r="C747" i="15"/>
  <c r="F752" i="15"/>
  <c r="F753" i="15"/>
  <c r="C761" i="15"/>
  <c r="C763" i="15"/>
  <c r="F766" i="15"/>
  <c r="C774" i="15"/>
  <c r="G777" i="15"/>
  <c r="F787" i="15"/>
  <c r="C794" i="15"/>
  <c r="C795" i="15"/>
  <c r="F798" i="15"/>
  <c r="D804" i="15"/>
  <c r="G806" i="15"/>
  <c r="I811" i="15"/>
  <c r="G811" i="15"/>
  <c r="I817" i="15"/>
  <c r="F817" i="15"/>
  <c r="C822" i="15"/>
  <c r="F824" i="15"/>
  <c r="A827" i="15"/>
  <c r="D827" i="15"/>
  <c r="H828" i="15"/>
  <c r="F828" i="15"/>
  <c r="C833" i="15"/>
  <c r="A833" i="15"/>
  <c r="F835" i="15"/>
  <c r="D839" i="15"/>
  <c r="G841" i="15"/>
  <c r="F846" i="15"/>
  <c r="I846" i="15"/>
  <c r="C851" i="15"/>
  <c r="G852" i="15"/>
  <c r="D857" i="15"/>
  <c r="D862" i="15"/>
  <c r="A862" i="15"/>
  <c r="D868" i="15"/>
  <c r="G870" i="15"/>
  <c r="I875" i="15"/>
  <c r="G875" i="15"/>
  <c r="I881" i="15"/>
  <c r="F881" i="15"/>
  <c r="C886" i="15"/>
  <c r="F888" i="15"/>
  <c r="A891" i="15"/>
  <c r="D891" i="15"/>
  <c r="H892" i="15"/>
  <c r="F892" i="15"/>
  <c r="C897" i="15"/>
  <c r="A897" i="15"/>
  <c r="F899" i="15"/>
  <c r="D903" i="15"/>
  <c r="G905" i="15"/>
  <c r="F910" i="15"/>
  <c r="I910" i="15"/>
  <c r="C915" i="15"/>
  <c r="G916" i="15"/>
  <c r="D921" i="15"/>
  <c r="D926" i="15"/>
  <c r="A926" i="15"/>
  <c r="D932" i="15"/>
  <c r="G934" i="15"/>
  <c r="I939" i="15"/>
  <c r="G939" i="15"/>
  <c r="I945" i="15"/>
  <c r="F945" i="15"/>
  <c r="C950" i="15"/>
  <c r="F952" i="15"/>
  <c r="A955" i="15"/>
  <c r="D955" i="15"/>
  <c r="H956" i="15"/>
  <c r="F956" i="15"/>
  <c r="C961" i="15"/>
  <c r="A961" i="15"/>
  <c r="F963" i="15"/>
  <c r="D967" i="15"/>
  <c r="G969" i="15"/>
  <c r="D972" i="15"/>
  <c r="I987" i="15"/>
  <c r="H987" i="15"/>
  <c r="G987" i="15"/>
  <c r="D990" i="15"/>
  <c r="C990" i="15"/>
  <c r="A990" i="15"/>
  <c r="D1004" i="15"/>
  <c r="G1009" i="15"/>
  <c r="E26" i="16"/>
  <c r="K30" i="16"/>
  <c r="I78" i="16"/>
  <c r="A78" i="16"/>
  <c r="H78" i="16"/>
  <c r="G78" i="16"/>
  <c r="N78" i="16"/>
  <c r="F78" i="16"/>
  <c r="L78" i="16"/>
  <c r="D78" i="16"/>
  <c r="K86" i="16"/>
  <c r="I94" i="16"/>
  <c r="A94" i="16"/>
  <c r="H94" i="16"/>
  <c r="G94" i="16"/>
  <c r="N94" i="16"/>
  <c r="F94" i="16"/>
  <c r="L94" i="16"/>
  <c r="D94" i="16"/>
  <c r="K102" i="16"/>
  <c r="I110" i="16"/>
  <c r="A110" i="16"/>
  <c r="H110" i="16"/>
  <c r="G110" i="16"/>
  <c r="N110" i="16"/>
  <c r="F110" i="16"/>
  <c r="L110" i="16"/>
  <c r="D110" i="16"/>
  <c r="K118" i="16"/>
  <c r="I126" i="16"/>
  <c r="A126" i="16"/>
  <c r="H126" i="16"/>
  <c r="G126" i="16"/>
  <c r="N126" i="16"/>
  <c r="F126" i="16"/>
  <c r="L126" i="16"/>
  <c r="D126" i="16"/>
  <c r="K134" i="16"/>
  <c r="I142" i="16"/>
  <c r="A142" i="16"/>
  <c r="H142" i="16"/>
  <c r="G142" i="16"/>
  <c r="N142" i="16"/>
  <c r="F142" i="16"/>
  <c r="L142" i="16"/>
  <c r="D142" i="16"/>
  <c r="K150" i="16"/>
  <c r="I158" i="16"/>
  <c r="A158" i="16"/>
  <c r="H158" i="16"/>
  <c r="G158" i="16"/>
  <c r="N158" i="16"/>
  <c r="F158" i="16"/>
  <c r="L158" i="16"/>
  <c r="D158" i="16"/>
  <c r="K166" i="16"/>
  <c r="N829" i="16"/>
  <c r="F829" i="16"/>
  <c r="L829" i="16"/>
  <c r="D829" i="16"/>
  <c r="K829" i="16"/>
  <c r="C829" i="16"/>
  <c r="H829" i="16"/>
  <c r="M829" i="16"/>
  <c r="J829" i="16"/>
  <c r="I829" i="16"/>
  <c r="G829" i="16"/>
  <c r="E829" i="16"/>
  <c r="A829" i="16"/>
  <c r="A366" i="15"/>
  <c r="A374" i="15"/>
  <c r="G376" i="15"/>
  <c r="A382" i="15"/>
  <c r="H383" i="15"/>
  <c r="G384" i="15"/>
  <c r="A390" i="15"/>
  <c r="H391" i="15"/>
  <c r="G392" i="15"/>
  <c r="A398" i="15"/>
  <c r="H399" i="15"/>
  <c r="G400" i="15"/>
  <c r="H407" i="15"/>
  <c r="G408" i="15"/>
  <c r="H415" i="15"/>
  <c r="G416" i="15"/>
  <c r="H423" i="15"/>
  <c r="G424" i="15"/>
  <c r="H431" i="15"/>
  <c r="G432" i="15"/>
  <c r="H439" i="15"/>
  <c r="G440" i="15"/>
  <c r="H447" i="15"/>
  <c r="G448" i="15"/>
  <c r="F449" i="15"/>
  <c r="C452" i="15"/>
  <c r="H455" i="15"/>
  <c r="G456" i="15"/>
  <c r="F457" i="15"/>
  <c r="C460" i="15"/>
  <c r="H463" i="15"/>
  <c r="G464" i="15"/>
  <c r="F465" i="15"/>
  <c r="C468" i="15"/>
  <c r="A470" i="15"/>
  <c r="H471" i="15"/>
  <c r="G472" i="15"/>
  <c r="F473" i="15"/>
  <c r="C476" i="15"/>
  <c r="A478" i="15"/>
  <c r="H479" i="15"/>
  <c r="G480" i="15"/>
  <c r="F481" i="15"/>
  <c r="C484" i="15"/>
  <c r="A486" i="15"/>
  <c r="H487" i="15"/>
  <c r="G488" i="15"/>
  <c r="F489" i="15"/>
  <c r="C492" i="15"/>
  <c r="A494" i="15"/>
  <c r="H495" i="15"/>
  <c r="G496" i="15"/>
  <c r="F497" i="15"/>
  <c r="C500" i="15"/>
  <c r="A502" i="15"/>
  <c r="H503" i="15"/>
  <c r="G504" i="15"/>
  <c r="F505" i="15"/>
  <c r="C508" i="15"/>
  <c r="A510" i="15"/>
  <c r="H511" i="15"/>
  <c r="G512" i="15"/>
  <c r="F513" i="15"/>
  <c r="C516" i="15"/>
  <c r="A518" i="15"/>
  <c r="H519" i="15"/>
  <c r="G520" i="15"/>
  <c r="F521" i="15"/>
  <c r="C524" i="15"/>
  <c r="A526" i="15"/>
  <c r="H527" i="15"/>
  <c r="G528" i="15"/>
  <c r="F529" i="15"/>
  <c r="C532" i="15"/>
  <c r="A534" i="15"/>
  <c r="H535" i="15"/>
  <c r="G536" i="15"/>
  <c r="F537" i="15"/>
  <c r="C540" i="15"/>
  <c r="A542" i="15"/>
  <c r="H543" i="15"/>
  <c r="G544" i="15"/>
  <c r="F545" i="15"/>
  <c r="C548" i="15"/>
  <c r="A550" i="15"/>
  <c r="H551" i="15"/>
  <c r="G552" i="15"/>
  <c r="F553" i="15"/>
  <c r="C556" i="15"/>
  <c r="A558" i="15"/>
  <c r="H559" i="15"/>
  <c r="G560" i="15"/>
  <c r="F561" i="15"/>
  <c r="C564" i="15"/>
  <c r="A566" i="15"/>
  <c r="H567" i="15"/>
  <c r="G568" i="15"/>
  <c r="F569" i="15"/>
  <c r="C572" i="15"/>
  <c r="A574" i="15"/>
  <c r="H575" i="15"/>
  <c r="G576" i="15"/>
  <c r="F577" i="15"/>
  <c r="C580" i="15"/>
  <c r="H583" i="15"/>
  <c r="G584" i="15"/>
  <c r="F585" i="15"/>
  <c r="C588" i="15"/>
  <c r="H591" i="15"/>
  <c r="G592" i="15"/>
  <c r="F593" i="15"/>
  <c r="C596" i="15"/>
  <c r="A598" i="15"/>
  <c r="H599" i="15"/>
  <c r="G600" i="15"/>
  <c r="F601" i="15"/>
  <c r="C604" i="15"/>
  <c r="A606" i="15"/>
  <c r="H607" i="15"/>
  <c r="G608" i="15"/>
  <c r="F609" i="15"/>
  <c r="C612" i="15"/>
  <c r="H615" i="15"/>
  <c r="G616" i="15"/>
  <c r="F617" i="15"/>
  <c r="C620" i="15"/>
  <c r="A622" i="15"/>
  <c r="H623" i="15"/>
  <c r="G624" i="15"/>
  <c r="F625" i="15"/>
  <c r="C628" i="15"/>
  <c r="A630" i="15"/>
  <c r="H631" i="15"/>
  <c r="G632" i="15"/>
  <c r="F633" i="15"/>
  <c r="C636" i="15"/>
  <c r="A638" i="15"/>
  <c r="H639" i="15"/>
  <c r="G640" i="15"/>
  <c r="F641" i="15"/>
  <c r="C644" i="15"/>
  <c r="A646" i="15"/>
  <c r="H647" i="15"/>
  <c r="G648" i="15"/>
  <c r="F649" i="15"/>
  <c r="C652" i="15"/>
  <c r="A654" i="15"/>
  <c r="H655" i="15"/>
  <c r="G656" i="15"/>
  <c r="F657" i="15"/>
  <c r="C660" i="15"/>
  <c r="H663" i="15"/>
  <c r="G664" i="15"/>
  <c r="F665" i="15"/>
  <c r="C668" i="15"/>
  <c r="A670" i="15"/>
  <c r="H671" i="15"/>
  <c r="G672" i="15"/>
  <c r="F673" i="15"/>
  <c r="C676" i="15"/>
  <c r="A678" i="15"/>
  <c r="H679" i="15"/>
  <c r="G680" i="15"/>
  <c r="F681" i="15"/>
  <c r="C684" i="15"/>
  <c r="A686" i="15"/>
  <c r="H687" i="15"/>
  <c r="G688" i="15"/>
  <c r="F689" i="15"/>
  <c r="C692" i="15"/>
  <c r="A694" i="15"/>
  <c r="H695" i="15"/>
  <c r="G696" i="15"/>
  <c r="F697" i="15"/>
  <c r="C700" i="15"/>
  <c r="A702" i="15"/>
  <c r="H703" i="15"/>
  <c r="G704" i="15"/>
  <c r="F705" i="15"/>
  <c r="C708" i="15"/>
  <c r="A710" i="15"/>
  <c r="H711" i="15"/>
  <c r="G712" i="15"/>
  <c r="F713" i="15"/>
  <c r="C716" i="15"/>
  <c r="A718" i="15"/>
  <c r="H719" i="15"/>
  <c r="G720" i="15"/>
  <c r="F721" i="15"/>
  <c r="C724" i="15"/>
  <c r="A726" i="15"/>
  <c r="H727" i="15"/>
  <c r="G728" i="15"/>
  <c r="F729" i="15"/>
  <c r="C732" i="15"/>
  <c r="A734" i="15"/>
  <c r="H735" i="15"/>
  <c r="G736" i="15"/>
  <c r="F737" i="15"/>
  <c r="C740" i="15"/>
  <c r="A742" i="15"/>
  <c r="H743" i="15"/>
  <c r="G744" i="15"/>
  <c r="F745" i="15"/>
  <c r="C748" i="15"/>
  <c r="H751" i="15"/>
  <c r="G752" i="15"/>
  <c r="G753" i="15"/>
  <c r="I755" i="15"/>
  <c r="D761" i="15"/>
  <c r="G764" i="15"/>
  <c r="G766" i="15"/>
  <c r="I767" i="15"/>
  <c r="I768" i="15"/>
  <c r="D772" i="15"/>
  <c r="F775" i="15"/>
  <c r="F776" i="15"/>
  <c r="H777" i="15"/>
  <c r="A780" i="15"/>
  <c r="D782" i="15"/>
  <c r="A782" i="15"/>
  <c r="D783" i="15"/>
  <c r="I785" i="15"/>
  <c r="F785" i="15"/>
  <c r="H787" i="15"/>
  <c r="I788" i="15"/>
  <c r="A791" i="15"/>
  <c r="C793" i="15"/>
  <c r="G796" i="15"/>
  <c r="G798" i="15"/>
  <c r="I799" i="15"/>
  <c r="H804" i="15"/>
  <c r="F804" i="15"/>
  <c r="H806" i="15"/>
  <c r="C809" i="15"/>
  <c r="A809" i="15"/>
  <c r="F811" i="15"/>
  <c r="D815" i="15"/>
  <c r="G817" i="15"/>
  <c r="F822" i="15"/>
  <c r="I822" i="15"/>
  <c r="H824" i="15"/>
  <c r="C827" i="15"/>
  <c r="G828" i="15"/>
  <c r="D833" i="15"/>
  <c r="H835" i="15"/>
  <c r="D838" i="15"/>
  <c r="A838" i="15"/>
  <c r="H841" i="15"/>
  <c r="D844" i="15"/>
  <c r="G846" i="15"/>
  <c r="I851" i="15"/>
  <c r="G851" i="15"/>
  <c r="I852" i="15"/>
  <c r="I857" i="15"/>
  <c r="F857" i="15"/>
  <c r="C862" i="15"/>
  <c r="F864" i="15"/>
  <c r="A867" i="15"/>
  <c r="D867" i="15"/>
  <c r="H868" i="15"/>
  <c r="F868" i="15"/>
  <c r="H870" i="15"/>
  <c r="C873" i="15"/>
  <c r="A873" i="15"/>
  <c r="F875" i="15"/>
  <c r="D879" i="15"/>
  <c r="G881" i="15"/>
  <c r="F886" i="15"/>
  <c r="I886" i="15"/>
  <c r="H888" i="15"/>
  <c r="C891" i="15"/>
  <c r="G892" i="15"/>
  <c r="D897" i="15"/>
  <c r="H899" i="15"/>
  <c r="D902" i="15"/>
  <c r="A902" i="15"/>
  <c r="H905" i="15"/>
  <c r="D908" i="15"/>
  <c r="G910" i="15"/>
  <c r="I915" i="15"/>
  <c r="G915" i="15"/>
  <c r="I916" i="15"/>
  <c r="I921" i="15"/>
  <c r="F921" i="15"/>
  <c r="C926" i="15"/>
  <c r="F928" i="15"/>
  <c r="A931" i="15"/>
  <c r="D931" i="15"/>
  <c r="H932" i="15"/>
  <c r="F932" i="15"/>
  <c r="H934" i="15"/>
  <c r="C937" i="15"/>
  <c r="A937" i="15"/>
  <c r="F939" i="15"/>
  <c r="D943" i="15"/>
  <c r="G945" i="15"/>
  <c r="F950" i="15"/>
  <c r="I950" i="15"/>
  <c r="H952" i="15"/>
  <c r="C955" i="15"/>
  <c r="G956" i="15"/>
  <c r="D961" i="15"/>
  <c r="H963" i="15"/>
  <c r="D966" i="15"/>
  <c r="A966" i="15"/>
  <c r="H969" i="15"/>
  <c r="H972" i="15"/>
  <c r="G972" i="15"/>
  <c r="F972" i="15"/>
  <c r="I977" i="15"/>
  <c r="F977" i="15"/>
  <c r="F987" i="15"/>
  <c r="I1001" i="15"/>
  <c r="H1001" i="15"/>
  <c r="F1001" i="15"/>
  <c r="I6" i="16"/>
  <c r="J6" i="16" s="1"/>
  <c r="A6" i="16"/>
  <c r="H6" i="16"/>
  <c r="G6" i="16"/>
  <c r="N6" i="16"/>
  <c r="F6" i="16"/>
  <c r="I10" i="16"/>
  <c r="J10" i="16" s="1"/>
  <c r="A10" i="16"/>
  <c r="H10" i="16"/>
  <c r="G10" i="16"/>
  <c r="N10" i="16"/>
  <c r="F10" i="16"/>
  <c r="I14" i="16"/>
  <c r="A14" i="16"/>
  <c r="H14" i="16"/>
  <c r="G14" i="16"/>
  <c r="N14" i="16"/>
  <c r="F14" i="16"/>
  <c r="I18" i="16"/>
  <c r="J18" i="16" s="1"/>
  <c r="A18" i="16"/>
  <c r="G18" i="16"/>
  <c r="N18" i="16"/>
  <c r="F18" i="16"/>
  <c r="H18" i="16" s="1"/>
  <c r="I22" i="16"/>
  <c r="J22" i="16" s="1"/>
  <c r="A22" i="16"/>
  <c r="G22" i="16"/>
  <c r="N22" i="16"/>
  <c r="F22" i="16"/>
  <c r="H22" i="16" s="1"/>
  <c r="J26" i="16"/>
  <c r="C78" i="16"/>
  <c r="J82" i="16"/>
  <c r="C94" i="16"/>
  <c r="J98" i="16"/>
  <c r="C110" i="16"/>
  <c r="J114" i="16"/>
  <c r="C126" i="16"/>
  <c r="J130" i="16"/>
  <c r="C142" i="16"/>
  <c r="J146" i="16"/>
  <c r="C158" i="16"/>
  <c r="J162" i="16"/>
  <c r="I174" i="16"/>
  <c r="A174" i="16"/>
  <c r="H174" i="16"/>
  <c r="G174" i="16"/>
  <c r="N174" i="16"/>
  <c r="F174" i="16"/>
  <c r="L174" i="16"/>
  <c r="D174" i="16"/>
  <c r="E178" i="16"/>
  <c r="I190" i="16"/>
  <c r="A190" i="16"/>
  <c r="H190" i="16"/>
  <c r="G190" i="16"/>
  <c r="N190" i="16"/>
  <c r="F190" i="16"/>
  <c r="L190" i="16"/>
  <c r="D190" i="16"/>
  <c r="E194" i="16"/>
  <c r="F362" i="15"/>
  <c r="F378" i="15"/>
  <c r="F386" i="15"/>
  <c r="F394" i="15"/>
  <c r="F402" i="15"/>
  <c r="F410" i="15"/>
  <c r="F418" i="15"/>
  <c r="F426" i="15"/>
  <c r="F434" i="15"/>
  <c r="F442" i="15"/>
  <c r="G449" i="15"/>
  <c r="F450" i="15"/>
  <c r="G457" i="15"/>
  <c r="F458" i="15"/>
  <c r="G465" i="15"/>
  <c r="F466" i="15"/>
  <c r="G473" i="15"/>
  <c r="G481" i="15"/>
  <c r="G489" i="15"/>
  <c r="G497" i="15"/>
  <c r="G505" i="15"/>
  <c r="G513" i="15"/>
  <c r="G521" i="15"/>
  <c r="G529" i="15"/>
  <c r="G537" i="15"/>
  <c r="F538" i="15"/>
  <c r="G545" i="15"/>
  <c r="G553" i="15"/>
  <c r="F554" i="15"/>
  <c r="G561" i="15"/>
  <c r="G569" i="15"/>
  <c r="F570" i="15"/>
  <c r="G577" i="15"/>
  <c r="F578" i="15"/>
  <c r="G585" i="15"/>
  <c r="F586" i="15"/>
  <c r="G593" i="15"/>
  <c r="F594" i="15"/>
  <c r="G601" i="15"/>
  <c r="F602" i="15"/>
  <c r="G609" i="15"/>
  <c r="F610" i="15"/>
  <c r="G617" i="15"/>
  <c r="F618" i="15"/>
  <c r="G625" i="15"/>
  <c r="F626" i="15"/>
  <c r="G633" i="15"/>
  <c r="F634" i="15"/>
  <c r="G641" i="15"/>
  <c r="F642" i="15"/>
  <c r="G649" i="15"/>
  <c r="F650" i="15"/>
  <c r="G657" i="15"/>
  <c r="F658" i="15"/>
  <c r="G665" i="15"/>
  <c r="F666" i="15"/>
  <c r="G673" i="15"/>
  <c r="G681" i="15"/>
  <c r="F682" i="15"/>
  <c r="G689" i="15"/>
  <c r="F690" i="15"/>
  <c r="G697" i="15"/>
  <c r="F698" i="15"/>
  <c r="G705" i="15"/>
  <c r="F706" i="15"/>
  <c r="G713" i="15"/>
  <c r="F714" i="15"/>
  <c r="G721" i="15"/>
  <c r="F722" i="15"/>
  <c r="G729" i="15"/>
  <c r="F730" i="15"/>
  <c r="G737" i="15"/>
  <c r="F738" i="15"/>
  <c r="G745" i="15"/>
  <c r="H753" i="15"/>
  <c r="D758" i="15"/>
  <c r="A758" i="15"/>
  <c r="I761" i="15"/>
  <c r="F761" i="15"/>
  <c r="F763" i="15"/>
  <c r="H764" i="15"/>
  <c r="H766" i="15"/>
  <c r="G775" i="15"/>
  <c r="H776" i="15"/>
  <c r="G785" i="15"/>
  <c r="I787" i="15"/>
  <c r="D793" i="15"/>
  <c r="F795" i="15"/>
  <c r="H796" i="15"/>
  <c r="H798" i="15"/>
  <c r="C803" i="15"/>
  <c r="G804" i="15"/>
  <c r="D809" i="15"/>
  <c r="H811" i="15"/>
  <c r="D814" i="15"/>
  <c r="A814" i="15"/>
  <c r="H817" i="15"/>
  <c r="D820" i="15"/>
  <c r="G822" i="15"/>
  <c r="I824" i="15"/>
  <c r="I827" i="15"/>
  <c r="G827" i="15"/>
  <c r="I828" i="15"/>
  <c r="I833" i="15"/>
  <c r="F833" i="15"/>
  <c r="C838" i="15"/>
  <c r="F840" i="15"/>
  <c r="A843" i="15"/>
  <c r="D843" i="15"/>
  <c r="H844" i="15"/>
  <c r="F844" i="15"/>
  <c r="H846" i="15"/>
  <c r="C849" i="15"/>
  <c r="A849" i="15"/>
  <c r="F851" i="15"/>
  <c r="D855" i="15"/>
  <c r="G857" i="15"/>
  <c r="F862" i="15"/>
  <c r="I862" i="15"/>
  <c r="H864" i="15"/>
  <c r="C867" i="15"/>
  <c r="G868" i="15"/>
  <c r="D873" i="15"/>
  <c r="H875" i="15"/>
  <c r="D878" i="15"/>
  <c r="A878" i="15"/>
  <c r="H881" i="15"/>
  <c r="D884" i="15"/>
  <c r="G886" i="15"/>
  <c r="I888" i="15"/>
  <c r="I891" i="15"/>
  <c r="G891" i="15"/>
  <c r="I892" i="15"/>
  <c r="I897" i="15"/>
  <c r="F897" i="15"/>
  <c r="C902" i="15"/>
  <c r="F904" i="15"/>
  <c r="A907" i="15"/>
  <c r="D907" i="15"/>
  <c r="H908" i="15"/>
  <c r="F908" i="15"/>
  <c r="H910" i="15"/>
  <c r="C913" i="15"/>
  <c r="A913" i="15"/>
  <c r="F915" i="15"/>
  <c r="D919" i="15"/>
  <c r="G921" i="15"/>
  <c r="F926" i="15"/>
  <c r="I926" i="15"/>
  <c r="H928" i="15"/>
  <c r="C931" i="15"/>
  <c r="G932" i="15"/>
  <c r="D937" i="15"/>
  <c r="H939" i="15"/>
  <c r="D942" i="15"/>
  <c r="A942" i="15"/>
  <c r="H945" i="15"/>
  <c r="D948" i="15"/>
  <c r="G950" i="15"/>
  <c r="I952" i="15"/>
  <c r="I955" i="15"/>
  <c r="G955" i="15"/>
  <c r="I956" i="15"/>
  <c r="I961" i="15"/>
  <c r="F961" i="15"/>
  <c r="C966" i="15"/>
  <c r="F968" i="15"/>
  <c r="A971" i="15"/>
  <c r="D971" i="15"/>
  <c r="I972" i="15"/>
  <c r="D975" i="15"/>
  <c r="C975" i="15"/>
  <c r="G977" i="15"/>
  <c r="D980" i="15"/>
  <c r="D996" i="15"/>
  <c r="G1001" i="15"/>
  <c r="I1008" i="15"/>
  <c r="G1008" i="15"/>
  <c r="C6" i="16"/>
  <c r="E6" i="16" s="1"/>
  <c r="C10" i="16"/>
  <c r="E10" i="16" s="1"/>
  <c r="C14" i="16"/>
  <c r="E14" i="16" s="1"/>
  <c r="C18" i="16"/>
  <c r="E18" i="16" s="1"/>
  <c r="C22" i="16"/>
  <c r="E22" i="16" s="1"/>
  <c r="K26" i="16"/>
  <c r="I34" i="16"/>
  <c r="A34" i="16"/>
  <c r="H34" i="16"/>
  <c r="G34" i="16"/>
  <c r="N34" i="16"/>
  <c r="F34" i="16"/>
  <c r="L34" i="16"/>
  <c r="D34" i="16"/>
  <c r="I38" i="16"/>
  <c r="A38" i="16"/>
  <c r="H38" i="16"/>
  <c r="G38" i="16"/>
  <c r="N38" i="16"/>
  <c r="F38" i="16"/>
  <c r="L38" i="16"/>
  <c r="D38" i="16"/>
  <c r="I42" i="16"/>
  <c r="A42" i="16"/>
  <c r="H42" i="16"/>
  <c r="G42" i="16"/>
  <c r="N42" i="16"/>
  <c r="F42" i="16"/>
  <c r="L42" i="16"/>
  <c r="D42" i="16"/>
  <c r="I46" i="16"/>
  <c r="A46" i="16"/>
  <c r="H46" i="16"/>
  <c r="G46" i="16"/>
  <c r="N46" i="16"/>
  <c r="F46" i="16"/>
  <c r="L46" i="16"/>
  <c r="D46" i="16"/>
  <c r="I50" i="16"/>
  <c r="A50" i="16"/>
  <c r="H50" i="16"/>
  <c r="G50" i="16"/>
  <c r="N50" i="16"/>
  <c r="F50" i="16"/>
  <c r="L50" i="16"/>
  <c r="D50" i="16"/>
  <c r="I54" i="16"/>
  <c r="A54" i="16"/>
  <c r="H54" i="16"/>
  <c r="G54" i="16"/>
  <c r="N54" i="16"/>
  <c r="F54" i="16"/>
  <c r="L54" i="16"/>
  <c r="D54" i="16"/>
  <c r="I58" i="16"/>
  <c r="A58" i="16"/>
  <c r="H58" i="16"/>
  <c r="G58" i="16"/>
  <c r="N58" i="16"/>
  <c r="F58" i="16"/>
  <c r="L58" i="16"/>
  <c r="D58" i="16"/>
  <c r="I62" i="16"/>
  <c r="A62" i="16"/>
  <c r="H62" i="16"/>
  <c r="G62" i="16"/>
  <c r="N62" i="16"/>
  <c r="F62" i="16"/>
  <c r="L62" i="16"/>
  <c r="D62" i="16"/>
  <c r="I66" i="16"/>
  <c r="A66" i="16"/>
  <c r="H66" i="16"/>
  <c r="G66" i="16"/>
  <c r="N66" i="16"/>
  <c r="F66" i="16"/>
  <c r="L66" i="16"/>
  <c r="D66" i="16"/>
  <c r="I70" i="16"/>
  <c r="A70" i="16"/>
  <c r="H70" i="16"/>
  <c r="G70" i="16"/>
  <c r="N70" i="16"/>
  <c r="F70" i="16"/>
  <c r="L70" i="16"/>
  <c r="D70" i="16"/>
  <c r="I74" i="16"/>
  <c r="A74" i="16"/>
  <c r="H74" i="16"/>
  <c r="G74" i="16"/>
  <c r="N74" i="16"/>
  <c r="F74" i="16"/>
  <c r="L74" i="16"/>
  <c r="D74" i="16"/>
  <c r="E78" i="16"/>
  <c r="K82" i="16"/>
  <c r="I90" i="16"/>
  <c r="A90" i="16"/>
  <c r="H90" i="16"/>
  <c r="G90" i="16"/>
  <c r="N90" i="16"/>
  <c r="F90" i="16"/>
  <c r="L90" i="16"/>
  <c r="D90" i="16"/>
  <c r="E94" i="16"/>
  <c r="I106" i="16"/>
  <c r="A106" i="16"/>
  <c r="H106" i="16"/>
  <c r="G106" i="16"/>
  <c r="N106" i="16"/>
  <c r="F106" i="16"/>
  <c r="L106" i="16"/>
  <c r="D106" i="16"/>
  <c r="E110" i="16"/>
  <c r="I122" i="16"/>
  <c r="A122" i="16"/>
  <c r="H122" i="16"/>
  <c r="G122" i="16"/>
  <c r="N122" i="16"/>
  <c r="F122" i="16"/>
  <c r="L122" i="16"/>
  <c r="D122" i="16"/>
  <c r="E126" i="16"/>
  <c r="I138" i="16"/>
  <c r="A138" i="16"/>
  <c r="H138" i="16"/>
  <c r="G138" i="16"/>
  <c r="N138" i="16"/>
  <c r="F138" i="16"/>
  <c r="L138" i="16"/>
  <c r="D138" i="16"/>
  <c r="E142" i="16"/>
  <c r="I154" i="16"/>
  <c r="A154" i="16"/>
  <c r="H154" i="16"/>
  <c r="G154" i="16"/>
  <c r="N154" i="16"/>
  <c r="F154" i="16"/>
  <c r="L154" i="16"/>
  <c r="D154" i="16"/>
  <c r="E158" i="16"/>
  <c r="N805" i="16"/>
  <c r="F805" i="16"/>
  <c r="K805" i="16"/>
  <c r="C805" i="16"/>
  <c r="H805" i="16"/>
  <c r="J805" i="16"/>
  <c r="I805" i="16"/>
  <c r="G805" i="16"/>
  <c r="E805" i="16"/>
  <c r="D805" i="16"/>
  <c r="M805" i="16"/>
  <c r="A805" i="16"/>
  <c r="L805" i="16"/>
  <c r="I186" i="16"/>
  <c r="A186" i="16"/>
  <c r="H186" i="16"/>
  <c r="G186" i="16"/>
  <c r="N186" i="16"/>
  <c r="F186" i="16"/>
  <c r="L186" i="16"/>
  <c r="D186" i="16"/>
  <c r="E190" i="16"/>
  <c r="K194" i="16"/>
  <c r="H761" i="15"/>
  <c r="I763" i="15"/>
  <c r="D769" i="15"/>
  <c r="H772" i="15"/>
  <c r="G783" i="15"/>
  <c r="H784" i="15"/>
  <c r="I795" i="15"/>
  <c r="F814" i="15"/>
  <c r="I814" i="15"/>
  <c r="H816" i="15"/>
  <c r="H827" i="15"/>
  <c r="D830" i="15"/>
  <c r="A830" i="15"/>
  <c r="H833" i="15"/>
  <c r="I840" i="15"/>
  <c r="I843" i="15"/>
  <c r="G843" i="15"/>
  <c r="I844" i="15"/>
  <c r="I849" i="15"/>
  <c r="F849" i="15"/>
  <c r="A859" i="15"/>
  <c r="D859" i="15"/>
  <c r="H860" i="15"/>
  <c r="F860" i="15"/>
  <c r="H862" i="15"/>
  <c r="C865" i="15"/>
  <c r="A865" i="15"/>
  <c r="F878" i="15"/>
  <c r="I878" i="15"/>
  <c r="H880" i="15"/>
  <c r="H891" i="15"/>
  <c r="D894" i="15"/>
  <c r="A894" i="15"/>
  <c r="H897" i="15"/>
  <c r="I904" i="15"/>
  <c r="I907" i="15"/>
  <c r="G907" i="15"/>
  <c r="I913" i="15"/>
  <c r="F913" i="15"/>
  <c r="A923" i="15"/>
  <c r="D923" i="15"/>
  <c r="H924" i="15"/>
  <c r="F924" i="15"/>
  <c r="C929" i="15"/>
  <c r="A929" i="15"/>
  <c r="F942" i="15"/>
  <c r="I942" i="15"/>
  <c r="H944" i="15"/>
  <c r="H955" i="15"/>
  <c r="D958" i="15"/>
  <c r="A958" i="15"/>
  <c r="H961" i="15"/>
  <c r="I968" i="15"/>
  <c r="I971" i="15"/>
  <c r="H971" i="15"/>
  <c r="G971" i="15"/>
  <c r="D974" i="15"/>
  <c r="A974" i="15"/>
  <c r="A979" i="15"/>
  <c r="D979" i="15"/>
  <c r="D983" i="15"/>
  <c r="C983" i="15"/>
  <c r="I1000" i="15"/>
  <c r="G1000" i="15"/>
  <c r="D1006" i="15"/>
  <c r="C1006" i="15"/>
  <c r="A1006" i="15"/>
  <c r="G5" i="16"/>
  <c r="N5" i="16"/>
  <c r="G9" i="16"/>
  <c r="N9" i="16"/>
  <c r="G13" i="16"/>
  <c r="N13" i="16"/>
  <c r="J14" i="16"/>
  <c r="G17" i="16"/>
  <c r="N17" i="16"/>
  <c r="G21" i="16"/>
  <c r="N21" i="16"/>
  <c r="I30" i="16"/>
  <c r="A30" i="16"/>
  <c r="H30" i="16"/>
  <c r="G30" i="16"/>
  <c r="N30" i="16"/>
  <c r="F30" i="16"/>
  <c r="L30" i="16"/>
  <c r="D30" i="16"/>
  <c r="I86" i="16"/>
  <c r="A86" i="16"/>
  <c r="H86" i="16"/>
  <c r="G86" i="16"/>
  <c r="N86" i="16"/>
  <c r="F86" i="16"/>
  <c r="L86" i="16"/>
  <c r="D86" i="16"/>
  <c r="I102" i="16"/>
  <c r="A102" i="16"/>
  <c r="H102" i="16"/>
  <c r="G102" i="16"/>
  <c r="N102" i="16"/>
  <c r="F102" i="16"/>
  <c r="L102" i="16"/>
  <c r="D102" i="16"/>
  <c r="I118" i="16"/>
  <c r="A118" i="16"/>
  <c r="H118" i="16"/>
  <c r="G118" i="16"/>
  <c r="N118" i="16"/>
  <c r="F118" i="16"/>
  <c r="L118" i="16"/>
  <c r="D118" i="16"/>
  <c r="I134" i="16"/>
  <c r="A134" i="16"/>
  <c r="H134" i="16"/>
  <c r="G134" i="16"/>
  <c r="N134" i="16"/>
  <c r="F134" i="16"/>
  <c r="L134" i="16"/>
  <c r="D134" i="16"/>
  <c r="I150" i="16"/>
  <c r="A150" i="16"/>
  <c r="H150" i="16"/>
  <c r="G150" i="16"/>
  <c r="N150" i="16"/>
  <c r="F150" i="16"/>
  <c r="L150" i="16"/>
  <c r="D150" i="16"/>
  <c r="I166" i="16"/>
  <c r="A166" i="16"/>
  <c r="H166" i="16"/>
  <c r="G166" i="16"/>
  <c r="N166" i="16"/>
  <c r="F166" i="16"/>
  <c r="L166" i="16"/>
  <c r="D166" i="16"/>
  <c r="I974" i="15"/>
  <c r="I982" i="15"/>
  <c r="I990" i="15"/>
  <c r="I998" i="15"/>
  <c r="I1006" i="15"/>
  <c r="F7" i="16"/>
  <c r="H7" i="16" s="1"/>
  <c r="N7" i="16"/>
  <c r="F11" i="16"/>
  <c r="H11" i="16" s="1"/>
  <c r="N11" i="16"/>
  <c r="H12" i="16"/>
  <c r="F15" i="16"/>
  <c r="H15" i="16" s="1"/>
  <c r="N15" i="16"/>
  <c r="H16" i="16"/>
  <c r="F19" i="16"/>
  <c r="H19" i="16" s="1"/>
  <c r="N19" i="16"/>
  <c r="F23" i="16"/>
  <c r="H23" i="16" s="1"/>
  <c r="N23" i="16"/>
  <c r="H24" i="16"/>
  <c r="J25" i="16"/>
  <c r="F27" i="16"/>
  <c r="N27" i="16"/>
  <c r="H28" i="16"/>
  <c r="J29" i="16"/>
  <c r="F31" i="16"/>
  <c r="N31" i="16"/>
  <c r="H32" i="16"/>
  <c r="J33" i="16"/>
  <c r="F35" i="16"/>
  <c r="N35" i="16"/>
  <c r="H36" i="16"/>
  <c r="F39" i="16"/>
  <c r="N39" i="16"/>
  <c r="H40" i="16"/>
  <c r="F43" i="16"/>
  <c r="N43" i="16"/>
  <c r="H44" i="16"/>
  <c r="F47" i="16"/>
  <c r="N47" i="16"/>
  <c r="H48" i="16"/>
  <c r="F51" i="16"/>
  <c r="N51" i="16"/>
  <c r="H52" i="16"/>
  <c r="F55" i="16"/>
  <c r="N55" i="16"/>
  <c r="H56" i="16"/>
  <c r="F59" i="16"/>
  <c r="N59" i="16"/>
  <c r="H60" i="16"/>
  <c r="F63" i="16"/>
  <c r="N63" i="16"/>
  <c r="H64" i="16"/>
  <c r="F67" i="16"/>
  <c r="N67" i="16"/>
  <c r="H68" i="16"/>
  <c r="F71" i="16"/>
  <c r="N71" i="16"/>
  <c r="H72" i="16"/>
  <c r="F75" i="16"/>
  <c r="N75" i="16"/>
  <c r="H76" i="16"/>
  <c r="J77" i="16"/>
  <c r="F79" i="16"/>
  <c r="N79" i="16"/>
  <c r="H80" i="16"/>
  <c r="J81" i="16"/>
  <c r="F83" i="16"/>
  <c r="N83" i="16"/>
  <c r="H84" i="16"/>
  <c r="J85" i="16"/>
  <c r="F87" i="16"/>
  <c r="N87" i="16"/>
  <c r="H88" i="16"/>
  <c r="J89" i="16"/>
  <c r="F91" i="16"/>
  <c r="N91" i="16"/>
  <c r="H92" i="16"/>
  <c r="J93" i="16"/>
  <c r="F95" i="16"/>
  <c r="N95" i="16"/>
  <c r="H96" i="16"/>
  <c r="J97" i="16"/>
  <c r="F99" i="16"/>
  <c r="N99" i="16"/>
  <c r="H100" i="16"/>
  <c r="J101" i="16"/>
  <c r="F103" i="16"/>
  <c r="N103" i="16"/>
  <c r="H104" i="16"/>
  <c r="J105" i="16"/>
  <c r="F107" i="16"/>
  <c r="N107" i="16"/>
  <c r="H108" i="16"/>
  <c r="J109" i="16"/>
  <c r="F111" i="16"/>
  <c r="N111" i="16"/>
  <c r="H112" i="16"/>
  <c r="J113" i="16"/>
  <c r="F115" i="16"/>
  <c r="N115" i="16"/>
  <c r="H116" i="16"/>
  <c r="J117" i="16"/>
  <c r="F119" i="16"/>
  <c r="N119" i="16"/>
  <c r="H120" i="16"/>
  <c r="J121" i="16"/>
  <c r="F123" i="16"/>
  <c r="N123" i="16"/>
  <c r="H124" i="16"/>
  <c r="J125" i="16"/>
  <c r="F127" i="16"/>
  <c r="N127" i="16"/>
  <c r="H128" i="16"/>
  <c r="J129" i="16"/>
  <c r="F131" i="16"/>
  <c r="N131" i="16"/>
  <c r="H132" i="16"/>
  <c r="J133" i="16"/>
  <c r="F135" i="16"/>
  <c r="N135" i="16"/>
  <c r="H136" i="16"/>
  <c r="J137" i="16"/>
  <c r="F139" i="16"/>
  <c r="N139" i="16"/>
  <c r="H140" i="16"/>
  <c r="J141" i="16"/>
  <c r="F143" i="16"/>
  <c r="N143" i="16"/>
  <c r="H144" i="16"/>
  <c r="J145" i="16"/>
  <c r="F147" i="16"/>
  <c r="N147" i="16"/>
  <c r="H148" i="16"/>
  <c r="J149" i="16"/>
  <c r="F151" i="16"/>
  <c r="N151" i="16"/>
  <c r="H152" i="16"/>
  <c r="J153" i="16"/>
  <c r="F155" i="16"/>
  <c r="N155" i="16"/>
  <c r="H156" i="16"/>
  <c r="J157" i="16"/>
  <c r="F159" i="16"/>
  <c r="N159" i="16"/>
  <c r="H160" i="16"/>
  <c r="J161" i="16"/>
  <c r="F163" i="16"/>
  <c r="N163" i="16"/>
  <c r="H164" i="16"/>
  <c r="J165" i="16"/>
  <c r="F167" i="16"/>
  <c r="N167" i="16"/>
  <c r="H168" i="16"/>
  <c r="J169" i="16"/>
  <c r="F171" i="16"/>
  <c r="N171" i="16"/>
  <c r="H172" i="16"/>
  <c r="J173" i="16"/>
  <c r="F175" i="16"/>
  <c r="N175" i="16"/>
  <c r="H176" i="16"/>
  <c r="J177" i="16"/>
  <c r="F179" i="16"/>
  <c r="N179" i="16"/>
  <c r="H180" i="16"/>
  <c r="J181" i="16"/>
  <c r="F183" i="16"/>
  <c r="N183" i="16"/>
  <c r="H184" i="16"/>
  <c r="J185" i="16"/>
  <c r="F187" i="16"/>
  <c r="N187" i="16"/>
  <c r="H188" i="16"/>
  <c r="J189" i="16"/>
  <c r="F191" i="16"/>
  <c r="N191" i="16"/>
  <c r="H192" i="16"/>
  <c r="J193" i="16"/>
  <c r="F195" i="16"/>
  <c r="N195" i="16"/>
  <c r="H196" i="16"/>
  <c r="J197" i="16"/>
  <c r="F199" i="16"/>
  <c r="N199" i="16"/>
  <c r="H200" i="16"/>
  <c r="J201" i="16"/>
  <c r="D202" i="16"/>
  <c r="L202" i="16"/>
  <c r="F203" i="16"/>
  <c r="N203" i="16"/>
  <c r="H204" i="16"/>
  <c r="J205" i="16"/>
  <c r="D206" i="16"/>
  <c r="L206" i="16"/>
  <c r="F207" i="16"/>
  <c r="N207" i="16"/>
  <c r="H208" i="16"/>
  <c r="J209" i="16"/>
  <c r="D210" i="16"/>
  <c r="L210" i="16"/>
  <c r="F211" i="16"/>
  <c r="N211" i="16"/>
  <c r="H212" i="16"/>
  <c r="J213" i="16"/>
  <c r="D214" i="16"/>
  <c r="L214" i="16"/>
  <c r="F215" i="16"/>
  <c r="N215" i="16"/>
  <c r="H216" i="16"/>
  <c r="J217" i="16"/>
  <c r="D218" i="16"/>
  <c r="L218" i="16"/>
  <c r="F219" i="16"/>
  <c r="N219" i="16"/>
  <c r="H220" i="16"/>
  <c r="J221" i="16"/>
  <c r="D222" i="16"/>
  <c r="L222" i="16"/>
  <c r="F223" i="16"/>
  <c r="N223" i="16"/>
  <c r="H224" i="16"/>
  <c r="J225" i="16"/>
  <c r="D226" i="16"/>
  <c r="L226" i="16"/>
  <c r="F227" i="16"/>
  <c r="N227" i="16"/>
  <c r="H228" i="16"/>
  <c r="J229" i="16"/>
  <c r="D230" i="16"/>
  <c r="L230" i="16"/>
  <c r="F231" i="16"/>
  <c r="N231" i="16"/>
  <c r="H232" i="16"/>
  <c r="J233" i="16"/>
  <c r="D234" i="16"/>
  <c r="L234" i="16"/>
  <c r="F235" i="16"/>
  <c r="N235" i="16"/>
  <c r="H236" i="16"/>
  <c r="J237" i="16"/>
  <c r="D238" i="16"/>
  <c r="L238" i="16"/>
  <c r="F239" i="16"/>
  <c r="N239" i="16"/>
  <c r="H240" i="16"/>
  <c r="J241" i="16"/>
  <c r="D242" i="16"/>
  <c r="L242" i="16"/>
  <c r="F243" i="16"/>
  <c r="N243" i="16"/>
  <c r="H244" i="16"/>
  <c r="J245" i="16"/>
  <c r="D246" i="16"/>
  <c r="L246" i="16"/>
  <c r="F247" i="16"/>
  <c r="N247" i="16"/>
  <c r="H248" i="16"/>
  <c r="J249" i="16"/>
  <c r="D250" i="16"/>
  <c r="L250" i="16"/>
  <c r="F251" i="16"/>
  <c r="N251" i="16"/>
  <c r="H252" i="16"/>
  <c r="J253" i="16"/>
  <c r="D254" i="16"/>
  <c r="L254" i="16"/>
  <c r="F255" i="16"/>
  <c r="N255" i="16"/>
  <c r="H256" i="16"/>
  <c r="J257" i="16"/>
  <c r="D258" i="16"/>
  <c r="L258" i="16"/>
  <c r="F259" i="16"/>
  <c r="N259" i="16"/>
  <c r="H260" i="16"/>
  <c r="J261" i="16"/>
  <c r="D262" i="16"/>
  <c r="L262" i="16"/>
  <c r="F263" i="16"/>
  <c r="N263" i="16"/>
  <c r="H264" i="16"/>
  <c r="D266" i="16"/>
  <c r="L266" i="16"/>
  <c r="F267" i="16"/>
  <c r="N267" i="16"/>
  <c r="H268" i="16"/>
  <c r="D270" i="16"/>
  <c r="L270" i="16"/>
  <c r="F271" i="16"/>
  <c r="N271" i="16"/>
  <c r="H272" i="16"/>
  <c r="J273" i="16"/>
  <c r="D274" i="16"/>
  <c r="L274" i="16"/>
  <c r="F275" i="16"/>
  <c r="N275" i="16"/>
  <c r="H276" i="16"/>
  <c r="J277" i="16"/>
  <c r="D278" i="16"/>
  <c r="L278" i="16"/>
  <c r="F279" i="16"/>
  <c r="N279" i="16"/>
  <c r="H280" i="16"/>
  <c r="J281" i="16"/>
  <c r="D282" i="16"/>
  <c r="L282" i="16"/>
  <c r="F283" i="16"/>
  <c r="N283" i="16"/>
  <c r="H284" i="16"/>
  <c r="J285" i="16"/>
  <c r="D286" i="16"/>
  <c r="L286" i="16"/>
  <c r="F287" i="16"/>
  <c r="N287" i="16"/>
  <c r="H288" i="16"/>
  <c r="J289" i="16"/>
  <c r="D290" i="16"/>
  <c r="L290" i="16"/>
  <c r="F291" i="16"/>
  <c r="N291" i="16"/>
  <c r="H292" i="16"/>
  <c r="J293" i="16"/>
  <c r="D294" i="16"/>
  <c r="L294" i="16"/>
  <c r="F295" i="16"/>
  <c r="N295" i="16"/>
  <c r="H296" i="16"/>
  <c r="J297" i="16"/>
  <c r="D298" i="16"/>
  <c r="L298" i="16"/>
  <c r="F299" i="16"/>
  <c r="N299" i="16"/>
  <c r="H300" i="16"/>
  <c r="J301" i="16"/>
  <c r="D302" i="16"/>
  <c r="L302" i="16"/>
  <c r="F303" i="16"/>
  <c r="N303" i="16"/>
  <c r="H304" i="16"/>
  <c r="J305" i="16"/>
  <c r="D306" i="16"/>
  <c r="L306" i="16"/>
  <c r="F307" i="16"/>
  <c r="N307" i="16"/>
  <c r="H308" i="16"/>
  <c r="J309" i="16"/>
  <c r="D310" i="16"/>
  <c r="L310" i="16"/>
  <c r="F311" i="16"/>
  <c r="N311" i="16"/>
  <c r="H312" i="16"/>
  <c r="J313" i="16"/>
  <c r="D314" i="16"/>
  <c r="L314" i="16"/>
  <c r="F315" i="16"/>
  <c r="N315" i="16"/>
  <c r="H316" i="16"/>
  <c r="J317" i="16"/>
  <c r="D318" i="16"/>
  <c r="L318" i="16"/>
  <c r="F319" i="16"/>
  <c r="N319" i="16"/>
  <c r="H320" i="16"/>
  <c r="J321" i="16"/>
  <c r="D322" i="16"/>
  <c r="L322" i="16"/>
  <c r="F323" i="16"/>
  <c r="N323" i="16"/>
  <c r="H324" i="16"/>
  <c r="J325" i="16"/>
  <c r="D326" i="16"/>
  <c r="L326" i="16"/>
  <c r="F327" i="16"/>
  <c r="N327" i="16"/>
  <c r="H328" i="16"/>
  <c r="J329" i="16"/>
  <c r="D330" i="16"/>
  <c r="L330" i="16"/>
  <c r="F331" i="16"/>
  <c r="N331" i="16"/>
  <c r="H332" i="16"/>
  <c r="J333" i="16"/>
  <c r="D334" i="16"/>
  <c r="L334" i="16"/>
  <c r="H336" i="16"/>
  <c r="J337" i="16"/>
  <c r="D338" i="16"/>
  <c r="L338" i="16"/>
  <c r="H340" i="16"/>
  <c r="J341" i="16"/>
  <c r="D342" i="16"/>
  <c r="L342" i="16"/>
  <c r="H344" i="16"/>
  <c r="J345" i="16"/>
  <c r="D346" i="16"/>
  <c r="L346" i="16"/>
  <c r="H348" i="16"/>
  <c r="J349" i="16"/>
  <c r="D350" i="16"/>
  <c r="L350" i="16"/>
  <c r="H352" i="16"/>
  <c r="J353" i="16"/>
  <c r="D354" i="16"/>
  <c r="L354" i="16"/>
  <c r="H356" i="16"/>
  <c r="J357" i="16"/>
  <c r="D358" i="16"/>
  <c r="L358" i="16"/>
  <c r="H360" i="16"/>
  <c r="J361" i="16"/>
  <c r="D362" i="16"/>
  <c r="L362" i="16"/>
  <c r="H364" i="16"/>
  <c r="J365" i="16"/>
  <c r="D366" i="16"/>
  <c r="L366" i="16"/>
  <c r="H368" i="16"/>
  <c r="J369" i="16"/>
  <c r="D370" i="16"/>
  <c r="L370" i="16"/>
  <c r="H372" i="16"/>
  <c r="J373" i="16"/>
  <c r="D374" i="16"/>
  <c r="L374" i="16"/>
  <c r="H376" i="16"/>
  <c r="J377" i="16"/>
  <c r="D378" i="16"/>
  <c r="L378" i="16"/>
  <c r="H380" i="16"/>
  <c r="J381" i="16"/>
  <c r="D382" i="16"/>
  <c r="L382" i="16"/>
  <c r="H384" i="16"/>
  <c r="J385" i="16"/>
  <c r="D386" i="16"/>
  <c r="L386" i="16"/>
  <c r="H388" i="16"/>
  <c r="K389" i="16"/>
  <c r="D392" i="16"/>
  <c r="M392" i="16"/>
  <c r="I393" i="16"/>
  <c r="N396" i="16"/>
  <c r="F396" i="16"/>
  <c r="K396" i="16"/>
  <c r="E399" i="16"/>
  <c r="N399" i="16"/>
  <c r="D401" i="16"/>
  <c r="M401" i="16"/>
  <c r="L403" i="16"/>
  <c r="D403" i="16"/>
  <c r="K403" i="16"/>
  <c r="K405" i="16"/>
  <c r="D408" i="16"/>
  <c r="M408" i="16"/>
  <c r="I409" i="16"/>
  <c r="N412" i="16"/>
  <c r="F412" i="16"/>
  <c r="K412" i="16"/>
  <c r="E415" i="16"/>
  <c r="A416" i="16"/>
  <c r="I417" i="16"/>
  <c r="E420" i="16"/>
  <c r="N421" i="16"/>
  <c r="F421" i="16"/>
  <c r="H421" i="16"/>
  <c r="L421" i="16"/>
  <c r="I424" i="16"/>
  <c r="E425" i="16"/>
  <c r="L428" i="16"/>
  <c r="D428" i="16"/>
  <c r="N428" i="16"/>
  <c r="F428" i="16"/>
  <c r="M428" i="16"/>
  <c r="G432" i="16"/>
  <c r="A441" i="16"/>
  <c r="D445" i="16"/>
  <c r="E457" i="16"/>
  <c r="N461" i="16"/>
  <c r="F461" i="16"/>
  <c r="L461" i="16"/>
  <c r="D461" i="16"/>
  <c r="H461" i="16"/>
  <c r="E473" i="16"/>
  <c r="N477" i="16"/>
  <c r="F477" i="16"/>
  <c r="L477" i="16"/>
  <c r="D477" i="16"/>
  <c r="H477" i="16"/>
  <c r="E489" i="16"/>
  <c r="N493" i="16"/>
  <c r="F493" i="16"/>
  <c r="L493" i="16"/>
  <c r="D493" i="16"/>
  <c r="H493" i="16"/>
  <c r="E505" i="16"/>
  <c r="N509" i="16"/>
  <c r="F509" i="16"/>
  <c r="L509" i="16"/>
  <c r="D509" i="16"/>
  <c r="H509" i="16"/>
  <c r="E521" i="16"/>
  <c r="N525" i="16"/>
  <c r="F525" i="16"/>
  <c r="L525" i="16"/>
  <c r="D525" i="16"/>
  <c r="H525" i="16"/>
  <c r="I776" i="16"/>
  <c r="A776" i="16"/>
  <c r="N776" i="16"/>
  <c r="F776" i="16"/>
  <c r="H776" i="16"/>
  <c r="G776" i="16"/>
  <c r="E776" i="16"/>
  <c r="D776" i="16"/>
  <c r="M776" i="16"/>
  <c r="C776" i="16"/>
  <c r="K776" i="16"/>
  <c r="N821" i="16"/>
  <c r="F821" i="16"/>
  <c r="K821" i="16"/>
  <c r="C821" i="16"/>
  <c r="H821" i="16"/>
  <c r="J821" i="16"/>
  <c r="I821" i="16"/>
  <c r="G821" i="16"/>
  <c r="E821" i="16"/>
  <c r="D821" i="16"/>
  <c r="M821" i="16"/>
  <c r="A821" i="16"/>
  <c r="L416" i="16"/>
  <c r="D416" i="16"/>
  <c r="N416" i="16"/>
  <c r="F416" i="16"/>
  <c r="M416" i="16"/>
  <c r="N441" i="16"/>
  <c r="F441" i="16"/>
  <c r="H441" i="16"/>
  <c r="L441" i="16"/>
  <c r="G457" i="16"/>
  <c r="G473" i="16"/>
  <c r="G489" i="16"/>
  <c r="G505" i="16"/>
  <c r="C740" i="18"/>
  <c r="A740" i="18"/>
  <c r="H740" i="18"/>
  <c r="G740" i="18"/>
  <c r="K740" i="18" s="1"/>
  <c r="F740" i="18"/>
  <c r="E740" i="18"/>
  <c r="D740" i="18"/>
  <c r="M740" i="18"/>
  <c r="J24" i="16"/>
  <c r="J28" i="16"/>
  <c r="J32" i="16"/>
  <c r="J36" i="16"/>
  <c r="J40" i="16"/>
  <c r="J44" i="16"/>
  <c r="J48" i="16"/>
  <c r="J52" i="16"/>
  <c r="J56" i="16"/>
  <c r="J60" i="16"/>
  <c r="J64" i="16"/>
  <c r="J68" i="16"/>
  <c r="J72" i="16"/>
  <c r="J76" i="16"/>
  <c r="J80" i="16"/>
  <c r="J84" i="16"/>
  <c r="J88" i="16"/>
  <c r="J92" i="16"/>
  <c r="J96" i="16"/>
  <c r="J100" i="16"/>
  <c r="J104" i="16"/>
  <c r="J108" i="16"/>
  <c r="J112" i="16"/>
  <c r="J116" i="16"/>
  <c r="J120" i="16"/>
  <c r="J124" i="16"/>
  <c r="J128" i="16"/>
  <c r="J132" i="16"/>
  <c r="J136" i="16"/>
  <c r="J140" i="16"/>
  <c r="J144" i="16"/>
  <c r="J148" i="16"/>
  <c r="J152" i="16"/>
  <c r="J156" i="16"/>
  <c r="J160" i="16"/>
  <c r="J164" i="16"/>
  <c r="J168" i="16"/>
  <c r="J172" i="16"/>
  <c r="J176" i="16"/>
  <c r="J180" i="16"/>
  <c r="J184" i="16"/>
  <c r="J188" i="16"/>
  <c r="J192" i="16"/>
  <c r="J196" i="16"/>
  <c r="J200" i="16"/>
  <c r="F202" i="16"/>
  <c r="N202" i="16"/>
  <c r="J204" i="16"/>
  <c r="F206" i="16"/>
  <c r="N206" i="16"/>
  <c r="J208" i="16"/>
  <c r="F210" i="16"/>
  <c r="N210" i="16"/>
  <c r="J212" i="16"/>
  <c r="F214" i="16"/>
  <c r="N214" i="16"/>
  <c r="J216" i="16"/>
  <c r="F218" i="16"/>
  <c r="N218" i="16"/>
  <c r="J220" i="16"/>
  <c r="F222" i="16"/>
  <c r="N222" i="16"/>
  <c r="J224" i="16"/>
  <c r="F226" i="16"/>
  <c r="N226" i="16"/>
  <c r="J228" i="16"/>
  <c r="F230" i="16"/>
  <c r="N230" i="16"/>
  <c r="J232" i="16"/>
  <c r="F234" i="16"/>
  <c r="N234" i="16"/>
  <c r="J236" i="16"/>
  <c r="F238" i="16"/>
  <c r="N238" i="16"/>
  <c r="J240" i="16"/>
  <c r="F242" i="16"/>
  <c r="N242" i="16"/>
  <c r="J244" i="16"/>
  <c r="F246" i="16"/>
  <c r="N246" i="16"/>
  <c r="J248" i="16"/>
  <c r="F250" i="16"/>
  <c r="N250" i="16"/>
  <c r="J252" i="16"/>
  <c r="F254" i="16"/>
  <c r="N254" i="16"/>
  <c r="J256" i="16"/>
  <c r="F258" i="16"/>
  <c r="N258" i="16"/>
  <c r="J260" i="16"/>
  <c r="F262" i="16"/>
  <c r="N262" i="16"/>
  <c r="J264" i="16"/>
  <c r="F266" i="16"/>
  <c r="N266" i="16"/>
  <c r="J268" i="16"/>
  <c r="F270" i="16"/>
  <c r="N270" i="16"/>
  <c r="J272" i="16"/>
  <c r="F274" i="16"/>
  <c r="N274" i="16"/>
  <c r="J276" i="16"/>
  <c r="F278" i="16"/>
  <c r="N278" i="16"/>
  <c r="J280" i="16"/>
  <c r="F282" i="16"/>
  <c r="N282" i="16"/>
  <c r="J284" i="16"/>
  <c r="F286" i="16"/>
  <c r="N286" i="16"/>
  <c r="J288" i="16"/>
  <c r="F290" i="16"/>
  <c r="N290" i="16"/>
  <c r="J292" i="16"/>
  <c r="F294" i="16"/>
  <c r="N294" i="16"/>
  <c r="J296" i="16"/>
  <c r="F298" i="16"/>
  <c r="N298" i="16"/>
  <c r="J300" i="16"/>
  <c r="F302" i="16"/>
  <c r="N302" i="16"/>
  <c r="J304" i="16"/>
  <c r="F306" i="16"/>
  <c r="N306" i="16"/>
  <c r="J308" i="16"/>
  <c r="F310" i="16"/>
  <c r="N310" i="16"/>
  <c r="J312" i="16"/>
  <c r="F314" i="16"/>
  <c r="N314" i="16"/>
  <c r="J316" i="16"/>
  <c r="F318" i="16"/>
  <c r="N318" i="16"/>
  <c r="J320" i="16"/>
  <c r="F322" i="16"/>
  <c r="N322" i="16"/>
  <c r="J324" i="16"/>
  <c r="F326" i="16"/>
  <c r="N326" i="16"/>
  <c r="J328" i="16"/>
  <c r="F330" i="16"/>
  <c r="N330" i="16"/>
  <c r="J332" i="16"/>
  <c r="F334" i="16"/>
  <c r="N334" i="16"/>
  <c r="J336" i="16"/>
  <c r="F338" i="16"/>
  <c r="N338" i="16"/>
  <c r="J340" i="16"/>
  <c r="F342" i="16"/>
  <c r="N342" i="16"/>
  <c r="J344" i="16"/>
  <c r="F346" i="16"/>
  <c r="N346" i="16"/>
  <c r="J348" i="16"/>
  <c r="F350" i="16"/>
  <c r="N350" i="16"/>
  <c r="J352" i="16"/>
  <c r="F354" i="16"/>
  <c r="N354" i="16"/>
  <c r="J356" i="16"/>
  <c r="F358" i="16"/>
  <c r="N358" i="16"/>
  <c r="J360" i="16"/>
  <c r="F362" i="16"/>
  <c r="N362" i="16"/>
  <c r="J364" i="16"/>
  <c r="F366" i="16"/>
  <c r="N366" i="16"/>
  <c r="J368" i="16"/>
  <c r="F370" i="16"/>
  <c r="N370" i="16"/>
  <c r="J372" i="16"/>
  <c r="F374" i="16"/>
  <c r="N374" i="16"/>
  <c r="J376" i="16"/>
  <c r="F378" i="16"/>
  <c r="N378" i="16"/>
  <c r="J380" i="16"/>
  <c r="F382" i="16"/>
  <c r="N382" i="16"/>
  <c r="J384" i="16"/>
  <c r="F386" i="16"/>
  <c r="N386" i="16"/>
  <c r="J388" i="16"/>
  <c r="L391" i="16"/>
  <c r="D391" i="16"/>
  <c r="K391" i="16"/>
  <c r="G392" i="16"/>
  <c r="K393" i="16"/>
  <c r="G399" i="16"/>
  <c r="N400" i="16"/>
  <c r="F400" i="16"/>
  <c r="K400" i="16"/>
  <c r="F401" i="16"/>
  <c r="L407" i="16"/>
  <c r="D407" i="16"/>
  <c r="K407" i="16"/>
  <c r="G408" i="16"/>
  <c r="K409" i="16"/>
  <c r="G415" i="16"/>
  <c r="C416" i="16"/>
  <c r="A417" i="16"/>
  <c r="H420" i="16"/>
  <c r="I425" i="16"/>
  <c r="N429" i="16"/>
  <c r="F429" i="16"/>
  <c r="H429" i="16"/>
  <c r="L429" i="16"/>
  <c r="I432" i="16"/>
  <c r="L436" i="16"/>
  <c r="D436" i="16"/>
  <c r="N436" i="16"/>
  <c r="F436" i="16"/>
  <c r="M436" i="16"/>
  <c r="C441" i="16"/>
  <c r="M441" i="16"/>
  <c r="G445" i="16"/>
  <c r="N449" i="16"/>
  <c r="F449" i="16"/>
  <c r="L449" i="16"/>
  <c r="D449" i="16"/>
  <c r="H449" i="16"/>
  <c r="I457" i="16"/>
  <c r="E461" i="16"/>
  <c r="N465" i="16"/>
  <c r="F465" i="16"/>
  <c r="L465" i="16"/>
  <c r="D465" i="16"/>
  <c r="H465" i="16"/>
  <c r="I473" i="16"/>
  <c r="E477" i="16"/>
  <c r="N481" i="16"/>
  <c r="F481" i="16"/>
  <c r="L481" i="16"/>
  <c r="D481" i="16"/>
  <c r="H481" i="16"/>
  <c r="I489" i="16"/>
  <c r="E493" i="16"/>
  <c r="N497" i="16"/>
  <c r="F497" i="16"/>
  <c r="L497" i="16"/>
  <c r="D497" i="16"/>
  <c r="H497" i="16"/>
  <c r="I505" i="16"/>
  <c r="E509" i="16"/>
  <c r="N513" i="16"/>
  <c r="F513" i="16"/>
  <c r="L513" i="16"/>
  <c r="D513" i="16"/>
  <c r="H513" i="16"/>
  <c r="I521" i="16"/>
  <c r="E525" i="16"/>
  <c r="N529" i="16"/>
  <c r="F529" i="16"/>
  <c r="L529" i="16"/>
  <c r="D529" i="16"/>
  <c r="H529" i="16"/>
  <c r="L776" i="16"/>
  <c r="N893" i="16"/>
  <c r="F893" i="16"/>
  <c r="M893" i="16"/>
  <c r="E893" i="16"/>
  <c r="L893" i="16"/>
  <c r="D893" i="16"/>
  <c r="K893" i="16"/>
  <c r="C893" i="16"/>
  <c r="H893" i="16"/>
  <c r="J893" i="16"/>
  <c r="I893" i="16"/>
  <c r="G893" i="16"/>
  <c r="A893" i="16"/>
  <c r="A977" i="15"/>
  <c r="A985" i="15"/>
  <c r="F988" i="15"/>
  <c r="C991" i="15"/>
  <c r="A993" i="15"/>
  <c r="F996" i="15"/>
  <c r="C999" i="15"/>
  <c r="A1001" i="15"/>
  <c r="F1004" i="15"/>
  <c r="C1007" i="15"/>
  <c r="A1009" i="15"/>
  <c r="E5" i="16"/>
  <c r="A7" i="16"/>
  <c r="I7" i="16"/>
  <c r="J7" i="16" s="1"/>
  <c r="C8" i="16"/>
  <c r="E9" i="16"/>
  <c r="D9" i="18" s="1"/>
  <c r="A11" i="16"/>
  <c r="I11" i="16"/>
  <c r="C12" i="16"/>
  <c r="E13" i="16"/>
  <c r="A15" i="16"/>
  <c r="I15" i="16"/>
  <c r="J15" i="16" s="1"/>
  <c r="C16" i="16"/>
  <c r="E17" i="16"/>
  <c r="D17" i="18" s="1"/>
  <c r="A19" i="16"/>
  <c r="I19" i="16"/>
  <c r="C20" i="16"/>
  <c r="D20" i="16" s="1"/>
  <c r="E21" i="16"/>
  <c r="A23" i="16"/>
  <c r="I23" i="16"/>
  <c r="J23" i="16" s="1"/>
  <c r="C24" i="16"/>
  <c r="K24" i="16"/>
  <c r="E25" i="16"/>
  <c r="A27" i="16"/>
  <c r="I27" i="16"/>
  <c r="C28" i="16"/>
  <c r="K28" i="16"/>
  <c r="E29" i="16"/>
  <c r="A31" i="16"/>
  <c r="I31" i="16"/>
  <c r="C32" i="16"/>
  <c r="K32" i="16"/>
  <c r="E33" i="16"/>
  <c r="A35" i="16"/>
  <c r="I35" i="16"/>
  <c r="C36" i="16"/>
  <c r="K36" i="16"/>
  <c r="A39" i="16"/>
  <c r="I39" i="16"/>
  <c r="C40" i="16"/>
  <c r="K40" i="16"/>
  <c r="A43" i="16"/>
  <c r="I43" i="16"/>
  <c r="C44" i="16"/>
  <c r="K44" i="16"/>
  <c r="A47" i="16"/>
  <c r="I47" i="16"/>
  <c r="C48" i="16"/>
  <c r="K48" i="16"/>
  <c r="A51" i="16"/>
  <c r="I51" i="16"/>
  <c r="C52" i="16"/>
  <c r="K52" i="16"/>
  <c r="A55" i="16"/>
  <c r="I55" i="16"/>
  <c r="C56" i="16"/>
  <c r="K56" i="16"/>
  <c r="A59" i="16"/>
  <c r="I59" i="16"/>
  <c r="C60" i="16"/>
  <c r="K60" i="16"/>
  <c r="A63" i="16"/>
  <c r="I63" i="16"/>
  <c r="C64" i="16"/>
  <c r="K64" i="16"/>
  <c r="A67" i="16"/>
  <c r="I67" i="16"/>
  <c r="C68" i="16"/>
  <c r="K68" i="16"/>
  <c r="A71" i="16"/>
  <c r="I71" i="16"/>
  <c r="C72" i="16"/>
  <c r="K72" i="16"/>
  <c r="A75" i="16"/>
  <c r="I75" i="16"/>
  <c r="C76" i="16"/>
  <c r="K76" i="16"/>
  <c r="E77" i="16"/>
  <c r="A79" i="16"/>
  <c r="I79" i="16"/>
  <c r="C80" i="16"/>
  <c r="K80" i="16"/>
  <c r="E81" i="16"/>
  <c r="A83" i="16"/>
  <c r="I83" i="16"/>
  <c r="C84" i="16"/>
  <c r="K84" i="16"/>
  <c r="E85" i="16"/>
  <c r="A87" i="16"/>
  <c r="I87" i="16"/>
  <c r="C88" i="16"/>
  <c r="K88" i="16"/>
  <c r="E89" i="16"/>
  <c r="A91" i="16"/>
  <c r="I91" i="16"/>
  <c r="C92" i="16"/>
  <c r="K92" i="16"/>
  <c r="E93" i="16"/>
  <c r="A95" i="16"/>
  <c r="I95" i="16"/>
  <c r="C96" i="16"/>
  <c r="K96" i="16"/>
  <c r="E97" i="16"/>
  <c r="A99" i="16"/>
  <c r="I99" i="16"/>
  <c r="C100" i="16"/>
  <c r="K100" i="16"/>
  <c r="E101" i="16"/>
  <c r="A103" i="16"/>
  <c r="I103" i="16"/>
  <c r="C104" i="16"/>
  <c r="K104" i="16"/>
  <c r="E105" i="16"/>
  <c r="A107" i="16"/>
  <c r="I107" i="16"/>
  <c r="C108" i="16"/>
  <c r="K108" i="16"/>
  <c r="E109" i="16"/>
  <c r="A111" i="16"/>
  <c r="I111" i="16"/>
  <c r="C112" i="16"/>
  <c r="K112" i="16"/>
  <c r="E113" i="16"/>
  <c r="A115" i="16"/>
  <c r="I115" i="16"/>
  <c r="C116" i="16"/>
  <c r="K116" i="16"/>
  <c r="E117" i="16"/>
  <c r="A119" i="16"/>
  <c r="I119" i="16"/>
  <c r="C120" i="16"/>
  <c r="K120" i="16"/>
  <c r="E121" i="16"/>
  <c r="A123" i="16"/>
  <c r="I123" i="16"/>
  <c r="C124" i="16"/>
  <c r="K124" i="16"/>
  <c r="E125" i="16"/>
  <c r="A127" i="16"/>
  <c r="I127" i="16"/>
  <c r="C128" i="16"/>
  <c r="K128" i="16"/>
  <c r="E129" i="16"/>
  <c r="A131" i="16"/>
  <c r="I131" i="16"/>
  <c r="C132" i="16"/>
  <c r="K132" i="16"/>
  <c r="E133" i="16"/>
  <c r="A135" i="16"/>
  <c r="I135" i="16"/>
  <c r="C136" i="16"/>
  <c r="K136" i="16"/>
  <c r="E137" i="16"/>
  <c r="A139" i="16"/>
  <c r="I139" i="16"/>
  <c r="C140" i="16"/>
  <c r="K140" i="16"/>
  <c r="E141" i="16"/>
  <c r="A143" i="16"/>
  <c r="I143" i="16"/>
  <c r="C144" i="16"/>
  <c r="K144" i="16"/>
  <c r="E145" i="16"/>
  <c r="A147" i="16"/>
  <c r="I147" i="16"/>
  <c r="C148" i="16"/>
  <c r="K148" i="16"/>
  <c r="E149" i="16"/>
  <c r="A151" i="16"/>
  <c r="I151" i="16"/>
  <c r="C152" i="16"/>
  <c r="K152" i="16"/>
  <c r="E153" i="16"/>
  <c r="A155" i="16"/>
  <c r="I155" i="16"/>
  <c r="C156" i="16"/>
  <c r="K156" i="16"/>
  <c r="E157" i="16"/>
  <c r="A159" i="16"/>
  <c r="I159" i="16"/>
  <c r="C160" i="16"/>
  <c r="K160" i="16"/>
  <c r="E161" i="16"/>
  <c r="A163" i="16"/>
  <c r="I163" i="16"/>
  <c r="C164" i="16"/>
  <c r="K164" i="16"/>
  <c r="E165" i="16"/>
  <c r="A167" i="16"/>
  <c r="I167" i="16"/>
  <c r="C168" i="16"/>
  <c r="K168" i="16"/>
  <c r="A171" i="16"/>
  <c r="I171" i="16"/>
  <c r="C172" i="16"/>
  <c r="K172" i="16"/>
  <c r="E173" i="16"/>
  <c r="A175" i="16"/>
  <c r="I175" i="16"/>
  <c r="C176" i="16"/>
  <c r="K176" i="16"/>
  <c r="E177" i="16"/>
  <c r="A179" i="16"/>
  <c r="I179" i="16"/>
  <c r="C180" i="16"/>
  <c r="K180" i="16"/>
  <c r="E181" i="16"/>
  <c r="A183" i="16"/>
  <c r="I183" i="16"/>
  <c r="C184" i="16"/>
  <c r="K184" i="16"/>
  <c r="E185" i="16"/>
  <c r="A187" i="16"/>
  <c r="I187" i="16"/>
  <c r="C188" i="16"/>
  <c r="K188" i="16"/>
  <c r="E189" i="16"/>
  <c r="A191" i="16"/>
  <c r="I191" i="16"/>
  <c r="C192" i="16"/>
  <c r="K192" i="16"/>
  <c r="E193" i="16"/>
  <c r="A195" i="16"/>
  <c r="I195" i="16"/>
  <c r="C196" i="16"/>
  <c r="K196" i="16"/>
  <c r="E197" i="16"/>
  <c r="A199" i="16"/>
  <c r="I199" i="16"/>
  <c r="C200" i="16"/>
  <c r="K200" i="16"/>
  <c r="E201" i="16"/>
  <c r="G202" i="16"/>
  <c r="A203" i="16"/>
  <c r="I203" i="16"/>
  <c r="C204" i="16"/>
  <c r="K204" i="16"/>
  <c r="E205" i="16"/>
  <c r="G206" i="16"/>
  <c r="A207" i="16"/>
  <c r="I207" i="16"/>
  <c r="C208" i="16"/>
  <c r="K208" i="16"/>
  <c r="E209" i="16"/>
  <c r="G210" i="16"/>
  <c r="A211" i="16"/>
  <c r="I211" i="16"/>
  <c r="C212" i="16"/>
  <c r="K212" i="16"/>
  <c r="E213" i="16"/>
  <c r="G214" i="16"/>
  <c r="A215" i="16"/>
  <c r="I215" i="16"/>
  <c r="C216" i="16"/>
  <c r="K216" i="16"/>
  <c r="E217" i="16"/>
  <c r="G218" i="16"/>
  <c r="A219" i="16"/>
  <c r="I219" i="16"/>
  <c r="C220" i="16"/>
  <c r="K220" i="16"/>
  <c r="E221" i="16"/>
  <c r="G222" i="16"/>
  <c r="A223" i="16"/>
  <c r="I223" i="16"/>
  <c r="C224" i="16"/>
  <c r="K224" i="16"/>
  <c r="E225" i="16"/>
  <c r="G226" i="16"/>
  <c r="A227" i="16"/>
  <c r="I227" i="16"/>
  <c r="C228" i="16"/>
  <c r="K228" i="16"/>
  <c r="E229" i="16"/>
  <c r="G230" i="16"/>
  <c r="A231" i="16"/>
  <c r="I231" i="16"/>
  <c r="C232" i="16"/>
  <c r="K232" i="16"/>
  <c r="E233" i="16"/>
  <c r="G234" i="16"/>
  <c r="A235" i="16"/>
  <c r="I235" i="16"/>
  <c r="C236" i="16"/>
  <c r="K236" i="16"/>
  <c r="E237" i="16"/>
  <c r="G238" i="16"/>
  <c r="A239" i="16"/>
  <c r="I239" i="16"/>
  <c r="C240" i="16"/>
  <c r="K240" i="16"/>
  <c r="E241" i="16"/>
  <c r="G242" i="16"/>
  <c r="A243" i="16"/>
  <c r="I243" i="16"/>
  <c r="C244" i="16"/>
  <c r="K244" i="16"/>
  <c r="E245" i="16"/>
  <c r="G246" i="16"/>
  <c r="A247" i="16"/>
  <c r="I247" i="16"/>
  <c r="C248" i="16"/>
  <c r="K248" i="16"/>
  <c r="E249" i="16"/>
  <c r="G250" i="16"/>
  <c r="A251" i="16"/>
  <c r="I251" i="16"/>
  <c r="C252" i="16"/>
  <c r="K252" i="16"/>
  <c r="E253" i="16"/>
  <c r="G254" i="16"/>
  <c r="A255" i="16"/>
  <c r="I255" i="16"/>
  <c r="C256" i="16"/>
  <c r="K256" i="16"/>
  <c r="E257" i="16"/>
  <c r="G258" i="16"/>
  <c r="A259" i="16"/>
  <c r="I259" i="16"/>
  <c r="C260" i="16"/>
  <c r="K260" i="16"/>
  <c r="E261" i="16"/>
  <c r="G262" i="16"/>
  <c r="A263" i="16"/>
  <c r="I263" i="16"/>
  <c r="C264" i="16"/>
  <c r="K264" i="16"/>
  <c r="G266" i="16"/>
  <c r="A267" i="16"/>
  <c r="I267" i="16"/>
  <c r="C268" i="16"/>
  <c r="K268" i="16"/>
  <c r="G270" i="16"/>
  <c r="A271" i="16"/>
  <c r="I271" i="16"/>
  <c r="C272" i="16"/>
  <c r="K272" i="16"/>
  <c r="E273" i="16"/>
  <c r="G274" i="16"/>
  <c r="A275" i="16"/>
  <c r="I275" i="16"/>
  <c r="C276" i="16"/>
  <c r="K276" i="16"/>
  <c r="E277" i="16"/>
  <c r="G278" i="16"/>
  <c r="A279" i="16"/>
  <c r="I279" i="16"/>
  <c r="C280" i="16"/>
  <c r="K280" i="16"/>
  <c r="E281" i="16"/>
  <c r="G282" i="16"/>
  <c r="A283" i="16"/>
  <c r="I283" i="16"/>
  <c r="C284" i="16"/>
  <c r="K284" i="16"/>
  <c r="E285" i="16"/>
  <c r="G286" i="16"/>
  <c r="A287" i="16"/>
  <c r="I287" i="16"/>
  <c r="C288" i="16"/>
  <c r="K288" i="16"/>
  <c r="E289" i="16"/>
  <c r="G290" i="16"/>
  <c r="A291" i="16"/>
  <c r="I291" i="16"/>
  <c r="C292" i="16"/>
  <c r="K292" i="16"/>
  <c r="E293" i="16"/>
  <c r="G294" i="16"/>
  <c r="A295" i="16"/>
  <c r="I295" i="16"/>
  <c r="C296" i="16"/>
  <c r="K296" i="16"/>
  <c r="E297" i="16"/>
  <c r="G298" i="16"/>
  <c r="A299" i="16"/>
  <c r="I299" i="16"/>
  <c r="C300" i="16"/>
  <c r="K300" i="16"/>
  <c r="E301" i="16"/>
  <c r="G302" i="16"/>
  <c r="A303" i="16"/>
  <c r="I303" i="16"/>
  <c r="C304" i="16"/>
  <c r="K304" i="16"/>
  <c r="E305" i="16"/>
  <c r="G306" i="16"/>
  <c r="A307" i="16"/>
  <c r="I307" i="16"/>
  <c r="C308" i="16"/>
  <c r="K308" i="16"/>
  <c r="E309" i="16"/>
  <c r="G310" i="16"/>
  <c r="A311" i="16"/>
  <c r="I311" i="16"/>
  <c r="C312" i="16"/>
  <c r="K312" i="16"/>
  <c r="E313" i="16"/>
  <c r="G314" i="16"/>
  <c r="A315" i="16"/>
  <c r="I315" i="16"/>
  <c r="C316" i="16"/>
  <c r="K316" i="16"/>
  <c r="E317" i="16"/>
  <c r="G318" i="16"/>
  <c r="A319" i="16"/>
  <c r="I319" i="16"/>
  <c r="C320" i="16"/>
  <c r="K320" i="16"/>
  <c r="E321" i="16"/>
  <c r="G322" i="16"/>
  <c r="A323" i="16"/>
  <c r="I323" i="16"/>
  <c r="C324" i="16"/>
  <c r="K324" i="16"/>
  <c r="E325" i="16"/>
  <c r="G326" i="16"/>
  <c r="A327" i="16"/>
  <c r="I327" i="16"/>
  <c r="C328" i="16"/>
  <c r="K328" i="16"/>
  <c r="E329" i="16"/>
  <c r="G330" i="16"/>
  <c r="A331" i="16"/>
  <c r="I331" i="16"/>
  <c r="C332" i="16"/>
  <c r="K332" i="16"/>
  <c r="E333" i="16"/>
  <c r="M333" i="16"/>
  <c r="G334" i="16"/>
  <c r="C336" i="16"/>
  <c r="K336" i="16"/>
  <c r="E337" i="16"/>
  <c r="M337" i="16"/>
  <c r="G338" i="16"/>
  <c r="C340" i="16"/>
  <c r="K340" i="16"/>
  <c r="E341" i="16"/>
  <c r="M341" i="16"/>
  <c r="G342" i="16"/>
  <c r="C344" i="16"/>
  <c r="K344" i="16"/>
  <c r="E345" i="16"/>
  <c r="M345" i="16"/>
  <c r="G346" i="16"/>
  <c r="C348" i="16"/>
  <c r="K348" i="16"/>
  <c r="E349" i="16"/>
  <c r="M349" i="16"/>
  <c r="G350" i="16"/>
  <c r="C352" i="16"/>
  <c r="K352" i="16"/>
  <c r="E353" i="16"/>
  <c r="M353" i="16"/>
  <c r="G354" i="16"/>
  <c r="C356" i="16"/>
  <c r="K356" i="16"/>
  <c r="E357" i="16"/>
  <c r="M357" i="16"/>
  <c r="G358" i="16"/>
  <c r="C360" i="16"/>
  <c r="K360" i="16"/>
  <c r="E361" i="16"/>
  <c r="M361" i="16"/>
  <c r="G362" i="16"/>
  <c r="C364" i="16"/>
  <c r="K364" i="16"/>
  <c r="E365" i="16"/>
  <c r="M365" i="16"/>
  <c r="G366" i="16"/>
  <c r="C368" i="16"/>
  <c r="K368" i="16"/>
  <c r="E369" i="16"/>
  <c r="M369" i="16"/>
  <c r="G370" i="16"/>
  <c r="C372" i="16"/>
  <c r="K372" i="16"/>
  <c r="E373" i="16"/>
  <c r="M373" i="16"/>
  <c r="G374" i="16"/>
  <c r="C376" i="16"/>
  <c r="K376" i="16"/>
  <c r="E377" i="16"/>
  <c r="M377" i="16"/>
  <c r="G378" i="16"/>
  <c r="C380" i="16"/>
  <c r="K380" i="16"/>
  <c r="E381" i="16"/>
  <c r="M381" i="16"/>
  <c r="G382" i="16"/>
  <c r="C384" i="16"/>
  <c r="K384" i="16"/>
  <c r="E385" i="16"/>
  <c r="M385" i="16"/>
  <c r="G386" i="16"/>
  <c r="C388" i="16"/>
  <c r="K388" i="16"/>
  <c r="E389" i="16"/>
  <c r="N389" i="16"/>
  <c r="C391" i="16"/>
  <c r="M391" i="16"/>
  <c r="H392" i="16"/>
  <c r="C393" i="16"/>
  <c r="L393" i="16"/>
  <c r="H399" i="16"/>
  <c r="C400" i="16"/>
  <c r="L400" i="16"/>
  <c r="G401" i="16"/>
  <c r="C407" i="16"/>
  <c r="M407" i="16"/>
  <c r="H408" i="16"/>
  <c r="C409" i="16"/>
  <c r="L409" i="16"/>
  <c r="H415" i="16"/>
  <c r="E416" i="16"/>
  <c r="N417" i="16"/>
  <c r="F417" i="16"/>
  <c r="H417" i="16"/>
  <c r="L417" i="16"/>
  <c r="I420" i="16"/>
  <c r="L424" i="16"/>
  <c r="D424" i="16"/>
  <c r="N424" i="16"/>
  <c r="F424" i="16"/>
  <c r="M424" i="16"/>
  <c r="J425" i="16"/>
  <c r="C429" i="16"/>
  <c r="M429" i="16"/>
  <c r="J432" i="16"/>
  <c r="D441" i="16"/>
  <c r="I445" i="16"/>
  <c r="C449" i="16"/>
  <c r="J457" i="16"/>
  <c r="J473" i="16"/>
  <c r="J489" i="16"/>
  <c r="J505" i="16"/>
  <c r="J521" i="16"/>
  <c r="N869" i="16"/>
  <c r="F869" i="16"/>
  <c r="L869" i="16"/>
  <c r="D869" i="16"/>
  <c r="K869" i="16"/>
  <c r="C869" i="16"/>
  <c r="H869" i="16"/>
  <c r="A869" i="16"/>
  <c r="M869" i="16"/>
  <c r="J869" i="16"/>
  <c r="I869" i="16"/>
  <c r="E869" i="16"/>
  <c r="N885" i="16"/>
  <c r="F885" i="16"/>
  <c r="M885" i="16"/>
  <c r="E885" i="16"/>
  <c r="L885" i="16"/>
  <c r="D885" i="16"/>
  <c r="K885" i="16"/>
  <c r="C885" i="16"/>
  <c r="H885" i="16"/>
  <c r="A885" i="16"/>
  <c r="J885" i="16"/>
  <c r="G885" i="16"/>
  <c r="G988" i="15"/>
  <c r="G996" i="15"/>
  <c r="G1004" i="15"/>
  <c r="D8" i="16"/>
  <c r="J11" i="16"/>
  <c r="D12" i="16"/>
  <c r="D16" i="16"/>
  <c r="J19" i="16"/>
  <c r="D24" i="16"/>
  <c r="L24" i="16"/>
  <c r="J27" i="16"/>
  <c r="D28" i="16"/>
  <c r="L28" i="16"/>
  <c r="J31" i="16"/>
  <c r="D32" i="16"/>
  <c r="L32" i="16"/>
  <c r="J35" i="16"/>
  <c r="D36" i="16"/>
  <c r="L36" i="16"/>
  <c r="J39" i="16"/>
  <c r="D40" i="16"/>
  <c r="L40" i="16"/>
  <c r="J43" i="16"/>
  <c r="D44" i="16"/>
  <c r="L44" i="16"/>
  <c r="J47" i="16"/>
  <c r="D48" i="16"/>
  <c r="L48" i="16"/>
  <c r="J51" i="16"/>
  <c r="D52" i="16"/>
  <c r="L52" i="16"/>
  <c r="J55" i="16"/>
  <c r="D56" i="16"/>
  <c r="L56" i="16"/>
  <c r="J59" i="16"/>
  <c r="D60" i="16"/>
  <c r="L60" i="16"/>
  <c r="J63" i="16"/>
  <c r="D64" i="16"/>
  <c r="L64" i="16"/>
  <c r="J67" i="16"/>
  <c r="D68" i="16"/>
  <c r="L68" i="16"/>
  <c r="J71" i="16"/>
  <c r="D72" i="16"/>
  <c r="L72" i="16"/>
  <c r="J75" i="16"/>
  <c r="D76" i="16"/>
  <c r="L76" i="16"/>
  <c r="J79" i="16"/>
  <c r="D80" i="16"/>
  <c r="L80" i="16"/>
  <c r="J83" i="16"/>
  <c r="D84" i="16"/>
  <c r="L84" i="16"/>
  <c r="J87" i="16"/>
  <c r="D88" i="16"/>
  <c r="L88" i="16"/>
  <c r="J91" i="16"/>
  <c r="D92" i="16"/>
  <c r="L92" i="16"/>
  <c r="J95" i="16"/>
  <c r="D96" i="16"/>
  <c r="L96" i="16"/>
  <c r="J99" i="16"/>
  <c r="D100" i="16"/>
  <c r="L100" i="16"/>
  <c r="J103" i="16"/>
  <c r="D104" i="16"/>
  <c r="L104" i="16"/>
  <c r="J107" i="16"/>
  <c r="D108" i="16"/>
  <c r="L108" i="16"/>
  <c r="J111" i="16"/>
  <c r="D112" i="16"/>
  <c r="L112" i="16"/>
  <c r="J115" i="16"/>
  <c r="D116" i="16"/>
  <c r="L116" i="16"/>
  <c r="J119" i="16"/>
  <c r="D120" i="16"/>
  <c r="L120" i="16"/>
  <c r="J123" i="16"/>
  <c r="D124" i="16"/>
  <c r="L124" i="16"/>
  <c r="J127" i="16"/>
  <c r="D128" i="16"/>
  <c r="L128" i="16"/>
  <c r="J131" i="16"/>
  <c r="D132" i="16"/>
  <c r="L132" i="16"/>
  <c r="J135" i="16"/>
  <c r="D136" i="16"/>
  <c r="L136" i="16"/>
  <c r="J139" i="16"/>
  <c r="D140" i="16"/>
  <c r="L140" i="16"/>
  <c r="J143" i="16"/>
  <c r="D144" i="16"/>
  <c r="L144" i="16"/>
  <c r="J147" i="16"/>
  <c r="D148" i="16"/>
  <c r="L148" i="16"/>
  <c r="J151" i="16"/>
  <c r="D152" i="16"/>
  <c r="L152" i="16"/>
  <c r="J155" i="16"/>
  <c r="D156" i="16"/>
  <c r="L156" i="16"/>
  <c r="J159" i="16"/>
  <c r="D160" i="16"/>
  <c r="L160" i="16"/>
  <c r="J163" i="16"/>
  <c r="D164" i="16"/>
  <c r="L164" i="16"/>
  <c r="J167" i="16"/>
  <c r="D168" i="16"/>
  <c r="L168" i="16"/>
  <c r="J171" i="16"/>
  <c r="D172" i="16"/>
  <c r="L172" i="16"/>
  <c r="J175" i="16"/>
  <c r="D176" i="16"/>
  <c r="L176" i="16"/>
  <c r="J179" i="16"/>
  <c r="D180" i="16"/>
  <c r="L180" i="16"/>
  <c r="J183" i="16"/>
  <c r="D184" i="16"/>
  <c r="L184" i="16"/>
  <c r="J187" i="16"/>
  <c r="D188" i="16"/>
  <c r="L188" i="16"/>
  <c r="J191" i="16"/>
  <c r="D192" i="16"/>
  <c r="L192" i="16"/>
  <c r="J195" i="16"/>
  <c r="D196" i="16"/>
  <c r="L196" i="16"/>
  <c r="J199" i="16"/>
  <c r="D200" i="16"/>
  <c r="L200" i="16"/>
  <c r="H202" i="16"/>
  <c r="J203" i="16"/>
  <c r="D204" i="16"/>
  <c r="L204" i="16"/>
  <c r="H206" i="16"/>
  <c r="J207" i="16"/>
  <c r="D208" i="16"/>
  <c r="L208" i="16"/>
  <c r="H210" i="16"/>
  <c r="J211" i="16"/>
  <c r="D212" i="16"/>
  <c r="L212" i="16"/>
  <c r="H214" i="16"/>
  <c r="J215" i="16"/>
  <c r="D216" i="16"/>
  <c r="L216" i="16"/>
  <c r="H218" i="16"/>
  <c r="D220" i="16"/>
  <c r="L220" i="16"/>
  <c r="H222" i="16"/>
  <c r="D224" i="16"/>
  <c r="L224" i="16"/>
  <c r="H226" i="16"/>
  <c r="D228" i="16"/>
  <c r="L228" i="16"/>
  <c r="H230" i="16"/>
  <c r="D232" i="16"/>
  <c r="L232" i="16"/>
  <c r="H234" i="16"/>
  <c r="D236" i="16"/>
  <c r="L236" i="16"/>
  <c r="H238" i="16"/>
  <c r="D240" i="16"/>
  <c r="L240" i="16"/>
  <c r="H242" i="16"/>
  <c r="D244" i="16"/>
  <c r="L244" i="16"/>
  <c r="H246" i="16"/>
  <c r="D248" i="16"/>
  <c r="L248" i="16"/>
  <c r="H250" i="16"/>
  <c r="D252" i="16"/>
  <c r="L252" i="16"/>
  <c r="H254" i="16"/>
  <c r="D256" i="16"/>
  <c r="L256" i="16"/>
  <c r="H258" i="16"/>
  <c r="D260" i="16"/>
  <c r="L260" i="16"/>
  <c r="H262" i="16"/>
  <c r="D264" i="16"/>
  <c r="L264" i="16"/>
  <c r="H266" i="16"/>
  <c r="D268" i="16"/>
  <c r="L268" i="16"/>
  <c r="H270" i="16"/>
  <c r="D272" i="16"/>
  <c r="L272" i="16"/>
  <c r="H274" i="16"/>
  <c r="D276" i="16"/>
  <c r="L276" i="16"/>
  <c r="H278" i="16"/>
  <c r="D280" i="16"/>
  <c r="L280" i="16"/>
  <c r="H282" i="16"/>
  <c r="D284" i="16"/>
  <c r="L284" i="16"/>
  <c r="H286" i="16"/>
  <c r="D288" i="16"/>
  <c r="L288" i="16"/>
  <c r="H290" i="16"/>
  <c r="D292" i="16"/>
  <c r="L292" i="16"/>
  <c r="H294" i="16"/>
  <c r="D296" i="16"/>
  <c r="L296" i="16"/>
  <c r="H298" i="16"/>
  <c r="D300" i="16"/>
  <c r="L300" i="16"/>
  <c r="H302" i="16"/>
  <c r="D304" i="16"/>
  <c r="L304" i="16"/>
  <c r="H306" i="16"/>
  <c r="D308" i="16"/>
  <c r="L308" i="16"/>
  <c r="H310" i="16"/>
  <c r="D312" i="16"/>
  <c r="L312" i="16"/>
  <c r="H314" i="16"/>
  <c r="D316" i="16"/>
  <c r="L316" i="16"/>
  <c r="H318" i="16"/>
  <c r="D320" i="16"/>
  <c r="L320" i="16"/>
  <c r="H322" i="16"/>
  <c r="D324" i="16"/>
  <c r="L324" i="16"/>
  <c r="H326" i="16"/>
  <c r="D328" i="16"/>
  <c r="L328" i="16"/>
  <c r="H330" i="16"/>
  <c r="D332" i="16"/>
  <c r="L332" i="16"/>
  <c r="F333" i="16"/>
  <c r="H334" i="16"/>
  <c r="D336" i="16"/>
  <c r="L336" i="16"/>
  <c r="F337" i="16"/>
  <c r="H338" i="16"/>
  <c r="D340" i="16"/>
  <c r="L340" i="16"/>
  <c r="F341" i="16"/>
  <c r="H342" i="16"/>
  <c r="D344" i="16"/>
  <c r="L344" i="16"/>
  <c r="F345" i="16"/>
  <c r="H346" i="16"/>
  <c r="D348" i="16"/>
  <c r="L348" i="16"/>
  <c r="F349" i="16"/>
  <c r="H350" i="16"/>
  <c r="D352" i="16"/>
  <c r="L352" i="16"/>
  <c r="F353" i="16"/>
  <c r="H354" i="16"/>
  <c r="D356" i="16"/>
  <c r="L356" i="16"/>
  <c r="F357" i="16"/>
  <c r="H358" i="16"/>
  <c r="D360" i="16"/>
  <c r="L360" i="16"/>
  <c r="F361" i="16"/>
  <c r="H362" i="16"/>
  <c r="D364" i="16"/>
  <c r="L364" i="16"/>
  <c r="F365" i="16"/>
  <c r="H366" i="16"/>
  <c r="D368" i="16"/>
  <c r="L368" i="16"/>
  <c r="F369" i="16"/>
  <c r="H370" i="16"/>
  <c r="D372" i="16"/>
  <c r="L372" i="16"/>
  <c r="F373" i="16"/>
  <c r="H374" i="16"/>
  <c r="D376" i="16"/>
  <c r="L376" i="16"/>
  <c r="F377" i="16"/>
  <c r="H378" i="16"/>
  <c r="D380" i="16"/>
  <c r="L380" i="16"/>
  <c r="F381" i="16"/>
  <c r="H382" i="16"/>
  <c r="D384" i="16"/>
  <c r="L384" i="16"/>
  <c r="F385" i="16"/>
  <c r="H386" i="16"/>
  <c r="D388" i="16"/>
  <c r="L388" i="16"/>
  <c r="F389" i="16"/>
  <c r="E391" i="16"/>
  <c r="N391" i="16"/>
  <c r="I392" i="16"/>
  <c r="D393" i="16"/>
  <c r="M393" i="16"/>
  <c r="L395" i="16"/>
  <c r="D395" i="16"/>
  <c r="K395" i="16"/>
  <c r="G396" i="16"/>
  <c r="K397" i="16"/>
  <c r="I399" i="16"/>
  <c r="D400" i="16"/>
  <c r="M400" i="16"/>
  <c r="I401" i="16"/>
  <c r="G403" i="16"/>
  <c r="N404" i="16"/>
  <c r="F404" i="16"/>
  <c r="K404" i="16"/>
  <c r="F405" i="16"/>
  <c r="E407" i="16"/>
  <c r="N407" i="16"/>
  <c r="I408" i="16"/>
  <c r="D409" i="16"/>
  <c r="M409" i="16"/>
  <c r="L411" i="16"/>
  <c r="D411" i="16"/>
  <c r="K411" i="16"/>
  <c r="G412" i="16"/>
  <c r="K413" i="16"/>
  <c r="I415" i="16"/>
  <c r="G416" i="16"/>
  <c r="C417" i="16"/>
  <c r="M417" i="16"/>
  <c r="J420" i="16"/>
  <c r="G421" i="16"/>
  <c r="C424" i="16"/>
  <c r="A425" i="16"/>
  <c r="H428" i="16"/>
  <c r="D429" i="16"/>
  <c r="A432" i="16"/>
  <c r="E436" i="16"/>
  <c r="N437" i="16"/>
  <c r="F437" i="16"/>
  <c r="H437" i="16"/>
  <c r="L437" i="16"/>
  <c r="E441" i="16"/>
  <c r="L444" i="16"/>
  <c r="D444" i="16"/>
  <c r="N444" i="16"/>
  <c r="F444" i="16"/>
  <c r="M444" i="16"/>
  <c r="J445" i="16"/>
  <c r="E449" i="16"/>
  <c r="N453" i="16"/>
  <c r="F453" i="16"/>
  <c r="L453" i="16"/>
  <c r="D453" i="16"/>
  <c r="H453" i="16"/>
  <c r="K457" i="16"/>
  <c r="I461" i="16"/>
  <c r="E465" i="16"/>
  <c r="N469" i="16"/>
  <c r="F469" i="16"/>
  <c r="L469" i="16"/>
  <c r="D469" i="16"/>
  <c r="H469" i="16"/>
  <c r="K473" i="16"/>
  <c r="I477" i="16"/>
  <c r="E481" i="16"/>
  <c r="N485" i="16"/>
  <c r="F485" i="16"/>
  <c r="L485" i="16"/>
  <c r="D485" i="16"/>
  <c r="H485" i="16"/>
  <c r="K489" i="16"/>
  <c r="I493" i="16"/>
  <c r="E497" i="16"/>
  <c r="N501" i="16"/>
  <c r="F501" i="16"/>
  <c r="L501" i="16"/>
  <c r="D501" i="16"/>
  <c r="H501" i="16"/>
  <c r="K505" i="16"/>
  <c r="I509" i="16"/>
  <c r="E513" i="16"/>
  <c r="N517" i="16"/>
  <c r="F517" i="16"/>
  <c r="L517" i="16"/>
  <c r="D517" i="16"/>
  <c r="H517" i="16"/>
  <c r="K521" i="16"/>
  <c r="I525" i="16"/>
  <c r="E529" i="16"/>
  <c r="K781" i="16"/>
  <c r="C781" i="16"/>
  <c r="H781" i="16"/>
  <c r="L781" i="16"/>
  <c r="A781" i="16"/>
  <c r="J781" i="16"/>
  <c r="I781" i="16"/>
  <c r="G781" i="16"/>
  <c r="F781" i="16"/>
  <c r="N781" i="16"/>
  <c r="D781" i="16"/>
  <c r="G869" i="16"/>
  <c r="I885" i="16"/>
  <c r="C7" i="16"/>
  <c r="E8" i="16"/>
  <c r="C11" i="16"/>
  <c r="E12" i="16"/>
  <c r="D12" i="18" s="1"/>
  <c r="C15" i="16"/>
  <c r="E16" i="16"/>
  <c r="C19" i="16"/>
  <c r="E20" i="16"/>
  <c r="D20" i="18" s="1"/>
  <c r="C23" i="16"/>
  <c r="E24" i="16"/>
  <c r="C27" i="16"/>
  <c r="E28" i="16"/>
  <c r="C31" i="16"/>
  <c r="E32" i="16"/>
  <c r="C35" i="16"/>
  <c r="E36" i="16"/>
  <c r="C39" i="16"/>
  <c r="E40" i="16"/>
  <c r="C43" i="16"/>
  <c r="E44" i="16"/>
  <c r="C47" i="16"/>
  <c r="E48" i="16"/>
  <c r="C51" i="16"/>
  <c r="E52" i="16"/>
  <c r="C55" i="16"/>
  <c r="E56" i="16"/>
  <c r="C59" i="16"/>
  <c r="E60" i="16"/>
  <c r="C63" i="16"/>
  <c r="E64" i="16"/>
  <c r="C67" i="16"/>
  <c r="E68" i="16"/>
  <c r="C71" i="16"/>
  <c r="E72" i="16"/>
  <c r="C75" i="16"/>
  <c r="E76" i="16"/>
  <c r="C79" i="16"/>
  <c r="E80" i="16"/>
  <c r="C83" i="16"/>
  <c r="E84" i="16"/>
  <c r="C87" i="16"/>
  <c r="E88" i="16"/>
  <c r="C91" i="16"/>
  <c r="E92" i="16"/>
  <c r="C95" i="16"/>
  <c r="E96" i="16"/>
  <c r="C99" i="16"/>
  <c r="E100" i="16"/>
  <c r="C103" i="16"/>
  <c r="E104" i="16"/>
  <c r="C107" i="16"/>
  <c r="E108" i="16"/>
  <c r="C111" i="16"/>
  <c r="E112" i="16"/>
  <c r="C115" i="16"/>
  <c r="E116" i="16"/>
  <c r="C119" i="16"/>
  <c r="E120" i="16"/>
  <c r="C123" i="16"/>
  <c r="E124" i="16"/>
  <c r="C127" i="16"/>
  <c r="E128" i="16"/>
  <c r="C131" i="16"/>
  <c r="E132" i="16"/>
  <c r="C135" i="16"/>
  <c r="E136" i="16"/>
  <c r="C139" i="16"/>
  <c r="E140" i="16"/>
  <c r="C143" i="16"/>
  <c r="E144" i="16"/>
  <c r="C147" i="16"/>
  <c r="E148" i="16"/>
  <c r="C151" i="16"/>
  <c r="E152" i="16"/>
  <c r="C155" i="16"/>
  <c r="E156" i="16"/>
  <c r="C159" i="16"/>
  <c r="E160" i="16"/>
  <c r="C163" i="16"/>
  <c r="E164" i="16"/>
  <c r="C167" i="16"/>
  <c r="E168" i="16"/>
  <c r="C171" i="16"/>
  <c r="E172" i="16"/>
  <c r="C175" i="16"/>
  <c r="E176" i="16"/>
  <c r="C179" i="16"/>
  <c r="E180" i="16"/>
  <c r="C183" i="16"/>
  <c r="E184" i="16"/>
  <c r="C187" i="16"/>
  <c r="E188" i="16"/>
  <c r="C191" i="16"/>
  <c r="E192" i="16"/>
  <c r="C195" i="16"/>
  <c r="E196" i="16"/>
  <c r="C199" i="16"/>
  <c r="E200" i="16"/>
  <c r="A202" i="16"/>
  <c r="I202" i="16"/>
  <c r="C203" i="16"/>
  <c r="E204" i="16"/>
  <c r="A206" i="16"/>
  <c r="I206" i="16"/>
  <c r="C207" i="16"/>
  <c r="E208" i="16"/>
  <c r="A210" i="16"/>
  <c r="I210" i="16"/>
  <c r="C211" i="16"/>
  <c r="E212" i="16"/>
  <c r="A214" i="16"/>
  <c r="I214" i="16"/>
  <c r="C215" i="16"/>
  <c r="E216" i="16"/>
  <c r="A218" i="16"/>
  <c r="I218" i="16"/>
  <c r="E220" i="16"/>
  <c r="A222" i="16"/>
  <c r="I222" i="16"/>
  <c r="E224" i="16"/>
  <c r="A226" i="16"/>
  <c r="I226" i="16"/>
  <c r="E228" i="16"/>
  <c r="A230" i="16"/>
  <c r="I230" i="16"/>
  <c r="E232" i="16"/>
  <c r="A234" i="16"/>
  <c r="I234" i="16"/>
  <c r="E236" i="16"/>
  <c r="A238" i="16"/>
  <c r="I238" i="16"/>
  <c r="E240" i="16"/>
  <c r="A242" i="16"/>
  <c r="I242" i="16"/>
  <c r="E244" i="16"/>
  <c r="A246" i="16"/>
  <c r="I246" i="16"/>
  <c r="E248" i="16"/>
  <c r="A250" i="16"/>
  <c r="I250" i="16"/>
  <c r="E252" i="16"/>
  <c r="A254" i="16"/>
  <c r="I254" i="16"/>
  <c r="E256" i="16"/>
  <c r="A258" i="16"/>
  <c r="I258" i="16"/>
  <c r="E260" i="16"/>
  <c r="A262" i="16"/>
  <c r="I262" i="16"/>
  <c r="E264" i="16"/>
  <c r="A266" i="16"/>
  <c r="I266" i="16"/>
  <c r="E268" i="16"/>
  <c r="A270" i="16"/>
  <c r="I270" i="16"/>
  <c r="E272" i="16"/>
  <c r="A274" i="16"/>
  <c r="I274" i="16"/>
  <c r="E276" i="16"/>
  <c r="A278" i="16"/>
  <c r="I278" i="16"/>
  <c r="E280" i="16"/>
  <c r="A282" i="16"/>
  <c r="I282" i="16"/>
  <c r="E284" i="16"/>
  <c r="A286" i="16"/>
  <c r="I286" i="16"/>
  <c r="E288" i="16"/>
  <c r="A290" i="16"/>
  <c r="I290" i="16"/>
  <c r="E292" i="16"/>
  <c r="A294" i="16"/>
  <c r="I294" i="16"/>
  <c r="E296" i="16"/>
  <c r="A298" i="16"/>
  <c r="I298" i="16"/>
  <c r="E300" i="16"/>
  <c r="A302" i="16"/>
  <c r="I302" i="16"/>
  <c r="E304" i="16"/>
  <c r="A306" i="16"/>
  <c r="I306" i="16"/>
  <c r="E308" i="16"/>
  <c r="A310" i="16"/>
  <c r="I310" i="16"/>
  <c r="E312" i="16"/>
  <c r="A314" i="16"/>
  <c r="I314" i="16"/>
  <c r="E316" i="16"/>
  <c r="A318" i="16"/>
  <c r="I318" i="16"/>
  <c r="E320" i="16"/>
  <c r="A322" i="16"/>
  <c r="I322" i="16"/>
  <c r="E324" i="16"/>
  <c r="A326" i="16"/>
  <c r="I326" i="16"/>
  <c r="E328" i="16"/>
  <c r="A330" i="16"/>
  <c r="I330" i="16"/>
  <c r="E332" i="16"/>
  <c r="A334" i="16"/>
  <c r="I334" i="16"/>
  <c r="E336" i="16"/>
  <c r="A338" i="16"/>
  <c r="I338" i="16"/>
  <c r="E340" i="16"/>
  <c r="A342" i="16"/>
  <c r="I342" i="16"/>
  <c r="E344" i="16"/>
  <c r="A346" i="16"/>
  <c r="I346" i="16"/>
  <c r="E348" i="16"/>
  <c r="A350" i="16"/>
  <c r="I350" i="16"/>
  <c r="E352" i="16"/>
  <c r="A354" i="16"/>
  <c r="I354" i="16"/>
  <c r="E356" i="16"/>
  <c r="A358" i="16"/>
  <c r="I358" i="16"/>
  <c r="E360" i="16"/>
  <c r="A362" i="16"/>
  <c r="I362" i="16"/>
  <c r="E364" i="16"/>
  <c r="A366" i="16"/>
  <c r="I366" i="16"/>
  <c r="E368" i="16"/>
  <c r="A370" i="16"/>
  <c r="I370" i="16"/>
  <c r="E372" i="16"/>
  <c r="A374" i="16"/>
  <c r="I374" i="16"/>
  <c r="E376" i="16"/>
  <c r="A378" i="16"/>
  <c r="I378" i="16"/>
  <c r="E380" i="16"/>
  <c r="A382" i="16"/>
  <c r="I382" i="16"/>
  <c r="E384" i="16"/>
  <c r="A386" i="16"/>
  <c r="I386" i="16"/>
  <c r="E388" i="16"/>
  <c r="F391" i="16"/>
  <c r="A392" i="16"/>
  <c r="E393" i="16"/>
  <c r="N393" i="16"/>
  <c r="A399" i="16"/>
  <c r="E400" i="16"/>
  <c r="A401" i="16"/>
  <c r="J401" i="16"/>
  <c r="F407" i="16"/>
  <c r="A408" i="16"/>
  <c r="E409" i="16"/>
  <c r="N409" i="16"/>
  <c r="A415" i="16"/>
  <c r="H416" i="16"/>
  <c r="A420" i="16"/>
  <c r="N425" i="16"/>
  <c r="F425" i="16"/>
  <c r="H425" i="16"/>
  <c r="L425" i="16"/>
  <c r="L432" i="16"/>
  <c r="D432" i="16"/>
  <c r="N432" i="16"/>
  <c r="F432" i="16"/>
  <c r="M432" i="16"/>
  <c r="G436" i="16"/>
  <c r="G441" i="16"/>
  <c r="A445" i="16"/>
  <c r="G449" i="16"/>
  <c r="A457" i="16"/>
  <c r="J461" i="16"/>
  <c r="A473" i="16"/>
  <c r="A489" i="16"/>
  <c r="A505" i="16"/>
  <c r="A521" i="16"/>
  <c r="G767" i="16"/>
  <c r="L767" i="16"/>
  <c r="D767" i="16"/>
  <c r="I767" i="16"/>
  <c r="H767" i="16"/>
  <c r="F767" i="16"/>
  <c r="E767" i="16"/>
  <c r="N767" i="16"/>
  <c r="C767" i="16"/>
  <c r="K767" i="16"/>
  <c r="A767" i="16"/>
  <c r="G775" i="16"/>
  <c r="L775" i="16"/>
  <c r="D775" i="16"/>
  <c r="K775" i="16"/>
  <c r="A775" i="16"/>
  <c r="J775" i="16"/>
  <c r="I775" i="16"/>
  <c r="H775" i="16"/>
  <c r="F775" i="16"/>
  <c r="N775" i="16"/>
  <c r="C775" i="16"/>
  <c r="G799" i="16"/>
  <c r="L799" i="16"/>
  <c r="D799" i="16"/>
  <c r="I799" i="16"/>
  <c r="H799" i="16"/>
  <c r="F799" i="16"/>
  <c r="E799" i="16"/>
  <c r="N799" i="16"/>
  <c r="C799" i="16"/>
  <c r="K799" i="16"/>
  <c r="A799" i="16"/>
  <c r="N809" i="16"/>
  <c r="F809" i="16"/>
  <c r="K809" i="16"/>
  <c r="C809" i="16"/>
  <c r="H809" i="16"/>
  <c r="M809" i="16"/>
  <c r="A809" i="16"/>
  <c r="L809" i="16"/>
  <c r="J809" i="16"/>
  <c r="I809" i="16"/>
  <c r="G809" i="16"/>
  <c r="D809" i="16"/>
  <c r="N837" i="16"/>
  <c r="F837" i="16"/>
  <c r="L837" i="16"/>
  <c r="D837" i="16"/>
  <c r="K837" i="16"/>
  <c r="C837" i="16"/>
  <c r="H837" i="16"/>
  <c r="A837" i="16"/>
  <c r="M837" i="16"/>
  <c r="J837" i="16"/>
  <c r="I837" i="16"/>
  <c r="E837" i="16"/>
  <c r="G285" i="18"/>
  <c r="K285" i="18" s="1"/>
  <c r="F285" i="18"/>
  <c r="M285" i="18"/>
  <c r="E285" i="18"/>
  <c r="D285" i="18"/>
  <c r="C285" i="18"/>
  <c r="A285" i="18"/>
  <c r="H285" i="18"/>
  <c r="N392" i="16"/>
  <c r="F392" i="16"/>
  <c r="K392" i="16"/>
  <c r="L399" i="16"/>
  <c r="D399" i="16"/>
  <c r="K399" i="16"/>
  <c r="K401" i="16"/>
  <c r="N408" i="16"/>
  <c r="F408" i="16"/>
  <c r="K408" i="16"/>
  <c r="J415" i="16"/>
  <c r="L415" i="16"/>
  <c r="D415" i="16"/>
  <c r="M415" i="16"/>
  <c r="I416" i="16"/>
  <c r="L420" i="16"/>
  <c r="D420" i="16"/>
  <c r="N420" i="16"/>
  <c r="F420" i="16"/>
  <c r="M420" i="16"/>
  <c r="I441" i="16"/>
  <c r="N445" i="16"/>
  <c r="F445" i="16"/>
  <c r="H445" i="16"/>
  <c r="L445" i="16"/>
  <c r="N457" i="16"/>
  <c r="F457" i="16"/>
  <c r="L457" i="16"/>
  <c r="D457" i="16"/>
  <c r="H457" i="16"/>
  <c r="N473" i="16"/>
  <c r="F473" i="16"/>
  <c r="L473" i="16"/>
  <c r="D473" i="16"/>
  <c r="H473" i="16"/>
  <c r="N489" i="16"/>
  <c r="F489" i="16"/>
  <c r="L489" i="16"/>
  <c r="D489" i="16"/>
  <c r="H489" i="16"/>
  <c r="N505" i="16"/>
  <c r="F505" i="16"/>
  <c r="L505" i="16"/>
  <c r="D505" i="16"/>
  <c r="H505" i="16"/>
  <c r="N521" i="16"/>
  <c r="F521" i="16"/>
  <c r="L521" i="16"/>
  <c r="D521" i="16"/>
  <c r="H521" i="16"/>
  <c r="J767" i="16"/>
  <c r="E775" i="16"/>
  <c r="I784" i="16"/>
  <c r="A784" i="16"/>
  <c r="N784" i="16"/>
  <c r="F784" i="16"/>
  <c r="K784" i="16"/>
  <c r="J784" i="16"/>
  <c r="H784" i="16"/>
  <c r="G784" i="16"/>
  <c r="E784" i="16"/>
  <c r="M784" i="16"/>
  <c r="C784" i="16"/>
  <c r="J799" i="16"/>
  <c r="E809" i="16"/>
  <c r="G837" i="16"/>
  <c r="N861" i="16"/>
  <c r="F861" i="16"/>
  <c r="L861" i="16"/>
  <c r="D861" i="16"/>
  <c r="K861" i="16"/>
  <c r="C861" i="16"/>
  <c r="H861" i="16"/>
  <c r="M861" i="16"/>
  <c r="J861" i="16"/>
  <c r="I861" i="16"/>
  <c r="G861" i="16"/>
  <c r="E861" i="16"/>
  <c r="A861" i="16"/>
  <c r="D419" i="16"/>
  <c r="L419" i="16"/>
  <c r="D423" i="16"/>
  <c r="L423" i="16"/>
  <c r="D427" i="16"/>
  <c r="L427" i="16"/>
  <c r="D431" i="16"/>
  <c r="L431" i="16"/>
  <c r="D435" i="16"/>
  <c r="L435" i="16"/>
  <c r="D439" i="16"/>
  <c r="L439" i="16"/>
  <c r="D443" i="16"/>
  <c r="L443" i="16"/>
  <c r="D447" i="16"/>
  <c r="L447" i="16"/>
  <c r="F448" i="16"/>
  <c r="N448" i="16"/>
  <c r="D451" i="16"/>
  <c r="L451" i="16"/>
  <c r="F452" i="16"/>
  <c r="N452" i="16"/>
  <c r="D455" i="16"/>
  <c r="L455" i="16"/>
  <c r="F456" i="16"/>
  <c r="N456" i="16"/>
  <c r="D459" i="16"/>
  <c r="L459" i="16"/>
  <c r="F460" i="16"/>
  <c r="N460" i="16"/>
  <c r="D463" i="16"/>
  <c r="L463" i="16"/>
  <c r="F464" i="16"/>
  <c r="N464" i="16"/>
  <c r="D467" i="16"/>
  <c r="L467" i="16"/>
  <c r="F468" i="16"/>
  <c r="N468" i="16"/>
  <c r="D471" i="16"/>
  <c r="L471" i="16"/>
  <c r="F472" i="16"/>
  <c r="N472" i="16"/>
  <c r="D475" i="16"/>
  <c r="L475" i="16"/>
  <c r="F476" i="16"/>
  <c r="N476" i="16"/>
  <c r="D479" i="16"/>
  <c r="L479" i="16"/>
  <c r="F480" i="16"/>
  <c r="N480" i="16"/>
  <c r="D483" i="16"/>
  <c r="L483" i="16"/>
  <c r="F484" i="16"/>
  <c r="N484" i="16"/>
  <c r="D487" i="16"/>
  <c r="L487" i="16"/>
  <c r="F488" i="16"/>
  <c r="N488" i="16"/>
  <c r="D491" i="16"/>
  <c r="L491" i="16"/>
  <c r="F492" i="16"/>
  <c r="N492" i="16"/>
  <c r="D495" i="16"/>
  <c r="L495" i="16"/>
  <c r="F496" i="16"/>
  <c r="N496" i="16"/>
  <c r="D499" i="16"/>
  <c r="L499" i="16"/>
  <c r="F500" i="16"/>
  <c r="N500" i="16"/>
  <c r="D503" i="16"/>
  <c r="L503" i="16"/>
  <c r="F504" i="16"/>
  <c r="N504" i="16"/>
  <c r="D507" i="16"/>
  <c r="L507" i="16"/>
  <c r="F508" i="16"/>
  <c r="N508" i="16"/>
  <c r="D511" i="16"/>
  <c r="L511" i="16"/>
  <c r="F512" i="16"/>
  <c r="N512" i="16"/>
  <c r="D515" i="16"/>
  <c r="L515" i="16"/>
  <c r="F516" i="16"/>
  <c r="N516" i="16"/>
  <c r="D519" i="16"/>
  <c r="L519" i="16"/>
  <c r="F520" i="16"/>
  <c r="N520" i="16"/>
  <c r="D523" i="16"/>
  <c r="L523" i="16"/>
  <c r="F524" i="16"/>
  <c r="N524" i="16"/>
  <c r="D527" i="16"/>
  <c r="L527" i="16"/>
  <c r="F528" i="16"/>
  <c r="N528" i="16"/>
  <c r="D531" i="16"/>
  <c r="L531" i="16"/>
  <c r="F532" i="16"/>
  <c r="N532" i="16"/>
  <c r="H533" i="16"/>
  <c r="D535" i="16"/>
  <c r="L535" i="16"/>
  <c r="F536" i="16"/>
  <c r="N536" i="16"/>
  <c r="H537" i="16"/>
  <c r="D539" i="16"/>
  <c r="L539" i="16"/>
  <c r="F540" i="16"/>
  <c r="N540" i="16"/>
  <c r="H541" i="16"/>
  <c r="D543" i="16"/>
  <c r="L543" i="16"/>
  <c r="F544" i="16"/>
  <c r="N544" i="16"/>
  <c r="H545" i="16"/>
  <c r="D547" i="16"/>
  <c r="L547" i="16"/>
  <c r="F548" i="16"/>
  <c r="N548" i="16"/>
  <c r="H549" i="16"/>
  <c r="D551" i="16"/>
  <c r="L551" i="16"/>
  <c r="F552" i="16"/>
  <c r="N552" i="16"/>
  <c r="H553" i="16"/>
  <c r="D555" i="16"/>
  <c r="L555" i="16"/>
  <c r="F556" i="16"/>
  <c r="N556" i="16"/>
  <c r="H557" i="16"/>
  <c r="D559" i="16"/>
  <c r="L559" i="16"/>
  <c r="F560" i="16"/>
  <c r="N560" i="16"/>
  <c r="H561" i="16"/>
  <c r="D563" i="16"/>
  <c r="L563" i="16"/>
  <c r="F564" i="16"/>
  <c r="N564" i="16"/>
  <c r="H565" i="16"/>
  <c r="D567" i="16"/>
  <c r="L567" i="16"/>
  <c r="F568" i="16"/>
  <c r="N568" i="16"/>
  <c r="H569" i="16"/>
  <c r="D571" i="16"/>
  <c r="L571" i="16"/>
  <c r="F572" i="16"/>
  <c r="N572" i="16"/>
  <c r="H573" i="16"/>
  <c r="D575" i="16"/>
  <c r="L575" i="16"/>
  <c r="F576" i="16"/>
  <c r="N576" i="16"/>
  <c r="H577" i="16"/>
  <c r="D579" i="16"/>
  <c r="L579" i="16"/>
  <c r="F580" i="16"/>
  <c r="N580" i="16"/>
  <c r="H581" i="16"/>
  <c r="D583" i="16"/>
  <c r="L583" i="16"/>
  <c r="F584" i="16"/>
  <c r="N584" i="16"/>
  <c r="H585" i="16"/>
  <c r="D587" i="16"/>
  <c r="L587" i="16"/>
  <c r="F588" i="16"/>
  <c r="N588" i="16"/>
  <c r="H589" i="16"/>
  <c r="D591" i="16"/>
  <c r="L591" i="16"/>
  <c r="F592" i="16"/>
  <c r="N592" i="16"/>
  <c r="H593" i="16"/>
  <c r="D595" i="16"/>
  <c r="L595" i="16"/>
  <c r="F596" i="16"/>
  <c r="N596" i="16"/>
  <c r="H597" i="16"/>
  <c r="D599" i="16"/>
  <c r="L599" i="16"/>
  <c r="F600" i="16"/>
  <c r="N600" i="16"/>
  <c r="H601" i="16"/>
  <c r="D603" i="16"/>
  <c r="L603" i="16"/>
  <c r="F604" i="16"/>
  <c r="N604" i="16"/>
  <c r="H605" i="16"/>
  <c r="D607" i="16"/>
  <c r="L607" i="16"/>
  <c r="F608" i="16"/>
  <c r="N608" i="16"/>
  <c r="H609" i="16"/>
  <c r="D611" i="16"/>
  <c r="L611" i="16"/>
  <c r="F612" i="16"/>
  <c r="N612" i="16"/>
  <c r="H613" i="16"/>
  <c r="D615" i="16"/>
  <c r="L615" i="16"/>
  <c r="F616" i="16"/>
  <c r="N616" i="16"/>
  <c r="H617" i="16"/>
  <c r="D619" i="16"/>
  <c r="L619" i="16"/>
  <c r="F620" i="16"/>
  <c r="N620" i="16"/>
  <c r="H621" i="16"/>
  <c r="D623" i="16"/>
  <c r="L623" i="16"/>
  <c r="F624" i="16"/>
  <c r="N624" i="16"/>
  <c r="H625" i="16"/>
  <c r="D627" i="16"/>
  <c r="L627" i="16"/>
  <c r="F628" i="16"/>
  <c r="N628" i="16"/>
  <c r="H629" i="16"/>
  <c r="D631" i="16"/>
  <c r="L631" i="16"/>
  <c r="F632" i="16"/>
  <c r="N632" i="16"/>
  <c r="H633" i="16"/>
  <c r="D635" i="16"/>
  <c r="L635" i="16"/>
  <c r="F636" i="16"/>
  <c r="N636" i="16"/>
  <c r="H637" i="16"/>
  <c r="D639" i="16"/>
  <c r="L639" i="16"/>
  <c r="F640" i="16"/>
  <c r="N640" i="16"/>
  <c r="H641" i="16"/>
  <c r="D643" i="16"/>
  <c r="L643" i="16"/>
  <c r="F644" i="16"/>
  <c r="N644" i="16"/>
  <c r="H645" i="16"/>
  <c r="D647" i="16"/>
  <c r="L647" i="16"/>
  <c r="F648" i="16"/>
  <c r="N648" i="16"/>
  <c r="H649" i="16"/>
  <c r="D651" i="16"/>
  <c r="L651" i="16"/>
  <c r="F652" i="16"/>
  <c r="N652" i="16"/>
  <c r="H653" i="16"/>
  <c r="D655" i="16"/>
  <c r="L655" i="16"/>
  <c r="F656" i="16"/>
  <c r="N656" i="16"/>
  <c r="H657" i="16"/>
  <c r="D659" i="16"/>
  <c r="L659" i="16"/>
  <c r="F660" i="16"/>
  <c r="N660" i="16"/>
  <c r="H661" i="16"/>
  <c r="D663" i="16"/>
  <c r="L663" i="16"/>
  <c r="F664" i="16"/>
  <c r="N664" i="16"/>
  <c r="H665" i="16"/>
  <c r="D667" i="16"/>
  <c r="L667" i="16"/>
  <c r="F668" i="16"/>
  <c r="N668" i="16"/>
  <c r="H669" i="16"/>
  <c r="D671" i="16"/>
  <c r="L671" i="16"/>
  <c r="F672" i="16"/>
  <c r="N672" i="16"/>
  <c r="H673" i="16"/>
  <c r="D675" i="16"/>
  <c r="L675" i="16"/>
  <c r="F676" i="16"/>
  <c r="N676" i="16"/>
  <c r="H677" i="16"/>
  <c r="D679" i="16"/>
  <c r="L679" i="16"/>
  <c r="F680" i="16"/>
  <c r="N680" i="16"/>
  <c r="H681" i="16"/>
  <c r="D683" i="16"/>
  <c r="L683" i="16"/>
  <c r="F684" i="16"/>
  <c r="N684" i="16"/>
  <c r="H685" i="16"/>
  <c r="D687" i="16"/>
  <c r="L687" i="16"/>
  <c r="F688" i="16"/>
  <c r="N688" i="16"/>
  <c r="H689" i="16"/>
  <c r="D691" i="16"/>
  <c r="L691" i="16"/>
  <c r="F692" i="16"/>
  <c r="N692" i="16"/>
  <c r="H693" i="16"/>
  <c r="D695" i="16"/>
  <c r="L695" i="16"/>
  <c r="F696" i="16"/>
  <c r="N696" i="16"/>
  <c r="H697" i="16"/>
  <c r="D699" i="16"/>
  <c r="L699" i="16"/>
  <c r="F700" i="16"/>
  <c r="N700" i="16"/>
  <c r="H701" i="16"/>
  <c r="D703" i="16"/>
  <c r="L703" i="16"/>
  <c r="F704" i="16"/>
  <c r="N704" i="16"/>
  <c r="H705" i="16"/>
  <c r="D707" i="16"/>
  <c r="L707" i="16"/>
  <c r="F708" i="16"/>
  <c r="N708" i="16"/>
  <c r="H709" i="16"/>
  <c r="D711" i="16"/>
  <c r="L711" i="16"/>
  <c r="F712" i="16"/>
  <c r="N712" i="16"/>
  <c r="H713" i="16"/>
  <c r="D715" i="16"/>
  <c r="L715" i="16"/>
  <c r="F716" i="16"/>
  <c r="N716" i="16"/>
  <c r="H717" i="16"/>
  <c r="D719" i="16"/>
  <c r="L719" i="16"/>
  <c r="F720" i="16"/>
  <c r="N720" i="16"/>
  <c r="H721" i="16"/>
  <c r="D723" i="16"/>
  <c r="L723" i="16"/>
  <c r="F724" i="16"/>
  <c r="N724" i="16"/>
  <c r="H725" i="16"/>
  <c r="D727" i="16"/>
  <c r="L727" i="16"/>
  <c r="F728" i="16"/>
  <c r="N728" i="16"/>
  <c r="H729" i="16"/>
  <c r="D731" i="16"/>
  <c r="L731" i="16"/>
  <c r="F732" i="16"/>
  <c r="N732" i="16"/>
  <c r="H733" i="16"/>
  <c r="D735" i="16"/>
  <c r="L735" i="16"/>
  <c r="F736" i="16"/>
  <c r="N736" i="16"/>
  <c r="H737" i="16"/>
  <c r="D739" i="16"/>
  <c r="L739" i="16"/>
  <c r="F740" i="16"/>
  <c r="N740" i="16"/>
  <c r="H741" i="16"/>
  <c r="D743" i="16"/>
  <c r="L743" i="16"/>
  <c r="F744" i="16"/>
  <c r="N744" i="16"/>
  <c r="H745" i="16"/>
  <c r="D747" i="16"/>
  <c r="L747" i="16"/>
  <c r="F748" i="16"/>
  <c r="N748" i="16"/>
  <c r="H749" i="16"/>
  <c r="D751" i="16"/>
  <c r="L751" i="16"/>
  <c r="F752" i="16"/>
  <c r="N752" i="16"/>
  <c r="H753" i="16"/>
  <c r="D755" i="16"/>
  <c r="M755" i="16"/>
  <c r="F757" i="16"/>
  <c r="I759" i="16"/>
  <c r="E760" i="16"/>
  <c r="K761" i="16"/>
  <c r="C761" i="16"/>
  <c r="H761" i="16"/>
  <c r="M761" i="16"/>
  <c r="E763" i="16"/>
  <c r="I764" i="16"/>
  <c r="A764" i="16"/>
  <c r="N764" i="16"/>
  <c r="F764" i="16"/>
  <c r="L764" i="16"/>
  <c r="I765" i="16"/>
  <c r="H768" i="16"/>
  <c r="F783" i="16"/>
  <c r="G787" i="16"/>
  <c r="L787" i="16"/>
  <c r="D787" i="16"/>
  <c r="M787" i="16"/>
  <c r="F789" i="16"/>
  <c r="I791" i="16"/>
  <c r="E792" i="16"/>
  <c r="K793" i="16"/>
  <c r="C793" i="16"/>
  <c r="H793" i="16"/>
  <c r="M793" i="16"/>
  <c r="E795" i="16"/>
  <c r="I796" i="16"/>
  <c r="A796" i="16"/>
  <c r="N796" i="16"/>
  <c r="F796" i="16"/>
  <c r="L796" i="16"/>
  <c r="I797" i="16"/>
  <c r="H800" i="16"/>
  <c r="G813" i="16"/>
  <c r="J817" i="16"/>
  <c r="L820" i="16"/>
  <c r="D820" i="16"/>
  <c r="I820" i="16"/>
  <c r="A820" i="16"/>
  <c r="N820" i="16"/>
  <c r="F820" i="16"/>
  <c r="G825" i="16"/>
  <c r="I845" i="16"/>
  <c r="N849" i="16"/>
  <c r="F849" i="16"/>
  <c r="L849" i="16"/>
  <c r="D849" i="16"/>
  <c r="K849" i="16"/>
  <c r="C849" i="16"/>
  <c r="H849" i="16"/>
  <c r="M853" i="16"/>
  <c r="G857" i="16"/>
  <c r="I881" i="16"/>
  <c r="N889" i="16"/>
  <c r="F889" i="16"/>
  <c r="M889" i="16"/>
  <c r="E889" i="16"/>
  <c r="L889" i="16"/>
  <c r="D889" i="16"/>
  <c r="K889" i="16"/>
  <c r="C889" i="16"/>
  <c r="H889" i="16"/>
  <c r="H55" i="18"/>
  <c r="I55" i="18" s="1"/>
  <c r="G55" i="18"/>
  <c r="K55" i="18" s="1"/>
  <c r="K162" i="18"/>
  <c r="I162" i="18"/>
  <c r="J390" i="18"/>
  <c r="L390" i="18"/>
  <c r="J406" i="18"/>
  <c r="L406" i="18"/>
  <c r="G430" i="18"/>
  <c r="K430" i="18" s="1"/>
  <c r="H430" i="18"/>
  <c r="J533" i="16"/>
  <c r="J537" i="16"/>
  <c r="J541" i="16"/>
  <c r="J545" i="16"/>
  <c r="J549" i="16"/>
  <c r="J553" i="16"/>
  <c r="J557" i="16"/>
  <c r="J561" i="16"/>
  <c r="J565" i="16"/>
  <c r="J569" i="16"/>
  <c r="J573" i="16"/>
  <c r="J577" i="16"/>
  <c r="J581" i="16"/>
  <c r="J585" i="16"/>
  <c r="J589" i="16"/>
  <c r="J593" i="16"/>
  <c r="J597" i="16"/>
  <c r="J601" i="16"/>
  <c r="J605" i="16"/>
  <c r="J609" i="16"/>
  <c r="J613" i="16"/>
  <c r="J617" i="16"/>
  <c r="J621" i="16"/>
  <c r="J625" i="16"/>
  <c r="J629" i="16"/>
  <c r="J633" i="16"/>
  <c r="J637" i="16"/>
  <c r="J641" i="16"/>
  <c r="J645" i="16"/>
  <c r="J649" i="16"/>
  <c r="J653" i="16"/>
  <c r="J657" i="16"/>
  <c r="J661" i="16"/>
  <c r="J665" i="16"/>
  <c r="J669" i="16"/>
  <c r="J673" i="16"/>
  <c r="J677" i="16"/>
  <c r="J681" i="16"/>
  <c r="J685" i="16"/>
  <c r="J689" i="16"/>
  <c r="J693" i="16"/>
  <c r="J697" i="16"/>
  <c r="J701" i="16"/>
  <c r="J705" i="16"/>
  <c r="J709" i="16"/>
  <c r="J713" i="16"/>
  <c r="J717" i="16"/>
  <c r="J721" i="16"/>
  <c r="J725" i="16"/>
  <c r="J729" i="16"/>
  <c r="J733" i="16"/>
  <c r="J737" i="16"/>
  <c r="J741" i="16"/>
  <c r="J745" i="16"/>
  <c r="J749" i="16"/>
  <c r="J753" i="16"/>
  <c r="I756" i="16"/>
  <c r="A756" i="16"/>
  <c r="N756" i="16"/>
  <c r="F756" i="16"/>
  <c r="L756" i="16"/>
  <c r="I757" i="16"/>
  <c r="A759" i="16"/>
  <c r="H760" i="16"/>
  <c r="A765" i="16"/>
  <c r="G779" i="16"/>
  <c r="L779" i="16"/>
  <c r="D779" i="16"/>
  <c r="M779" i="16"/>
  <c r="I783" i="16"/>
  <c r="K785" i="16"/>
  <c r="C785" i="16"/>
  <c r="H785" i="16"/>
  <c r="M785" i="16"/>
  <c r="I788" i="16"/>
  <c r="A788" i="16"/>
  <c r="N788" i="16"/>
  <c r="F788" i="16"/>
  <c r="L788" i="16"/>
  <c r="I789" i="16"/>
  <c r="A791" i="16"/>
  <c r="H792" i="16"/>
  <c r="A797" i="16"/>
  <c r="J813" i="16"/>
  <c r="L816" i="16"/>
  <c r="D816" i="16"/>
  <c r="I816" i="16"/>
  <c r="A816" i="16"/>
  <c r="N816" i="16"/>
  <c r="F816" i="16"/>
  <c r="A817" i="16"/>
  <c r="N841" i="16"/>
  <c r="F841" i="16"/>
  <c r="L841" i="16"/>
  <c r="D841" i="16"/>
  <c r="K841" i="16"/>
  <c r="C841" i="16"/>
  <c r="H841" i="16"/>
  <c r="M845" i="16"/>
  <c r="J857" i="16"/>
  <c r="N873" i="16"/>
  <c r="F873" i="16"/>
  <c r="L873" i="16"/>
  <c r="D873" i="16"/>
  <c r="K873" i="16"/>
  <c r="C873" i="16"/>
  <c r="H873" i="16"/>
  <c r="N897" i="16"/>
  <c r="F897" i="16"/>
  <c r="M897" i="16"/>
  <c r="E897" i="16"/>
  <c r="L897" i="16"/>
  <c r="D897" i="16"/>
  <c r="K897" i="16"/>
  <c r="C897" i="16"/>
  <c r="H897" i="16"/>
  <c r="G96" i="18"/>
  <c r="K96" i="18" s="1"/>
  <c r="F96" i="18"/>
  <c r="M96" i="18"/>
  <c r="E96" i="18"/>
  <c r="H96" i="18" s="1"/>
  <c r="I96" i="18" s="1"/>
  <c r="D96" i="18"/>
  <c r="A96" i="18"/>
  <c r="C96" i="18"/>
  <c r="K226" i="18"/>
  <c r="I226" i="18"/>
  <c r="F373" i="18"/>
  <c r="M373" i="18"/>
  <c r="E373" i="18"/>
  <c r="G373" i="18" s="1"/>
  <c r="K373" i="18" s="1"/>
  <c r="D373" i="18"/>
  <c r="C373" i="18"/>
  <c r="A373" i="18"/>
  <c r="H373" i="18"/>
  <c r="J386" i="18"/>
  <c r="L386" i="18"/>
  <c r="J402" i="18"/>
  <c r="L402" i="18"/>
  <c r="L658" i="18"/>
  <c r="J658" i="18"/>
  <c r="G759" i="16"/>
  <c r="L759" i="16"/>
  <c r="D759" i="16"/>
  <c r="M759" i="16"/>
  <c r="K765" i="16"/>
  <c r="C765" i="16"/>
  <c r="H765" i="16"/>
  <c r="M765" i="16"/>
  <c r="I768" i="16"/>
  <c r="A768" i="16"/>
  <c r="N768" i="16"/>
  <c r="F768" i="16"/>
  <c r="L768" i="16"/>
  <c r="G791" i="16"/>
  <c r="L791" i="16"/>
  <c r="D791" i="16"/>
  <c r="M791" i="16"/>
  <c r="K797" i="16"/>
  <c r="C797" i="16"/>
  <c r="H797" i="16"/>
  <c r="M797" i="16"/>
  <c r="I800" i="16"/>
  <c r="A800" i="16"/>
  <c r="N800" i="16"/>
  <c r="F800" i="16"/>
  <c r="L800" i="16"/>
  <c r="N817" i="16"/>
  <c r="F817" i="16"/>
  <c r="K817" i="16"/>
  <c r="C817" i="16"/>
  <c r="H817" i="16"/>
  <c r="N853" i="16"/>
  <c r="F853" i="16"/>
  <c r="L853" i="16"/>
  <c r="D853" i="16"/>
  <c r="K853" i="16"/>
  <c r="C853" i="16"/>
  <c r="H853" i="16"/>
  <c r="N901" i="16"/>
  <c r="F901" i="16"/>
  <c r="M901" i="16"/>
  <c r="E901" i="16"/>
  <c r="L901" i="16"/>
  <c r="D901" i="16"/>
  <c r="K901" i="16"/>
  <c r="C901" i="16"/>
  <c r="H901" i="16"/>
  <c r="H132" i="18"/>
  <c r="I132" i="18" s="1"/>
  <c r="G132" i="18"/>
  <c r="K132" i="18" s="1"/>
  <c r="J448" i="16"/>
  <c r="J452" i="16"/>
  <c r="J456" i="16"/>
  <c r="J460" i="16"/>
  <c r="J464" i="16"/>
  <c r="J468" i="16"/>
  <c r="J472" i="16"/>
  <c r="J476" i="16"/>
  <c r="J480" i="16"/>
  <c r="J484" i="16"/>
  <c r="J488" i="16"/>
  <c r="J492" i="16"/>
  <c r="J496" i="16"/>
  <c r="J500" i="16"/>
  <c r="J504" i="16"/>
  <c r="J508" i="16"/>
  <c r="J512" i="16"/>
  <c r="J516" i="16"/>
  <c r="J520" i="16"/>
  <c r="J524" i="16"/>
  <c r="J528" i="16"/>
  <c r="J532" i="16"/>
  <c r="D533" i="16"/>
  <c r="L533" i="16"/>
  <c r="J536" i="16"/>
  <c r="D537" i="16"/>
  <c r="L537" i="16"/>
  <c r="J540" i="16"/>
  <c r="D541" i="16"/>
  <c r="L541" i="16"/>
  <c r="J544" i="16"/>
  <c r="D545" i="16"/>
  <c r="L545" i="16"/>
  <c r="J548" i="16"/>
  <c r="D549" i="16"/>
  <c r="L549" i="16"/>
  <c r="J552" i="16"/>
  <c r="D553" i="16"/>
  <c r="L553" i="16"/>
  <c r="J556" i="16"/>
  <c r="D557" i="16"/>
  <c r="L557" i="16"/>
  <c r="J560" i="16"/>
  <c r="D561" i="16"/>
  <c r="L561" i="16"/>
  <c r="J564" i="16"/>
  <c r="D565" i="16"/>
  <c r="L565" i="16"/>
  <c r="J568" i="16"/>
  <c r="D569" i="16"/>
  <c r="L569" i="16"/>
  <c r="J572" i="16"/>
  <c r="D573" i="16"/>
  <c r="L573" i="16"/>
  <c r="J576" i="16"/>
  <c r="D577" i="16"/>
  <c r="L577" i="16"/>
  <c r="J580" i="16"/>
  <c r="D581" i="16"/>
  <c r="L581" i="16"/>
  <c r="J584" i="16"/>
  <c r="D585" i="16"/>
  <c r="L585" i="16"/>
  <c r="J588" i="16"/>
  <c r="D589" i="16"/>
  <c r="L589" i="16"/>
  <c r="J592" i="16"/>
  <c r="D593" i="16"/>
  <c r="L593" i="16"/>
  <c r="J596" i="16"/>
  <c r="D597" i="16"/>
  <c r="L597" i="16"/>
  <c r="J600" i="16"/>
  <c r="D601" i="16"/>
  <c r="L601" i="16"/>
  <c r="J604" i="16"/>
  <c r="D605" i="16"/>
  <c r="L605" i="16"/>
  <c r="J608" i="16"/>
  <c r="D609" i="16"/>
  <c r="L609" i="16"/>
  <c r="J612" i="16"/>
  <c r="D613" i="16"/>
  <c r="L613" i="16"/>
  <c r="J616" i="16"/>
  <c r="D617" i="16"/>
  <c r="L617" i="16"/>
  <c r="J620" i="16"/>
  <c r="D621" i="16"/>
  <c r="L621" i="16"/>
  <c r="J624" i="16"/>
  <c r="D625" i="16"/>
  <c r="L625" i="16"/>
  <c r="J628" i="16"/>
  <c r="D629" i="16"/>
  <c r="L629" i="16"/>
  <c r="J632" i="16"/>
  <c r="D633" i="16"/>
  <c r="L633" i="16"/>
  <c r="J636" i="16"/>
  <c r="D637" i="16"/>
  <c r="L637" i="16"/>
  <c r="J640" i="16"/>
  <c r="D641" i="16"/>
  <c r="L641" i="16"/>
  <c r="J644" i="16"/>
  <c r="D645" i="16"/>
  <c r="L645" i="16"/>
  <c r="J648" i="16"/>
  <c r="D649" i="16"/>
  <c r="L649" i="16"/>
  <c r="J652" i="16"/>
  <c r="D653" i="16"/>
  <c r="L653" i="16"/>
  <c r="J656" i="16"/>
  <c r="D657" i="16"/>
  <c r="L657" i="16"/>
  <c r="J660" i="16"/>
  <c r="D661" i="16"/>
  <c r="L661" i="16"/>
  <c r="J664" i="16"/>
  <c r="D665" i="16"/>
  <c r="L665" i="16"/>
  <c r="J668" i="16"/>
  <c r="D669" i="16"/>
  <c r="L669" i="16"/>
  <c r="J672" i="16"/>
  <c r="D673" i="16"/>
  <c r="L673" i="16"/>
  <c r="J676" i="16"/>
  <c r="D677" i="16"/>
  <c r="L677" i="16"/>
  <c r="J680" i="16"/>
  <c r="D681" i="16"/>
  <c r="L681" i="16"/>
  <c r="J684" i="16"/>
  <c r="D685" i="16"/>
  <c r="L685" i="16"/>
  <c r="J688" i="16"/>
  <c r="D689" i="16"/>
  <c r="L689" i="16"/>
  <c r="J692" i="16"/>
  <c r="D693" i="16"/>
  <c r="L693" i="16"/>
  <c r="J696" i="16"/>
  <c r="D697" i="16"/>
  <c r="L697" i="16"/>
  <c r="J700" i="16"/>
  <c r="D701" i="16"/>
  <c r="L701" i="16"/>
  <c r="J704" i="16"/>
  <c r="D705" i="16"/>
  <c r="L705" i="16"/>
  <c r="J708" i="16"/>
  <c r="D709" i="16"/>
  <c r="L709" i="16"/>
  <c r="J712" i="16"/>
  <c r="D713" i="16"/>
  <c r="L713" i="16"/>
  <c r="J716" i="16"/>
  <c r="D717" i="16"/>
  <c r="L717" i="16"/>
  <c r="J720" i="16"/>
  <c r="D721" i="16"/>
  <c r="L721" i="16"/>
  <c r="J724" i="16"/>
  <c r="D725" i="16"/>
  <c r="L725" i="16"/>
  <c r="J728" i="16"/>
  <c r="D729" i="16"/>
  <c r="L729" i="16"/>
  <c r="J732" i="16"/>
  <c r="D733" i="16"/>
  <c r="L733" i="16"/>
  <c r="J736" i="16"/>
  <c r="D737" i="16"/>
  <c r="L737" i="16"/>
  <c r="J740" i="16"/>
  <c r="D741" i="16"/>
  <c r="L741" i="16"/>
  <c r="H743" i="16"/>
  <c r="J744" i="16"/>
  <c r="D745" i="16"/>
  <c r="L745" i="16"/>
  <c r="H747" i="16"/>
  <c r="J748" i="16"/>
  <c r="D749" i="16"/>
  <c r="L749" i="16"/>
  <c r="H751" i="16"/>
  <c r="J752" i="16"/>
  <c r="D753" i="16"/>
  <c r="L753" i="16"/>
  <c r="H755" i="16"/>
  <c r="D756" i="16"/>
  <c r="A757" i="16"/>
  <c r="C759" i="16"/>
  <c r="N759" i="16"/>
  <c r="D765" i="16"/>
  <c r="N765" i="16"/>
  <c r="C768" i="16"/>
  <c r="M768" i="16"/>
  <c r="G771" i="16"/>
  <c r="L771" i="16"/>
  <c r="D771" i="16"/>
  <c r="M771" i="16"/>
  <c r="K777" i="16"/>
  <c r="C777" i="16"/>
  <c r="H777" i="16"/>
  <c r="M777" i="16"/>
  <c r="E779" i="16"/>
  <c r="I780" i="16"/>
  <c r="A780" i="16"/>
  <c r="N780" i="16"/>
  <c r="F780" i="16"/>
  <c r="L780" i="16"/>
  <c r="A783" i="16"/>
  <c r="E785" i="16"/>
  <c r="D788" i="16"/>
  <c r="A789" i="16"/>
  <c r="C791" i="16"/>
  <c r="N791" i="16"/>
  <c r="D797" i="16"/>
  <c r="N797" i="16"/>
  <c r="C800" i="16"/>
  <c r="M800" i="16"/>
  <c r="G803" i="16"/>
  <c r="L803" i="16"/>
  <c r="D803" i="16"/>
  <c r="M803" i="16"/>
  <c r="L812" i="16"/>
  <c r="D812" i="16"/>
  <c r="I812" i="16"/>
  <c r="A812" i="16"/>
  <c r="N812" i="16"/>
  <c r="F812" i="16"/>
  <c r="A813" i="16"/>
  <c r="E816" i="16"/>
  <c r="D817" i="16"/>
  <c r="N833" i="16"/>
  <c r="F833" i="16"/>
  <c r="L833" i="16"/>
  <c r="D833" i="16"/>
  <c r="K833" i="16"/>
  <c r="C833" i="16"/>
  <c r="H833" i="16"/>
  <c r="E853" i="16"/>
  <c r="N865" i="16"/>
  <c r="F865" i="16"/>
  <c r="L865" i="16"/>
  <c r="D865" i="16"/>
  <c r="K865" i="16"/>
  <c r="C865" i="16"/>
  <c r="H865" i="16"/>
  <c r="G901" i="16"/>
  <c r="K10" i="18"/>
  <c r="H44" i="18"/>
  <c r="I44" i="18" s="1"/>
  <c r="G44" i="18"/>
  <c r="K44" i="18" s="1"/>
  <c r="L146" i="18"/>
  <c r="J146" i="18"/>
  <c r="K757" i="16"/>
  <c r="C757" i="16"/>
  <c r="H757" i="16"/>
  <c r="M757" i="16"/>
  <c r="E759" i="16"/>
  <c r="I760" i="16"/>
  <c r="A760" i="16"/>
  <c r="N760" i="16"/>
  <c r="F760" i="16"/>
  <c r="L760" i="16"/>
  <c r="E765" i="16"/>
  <c r="D768" i="16"/>
  <c r="G783" i="16"/>
  <c r="L783" i="16"/>
  <c r="D783" i="16"/>
  <c r="M783" i="16"/>
  <c r="K789" i="16"/>
  <c r="C789" i="16"/>
  <c r="H789" i="16"/>
  <c r="M789" i="16"/>
  <c r="E791" i="16"/>
  <c r="I792" i="16"/>
  <c r="A792" i="16"/>
  <c r="N792" i="16"/>
  <c r="F792" i="16"/>
  <c r="L792" i="16"/>
  <c r="E797" i="16"/>
  <c r="D800" i="16"/>
  <c r="N813" i="16"/>
  <c r="F813" i="16"/>
  <c r="K813" i="16"/>
  <c r="C813" i="16"/>
  <c r="H813" i="16"/>
  <c r="E817" i="16"/>
  <c r="N845" i="16"/>
  <c r="F845" i="16"/>
  <c r="L845" i="16"/>
  <c r="D845" i="16"/>
  <c r="K845" i="16"/>
  <c r="C845" i="16"/>
  <c r="H845" i="16"/>
  <c r="G853" i="16"/>
  <c r="E865" i="16"/>
  <c r="N877" i="16"/>
  <c r="F877" i="16"/>
  <c r="M877" i="16"/>
  <c r="E877" i="16"/>
  <c r="L877" i="16"/>
  <c r="D877" i="16"/>
  <c r="K877" i="16"/>
  <c r="C877" i="16"/>
  <c r="H877" i="16"/>
  <c r="I901" i="16"/>
  <c r="K20" i="18"/>
  <c r="L530" i="18"/>
  <c r="J530" i="18"/>
  <c r="D448" i="16"/>
  <c r="D452" i="16"/>
  <c r="D456" i="16"/>
  <c r="D460" i="16"/>
  <c r="D464" i="16"/>
  <c r="D468" i="16"/>
  <c r="D472" i="16"/>
  <c r="D476" i="16"/>
  <c r="D480" i="16"/>
  <c r="D484" i="16"/>
  <c r="D488" i="16"/>
  <c r="D492" i="16"/>
  <c r="D496" i="16"/>
  <c r="D500" i="16"/>
  <c r="D504" i="16"/>
  <c r="D508" i="16"/>
  <c r="D512" i="16"/>
  <c r="D516" i="16"/>
  <c r="D520" i="16"/>
  <c r="D524" i="16"/>
  <c r="D528" i="16"/>
  <c r="D532" i="16"/>
  <c r="F533" i="16"/>
  <c r="D536" i="16"/>
  <c r="F537" i="16"/>
  <c r="D540" i="16"/>
  <c r="F541" i="16"/>
  <c r="D544" i="16"/>
  <c r="F545" i="16"/>
  <c r="D548" i="16"/>
  <c r="F549" i="16"/>
  <c r="D552" i="16"/>
  <c r="F553" i="16"/>
  <c r="D556" i="16"/>
  <c r="F557" i="16"/>
  <c r="D560" i="16"/>
  <c r="F561" i="16"/>
  <c r="D564" i="16"/>
  <c r="F565" i="16"/>
  <c r="D568" i="16"/>
  <c r="F569" i="16"/>
  <c r="D572" i="16"/>
  <c r="F573" i="16"/>
  <c r="D576" i="16"/>
  <c r="F577" i="16"/>
  <c r="D580" i="16"/>
  <c r="F581" i="16"/>
  <c r="D584" i="16"/>
  <c r="F585" i="16"/>
  <c r="D588" i="16"/>
  <c r="F589" i="16"/>
  <c r="D592" i="16"/>
  <c r="F593" i="16"/>
  <c r="D596" i="16"/>
  <c r="F597" i="16"/>
  <c r="D600" i="16"/>
  <c r="F601" i="16"/>
  <c r="D604" i="16"/>
  <c r="F605" i="16"/>
  <c r="D608" i="16"/>
  <c r="F609" i="16"/>
  <c r="D612" i="16"/>
  <c r="F613" i="16"/>
  <c r="D616" i="16"/>
  <c r="F617" i="16"/>
  <c r="D620" i="16"/>
  <c r="F621" i="16"/>
  <c r="D624" i="16"/>
  <c r="F625" i="16"/>
  <c r="D628" i="16"/>
  <c r="F629" i="16"/>
  <c r="D632" i="16"/>
  <c r="F633" i="16"/>
  <c r="D636" i="16"/>
  <c r="F637" i="16"/>
  <c r="D640" i="16"/>
  <c r="F641" i="16"/>
  <c r="D644" i="16"/>
  <c r="F645" i="16"/>
  <c r="D648" i="16"/>
  <c r="F649" i="16"/>
  <c r="D652" i="16"/>
  <c r="F653" i="16"/>
  <c r="D656" i="16"/>
  <c r="F657" i="16"/>
  <c r="D660" i="16"/>
  <c r="F661" i="16"/>
  <c r="D664" i="16"/>
  <c r="F665" i="16"/>
  <c r="D668" i="16"/>
  <c r="F669" i="16"/>
  <c r="D672" i="16"/>
  <c r="F673" i="16"/>
  <c r="D676" i="16"/>
  <c r="F677" i="16"/>
  <c r="D680" i="16"/>
  <c r="F681" i="16"/>
  <c r="D684" i="16"/>
  <c r="F685" i="16"/>
  <c r="D688" i="16"/>
  <c r="F689" i="16"/>
  <c r="D692" i="16"/>
  <c r="F693" i="16"/>
  <c r="D696" i="16"/>
  <c r="F697" i="16"/>
  <c r="D700" i="16"/>
  <c r="F701" i="16"/>
  <c r="D704" i="16"/>
  <c r="F705" i="16"/>
  <c r="D708" i="16"/>
  <c r="F709" i="16"/>
  <c r="D712" i="16"/>
  <c r="F713" i="16"/>
  <c r="D716" i="16"/>
  <c r="F717" i="16"/>
  <c r="D720" i="16"/>
  <c r="F721" i="16"/>
  <c r="D724" i="16"/>
  <c r="F725" i="16"/>
  <c r="D728" i="16"/>
  <c r="F729" i="16"/>
  <c r="D732" i="16"/>
  <c r="F733" i="16"/>
  <c r="D736" i="16"/>
  <c r="F737" i="16"/>
  <c r="D740" i="16"/>
  <c r="F741" i="16"/>
  <c r="D744" i="16"/>
  <c r="F745" i="16"/>
  <c r="D748" i="16"/>
  <c r="F749" i="16"/>
  <c r="D752" i="16"/>
  <c r="F753" i="16"/>
  <c r="J755" i="16"/>
  <c r="G756" i="16"/>
  <c r="D757" i="16"/>
  <c r="N757" i="16"/>
  <c r="F759" i="16"/>
  <c r="C760" i="16"/>
  <c r="M760" i="16"/>
  <c r="G763" i="16"/>
  <c r="L763" i="16"/>
  <c r="D763" i="16"/>
  <c r="M763" i="16"/>
  <c r="F765" i="16"/>
  <c r="E768" i="16"/>
  <c r="K769" i="16"/>
  <c r="C769" i="16"/>
  <c r="H769" i="16"/>
  <c r="M769" i="16"/>
  <c r="E771" i="16"/>
  <c r="I772" i="16"/>
  <c r="A772" i="16"/>
  <c r="N772" i="16"/>
  <c r="F772" i="16"/>
  <c r="L772" i="16"/>
  <c r="E777" i="16"/>
  <c r="H779" i="16"/>
  <c r="D780" i="16"/>
  <c r="C783" i="16"/>
  <c r="N783" i="16"/>
  <c r="G785" i="16"/>
  <c r="G788" i="16"/>
  <c r="D789" i="16"/>
  <c r="N789" i="16"/>
  <c r="F791" i="16"/>
  <c r="C792" i="16"/>
  <c r="M792" i="16"/>
  <c r="G795" i="16"/>
  <c r="L795" i="16"/>
  <c r="D795" i="16"/>
  <c r="M795" i="16"/>
  <c r="F797" i="16"/>
  <c r="E800" i="16"/>
  <c r="K801" i="16"/>
  <c r="C801" i="16"/>
  <c r="H801" i="16"/>
  <c r="M801" i="16"/>
  <c r="E803" i="16"/>
  <c r="I804" i="16"/>
  <c r="A804" i="16"/>
  <c r="N804" i="16"/>
  <c r="F804" i="16"/>
  <c r="L804" i="16"/>
  <c r="L808" i="16"/>
  <c r="D808" i="16"/>
  <c r="I808" i="16"/>
  <c r="A808" i="16"/>
  <c r="N808" i="16"/>
  <c r="F808" i="16"/>
  <c r="E812" i="16"/>
  <c r="D813" i="16"/>
  <c r="H816" i="16"/>
  <c r="G817" i="16"/>
  <c r="N825" i="16"/>
  <c r="F825" i="16"/>
  <c r="L825" i="16"/>
  <c r="D825" i="16"/>
  <c r="K825" i="16"/>
  <c r="C825" i="16"/>
  <c r="H825" i="16"/>
  <c r="G833" i="16"/>
  <c r="E845" i="16"/>
  <c r="I853" i="16"/>
  <c r="N857" i="16"/>
  <c r="F857" i="16"/>
  <c r="L857" i="16"/>
  <c r="D857" i="16"/>
  <c r="K857" i="16"/>
  <c r="C857" i="16"/>
  <c r="H857" i="16"/>
  <c r="G865" i="16"/>
  <c r="N881" i="16"/>
  <c r="F881" i="16"/>
  <c r="M881" i="16"/>
  <c r="E881" i="16"/>
  <c r="L881" i="16"/>
  <c r="D881" i="16"/>
  <c r="K881" i="16"/>
  <c r="C881" i="16"/>
  <c r="H881" i="16"/>
  <c r="J901" i="16"/>
  <c r="L18" i="18"/>
  <c r="J18" i="18"/>
  <c r="F70" i="18"/>
  <c r="A70" i="18"/>
  <c r="E70" i="18"/>
  <c r="H70" i="18" s="1"/>
  <c r="D70" i="18"/>
  <c r="C70" i="18"/>
  <c r="M70" i="18"/>
  <c r="L114" i="18"/>
  <c r="J114" i="18"/>
  <c r="H196" i="18"/>
  <c r="I196" i="18" s="1"/>
  <c r="G196" i="18"/>
  <c r="K196" i="18" s="1"/>
  <c r="J758" i="16"/>
  <c r="J762" i="16"/>
  <c r="J766" i="16"/>
  <c r="J770" i="16"/>
  <c r="J774" i="16"/>
  <c r="J778" i="16"/>
  <c r="J782" i="16"/>
  <c r="J786" i="16"/>
  <c r="J790" i="16"/>
  <c r="J794" i="16"/>
  <c r="J798" i="16"/>
  <c r="J802" i="16"/>
  <c r="J806" i="16"/>
  <c r="D807" i="16"/>
  <c r="L807" i="16"/>
  <c r="J810" i="16"/>
  <c r="D811" i="16"/>
  <c r="L811" i="16"/>
  <c r="J814" i="16"/>
  <c r="D815" i="16"/>
  <c r="L815" i="16"/>
  <c r="J818" i="16"/>
  <c r="D819" i="16"/>
  <c r="L819" i="16"/>
  <c r="J822" i="16"/>
  <c r="D823" i="16"/>
  <c r="L823" i="16"/>
  <c r="F824" i="16"/>
  <c r="N824" i="16"/>
  <c r="J826" i="16"/>
  <c r="D827" i="16"/>
  <c r="L827" i="16"/>
  <c r="F828" i="16"/>
  <c r="N828" i="16"/>
  <c r="J830" i="16"/>
  <c r="D831" i="16"/>
  <c r="L831" i="16"/>
  <c r="F832" i="16"/>
  <c r="N832" i="16"/>
  <c r="J834" i="16"/>
  <c r="D835" i="16"/>
  <c r="L835" i="16"/>
  <c r="F836" i="16"/>
  <c r="N836" i="16"/>
  <c r="J838" i="16"/>
  <c r="D839" i="16"/>
  <c r="L839" i="16"/>
  <c r="F840" i="16"/>
  <c r="N840" i="16"/>
  <c r="J842" i="16"/>
  <c r="D843" i="16"/>
  <c r="L843" i="16"/>
  <c r="F844" i="16"/>
  <c r="N844" i="16"/>
  <c r="J846" i="16"/>
  <c r="D847" i="16"/>
  <c r="L847" i="16"/>
  <c r="F848" i="16"/>
  <c r="N848" i="16"/>
  <c r="J850" i="16"/>
  <c r="D851" i="16"/>
  <c r="L851" i="16"/>
  <c r="F852" i="16"/>
  <c r="N852" i="16"/>
  <c r="J854" i="16"/>
  <c r="D855" i="16"/>
  <c r="L855" i="16"/>
  <c r="F856" i="16"/>
  <c r="N856" i="16"/>
  <c r="J858" i="16"/>
  <c r="D859" i="16"/>
  <c r="L859" i="16"/>
  <c r="F860" i="16"/>
  <c r="N860" i="16"/>
  <c r="J862" i="16"/>
  <c r="D863" i="16"/>
  <c r="L863" i="16"/>
  <c r="F864" i="16"/>
  <c r="N864" i="16"/>
  <c r="J866" i="16"/>
  <c r="D867" i="16"/>
  <c r="L867" i="16"/>
  <c r="F868" i="16"/>
  <c r="N868" i="16"/>
  <c r="J870" i="16"/>
  <c r="D871" i="16"/>
  <c r="L871" i="16"/>
  <c r="F872" i="16"/>
  <c r="N872" i="16"/>
  <c r="J874" i="16"/>
  <c r="D875" i="16"/>
  <c r="L875" i="16"/>
  <c r="F876" i="16"/>
  <c r="N876" i="16"/>
  <c r="J878" i="16"/>
  <c r="D879" i="16"/>
  <c r="L879" i="16"/>
  <c r="F880" i="16"/>
  <c r="N880" i="16"/>
  <c r="J882" i="16"/>
  <c r="D883" i="16"/>
  <c r="L883" i="16"/>
  <c r="F884" i="16"/>
  <c r="N884" i="16"/>
  <c r="J886" i="16"/>
  <c r="D887" i="16"/>
  <c r="L887" i="16"/>
  <c r="F888" i="16"/>
  <c r="N888" i="16"/>
  <c r="J890" i="16"/>
  <c r="D891" i="16"/>
  <c r="L891" i="16"/>
  <c r="F892" i="16"/>
  <c r="N892" i="16"/>
  <c r="J894" i="16"/>
  <c r="D895" i="16"/>
  <c r="L895" i="16"/>
  <c r="F896" i="16"/>
  <c r="N896" i="16"/>
  <c r="J898" i="16"/>
  <c r="D899" i="16"/>
  <c r="L899" i="16"/>
  <c r="F900" i="16"/>
  <c r="N900" i="16"/>
  <c r="J902" i="16"/>
  <c r="D903" i="16"/>
  <c r="L903" i="16"/>
  <c r="F904" i="16"/>
  <c r="N904" i="16"/>
  <c r="H905" i="16"/>
  <c r="J906" i="16"/>
  <c r="D907" i="16"/>
  <c r="L907" i="16"/>
  <c r="F908" i="16"/>
  <c r="N908" i="16"/>
  <c r="H909" i="16"/>
  <c r="J910" i="16"/>
  <c r="D911" i="16"/>
  <c r="L911" i="16"/>
  <c r="F912" i="16"/>
  <c r="N912" i="16"/>
  <c r="H913" i="16"/>
  <c r="J914" i="16"/>
  <c r="D915" i="16"/>
  <c r="L915" i="16"/>
  <c r="F916" i="16"/>
  <c r="N916" i="16"/>
  <c r="H917" i="16"/>
  <c r="J918" i="16"/>
  <c r="D919" i="16"/>
  <c r="L919" i="16"/>
  <c r="F920" i="16"/>
  <c r="N920" i="16"/>
  <c r="H921" i="16"/>
  <c r="J922" i="16"/>
  <c r="D923" i="16"/>
  <c r="L923" i="16"/>
  <c r="F924" i="16"/>
  <c r="N924" i="16"/>
  <c r="H925" i="16"/>
  <c r="J926" i="16"/>
  <c r="D927" i="16"/>
  <c r="L927" i="16"/>
  <c r="F928" i="16"/>
  <c r="N928" i="16"/>
  <c r="H929" i="16"/>
  <c r="J930" i="16"/>
  <c r="D931" i="16"/>
  <c r="L931" i="16"/>
  <c r="F932" i="16"/>
  <c r="N932" i="16"/>
  <c r="H933" i="16"/>
  <c r="J934" i="16"/>
  <c r="D935" i="16"/>
  <c r="L935" i="16"/>
  <c r="F936" i="16"/>
  <c r="N936" i="16"/>
  <c r="H937" i="16"/>
  <c r="J938" i="16"/>
  <c r="D939" i="16"/>
  <c r="L939" i="16"/>
  <c r="F940" i="16"/>
  <c r="N940" i="16"/>
  <c r="H941" i="16"/>
  <c r="J942" i="16"/>
  <c r="D943" i="16"/>
  <c r="L943" i="16"/>
  <c r="F944" i="16"/>
  <c r="N944" i="16"/>
  <c r="H945" i="16"/>
  <c r="J946" i="16"/>
  <c r="D947" i="16"/>
  <c r="L947" i="16"/>
  <c r="F948" i="16"/>
  <c r="N948" i="16"/>
  <c r="H949" i="16"/>
  <c r="J950" i="16"/>
  <c r="D951" i="16"/>
  <c r="L951" i="16"/>
  <c r="F952" i="16"/>
  <c r="N952" i="16"/>
  <c r="H953" i="16"/>
  <c r="J954" i="16"/>
  <c r="D955" i="16"/>
  <c r="L955" i="16"/>
  <c r="F956" i="16"/>
  <c r="N956" i="16"/>
  <c r="H957" i="16"/>
  <c r="J958" i="16"/>
  <c r="D959" i="16"/>
  <c r="L959" i="16"/>
  <c r="F960" i="16"/>
  <c r="N960" i="16"/>
  <c r="H961" i="16"/>
  <c r="J962" i="16"/>
  <c r="D963" i="16"/>
  <c r="L963" i="16"/>
  <c r="F964" i="16"/>
  <c r="N964" i="16"/>
  <c r="H965" i="16"/>
  <c r="J966" i="16"/>
  <c r="D967" i="16"/>
  <c r="L967" i="16"/>
  <c r="F968" i="16"/>
  <c r="N968" i="16"/>
  <c r="H969" i="16"/>
  <c r="J970" i="16"/>
  <c r="D971" i="16"/>
  <c r="L971" i="16"/>
  <c r="F972" i="16"/>
  <c r="N972" i="16"/>
  <c r="H973" i="16"/>
  <c r="J974" i="16"/>
  <c r="D975" i="16"/>
  <c r="L975" i="16"/>
  <c r="F976" i="16"/>
  <c r="N976" i="16"/>
  <c r="H977" i="16"/>
  <c r="J978" i="16"/>
  <c r="D979" i="16"/>
  <c r="L979" i="16"/>
  <c r="F980" i="16"/>
  <c r="N980" i="16"/>
  <c r="H981" i="16"/>
  <c r="J982" i="16"/>
  <c r="D983" i="16"/>
  <c r="L983" i="16"/>
  <c r="F984" i="16"/>
  <c r="N984" i="16"/>
  <c r="H985" i="16"/>
  <c r="J986" i="16"/>
  <c r="D987" i="16"/>
  <c r="L987" i="16"/>
  <c r="F988" i="16"/>
  <c r="N988" i="16"/>
  <c r="H989" i="16"/>
  <c r="J990" i="16"/>
  <c r="D991" i="16"/>
  <c r="L991" i="16"/>
  <c r="F992" i="16"/>
  <c r="N992" i="16"/>
  <c r="H993" i="16"/>
  <c r="J994" i="16"/>
  <c r="D995" i="16"/>
  <c r="L995" i="16"/>
  <c r="F996" i="16"/>
  <c r="N996" i="16"/>
  <c r="H997" i="16"/>
  <c r="J998" i="16"/>
  <c r="D999" i="16"/>
  <c r="L999" i="16"/>
  <c r="F1000" i="16"/>
  <c r="N1000" i="16"/>
  <c r="H1001" i="16"/>
  <c r="J1002" i="16"/>
  <c r="D1003" i="16"/>
  <c r="L1003" i="16"/>
  <c r="F1004" i="16"/>
  <c r="N1004" i="16"/>
  <c r="L10" i="18"/>
  <c r="J10" i="18"/>
  <c r="A19" i="18"/>
  <c r="F19" i="18"/>
  <c r="E19" i="18"/>
  <c r="C19" i="18"/>
  <c r="E21" i="18"/>
  <c r="G21" i="18" s="1"/>
  <c r="K21" i="18" s="1"/>
  <c r="A21" i="18"/>
  <c r="F21" i="18"/>
  <c r="D21" i="18"/>
  <c r="C21" i="18"/>
  <c r="L42" i="18"/>
  <c r="J42" i="18"/>
  <c r="L66" i="18"/>
  <c r="J66" i="18"/>
  <c r="L175" i="18"/>
  <c r="J175" i="18"/>
  <c r="J302" i="18"/>
  <c r="L302" i="18"/>
  <c r="J905" i="16"/>
  <c r="J909" i="16"/>
  <c r="J913" i="16"/>
  <c r="J917" i="16"/>
  <c r="J921" i="16"/>
  <c r="J925" i="16"/>
  <c r="J929" i="16"/>
  <c r="J933" i="16"/>
  <c r="J937" i="16"/>
  <c r="J941" i="16"/>
  <c r="J945" i="16"/>
  <c r="J949" i="16"/>
  <c r="J953" i="16"/>
  <c r="J957" i="16"/>
  <c r="J961" i="16"/>
  <c r="J965" i="16"/>
  <c r="J969" i="16"/>
  <c r="J973" i="16"/>
  <c r="J977" i="16"/>
  <c r="J981" i="16"/>
  <c r="J985" i="16"/>
  <c r="J989" i="16"/>
  <c r="J993" i="16"/>
  <c r="J997" i="16"/>
  <c r="J1001" i="16"/>
  <c r="G15" i="18"/>
  <c r="K15" i="18" s="1"/>
  <c r="I82" i="18"/>
  <c r="H87" i="18"/>
  <c r="I87" i="18" s="1"/>
  <c r="G87" i="18"/>
  <c r="K87" i="18" s="1"/>
  <c r="K90" i="18"/>
  <c r="I90" i="18"/>
  <c r="A131" i="18"/>
  <c r="H131" i="18"/>
  <c r="F131" i="18"/>
  <c r="M131" i="18"/>
  <c r="E131" i="18"/>
  <c r="G131" i="18" s="1"/>
  <c r="K131" i="18" s="1"/>
  <c r="C131" i="18"/>
  <c r="D131" i="18"/>
  <c r="F165" i="18"/>
  <c r="M165" i="18"/>
  <c r="E165" i="18"/>
  <c r="H165" i="18" s="1"/>
  <c r="D165" i="18"/>
  <c r="C165" i="18"/>
  <c r="A165" i="18"/>
  <c r="L239" i="18"/>
  <c r="J239" i="18"/>
  <c r="H260" i="18"/>
  <c r="G260" i="18"/>
  <c r="K260" i="18" s="1"/>
  <c r="C389" i="18"/>
  <c r="A389" i="18"/>
  <c r="F389" i="18"/>
  <c r="D389" i="18"/>
  <c r="M389" i="18"/>
  <c r="E389" i="18"/>
  <c r="G389" i="18" s="1"/>
  <c r="K389" i="18" s="1"/>
  <c r="C405" i="18"/>
  <c r="A405" i="18"/>
  <c r="F405" i="18"/>
  <c r="D405" i="18"/>
  <c r="M405" i="18"/>
  <c r="E405" i="18"/>
  <c r="G405" i="18" s="1"/>
  <c r="K405" i="18" s="1"/>
  <c r="L514" i="18"/>
  <c r="J514" i="18"/>
  <c r="E758" i="16"/>
  <c r="E762" i="16"/>
  <c r="E766" i="16"/>
  <c r="E770" i="16"/>
  <c r="E774" i="16"/>
  <c r="E778" i="16"/>
  <c r="E782" i="16"/>
  <c r="E786" i="16"/>
  <c r="E790" i="16"/>
  <c r="E794" i="16"/>
  <c r="E798" i="16"/>
  <c r="E802" i="16"/>
  <c r="E806" i="16"/>
  <c r="G807" i="16"/>
  <c r="E810" i="16"/>
  <c r="G811" i="16"/>
  <c r="E814" i="16"/>
  <c r="G815" i="16"/>
  <c r="E818" i="16"/>
  <c r="G819" i="16"/>
  <c r="E822" i="16"/>
  <c r="G823" i="16"/>
  <c r="A824" i="16"/>
  <c r="I824" i="16"/>
  <c r="E826" i="16"/>
  <c r="G827" i="16"/>
  <c r="A828" i="16"/>
  <c r="I828" i="16"/>
  <c r="E830" i="16"/>
  <c r="G831" i="16"/>
  <c r="A832" i="16"/>
  <c r="I832" i="16"/>
  <c r="E834" i="16"/>
  <c r="G835" i="16"/>
  <c r="A836" i="16"/>
  <c r="I836" i="16"/>
  <c r="E838" i="16"/>
  <c r="G839" i="16"/>
  <c r="A840" i="16"/>
  <c r="I840" i="16"/>
  <c r="E842" i="16"/>
  <c r="G843" i="16"/>
  <c r="A844" i="16"/>
  <c r="I844" i="16"/>
  <c r="E846" i="16"/>
  <c r="G847" i="16"/>
  <c r="A848" i="16"/>
  <c r="I848" i="16"/>
  <c r="E850" i="16"/>
  <c r="G851" i="16"/>
  <c r="A852" i="16"/>
  <c r="I852" i="16"/>
  <c r="E854" i="16"/>
  <c r="G855" i="16"/>
  <c r="A856" i="16"/>
  <c r="I856" i="16"/>
  <c r="E858" i="16"/>
  <c r="G859" i="16"/>
  <c r="A860" i="16"/>
  <c r="I860" i="16"/>
  <c r="E862" i="16"/>
  <c r="G863" i="16"/>
  <c r="A864" i="16"/>
  <c r="I864" i="16"/>
  <c r="E866" i="16"/>
  <c r="G867" i="16"/>
  <c r="A868" i="16"/>
  <c r="I868" i="16"/>
  <c r="E870" i="16"/>
  <c r="G871" i="16"/>
  <c r="A872" i="16"/>
  <c r="I872" i="16"/>
  <c r="E874" i="16"/>
  <c r="G875" i="16"/>
  <c r="A876" i="16"/>
  <c r="I876" i="16"/>
  <c r="E878" i="16"/>
  <c r="G879" i="16"/>
  <c r="A880" i="16"/>
  <c r="I880" i="16"/>
  <c r="E882" i="16"/>
  <c r="G883" i="16"/>
  <c r="A884" i="16"/>
  <c r="I884" i="16"/>
  <c r="E886" i="16"/>
  <c r="G887" i="16"/>
  <c r="A888" i="16"/>
  <c r="I888" i="16"/>
  <c r="E890" i="16"/>
  <c r="G891" i="16"/>
  <c r="A892" i="16"/>
  <c r="I892" i="16"/>
  <c r="E894" i="16"/>
  <c r="G895" i="16"/>
  <c r="A896" i="16"/>
  <c r="I896" i="16"/>
  <c r="E898" i="16"/>
  <c r="G899" i="16"/>
  <c r="A900" i="16"/>
  <c r="I900" i="16"/>
  <c r="E902" i="16"/>
  <c r="G903" i="16"/>
  <c r="A904" i="16"/>
  <c r="I904" i="16"/>
  <c r="C905" i="16"/>
  <c r="K905" i="16"/>
  <c r="E906" i="16"/>
  <c r="G907" i="16"/>
  <c r="A908" i="16"/>
  <c r="I908" i="16"/>
  <c r="C909" i="16"/>
  <c r="K909" i="16"/>
  <c r="E910" i="16"/>
  <c r="G911" i="16"/>
  <c r="A912" i="16"/>
  <c r="I912" i="16"/>
  <c r="C913" i="16"/>
  <c r="K913" i="16"/>
  <c r="E914" i="16"/>
  <c r="G915" i="16"/>
  <c r="A916" i="16"/>
  <c r="I916" i="16"/>
  <c r="C917" i="16"/>
  <c r="K917" i="16"/>
  <c r="E918" i="16"/>
  <c r="G919" i="16"/>
  <c r="A920" i="16"/>
  <c r="I920" i="16"/>
  <c r="C921" i="16"/>
  <c r="K921" i="16"/>
  <c r="E922" i="16"/>
  <c r="G923" i="16"/>
  <c r="A924" i="16"/>
  <c r="I924" i="16"/>
  <c r="C925" i="16"/>
  <c r="K925" i="16"/>
  <c r="E926" i="16"/>
  <c r="G927" i="16"/>
  <c r="A928" i="16"/>
  <c r="I928" i="16"/>
  <c r="C929" i="16"/>
  <c r="K929" i="16"/>
  <c r="E930" i="16"/>
  <c r="G931" i="16"/>
  <c r="A932" i="16"/>
  <c r="I932" i="16"/>
  <c r="C933" i="16"/>
  <c r="K933" i="16"/>
  <c r="E934" i="16"/>
  <c r="G935" i="16"/>
  <c r="A936" i="16"/>
  <c r="I936" i="16"/>
  <c r="C937" i="16"/>
  <c r="K937" i="16"/>
  <c r="E938" i="16"/>
  <c r="G939" i="16"/>
  <c r="A940" i="16"/>
  <c r="I940" i="16"/>
  <c r="C941" i="16"/>
  <c r="K941" i="16"/>
  <c r="E942" i="16"/>
  <c r="G943" i="16"/>
  <c r="A944" i="16"/>
  <c r="I944" i="16"/>
  <c r="C945" i="16"/>
  <c r="K945" i="16"/>
  <c r="E946" i="16"/>
  <c r="G947" i="16"/>
  <c r="A948" i="16"/>
  <c r="I948" i="16"/>
  <c r="C949" i="16"/>
  <c r="K949" i="16"/>
  <c r="E950" i="16"/>
  <c r="G951" i="16"/>
  <c r="A952" i="16"/>
  <c r="I952" i="16"/>
  <c r="C953" i="16"/>
  <c r="K953" i="16"/>
  <c r="E954" i="16"/>
  <c r="G955" i="16"/>
  <c r="A956" i="16"/>
  <c r="I956" i="16"/>
  <c r="C957" i="16"/>
  <c r="K957" i="16"/>
  <c r="E958" i="16"/>
  <c r="G959" i="16"/>
  <c r="A960" i="16"/>
  <c r="I960" i="16"/>
  <c r="C961" i="16"/>
  <c r="K961" i="16"/>
  <c r="E962" i="16"/>
  <c r="G963" i="16"/>
  <c r="A964" i="16"/>
  <c r="I964" i="16"/>
  <c r="C965" i="16"/>
  <c r="K965" i="16"/>
  <c r="E966" i="16"/>
  <c r="G967" i="16"/>
  <c r="A968" i="16"/>
  <c r="I968" i="16"/>
  <c r="C969" i="16"/>
  <c r="K969" i="16"/>
  <c r="E970" i="16"/>
  <c r="G971" i="16"/>
  <c r="A972" i="16"/>
  <c r="I972" i="16"/>
  <c r="C973" i="16"/>
  <c r="K973" i="16"/>
  <c r="E974" i="16"/>
  <c r="G975" i="16"/>
  <c r="A976" i="16"/>
  <c r="I976" i="16"/>
  <c r="C977" i="16"/>
  <c r="K977" i="16"/>
  <c r="E978" i="16"/>
  <c r="G979" i="16"/>
  <c r="A980" i="16"/>
  <c r="I980" i="16"/>
  <c r="C981" i="16"/>
  <c r="K981" i="16"/>
  <c r="E982" i="16"/>
  <c r="G983" i="16"/>
  <c r="A984" i="16"/>
  <c r="I984" i="16"/>
  <c r="C985" i="16"/>
  <c r="K985" i="16"/>
  <c r="E986" i="16"/>
  <c r="G987" i="16"/>
  <c r="A988" i="16"/>
  <c r="I988" i="16"/>
  <c r="C989" i="16"/>
  <c r="K989" i="16"/>
  <c r="E990" i="16"/>
  <c r="G991" i="16"/>
  <c r="A992" i="16"/>
  <c r="I992" i="16"/>
  <c r="C993" i="16"/>
  <c r="K993" i="16"/>
  <c r="E994" i="16"/>
  <c r="G995" i="16"/>
  <c r="A996" i="16"/>
  <c r="I996" i="16"/>
  <c r="C997" i="16"/>
  <c r="K997" i="16"/>
  <c r="E998" i="16"/>
  <c r="G999" i="16"/>
  <c r="A1000" i="16"/>
  <c r="I1000" i="16"/>
  <c r="C1001" i="16"/>
  <c r="K1001" i="16"/>
  <c r="E1002" i="16"/>
  <c r="G1003" i="16"/>
  <c r="A1004" i="16"/>
  <c r="I1004" i="16"/>
  <c r="G7" i="18"/>
  <c r="K7" i="18" s="1"/>
  <c r="K26" i="18"/>
  <c r="I26" i="18"/>
  <c r="A49" i="18"/>
  <c r="F49" i="18"/>
  <c r="E49" i="18"/>
  <c r="H49" i="18" s="1"/>
  <c r="D49" i="18"/>
  <c r="C49" i="18"/>
  <c r="L74" i="18"/>
  <c r="J74" i="18"/>
  <c r="F125" i="18"/>
  <c r="M125" i="18"/>
  <c r="E125" i="18"/>
  <c r="G125" i="18" s="1"/>
  <c r="K125" i="18" s="1"/>
  <c r="D125" i="18"/>
  <c r="C125" i="18"/>
  <c r="A125" i="18"/>
  <c r="H125" i="18"/>
  <c r="L210" i="18"/>
  <c r="J210" i="18"/>
  <c r="H300" i="18"/>
  <c r="I300" i="18" s="1"/>
  <c r="G300" i="18"/>
  <c r="K300" i="18" s="1"/>
  <c r="J382" i="18"/>
  <c r="L382" i="18"/>
  <c r="J398" i="18"/>
  <c r="L398" i="18"/>
  <c r="J414" i="18"/>
  <c r="L414" i="18"/>
  <c r="L442" i="18"/>
  <c r="J442" i="18"/>
  <c r="F488" i="18"/>
  <c r="M488" i="18"/>
  <c r="E488" i="18"/>
  <c r="H488" i="18" s="1"/>
  <c r="I488" i="18" s="1"/>
  <c r="D488" i="18"/>
  <c r="G488" i="18"/>
  <c r="C488" i="18"/>
  <c r="A488" i="18"/>
  <c r="L879" i="18"/>
  <c r="J879" i="18"/>
  <c r="J824" i="16"/>
  <c r="J828" i="16"/>
  <c r="J832" i="16"/>
  <c r="J836" i="16"/>
  <c r="J840" i="16"/>
  <c r="J844" i="16"/>
  <c r="J848" i="16"/>
  <c r="J852" i="16"/>
  <c r="J856" i="16"/>
  <c r="J860" i="16"/>
  <c r="J864" i="16"/>
  <c r="J868" i="16"/>
  <c r="J872" i="16"/>
  <c r="J876" i="16"/>
  <c r="J880" i="16"/>
  <c r="J884" i="16"/>
  <c r="J888" i="16"/>
  <c r="J892" i="16"/>
  <c r="J896" i="16"/>
  <c r="J900" i="16"/>
  <c r="J904" i="16"/>
  <c r="D905" i="16"/>
  <c r="L905" i="16"/>
  <c r="J908" i="16"/>
  <c r="D909" i="16"/>
  <c r="L909" i="16"/>
  <c r="J912" i="16"/>
  <c r="D913" i="16"/>
  <c r="L913" i="16"/>
  <c r="J916" i="16"/>
  <c r="D917" i="16"/>
  <c r="L917" i="16"/>
  <c r="J920" i="16"/>
  <c r="D921" i="16"/>
  <c r="L921" i="16"/>
  <c r="J924" i="16"/>
  <c r="D925" i="16"/>
  <c r="L925" i="16"/>
  <c r="J928" i="16"/>
  <c r="D929" i="16"/>
  <c r="L929" i="16"/>
  <c r="J932" i="16"/>
  <c r="D933" i="16"/>
  <c r="L933" i="16"/>
  <c r="J936" i="16"/>
  <c r="D937" i="16"/>
  <c r="L937" i="16"/>
  <c r="J940" i="16"/>
  <c r="D941" i="16"/>
  <c r="L941" i="16"/>
  <c r="J944" i="16"/>
  <c r="D945" i="16"/>
  <c r="L945" i="16"/>
  <c r="J948" i="16"/>
  <c r="D949" i="16"/>
  <c r="L949" i="16"/>
  <c r="J952" i="16"/>
  <c r="D953" i="16"/>
  <c r="L953" i="16"/>
  <c r="J956" i="16"/>
  <c r="D957" i="16"/>
  <c r="L957" i="16"/>
  <c r="J960" i="16"/>
  <c r="D961" i="16"/>
  <c r="L961" i="16"/>
  <c r="J964" i="16"/>
  <c r="D965" i="16"/>
  <c r="L965" i="16"/>
  <c r="J968" i="16"/>
  <c r="D969" i="16"/>
  <c r="L969" i="16"/>
  <c r="J972" i="16"/>
  <c r="D973" i="16"/>
  <c r="L973" i="16"/>
  <c r="J976" i="16"/>
  <c r="D977" i="16"/>
  <c r="L977" i="16"/>
  <c r="J980" i="16"/>
  <c r="D981" i="16"/>
  <c r="L981" i="16"/>
  <c r="J984" i="16"/>
  <c r="D985" i="16"/>
  <c r="L985" i="16"/>
  <c r="J988" i="16"/>
  <c r="D989" i="16"/>
  <c r="L989" i="16"/>
  <c r="J992" i="16"/>
  <c r="D993" i="16"/>
  <c r="L993" i="16"/>
  <c r="J996" i="16"/>
  <c r="D997" i="16"/>
  <c r="L997" i="16"/>
  <c r="J1000" i="16"/>
  <c r="D1001" i="16"/>
  <c r="L1001" i="16"/>
  <c r="J1004" i="16"/>
  <c r="D10" i="18"/>
  <c r="F38" i="18"/>
  <c r="A38" i="18"/>
  <c r="E38" i="18"/>
  <c r="H38" i="18" s="1"/>
  <c r="D38" i="18"/>
  <c r="C38" i="18"/>
  <c r="H76" i="18"/>
  <c r="G76" i="18"/>
  <c r="K76" i="18" s="1"/>
  <c r="K98" i="18"/>
  <c r="I98" i="18"/>
  <c r="A195" i="18"/>
  <c r="H195" i="18"/>
  <c r="F195" i="18"/>
  <c r="M195" i="18"/>
  <c r="E195" i="18"/>
  <c r="G195" i="18" s="1"/>
  <c r="K195" i="18" s="1"/>
  <c r="C195" i="18"/>
  <c r="D195" i="18"/>
  <c r="F229" i="18"/>
  <c r="M229" i="18"/>
  <c r="E229" i="18"/>
  <c r="G229" i="18" s="1"/>
  <c r="K229" i="18" s="1"/>
  <c r="D229" i="18"/>
  <c r="C229" i="18"/>
  <c r="A229" i="18"/>
  <c r="H229" i="18"/>
  <c r="A355" i="18"/>
  <c r="H355" i="18"/>
  <c r="F355" i="18"/>
  <c r="M355" i="18"/>
  <c r="E355" i="18"/>
  <c r="G355" i="18" s="1"/>
  <c r="K355" i="18" s="1"/>
  <c r="C355" i="18"/>
  <c r="D355" i="18"/>
  <c r="L506" i="18"/>
  <c r="J506" i="18"/>
  <c r="F844" i="18"/>
  <c r="M844" i="18"/>
  <c r="E844" i="18"/>
  <c r="G844" i="18" s="1"/>
  <c r="K844" i="18" s="1"/>
  <c r="D844" i="18"/>
  <c r="C844" i="18"/>
  <c r="A844" i="18"/>
  <c r="H844" i="18"/>
  <c r="E905" i="16"/>
  <c r="M905" i="16"/>
  <c r="E909" i="16"/>
  <c r="M909" i="16"/>
  <c r="E913" i="16"/>
  <c r="M913" i="16"/>
  <c r="E917" i="16"/>
  <c r="M917" i="16"/>
  <c r="E921" i="16"/>
  <c r="M921" i="16"/>
  <c r="E925" i="16"/>
  <c r="M925" i="16"/>
  <c r="E929" i="16"/>
  <c r="M929" i="16"/>
  <c r="E933" i="16"/>
  <c r="M933" i="16"/>
  <c r="E937" i="16"/>
  <c r="M937" i="16"/>
  <c r="E941" i="16"/>
  <c r="M941" i="16"/>
  <c r="E945" i="16"/>
  <c r="M945" i="16"/>
  <c r="E949" i="16"/>
  <c r="M949" i="16"/>
  <c r="E953" i="16"/>
  <c r="M953" i="16"/>
  <c r="E957" i="16"/>
  <c r="M957" i="16"/>
  <c r="E961" i="16"/>
  <c r="M961" i="16"/>
  <c r="E965" i="16"/>
  <c r="M965" i="16"/>
  <c r="E969" i="16"/>
  <c r="M969" i="16"/>
  <c r="E973" i="16"/>
  <c r="M973" i="16"/>
  <c r="E977" i="16"/>
  <c r="M977" i="16"/>
  <c r="E981" i="16"/>
  <c r="M981" i="16"/>
  <c r="E985" i="16"/>
  <c r="M985" i="16"/>
  <c r="E989" i="16"/>
  <c r="M989" i="16"/>
  <c r="E993" i="16"/>
  <c r="M993" i="16"/>
  <c r="E997" i="16"/>
  <c r="M997" i="16"/>
  <c r="E1001" i="16"/>
  <c r="M1001" i="16"/>
  <c r="A14" i="18"/>
  <c r="F14" i="18"/>
  <c r="E14" i="18"/>
  <c r="G14" i="18" s="1"/>
  <c r="K14" i="18" s="1"/>
  <c r="D14" i="18"/>
  <c r="C14" i="18"/>
  <c r="L34" i="18"/>
  <c r="J34" i="18"/>
  <c r="L106" i="18"/>
  <c r="J106" i="18"/>
  <c r="A259" i="18"/>
  <c r="F259" i="18"/>
  <c r="M259" i="18"/>
  <c r="E259" i="18"/>
  <c r="H259" i="18" s="1"/>
  <c r="C259" i="18"/>
  <c r="D259" i="18"/>
  <c r="J378" i="18"/>
  <c r="L378" i="18"/>
  <c r="J394" i="18"/>
  <c r="L394" i="18"/>
  <c r="J410" i="18"/>
  <c r="L410" i="18"/>
  <c r="M453" i="18"/>
  <c r="E453" i="18"/>
  <c r="G453" i="18" s="1"/>
  <c r="K453" i="18" s="1"/>
  <c r="D453" i="18"/>
  <c r="C453" i="18"/>
  <c r="A453" i="18"/>
  <c r="F453" i="18"/>
  <c r="H453" i="18"/>
  <c r="C473" i="18"/>
  <c r="A473" i="18"/>
  <c r="H473" i="18"/>
  <c r="G473" i="18"/>
  <c r="K473" i="18" s="1"/>
  <c r="F473" i="18"/>
  <c r="E473" i="18"/>
  <c r="D473" i="18"/>
  <c r="M473" i="18"/>
  <c r="F581" i="18"/>
  <c r="M581" i="18"/>
  <c r="E581" i="18"/>
  <c r="G581" i="18" s="1"/>
  <c r="K581" i="18" s="1"/>
  <c r="D581" i="18"/>
  <c r="C581" i="18"/>
  <c r="A581" i="18"/>
  <c r="H581" i="18"/>
  <c r="D824" i="16"/>
  <c r="D828" i="16"/>
  <c r="D832" i="16"/>
  <c r="D836" i="16"/>
  <c r="D840" i="16"/>
  <c r="D844" i="16"/>
  <c r="D848" i="16"/>
  <c r="D852" i="16"/>
  <c r="D856" i="16"/>
  <c r="D860" i="16"/>
  <c r="D864" i="16"/>
  <c r="D868" i="16"/>
  <c r="D872" i="16"/>
  <c r="D876" i="16"/>
  <c r="D880" i="16"/>
  <c r="D884" i="16"/>
  <c r="D888" i="16"/>
  <c r="D892" i="16"/>
  <c r="D896" i="16"/>
  <c r="D900" i="16"/>
  <c r="D904" i="16"/>
  <c r="F905" i="16"/>
  <c r="D908" i="16"/>
  <c r="F909" i="16"/>
  <c r="D912" i="16"/>
  <c r="F913" i="16"/>
  <c r="D916" i="16"/>
  <c r="F917" i="16"/>
  <c r="D920" i="16"/>
  <c r="F921" i="16"/>
  <c r="D924" i="16"/>
  <c r="F925" i="16"/>
  <c r="D928" i="16"/>
  <c r="F929" i="16"/>
  <c r="D932" i="16"/>
  <c r="F933" i="16"/>
  <c r="D936" i="16"/>
  <c r="F937" i="16"/>
  <c r="D940" i="16"/>
  <c r="F941" i="16"/>
  <c r="D944" i="16"/>
  <c r="F945" i="16"/>
  <c r="D948" i="16"/>
  <c r="F949" i="16"/>
  <c r="D952" i="16"/>
  <c r="F953" i="16"/>
  <c r="D956" i="16"/>
  <c r="F957" i="16"/>
  <c r="D960" i="16"/>
  <c r="F961" i="16"/>
  <c r="D964" i="16"/>
  <c r="F965" i="16"/>
  <c r="D968" i="16"/>
  <c r="F969" i="16"/>
  <c r="D972" i="16"/>
  <c r="F973" i="16"/>
  <c r="D976" i="16"/>
  <c r="F977" i="16"/>
  <c r="D980" i="16"/>
  <c r="F981" i="16"/>
  <c r="D984" i="16"/>
  <c r="F985" i="16"/>
  <c r="D988" i="16"/>
  <c r="F989" i="16"/>
  <c r="D992" i="16"/>
  <c r="F993" i="16"/>
  <c r="D996" i="16"/>
  <c r="F997" i="16"/>
  <c r="D1000" i="16"/>
  <c r="F1001" i="16"/>
  <c r="D1004" i="16"/>
  <c r="A6" i="18"/>
  <c r="G6" i="18"/>
  <c r="F6" i="18"/>
  <c r="E6" i="18"/>
  <c r="D6" i="18"/>
  <c r="C6" i="18"/>
  <c r="K18" i="18"/>
  <c r="F59" i="18"/>
  <c r="M59" i="18"/>
  <c r="E59" i="18"/>
  <c r="H59" i="18" s="1"/>
  <c r="A59" i="18"/>
  <c r="D59" i="18"/>
  <c r="C59" i="18"/>
  <c r="A81" i="18"/>
  <c r="H81" i="18"/>
  <c r="G81" i="18"/>
  <c r="F81" i="18"/>
  <c r="E81" i="18"/>
  <c r="D81" i="18"/>
  <c r="C81" i="18"/>
  <c r="A323" i="18"/>
  <c r="G323" i="18"/>
  <c r="F323" i="18"/>
  <c r="M323" i="18"/>
  <c r="E323" i="18"/>
  <c r="H323" i="18" s="1"/>
  <c r="I323" i="18" s="1"/>
  <c r="C323" i="18"/>
  <c r="D323" i="18"/>
  <c r="G381" i="18"/>
  <c r="K381" i="18" s="1"/>
  <c r="C381" i="18"/>
  <c r="A381" i="18"/>
  <c r="H381" i="18"/>
  <c r="F381" i="18"/>
  <c r="D381" i="18"/>
  <c r="M381" i="18"/>
  <c r="E381" i="18"/>
  <c r="G397" i="18"/>
  <c r="K397" i="18" s="1"/>
  <c r="C397" i="18"/>
  <c r="A397" i="18"/>
  <c r="H397" i="18"/>
  <c r="F397" i="18"/>
  <c r="D397" i="18"/>
  <c r="M397" i="18"/>
  <c r="E397" i="18"/>
  <c r="G413" i="18"/>
  <c r="K413" i="18" s="1"/>
  <c r="C413" i="18"/>
  <c r="A413" i="18"/>
  <c r="H413" i="18"/>
  <c r="F413" i="18"/>
  <c r="D413" i="18"/>
  <c r="M413" i="18"/>
  <c r="E413" i="18"/>
  <c r="H466" i="18"/>
  <c r="I466" i="18" s="1"/>
  <c r="G466" i="18"/>
  <c r="K466" i="18" s="1"/>
  <c r="A8" i="18"/>
  <c r="A16" i="18"/>
  <c r="F24" i="18"/>
  <c r="M24" i="18"/>
  <c r="E24" i="18"/>
  <c r="I31" i="18"/>
  <c r="K34" i="18"/>
  <c r="M37" i="18"/>
  <c r="E37" i="18"/>
  <c r="D37" i="18"/>
  <c r="C37" i="18"/>
  <c r="F48" i="18"/>
  <c r="M48" i="18"/>
  <c r="E48" i="18"/>
  <c r="H48" i="18" s="1"/>
  <c r="D48" i="18"/>
  <c r="I63" i="18"/>
  <c r="K66" i="18"/>
  <c r="M69" i="18"/>
  <c r="E69" i="18"/>
  <c r="D69" i="18"/>
  <c r="C69" i="18"/>
  <c r="F80" i="18"/>
  <c r="M80" i="18"/>
  <c r="E80" i="18"/>
  <c r="D80" i="18"/>
  <c r="K92" i="18"/>
  <c r="F117" i="18"/>
  <c r="M117" i="18"/>
  <c r="E117" i="18"/>
  <c r="H117" i="18" s="1"/>
  <c r="D117" i="18"/>
  <c r="C117" i="18"/>
  <c r="K119" i="18"/>
  <c r="A123" i="18"/>
  <c r="F123" i="18"/>
  <c r="M123" i="18"/>
  <c r="E123" i="18"/>
  <c r="G123" i="18" s="1"/>
  <c r="K123" i="18" s="1"/>
  <c r="I127" i="18"/>
  <c r="A139" i="18"/>
  <c r="F139" i="18"/>
  <c r="M139" i="18"/>
  <c r="E139" i="18"/>
  <c r="H139" i="18" s="1"/>
  <c r="C139" i="18"/>
  <c r="L154" i="18"/>
  <c r="J154" i="18"/>
  <c r="F173" i="18"/>
  <c r="M173" i="18"/>
  <c r="E173" i="18"/>
  <c r="H173" i="18" s="1"/>
  <c r="D173" i="18"/>
  <c r="C173" i="18"/>
  <c r="A173" i="18"/>
  <c r="L183" i="18"/>
  <c r="J183" i="18"/>
  <c r="K191" i="18"/>
  <c r="A203" i="18"/>
  <c r="F203" i="18"/>
  <c r="M203" i="18"/>
  <c r="E203" i="18"/>
  <c r="H203" i="18" s="1"/>
  <c r="C203" i="18"/>
  <c r="L218" i="18"/>
  <c r="J218" i="18"/>
  <c r="G237" i="18"/>
  <c r="F237" i="18"/>
  <c r="M237" i="18"/>
  <c r="E237" i="18"/>
  <c r="H237" i="18" s="1"/>
  <c r="D237" i="18"/>
  <c r="C237" i="18"/>
  <c r="A237" i="18"/>
  <c r="L247" i="18"/>
  <c r="J247" i="18"/>
  <c r="G252" i="18"/>
  <c r="K252" i="18" s="1"/>
  <c r="K255" i="18"/>
  <c r="A267" i="18"/>
  <c r="G267" i="18"/>
  <c r="K267" i="18" s="1"/>
  <c r="F267" i="18"/>
  <c r="M267" i="18"/>
  <c r="E267" i="18"/>
  <c r="H267" i="18" s="1"/>
  <c r="I267" i="18" s="1"/>
  <c r="C267" i="18"/>
  <c r="I268" i="18"/>
  <c r="G276" i="18"/>
  <c r="K276" i="18" s="1"/>
  <c r="K279" i="18"/>
  <c r="H288" i="18"/>
  <c r="I288" i="18" s="1"/>
  <c r="K297" i="18"/>
  <c r="A299" i="18"/>
  <c r="H299" i="18"/>
  <c r="G299" i="18"/>
  <c r="K299" i="18" s="1"/>
  <c r="F299" i="18"/>
  <c r="M299" i="18"/>
  <c r="E299" i="18"/>
  <c r="C299" i="18"/>
  <c r="F317" i="18"/>
  <c r="M317" i="18"/>
  <c r="E317" i="18"/>
  <c r="H317" i="18" s="1"/>
  <c r="D317" i="18"/>
  <c r="C317" i="18"/>
  <c r="A317" i="18"/>
  <c r="G324" i="18"/>
  <c r="K324" i="18" s="1"/>
  <c r="I332" i="18"/>
  <c r="H334" i="18"/>
  <c r="I334" i="18" s="1"/>
  <c r="F349" i="18"/>
  <c r="M349" i="18"/>
  <c r="E349" i="18"/>
  <c r="H349" i="18" s="1"/>
  <c r="D349" i="18"/>
  <c r="C349" i="18"/>
  <c r="A349" i="18"/>
  <c r="G356" i="18"/>
  <c r="K356" i="18" s="1"/>
  <c r="I364" i="18"/>
  <c r="H366" i="18"/>
  <c r="I366" i="18" s="1"/>
  <c r="J438" i="18"/>
  <c r="L438" i="18"/>
  <c r="L474" i="18"/>
  <c r="J474" i="18"/>
  <c r="H478" i="18"/>
  <c r="G478" i="18"/>
  <c r="K478" i="18" s="1"/>
  <c r="F549" i="18"/>
  <c r="M549" i="18"/>
  <c r="E549" i="18"/>
  <c r="G549" i="18" s="1"/>
  <c r="K549" i="18" s="1"/>
  <c r="D549" i="18"/>
  <c r="C549" i="18"/>
  <c r="A549" i="18"/>
  <c r="H549" i="18"/>
  <c r="F573" i="18"/>
  <c r="M573" i="18"/>
  <c r="E573" i="18"/>
  <c r="G573" i="18" s="1"/>
  <c r="K573" i="18" s="1"/>
  <c r="D573" i="18"/>
  <c r="C573" i="18"/>
  <c r="A573" i="18"/>
  <c r="H573" i="18"/>
  <c r="H614" i="18"/>
  <c r="I614" i="18" s="1"/>
  <c r="G614" i="18"/>
  <c r="K614" i="18" s="1"/>
  <c r="G621" i="18"/>
  <c r="K621" i="18" s="1"/>
  <c r="F621" i="18"/>
  <c r="M621" i="18"/>
  <c r="E621" i="18"/>
  <c r="D621" i="18"/>
  <c r="C621" i="18"/>
  <c r="A621" i="18"/>
  <c r="H621" i="18"/>
  <c r="I621" i="18" s="1"/>
  <c r="L634" i="18"/>
  <c r="J634" i="18"/>
  <c r="A25" i="18"/>
  <c r="F30" i="18"/>
  <c r="M30" i="18"/>
  <c r="A41" i="18"/>
  <c r="H41" i="18"/>
  <c r="M41" i="18"/>
  <c r="F51" i="18"/>
  <c r="M51" i="18"/>
  <c r="E51" i="18"/>
  <c r="G51" i="18" s="1"/>
  <c r="K51" i="18" s="1"/>
  <c r="F62" i="18"/>
  <c r="M62" i="18"/>
  <c r="A73" i="18"/>
  <c r="M73" i="18"/>
  <c r="G83" i="18"/>
  <c r="K83" i="18" s="1"/>
  <c r="F83" i="18"/>
  <c r="M83" i="18"/>
  <c r="E83" i="18"/>
  <c r="G109" i="18"/>
  <c r="K109" i="18" s="1"/>
  <c r="F109" i="18"/>
  <c r="M109" i="18"/>
  <c r="E109" i="18"/>
  <c r="D109" i="18"/>
  <c r="C109" i="18"/>
  <c r="A115" i="18"/>
  <c r="G115" i="18"/>
  <c r="K115" i="18" s="1"/>
  <c r="F115" i="18"/>
  <c r="M115" i="18"/>
  <c r="E115" i="18"/>
  <c r="H115" i="18" s="1"/>
  <c r="I115" i="18" s="1"/>
  <c r="L119" i="18"/>
  <c r="J119" i="18"/>
  <c r="A147" i="18"/>
  <c r="G147" i="18"/>
  <c r="K147" i="18" s="1"/>
  <c r="F147" i="18"/>
  <c r="M147" i="18"/>
  <c r="E147" i="18"/>
  <c r="H147" i="18" s="1"/>
  <c r="I147" i="18" s="1"/>
  <c r="C147" i="18"/>
  <c r="F181" i="18"/>
  <c r="M181" i="18"/>
  <c r="E181" i="18"/>
  <c r="G181" i="18" s="1"/>
  <c r="K181" i="18" s="1"/>
  <c r="D181" i="18"/>
  <c r="C181" i="18"/>
  <c r="A181" i="18"/>
  <c r="L191" i="18"/>
  <c r="J191" i="18"/>
  <c r="A211" i="18"/>
  <c r="H211" i="18"/>
  <c r="G211" i="18"/>
  <c r="K211" i="18" s="1"/>
  <c r="F211" i="18"/>
  <c r="M211" i="18"/>
  <c r="E211" i="18"/>
  <c r="C211" i="18"/>
  <c r="F245" i="18"/>
  <c r="M245" i="18"/>
  <c r="E245" i="18"/>
  <c r="H245" i="18" s="1"/>
  <c r="D245" i="18"/>
  <c r="C245" i="18"/>
  <c r="A245" i="18"/>
  <c r="L255" i="18"/>
  <c r="J255" i="18"/>
  <c r="L279" i="18"/>
  <c r="J279" i="18"/>
  <c r="G293" i="18"/>
  <c r="K293" i="18" s="1"/>
  <c r="F293" i="18"/>
  <c r="M293" i="18"/>
  <c r="E293" i="18"/>
  <c r="D293" i="18"/>
  <c r="C293" i="18"/>
  <c r="A293" i="18"/>
  <c r="J310" i="18"/>
  <c r="L310" i="18"/>
  <c r="A331" i="18"/>
  <c r="F331" i="18"/>
  <c r="M331" i="18"/>
  <c r="E331" i="18"/>
  <c r="H331" i="18" s="1"/>
  <c r="C331" i="18"/>
  <c r="A363" i="18"/>
  <c r="F363" i="18"/>
  <c r="M363" i="18"/>
  <c r="E363" i="18"/>
  <c r="H363" i="18" s="1"/>
  <c r="C363" i="18"/>
  <c r="A515" i="18"/>
  <c r="G515" i="18"/>
  <c r="K515" i="18" s="1"/>
  <c r="F515" i="18"/>
  <c r="M515" i="18"/>
  <c r="E515" i="18"/>
  <c r="H515" i="18" s="1"/>
  <c r="I515" i="18" s="1"/>
  <c r="C515" i="18"/>
  <c r="D515" i="18"/>
  <c r="H590" i="18"/>
  <c r="I590" i="18" s="1"/>
  <c r="G590" i="18"/>
  <c r="K590" i="18" s="1"/>
  <c r="G597" i="18"/>
  <c r="K597" i="18" s="1"/>
  <c r="F597" i="18"/>
  <c r="M597" i="18"/>
  <c r="E597" i="18"/>
  <c r="D597" i="18"/>
  <c r="C597" i="18"/>
  <c r="A597" i="18"/>
  <c r="H597" i="18"/>
  <c r="H654" i="18"/>
  <c r="I654" i="18" s="1"/>
  <c r="G654" i="18"/>
  <c r="K654" i="18" s="1"/>
  <c r="J761" i="18"/>
  <c r="L761" i="18"/>
  <c r="J765" i="18"/>
  <c r="L765" i="18"/>
  <c r="L849" i="18"/>
  <c r="J849" i="18"/>
  <c r="C8" i="18"/>
  <c r="F9" i="18"/>
  <c r="G12" i="18"/>
  <c r="K12" i="18" s="1"/>
  <c r="C16" i="18"/>
  <c r="F17" i="18"/>
  <c r="G23" i="18"/>
  <c r="K23" i="18" s="1"/>
  <c r="D24" i="18"/>
  <c r="C25" i="18"/>
  <c r="M25" i="18"/>
  <c r="M29" i="18"/>
  <c r="E29" i="18"/>
  <c r="D29" i="18"/>
  <c r="C29" i="18"/>
  <c r="C30" i="18"/>
  <c r="G37" i="18"/>
  <c r="K37" i="18" s="1"/>
  <c r="F40" i="18"/>
  <c r="M40" i="18"/>
  <c r="E40" i="18"/>
  <c r="H40" i="18" s="1"/>
  <c r="D40" i="18"/>
  <c r="C41" i="18"/>
  <c r="C51" i="18"/>
  <c r="G58" i="18"/>
  <c r="K58" i="18" s="1"/>
  <c r="M61" i="18"/>
  <c r="E61" i="18"/>
  <c r="D61" i="18"/>
  <c r="C61" i="18"/>
  <c r="C62" i="18"/>
  <c r="G69" i="18"/>
  <c r="K69" i="18" s="1"/>
  <c r="F72" i="18"/>
  <c r="M72" i="18"/>
  <c r="E72" i="18"/>
  <c r="D72" i="18"/>
  <c r="C73" i="18"/>
  <c r="G80" i="18"/>
  <c r="C83" i="18"/>
  <c r="F101" i="18"/>
  <c r="M101" i="18"/>
  <c r="E101" i="18"/>
  <c r="G101" i="18" s="1"/>
  <c r="K101" i="18" s="1"/>
  <c r="D101" i="18"/>
  <c r="C101" i="18"/>
  <c r="K103" i="18"/>
  <c r="A107" i="18"/>
  <c r="G107" i="18"/>
  <c r="K107" i="18" s="1"/>
  <c r="F107" i="18"/>
  <c r="M107" i="18"/>
  <c r="E107" i="18"/>
  <c r="H107" i="18" s="1"/>
  <c r="I107" i="18" s="1"/>
  <c r="H109" i="18"/>
  <c r="I109" i="18" s="1"/>
  <c r="I111" i="18"/>
  <c r="C115" i="18"/>
  <c r="D123" i="18"/>
  <c r="L135" i="18"/>
  <c r="J135" i="18"/>
  <c r="G140" i="18"/>
  <c r="K140" i="18" s="1"/>
  <c r="K143" i="18"/>
  <c r="D147" i="18"/>
  <c r="A155" i="18"/>
  <c r="G155" i="18"/>
  <c r="K155" i="18" s="1"/>
  <c r="F155" i="18"/>
  <c r="M155" i="18"/>
  <c r="E155" i="18"/>
  <c r="H155" i="18" s="1"/>
  <c r="I155" i="18" s="1"/>
  <c r="C155" i="18"/>
  <c r="I170" i="18"/>
  <c r="H181" i="18"/>
  <c r="F189" i="18"/>
  <c r="M189" i="18"/>
  <c r="E189" i="18"/>
  <c r="H189" i="18" s="1"/>
  <c r="D189" i="18"/>
  <c r="C189" i="18"/>
  <c r="A189" i="18"/>
  <c r="L199" i="18"/>
  <c r="J199" i="18"/>
  <c r="G204" i="18"/>
  <c r="K204" i="18" s="1"/>
  <c r="K207" i="18"/>
  <c r="D211" i="18"/>
  <c r="A219" i="18"/>
  <c r="F219" i="18"/>
  <c r="M219" i="18"/>
  <c r="E219" i="18"/>
  <c r="H219" i="18" s="1"/>
  <c r="C219" i="18"/>
  <c r="I220" i="18"/>
  <c r="I234" i="18"/>
  <c r="G253" i="18"/>
  <c r="K253" i="18" s="1"/>
  <c r="F253" i="18"/>
  <c r="M253" i="18"/>
  <c r="E253" i="18"/>
  <c r="D253" i="18"/>
  <c r="C253" i="18"/>
  <c r="A253" i="18"/>
  <c r="L263" i="18"/>
  <c r="J263" i="18"/>
  <c r="K271" i="18"/>
  <c r="F277" i="18"/>
  <c r="M277" i="18"/>
  <c r="E277" i="18"/>
  <c r="G277" i="18" s="1"/>
  <c r="K277" i="18" s="1"/>
  <c r="D277" i="18"/>
  <c r="C277" i="18"/>
  <c r="A277" i="18"/>
  <c r="H293" i="18"/>
  <c r="A307" i="18"/>
  <c r="H307" i="18"/>
  <c r="F307" i="18"/>
  <c r="M307" i="18"/>
  <c r="E307" i="18"/>
  <c r="G307" i="18" s="1"/>
  <c r="K307" i="18" s="1"/>
  <c r="C307" i="18"/>
  <c r="F325" i="18"/>
  <c r="M325" i="18"/>
  <c r="E325" i="18"/>
  <c r="G325" i="18" s="1"/>
  <c r="K325" i="18" s="1"/>
  <c r="D325" i="18"/>
  <c r="C325" i="18"/>
  <c r="A325" i="18"/>
  <c r="D331" i="18"/>
  <c r="J342" i="18"/>
  <c r="L342" i="18"/>
  <c r="F357" i="18"/>
  <c r="M357" i="18"/>
  <c r="E357" i="18"/>
  <c r="G357" i="18" s="1"/>
  <c r="K357" i="18" s="1"/>
  <c r="D357" i="18"/>
  <c r="C357" i="18"/>
  <c r="A357" i="18"/>
  <c r="D363" i="18"/>
  <c r="A475" i="18"/>
  <c r="F475" i="18"/>
  <c r="M475" i="18"/>
  <c r="E475" i="18"/>
  <c r="G475" i="18" s="1"/>
  <c r="K475" i="18" s="1"/>
  <c r="H475" i="18"/>
  <c r="D475" i="18"/>
  <c r="C475" i="18"/>
  <c r="H502" i="18"/>
  <c r="I502" i="18" s="1"/>
  <c r="G502" i="18"/>
  <c r="K502" i="18" s="1"/>
  <c r="H526" i="18"/>
  <c r="I526" i="18" s="1"/>
  <c r="G526" i="18"/>
  <c r="K526" i="18" s="1"/>
  <c r="H542" i="18"/>
  <c r="G542" i="18"/>
  <c r="K542" i="18" s="1"/>
  <c r="H566" i="18"/>
  <c r="I566" i="18" s="1"/>
  <c r="G566" i="18"/>
  <c r="K566" i="18" s="1"/>
  <c r="H630" i="18"/>
  <c r="G630" i="18"/>
  <c r="K630" i="18" s="1"/>
  <c r="C5" i="18"/>
  <c r="D8" i="18"/>
  <c r="G9" i="18"/>
  <c r="K9" i="18" s="1"/>
  <c r="E11" i="18"/>
  <c r="G11" i="18" s="1"/>
  <c r="K11" i="18" s="1"/>
  <c r="C13" i="18"/>
  <c r="D16" i="18"/>
  <c r="G17" i="18"/>
  <c r="K17" i="18" s="1"/>
  <c r="C22" i="18"/>
  <c r="H23" i="18"/>
  <c r="G24" i="18"/>
  <c r="K24" i="18" s="1"/>
  <c r="D25" i="18"/>
  <c r="F29" i="18"/>
  <c r="D30" i="18"/>
  <c r="A33" i="18"/>
  <c r="H33" i="18"/>
  <c r="I33" i="18" s="1"/>
  <c r="G33" i="18"/>
  <c r="K33" i="18" s="1"/>
  <c r="M33" i="18"/>
  <c r="G36" i="18"/>
  <c r="K36" i="18" s="1"/>
  <c r="H37" i="18"/>
  <c r="I37" i="18" s="1"/>
  <c r="C40" i="18"/>
  <c r="D41" i="18"/>
  <c r="G43" i="18"/>
  <c r="K43" i="18" s="1"/>
  <c r="F43" i="18"/>
  <c r="M43" i="18"/>
  <c r="E43" i="18"/>
  <c r="H43" i="18" s="1"/>
  <c r="G47" i="18"/>
  <c r="K47" i="18" s="1"/>
  <c r="D51" i="18"/>
  <c r="H54" i="18"/>
  <c r="G54" i="18"/>
  <c r="K54" i="18" s="1"/>
  <c r="F54" i="18"/>
  <c r="M54" i="18"/>
  <c r="F61" i="18"/>
  <c r="D62" i="18"/>
  <c r="A65" i="18"/>
  <c r="H65" i="18"/>
  <c r="G65" i="18"/>
  <c r="K65" i="18" s="1"/>
  <c r="M65" i="18"/>
  <c r="G68" i="18"/>
  <c r="K68" i="18" s="1"/>
  <c r="H69" i="18"/>
  <c r="I69" i="18" s="1"/>
  <c r="C72" i="18"/>
  <c r="D73" i="18"/>
  <c r="F75" i="18"/>
  <c r="M75" i="18"/>
  <c r="E75" i="18"/>
  <c r="H75" i="18" s="1"/>
  <c r="G79" i="18"/>
  <c r="K79" i="18" s="1"/>
  <c r="H80" i="18"/>
  <c r="I80" i="18" s="1"/>
  <c r="D83" i="18"/>
  <c r="H86" i="18"/>
  <c r="I86" i="18" s="1"/>
  <c r="G86" i="18"/>
  <c r="F86" i="18"/>
  <c r="M86" i="18"/>
  <c r="F93" i="18"/>
  <c r="M93" i="18"/>
  <c r="E93" i="18"/>
  <c r="G93" i="18" s="1"/>
  <c r="K93" i="18" s="1"/>
  <c r="D93" i="18"/>
  <c r="C93" i="18"/>
  <c r="K95" i="18"/>
  <c r="A99" i="18"/>
  <c r="H99" i="18"/>
  <c r="G99" i="18"/>
  <c r="F99" i="18"/>
  <c r="M99" i="18"/>
  <c r="E99" i="18"/>
  <c r="H101" i="18"/>
  <c r="I103" i="18"/>
  <c r="C107" i="18"/>
  <c r="D115" i="18"/>
  <c r="H128" i="18"/>
  <c r="G128" i="18"/>
  <c r="K128" i="18" s="1"/>
  <c r="F128" i="18"/>
  <c r="M128" i="18"/>
  <c r="E128" i="18"/>
  <c r="D128" i="18"/>
  <c r="F133" i="18"/>
  <c r="M133" i="18"/>
  <c r="E133" i="18"/>
  <c r="H133" i="18" s="1"/>
  <c r="D133" i="18"/>
  <c r="C133" i="18"/>
  <c r="A133" i="18"/>
  <c r="L143" i="18"/>
  <c r="J143" i="18"/>
  <c r="G148" i="18"/>
  <c r="K148" i="18" s="1"/>
  <c r="K151" i="18"/>
  <c r="D155" i="18"/>
  <c r="A163" i="18"/>
  <c r="F163" i="18"/>
  <c r="M163" i="18"/>
  <c r="E163" i="18"/>
  <c r="H163" i="18" s="1"/>
  <c r="C163" i="18"/>
  <c r="I164" i="18"/>
  <c r="I178" i="18"/>
  <c r="G197" i="18"/>
  <c r="K197" i="18" s="1"/>
  <c r="F197" i="18"/>
  <c r="M197" i="18"/>
  <c r="E197" i="18"/>
  <c r="D197" i="18"/>
  <c r="C197" i="18"/>
  <c r="A197" i="18"/>
  <c r="L207" i="18"/>
  <c r="J207" i="18"/>
  <c r="G212" i="18"/>
  <c r="K212" i="18" s="1"/>
  <c r="K215" i="18"/>
  <c r="D219" i="18"/>
  <c r="A227" i="18"/>
  <c r="F227" i="18"/>
  <c r="M227" i="18"/>
  <c r="E227" i="18"/>
  <c r="H227" i="18" s="1"/>
  <c r="C227" i="18"/>
  <c r="I242" i="18"/>
  <c r="H253" i="18"/>
  <c r="F261" i="18"/>
  <c r="M261" i="18"/>
  <c r="E261" i="18"/>
  <c r="G261" i="18" s="1"/>
  <c r="K261" i="18" s="1"/>
  <c r="D261" i="18"/>
  <c r="C261" i="18"/>
  <c r="A261" i="18"/>
  <c r="L271" i="18"/>
  <c r="J271" i="18"/>
  <c r="H277" i="18"/>
  <c r="H286" i="18"/>
  <c r="I286" i="18" s="1"/>
  <c r="G301" i="18"/>
  <c r="F301" i="18"/>
  <c r="M301" i="18"/>
  <c r="E301" i="18"/>
  <c r="D301" i="18"/>
  <c r="C301" i="18"/>
  <c r="A301" i="18"/>
  <c r="D307" i="18"/>
  <c r="G308" i="18"/>
  <c r="K308" i="18" s="1"/>
  <c r="H325" i="18"/>
  <c r="A339" i="18"/>
  <c r="G339" i="18"/>
  <c r="K339" i="18" s="1"/>
  <c r="F339" i="18"/>
  <c r="M339" i="18"/>
  <c r="E339" i="18"/>
  <c r="H339" i="18" s="1"/>
  <c r="I339" i="18" s="1"/>
  <c r="C339" i="18"/>
  <c r="A371" i="18"/>
  <c r="F371" i="18"/>
  <c r="M371" i="18"/>
  <c r="E371" i="18"/>
  <c r="H371" i="18" s="1"/>
  <c r="C371" i="18"/>
  <c r="H374" i="18"/>
  <c r="I374" i="18" s="1"/>
  <c r="C377" i="18"/>
  <c r="A377" i="18"/>
  <c r="F377" i="18"/>
  <c r="D377" i="18"/>
  <c r="C385" i="18"/>
  <c r="A385" i="18"/>
  <c r="F385" i="18"/>
  <c r="D385" i="18"/>
  <c r="C393" i="18"/>
  <c r="A393" i="18"/>
  <c r="F393" i="18"/>
  <c r="D393" i="18"/>
  <c r="C401" i="18"/>
  <c r="A401" i="18"/>
  <c r="F401" i="18"/>
  <c r="D401" i="18"/>
  <c r="C409" i="18"/>
  <c r="A409" i="18"/>
  <c r="F409" i="18"/>
  <c r="D409" i="18"/>
  <c r="J434" i="18"/>
  <c r="L434" i="18"/>
  <c r="I458" i="18"/>
  <c r="L490" i="18"/>
  <c r="J490" i="18"/>
  <c r="L498" i="18"/>
  <c r="J498" i="18"/>
  <c r="H606" i="18"/>
  <c r="G606" i="18"/>
  <c r="K606" i="18" s="1"/>
  <c r="G613" i="18"/>
  <c r="K613" i="18" s="1"/>
  <c r="F613" i="18"/>
  <c r="M613" i="18"/>
  <c r="E613" i="18"/>
  <c r="H613" i="18" s="1"/>
  <c r="I613" i="18" s="1"/>
  <c r="D613" i="18"/>
  <c r="C613" i="18"/>
  <c r="A613" i="18"/>
  <c r="G752" i="18"/>
  <c r="M752" i="18"/>
  <c r="E752" i="18"/>
  <c r="H752" i="18"/>
  <c r="F752" i="18"/>
  <c r="D752" i="18"/>
  <c r="C752" i="18"/>
  <c r="A752" i="18"/>
  <c r="C756" i="18"/>
  <c r="A756" i="18"/>
  <c r="H756" i="18"/>
  <c r="G756" i="18"/>
  <c r="F756" i="18"/>
  <c r="E756" i="18"/>
  <c r="D756" i="18"/>
  <c r="M756" i="18"/>
  <c r="D5" i="18"/>
  <c r="E8" i="18"/>
  <c r="G8" i="18" s="1"/>
  <c r="K8" i="18" s="1"/>
  <c r="C10" i="18"/>
  <c r="F11" i="18"/>
  <c r="D13" i="18"/>
  <c r="E16" i="18"/>
  <c r="H17" i="18"/>
  <c r="C18" i="18"/>
  <c r="D22" i="18"/>
  <c r="H24" i="18"/>
  <c r="I24" i="18" s="1"/>
  <c r="E25" i="18"/>
  <c r="H25" i="18" s="1"/>
  <c r="I25" i="18" s="1"/>
  <c r="D26" i="18"/>
  <c r="C26" i="18"/>
  <c r="G29" i="18"/>
  <c r="K29" i="18" s="1"/>
  <c r="E30" i="18"/>
  <c r="H30" i="18" s="1"/>
  <c r="F32" i="18"/>
  <c r="M32" i="18"/>
  <c r="E32" i="18"/>
  <c r="D32" i="18"/>
  <c r="C33" i="18"/>
  <c r="E41" i="18"/>
  <c r="G41" i="18" s="1"/>
  <c r="K41" i="18" s="1"/>
  <c r="C43" i="18"/>
  <c r="G50" i="18"/>
  <c r="K50" i="18" s="1"/>
  <c r="H51" i="18"/>
  <c r="M53" i="18"/>
  <c r="E53" i="18"/>
  <c r="D53" i="18"/>
  <c r="C53" i="18"/>
  <c r="C54" i="18"/>
  <c r="G61" i="18"/>
  <c r="E62" i="18"/>
  <c r="H62" i="18" s="1"/>
  <c r="F64" i="18"/>
  <c r="M64" i="18"/>
  <c r="E64" i="18"/>
  <c r="D64" i="18"/>
  <c r="C65" i="18"/>
  <c r="G72" i="18"/>
  <c r="K72" i="18" s="1"/>
  <c r="E73" i="18"/>
  <c r="G73" i="18" s="1"/>
  <c r="K73" i="18" s="1"/>
  <c r="C75" i="18"/>
  <c r="G82" i="18"/>
  <c r="K82" i="18" s="1"/>
  <c r="H83" i="18"/>
  <c r="M85" i="18"/>
  <c r="E85" i="18"/>
  <c r="D85" i="18"/>
  <c r="C85" i="18"/>
  <c r="C86" i="18"/>
  <c r="H91" i="18"/>
  <c r="F91" i="18"/>
  <c r="M91" i="18"/>
  <c r="E91" i="18"/>
  <c r="G91" i="18" s="1"/>
  <c r="K91" i="18" s="1"/>
  <c r="I95" i="18"/>
  <c r="C99" i="18"/>
  <c r="D107" i="18"/>
  <c r="I108" i="18"/>
  <c r="H120" i="18"/>
  <c r="F120" i="18"/>
  <c r="M120" i="18"/>
  <c r="E120" i="18"/>
  <c r="G120" i="18" s="1"/>
  <c r="K120" i="18" s="1"/>
  <c r="D120" i="18"/>
  <c r="G124" i="18"/>
  <c r="K124" i="18" s="1"/>
  <c r="C128" i="18"/>
  <c r="F141" i="18"/>
  <c r="M141" i="18"/>
  <c r="E141" i="18"/>
  <c r="H141" i="18" s="1"/>
  <c r="D141" i="18"/>
  <c r="C141" i="18"/>
  <c r="A141" i="18"/>
  <c r="L151" i="18"/>
  <c r="J151" i="18"/>
  <c r="G156" i="18"/>
  <c r="K156" i="18" s="1"/>
  <c r="K159" i="18"/>
  <c r="D163" i="18"/>
  <c r="A171" i="18"/>
  <c r="H171" i="18"/>
  <c r="F171" i="18"/>
  <c r="M171" i="18"/>
  <c r="E171" i="18"/>
  <c r="G171" i="18" s="1"/>
  <c r="K171" i="18" s="1"/>
  <c r="C171" i="18"/>
  <c r="I172" i="18"/>
  <c r="I186" i="18"/>
  <c r="H192" i="18"/>
  <c r="I192" i="18" s="1"/>
  <c r="H197" i="18"/>
  <c r="G205" i="18"/>
  <c r="K205" i="18" s="1"/>
  <c r="F205" i="18"/>
  <c r="M205" i="18"/>
  <c r="E205" i="18"/>
  <c r="H205" i="18" s="1"/>
  <c r="D205" i="18"/>
  <c r="C205" i="18"/>
  <c r="A205" i="18"/>
  <c r="L215" i="18"/>
  <c r="J215" i="18"/>
  <c r="G220" i="18"/>
  <c r="K220" i="18" s="1"/>
  <c r="K223" i="18"/>
  <c r="D227" i="18"/>
  <c r="A235" i="18"/>
  <c r="H235" i="18"/>
  <c r="G235" i="18"/>
  <c r="K235" i="18" s="1"/>
  <c r="F235" i="18"/>
  <c r="M235" i="18"/>
  <c r="E235" i="18"/>
  <c r="C235" i="18"/>
  <c r="I236" i="18"/>
  <c r="I250" i="18"/>
  <c r="H261" i="18"/>
  <c r="F269" i="18"/>
  <c r="M269" i="18"/>
  <c r="E269" i="18"/>
  <c r="H269" i="18" s="1"/>
  <c r="D269" i="18"/>
  <c r="C269" i="18"/>
  <c r="A269" i="18"/>
  <c r="A283" i="18"/>
  <c r="H283" i="18"/>
  <c r="F283" i="18"/>
  <c r="M283" i="18"/>
  <c r="E283" i="18"/>
  <c r="G283" i="18" s="1"/>
  <c r="K283" i="18" s="1"/>
  <c r="C283" i="18"/>
  <c r="H301" i="18"/>
  <c r="I301" i="18" s="1"/>
  <c r="K313" i="18"/>
  <c r="A315" i="18"/>
  <c r="F315" i="18"/>
  <c r="M315" i="18"/>
  <c r="E315" i="18"/>
  <c r="H315" i="18" s="1"/>
  <c r="C315" i="18"/>
  <c r="I316" i="18"/>
  <c r="H318" i="18"/>
  <c r="I318" i="18" s="1"/>
  <c r="G333" i="18"/>
  <c r="K333" i="18" s="1"/>
  <c r="F333" i="18"/>
  <c r="M333" i="18"/>
  <c r="E333" i="18"/>
  <c r="H333" i="18" s="1"/>
  <c r="D333" i="18"/>
  <c r="C333" i="18"/>
  <c r="A333" i="18"/>
  <c r="D339" i="18"/>
  <c r="G340" i="18"/>
  <c r="K340" i="18" s="1"/>
  <c r="I348" i="18"/>
  <c r="H350" i="18"/>
  <c r="I350" i="18" s="1"/>
  <c r="F365" i="18"/>
  <c r="M365" i="18"/>
  <c r="E365" i="18"/>
  <c r="H365" i="18" s="1"/>
  <c r="D365" i="18"/>
  <c r="C365" i="18"/>
  <c r="A365" i="18"/>
  <c r="D371" i="18"/>
  <c r="E377" i="18"/>
  <c r="H377" i="18" s="1"/>
  <c r="E385" i="18"/>
  <c r="G385" i="18" s="1"/>
  <c r="K385" i="18" s="1"/>
  <c r="E393" i="18"/>
  <c r="G393" i="18" s="1"/>
  <c r="K393" i="18" s="1"/>
  <c r="E401" i="18"/>
  <c r="G401" i="18" s="1"/>
  <c r="K401" i="18" s="1"/>
  <c r="E409" i="18"/>
  <c r="H409" i="18" s="1"/>
  <c r="J422" i="18"/>
  <c r="L422" i="18"/>
  <c r="H482" i="18"/>
  <c r="I482" i="18" s="1"/>
  <c r="F501" i="18"/>
  <c r="M501" i="18"/>
  <c r="E501" i="18"/>
  <c r="H501" i="18" s="1"/>
  <c r="D501" i="18"/>
  <c r="C501" i="18"/>
  <c r="A501" i="18"/>
  <c r="H582" i="18"/>
  <c r="G582" i="18"/>
  <c r="K582" i="18" s="1"/>
  <c r="F589" i="18"/>
  <c r="M589" i="18"/>
  <c r="E589" i="18"/>
  <c r="G589" i="18" s="1"/>
  <c r="K589" i="18" s="1"/>
  <c r="D589" i="18"/>
  <c r="C589" i="18"/>
  <c r="A589" i="18"/>
  <c r="H589" i="18"/>
  <c r="L642" i="18"/>
  <c r="J642" i="18"/>
  <c r="E5" i="18"/>
  <c r="F8" i="18"/>
  <c r="E13" i="18"/>
  <c r="F16" i="18"/>
  <c r="D18" i="18"/>
  <c r="E22" i="18"/>
  <c r="G22" i="18" s="1"/>
  <c r="K22" i="18" s="1"/>
  <c r="F25" i="18"/>
  <c r="G27" i="18"/>
  <c r="F27" i="18"/>
  <c r="G28" i="18"/>
  <c r="K28" i="18" s="1"/>
  <c r="H29" i="18"/>
  <c r="I29" i="18" s="1"/>
  <c r="D33" i="18"/>
  <c r="G35" i="18"/>
  <c r="K35" i="18" s="1"/>
  <c r="F35" i="18"/>
  <c r="M35" i="18"/>
  <c r="E35" i="18"/>
  <c r="H35" i="18" s="1"/>
  <c r="F41" i="18"/>
  <c r="D43" i="18"/>
  <c r="H46" i="18"/>
  <c r="G46" i="18"/>
  <c r="K46" i="18" s="1"/>
  <c r="F46" i="18"/>
  <c r="M46" i="18"/>
  <c r="I52" i="18"/>
  <c r="D54" i="18"/>
  <c r="A57" i="18"/>
  <c r="H57" i="18"/>
  <c r="I57" i="18" s="1"/>
  <c r="G57" i="18"/>
  <c r="K57" i="18" s="1"/>
  <c r="M57" i="18"/>
  <c r="G60" i="18"/>
  <c r="K60" i="18" s="1"/>
  <c r="H61" i="18"/>
  <c r="I61" i="18" s="1"/>
  <c r="D65" i="18"/>
  <c r="G67" i="18"/>
  <c r="K67" i="18" s="1"/>
  <c r="F67" i="18"/>
  <c r="M67" i="18"/>
  <c r="E67" i="18"/>
  <c r="H67" i="18" s="1"/>
  <c r="H72" i="18"/>
  <c r="I72" i="18" s="1"/>
  <c r="F73" i="18"/>
  <c r="D75" i="18"/>
  <c r="H78" i="18"/>
  <c r="G78" i="18"/>
  <c r="K78" i="18" s="1"/>
  <c r="F78" i="18"/>
  <c r="M78" i="18"/>
  <c r="I84" i="18"/>
  <c r="D86" i="18"/>
  <c r="F88" i="18"/>
  <c r="M88" i="18"/>
  <c r="E88" i="18"/>
  <c r="H88" i="18" s="1"/>
  <c r="D88" i="18"/>
  <c r="D99" i="18"/>
  <c r="I100" i="18"/>
  <c r="H112" i="18"/>
  <c r="F112" i="18"/>
  <c r="M112" i="18"/>
  <c r="E112" i="18"/>
  <c r="G112" i="18" s="1"/>
  <c r="K112" i="18" s="1"/>
  <c r="D112" i="18"/>
  <c r="G116" i="18"/>
  <c r="K116" i="18" s="1"/>
  <c r="I130" i="18"/>
  <c r="F149" i="18"/>
  <c r="M149" i="18"/>
  <c r="E149" i="18"/>
  <c r="H149" i="18" s="1"/>
  <c r="D149" i="18"/>
  <c r="C149" i="18"/>
  <c r="A149" i="18"/>
  <c r="L159" i="18"/>
  <c r="J159" i="18"/>
  <c r="G164" i="18"/>
  <c r="K164" i="18" s="1"/>
  <c r="A179" i="18"/>
  <c r="F179" i="18"/>
  <c r="M179" i="18"/>
  <c r="E179" i="18"/>
  <c r="H179" i="18" s="1"/>
  <c r="C179" i="18"/>
  <c r="I180" i="18"/>
  <c r="I194" i="18"/>
  <c r="F213" i="18"/>
  <c r="M213" i="18"/>
  <c r="E213" i="18"/>
  <c r="H213" i="18" s="1"/>
  <c r="D213" i="18"/>
  <c r="C213" i="18"/>
  <c r="A213" i="18"/>
  <c r="L223" i="18"/>
  <c r="J223" i="18"/>
  <c r="G228" i="18"/>
  <c r="K228" i="18" s="1"/>
  <c r="A243" i="18"/>
  <c r="H243" i="18"/>
  <c r="F243" i="18"/>
  <c r="M243" i="18"/>
  <c r="E243" i="18"/>
  <c r="G243" i="18" s="1"/>
  <c r="K243" i="18" s="1"/>
  <c r="C243" i="18"/>
  <c r="I244" i="18"/>
  <c r="I258" i="18"/>
  <c r="G284" i="18"/>
  <c r="K284" i="18" s="1"/>
  <c r="I292" i="18"/>
  <c r="H294" i="18"/>
  <c r="I294" i="18" s="1"/>
  <c r="G309" i="18"/>
  <c r="K309" i="18" s="1"/>
  <c r="F309" i="18"/>
  <c r="M309" i="18"/>
  <c r="E309" i="18"/>
  <c r="H309" i="18" s="1"/>
  <c r="D309" i="18"/>
  <c r="C309" i="18"/>
  <c r="A309" i="18"/>
  <c r="K345" i="18"/>
  <c r="A347" i="18"/>
  <c r="H347" i="18"/>
  <c r="F347" i="18"/>
  <c r="M347" i="18"/>
  <c r="E347" i="18"/>
  <c r="G347" i="18" s="1"/>
  <c r="K347" i="18" s="1"/>
  <c r="C347" i="18"/>
  <c r="G372" i="18"/>
  <c r="K372" i="18" s="1"/>
  <c r="M377" i="18"/>
  <c r="M385" i="18"/>
  <c r="M393" i="18"/>
  <c r="M401" i="18"/>
  <c r="M409" i="18"/>
  <c r="G421" i="18"/>
  <c r="D421" i="18"/>
  <c r="C421" i="18"/>
  <c r="F421" i="18"/>
  <c r="E421" i="18"/>
  <c r="H421" i="18" s="1"/>
  <c r="I421" i="18" s="1"/>
  <c r="A421" i="18"/>
  <c r="J426" i="18"/>
  <c r="L426" i="18"/>
  <c r="K546" i="18"/>
  <c r="I546" i="18"/>
  <c r="K570" i="18"/>
  <c r="I570" i="18"/>
  <c r="H622" i="18"/>
  <c r="I622" i="18" s="1"/>
  <c r="G622" i="18"/>
  <c r="K622" i="18" s="1"/>
  <c r="G629" i="18"/>
  <c r="K629" i="18" s="1"/>
  <c r="F629" i="18"/>
  <c r="M629" i="18"/>
  <c r="E629" i="18"/>
  <c r="D629" i="18"/>
  <c r="C629" i="18"/>
  <c r="A629" i="18"/>
  <c r="H629" i="18"/>
  <c r="J745" i="18"/>
  <c r="L745" i="18"/>
  <c r="L881" i="18"/>
  <c r="J881" i="18"/>
  <c r="G25" i="18"/>
  <c r="I39" i="18"/>
  <c r="M45" i="18"/>
  <c r="E45" i="18"/>
  <c r="D45" i="18"/>
  <c r="C45" i="18"/>
  <c r="F56" i="18"/>
  <c r="M56" i="18"/>
  <c r="E56" i="18"/>
  <c r="D56" i="18"/>
  <c r="I71" i="18"/>
  <c r="M77" i="18"/>
  <c r="E77" i="18"/>
  <c r="D77" i="18"/>
  <c r="C77" i="18"/>
  <c r="I92" i="18"/>
  <c r="G104" i="18"/>
  <c r="K104" i="18" s="1"/>
  <c r="F104" i="18"/>
  <c r="M104" i="18"/>
  <c r="E104" i="18"/>
  <c r="H104" i="18" s="1"/>
  <c r="I104" i="18" s="1"/>
  <c r="D104" i="18"/>
  <c r="L122" i="18"/>
  <c r="J122" i="18"/>
  <c r="L138" i="18"/>
  <c r="J138" i="18"/>
  <c r="G157" i="18"/>
  <c r="K157" i="18" s="1"/>
  <c r="F157" i="18"/>
  <c r="M157" i="18"/>
  <c r="E157" i="18"/>
  <c r="H157" i="18" s="1"/>
  <c r="D157" i="18"/>
  <c r="C157" i="18"/>
  <c r="A157" i="18"/>
  <c r="L167" i="18"/>
  <c r="J167" i="18"/>
  <c r="A187" i="18"/>
  <c r="H187" i="18"/>
  <c r="F187" i="18"/>
  <c r="M187" i="18"/>
  <c r="E187" i="18"/>
  <c r="G187" i="18" s="1"/>
  <c r="K187" i="18" s="1"/>
  <c r="C187" i="18"/>
  <c r="I188" i="18"/>
  <c r="L202" i="18"/>
  <c r="J202" i="18"/>
  <c r="G221" i="18"/>
  <c r="K221" i="18" s="1"/>
  <c r="F221" i="18"/>
  <c r="M221" i="18"/>
  <c r="E221" i="18"/>
  <c r="H221" i="18" s="1"/>
  <c r="D221" i="18"/>
  <c r="C221" i="18"/>
  <c r="A221" i="18"/>
  <c r="L231" i="18"/>
  <c r="J231" i="18"/>
  <c r="A251" i="18"/>
  <c r="F251" i="18"/>
  <c r="M251" i="18"/>
  <c r="E251" i="18"/>
  <c r="H251" i="18" s="1"/>
  <c r="C251" i="18"/>
  <c r="I252" i="18"/>
  <c r="L266" i="18"/>
  <c r="J266" i="18"/>
  <c r="A275" i="18"/>
  <c r="G275" i="18"/>
  <c r="K275" i="18" s="1"/>
  <c r="F275" i="18"/>
  <c r="M275" i="18"/>
  <c r="E275" i="18"/>
  <c r="H275" i="18" s="1"/>
  <c r="I275" i="18" s="1"/>
  <c r="C275" i="18"/>
  <c r="I276" i="18"/>
  <c r="K289" i="18"/>
  <c r="A291" i="18"/>
  <c r="H291" i="18"/>
  <c r="F291" i="18"/>
  <c r="M291" i="18"/>
  <c r="E291" i="18"/>
  <c r="G291" i="18" s="1"/>
  <c r="K291" i="18" s="1"/>
  <c r="C291" i="18"/>
  <c r="H326" i="18"/>
  <c r="I326" i="18" s="1"/>
  <c r="F341" i="18"/>
  <c r="M341" i="18"/>
  <c r="E341" i="18"/>
  <c r="H341" i="18" s="1"/>
  <c r="D341" i="18"/>
  <c r="C341" i="18"/>
  <c r="A341" i="18"/>
  <c r="I356" i="18"/>
  <c r="H358" i="18"/>
  <c r="I358" i="18" s="1"/>
  <c r="L450" i="18"/>
  <c r="J450" i="18"/>
  <c r="H598" i="18"/>
  <c r="I598" i="18" s="1"/>
  <c r="G598" i="18"/>
  <c r="K598" i="18" s="1"/>
  <c r="G605" i="18"/>
  <c r="K605" i="18" s="1"/>
  <c r="F605" i="18"/>
  <c r="M605" i="18"/>
  <c r="E605" i="18"/>
  <c r="D605" i="18"/>
  <c r="C605" i="18"/>
  <c r="A605" i="18"/>
  <c r="H605" i="18"/>
  <c r="G701" i="18"/>
  <c r="K701" i="18" s="1"/>
  <c r="F701" i="18"/>
  <c r="M701" i="18"/>
  <c r="E701" i="18"/>
  <c r="D701" i="18"/>
  <c r="C701" i="18"/>
  <c r="A701" i="18"/>
  <c r="H701" i="18"/>
  <c r="J777" i="18"/>
  <c r="L777" i="18"/>
  <c r="L855" i="18"/>
  <c r="J855" i="18"/>
  <c r="L857" i="18"/>
  <c r="J857" i="18"/>
  <c r="A866" i="18"/>
  <c r="G866" i="18"/>
  <c r="K866" i="18" s="1"/>
  <c r="F866" i="18"/>
  <c r="M866" i="18"/>
  <c r="E866" i="18"/>
  <c r="H866" i="18" s="1"/>
  <c r="I866" i="18" s="1"/>
  <c r="C866" i="18"/>
  <c r="D866" i="18"/>
  <c r="A419" i="18"/>
  <c r="F419" i="18"/>
  <c r="M419" i="18"/>
  <c r="E419" i="18"/>
  <c r="D420" i="18"/>
  <c r="A420" i="18"/>
  <c r="H420" i="18"/>
  <c r="M432" i="18"/>
  <c r="E432" i="18"/>
  <c r="H432" i="18" s="1"/>
  <c r="I432" i="18" s="1"/>
  <c r="D432" i="18"/>
  <c r="C433" i="18"/>
  <c r="C449" i="18"/>
  <c r="A449" i="18"/>
  <c r="A451" i="18"/>
  <c r="F451" i="18"/>
  <c r="M451" i="18"/>
  <c r="E451" i="18"/>
  <c r="G451" i="18" s="1"/>
  <c r="K451" i="18" s="1"/>
  <c r="H454" i="18"/>
  <c r="G454" i="18"/>
  <c r="K454" i="18" s="1"/>
  <c r="F464" i="18"/>
  <c r="M464" i="18"/>
  <c r="E464" i="18"/>
  <c r="H464" i="18" s="1"/>
  <c r="I464" i="18" s="1"/>
  <c r="D464" i="18"/>
  <c r="G477" i="18"/>
  <c r="K477" i="18" s="1"/>
  <c r="M477" i="18"/>
  <c r="E477" i="18"/>
  <c r="D477" i="18"/>
  <c r="C477" i="18"/>
  <c r="K492" i="18"/>
  <c r="K508" i="18"/>
  <c r="F525" i="18"/>
  <c r="M525" i="18"/>
  <c r="E525" i="18"/>
  <c r="H525" i="18" s="1"/>
  <c r="D525" i="18"/>
  <c r="C525" i="18"/>
  <c r="A525" i="18"/>
  <c r="A539" i="18"/>
  <c r="F539" i="18"/>
  <c r="M539" i="18"/>
  <c r="E539" i="18"/>
  <c r="H539" i="18" s="1"/>
  <c r="C539" i="18"/>
  <c r="L554" i="18"/>
  <c r="J554" i="18"/>
  <c r="A563" i="18"/>
  <c r="G563" i="18"/>
  <c r="K563" i="18" s="1"/>
  <c r="F563" i="18"/>
  <c r="M563" i="18"/>
  <c r="E563" i="18"/>
  <c r="H563" i="18" s="1"/>
  <c r="I563" i="18" s="1"/>
  <c r="C563" i="18"/>
  <c r="H638" i="18"/>
  <c r="I638" i="18" s="1"/>
  <c r="G638" i="18"/>
  <c r="K638" i="18" s="1"/>
  <c r="H646" i="18"/>
  <c r="G646" i="18"/>
  <c r="K646" i="18" s="1"/>
  <c r="L650" i="18"/>
  <c r="J650" i="18"/>
  <c r="F709" i="18"/>
  <c r="M709" i="18"/>
  <c r="E709" i="18"/>
  <c r="G709" i="18" s="1"/>
  <c r="K709" i="18" s="1"/>
  <c r="D709" i="18"/>
  <c r="C709" i="18"/>
  <c r="A709" i="18"/>
  <c r="H709" i="18"/>
  <c r="F717" i="18"/>
  <c r="M717" i="18"/>
  <c r="E717" i="18"/>
  <c r="G717" i="18" s="1"/>
  <c r="K717" i="18" s="1"/>
  <c r="D717" i="18"/>
  <c r="C717" i="18"/>
  <c r="A717" i="18"/>
  <c r="H717" i="18"/>
  <c r="F725" i="18"/>
  <c r="M725" i="18"/>
  <c r="E725" i="18"/>
  <c r="G725" i="18" s="1"/>
  <c r="K725" i="18" s="1"/>
  <c r="D725" i="18"/>
  <c r="C725" i="18"/>
  <c r="A725" i="18"/>
  <c r="H725" i="18"/>
  <c r="C748" i="18"/>
  <c r="A748" i="18"/>
  <c r="F748" i="18"/>
  <c r="E748" i="18"/>
  <c r="G748" i="18" s="1"/>
  <c r="K748" i="18" s="1"/>
  <c r="D748" i="18"/>
  <c r="J753" i="18"/>
  <c r="L753" i="18"/>
  <c r="M760" i="18"/>
  <c r="E760" i="18"/>
  <c r="G760" i="18" s="1"/>
  <c r="K760" i="18" s="1"/>
  <c r="H760" i="18"/>
  <c r="F760" i="18"/>
  <c r="D760" i="18"/>
  <c r="C760" i="18"/>
  <c r="A760" i="18"/>
  <c r="I773" i="18"/>
  <c r="I781" i="18"/>
  <c r="A810" i="18"/>
  <c r="H810" i="18"/>
  <c r="F810" i="18"/>
  <c r="M810" i="18"/>
  <c r="E810" i="18"/>
  <c r="G810" i="18" s="1"/>
  <c r="K810" i="18" s="1"/>
  <c r="C810" i="18"/>
  <c r="D810" i="18"/>
  <c r="L815" i="18"/>
  <c r="J815" i="18"/>
  <c r="L831" i="18"/>
  <c r="J831" i="18"/>
  <c r="L905" i="18"/>
  <c r="J905" i="18"/>
  <c r="G89" i="18"/>
  <c r="K89" i="18" s="1"/>
  <c r="F94" i="18"/>
  <c r="G97" i="18"/>
  <c r="K97" i="18" s="1"/>
  <c r="F102" i="18"/>
  <c r="G105" i="18"/>
  <c r="K105" i="18" s="1"/>
  <c r="F110" i="18"/>
  <c r="G113" i="18"/>
  <c r="K113" i="18" s="1"/>
  <c r="F118" i="18"/>
  <c r="G121" i="18"/>
  <c r="K121" i="18" s="1"/>
  <c r="F126" i="18"/>
  <c r="G129" i="18"/>
  <c r="K129" i="18" s="1"/>
  <c r="F134" i="18"/>
  <c r="D136" i="18"/>
  <c r="G137" i="18"/>
  <c r="K137" i="18" s="1"/>
  <c r="F142" i="18"/>
  <c r="D144" i="18"/>
  <c r="G145" i="18"/>
  <c r="K145" i="18" s="1"/>
  <c r="F150" i="18"/>
  <c r="D152" i="18"/>
  <c r="G153" i="18"/>
  <c r="K153" i="18" s="1"/>
  <c r="F158" i="18"/>
  <c r="D160" i="18"/>
  <c r="G161" i="18"/>
  <c r="K161" i="18" s="1"/>
  <c r="F166" i="18"/>
  <c r="D168" i="18"/>
  <c r="G169" i="18"/>
  <c r="K169" i="18" s="1"/>
  <c r="F174" i="18"/>
  <c r="D176" i="18"/>
  <c r="G177" i="18"/>
  <c r="K177" i="18" s="1"/>
  <c r="F182" i="18"/>
  <c r="D184" i="18"/>
  <c r="G185" i="18"/>
  <c r="K185" i="18" s="1"/>
  <c r="F190" i="18"/>
  <c r="D192" i="18"/>
  <c r="G193" i="18"/>
  <c r="K193" i="18" s="1"/>
  <c r="F198" i="18"/>
  <c r="D200" i="18"/>
  <c r="G201" i="18"/>
  <c r="K201" i="18" s="1"/>
  <c r="F206" i="18"/>
  <c r="D208" i="18"/>
  <c r="G209" i="18"/>
  <c r="K209" i="18" s="1"/>
  <c r="F214" i="18"/>
  <c r="D216" i="18"/>
  <c r="G217" i="18"/>
  <c r="K217" i="18" s="1"/>
  <c r="F222" i="18"/>
  <c r="D224" i="18"/>
  <c r="G225" i="18"/>
  <c r="K225" i="18" s="1"/>
  <c r="F230" i="18"/>
  <c r="D232" i="18"/>
  <c r="G233" i="18"/>
  <c r="K233" i="18" s="1"/>
  <c r="F238" i="18"/>
  <c r="D240" i="18"/>
  <c r="G241" i="18"/>
  <c r="K241" i="18" s="1"/>
  <c r="F246" i="18"/>
  <c r="D248" i="18"/>
  <c r="G249" i="18"/>
  <c r="K249" i="18" s="1"/>
  <c r="F254" i="18"/>
  <c r="D256" i="18"/>
  <c r="G257" i="18"/>
  <c r="K257" i="18" s="1"/>
  <c r="F262" i="18"/>
  <c r="D264" i="18"/>
  <c r="G265" i="18"/>
  <c r="K265" i="18" s="1"/>
  <c r="F270" i="18"/>
  <c r="D272" i="18"/>
  <c r="G273" i="18"/>
  <c r="K273" i="18" s="1"/>
  <c r="F278" i="18"/>
  <c r="D280" i="18"/>
  <c r="D288" i="18"/>
  <c r="D296" i="18"/>
  <c r="D304" i="18"/>
  <c r="D312" i="18"/>
  <c r="D320" i="18"/>
  <c r="D328" i="18"/>
  <c r="D336" i="18"/>
  <c r="D344" i="18"/>
  <c r="D352" i="18"/>
  <c r="D360" i="18"/>
  <c r="D368" i="18"/>
  <c r="D419" i="18"/>
  <c r="E420" i="18"/>
  <c r="F432" i="18"/>
  <c r="E433" i="18"/>
  <c r="H433" i="18" s="1"/>
  <c r="A435" i="18"/>
  <c r="F435" i="18"/>
  <c r="M435" i="18"/>
  <c r="E435" i="18"/>
  <c r="G435" i="18" s="1"/>
  <c r="K435" i="18" s="1"/>
  <c r="D436" i="18"/>
  <c r="A436" i="18"/>
  <c r="F448" i="18"/>
  <c r="M448" i="18"/>
  <c r="E448" i="18"/>
  <c r="H448" i="18" s="1"/>
  <c r="I448" i="18" s="1"/>
  <c r="D448" i="18"/>
  <c r="E449" i="18"/>
  <c r="H449" i="18" s="1"/>
  <c r="D451" i="18"/>
  <c r="M461" i="18"/>
  <c r="E461" i="18"/>
  <c r="G461" i="18" s="1"/>
  <c r="K461" i="18" s="1"/>
  <c r="D461" i="18"/>
  <c r="C461" i="18"/>
  <c r="G464" i="18"/>
  <c r="H477" i="18"/>
  <c r="I477" i="18" s="1"/>
  <c r="A499" i="18"/>
  <c r="F499" i="18"/>
  <c r="M499" i="18"/>
  <c r="E499" i="18"/>
  <c r="H499" i="18" s="1"/>
  <c r="H504" i="18"/>
  <c r="G504" i="18"/>
  <c r="K504" i="18" s="1"/>
  <c r="F504" i="18"/>
  <c r="M504" i="18"/>
  <c r="E504" i="18"/>
  <c r="D504" i="18"/>
  <c r="H518" i="18"/>
  <c r="G518" i="18"/>
  <c r="K518" i="18" s="1"/>
  <c r="F541" i="18"/>
  <c r="M541" i="18"/>
  <c r="E541" i="18"/>
  <c r="H541" i="18" s="1"/>
  <c r="D541" i="18"/>
  <c r="C541" i="18"/>
  <c r="A541" i="18"/>
  <c r="A555" i="18"/>
  <c r="F555" i="18"/>
  <c r="M555" i="18"/>
  <c r="E555" i="18"/>
  <c r="H555" i="18" s="1"/>
  <c r="C555" i="18"/>
  <c r="G565" i="18"/>
  <c r="K565" i="18" s="1"/>
  <c r="F565" i="18"/>
  <c r="M565" i="18"/>
  <c r="E565" i="18"/>
  <c r="H565" i="18" s="1"/>
  <c r="D565" i="18"/>
  <c r="C565" i="18"/>
  <c r="A565" i="18"/>
  <c r="G637" i="18"/>
  <c r="K637" i="18" s="1"/>
  <c r="F637" i="18"/>
  <c r="M637" i="18"/>
  <c r="E637" i="18"/>
  <c r="H637" i="18" s="1"/>
  <c r="I637" i="18" s="1"/>
  <c r="D637" i="18"/>
  <c r="C637" i="18"/>
  <c r="A637" i="18"/>
  <c r="G645" i="18"/>
  <c r="K645" i="18" s="1"/>
  <c r="F645" i="18"/>
  <c r="M645" i="18"/>
  <c r="E645" i="18"/>
  <c r="H645" i="18" s="1"/>
  <c r="I645" i="18" s="1"/>
  <c r="D645" i="18"/>
  <c r="C645" i="18"/>
  <c r="A645" i="18"/>
  <c r="H662" i="18"/>
  <c r="G662" i="18"/>
  <c r="K662" i="18" s="1"/>
  <c r="L666" i="18"/>
  <c r="J666" i="18"/>
  <c r="H735" i="18"/>
  <c r="G735" i="18"/>
  <c r="K735" i="18" s="1"/>
  <c r="H775" i="18"/>
  <c r="G775" i="18"/>
  <c r="K775" i="18" s="1"/>
  <c r="L801" i="18"/>
  <c r="J801" i="18"/>
  <c r="L807" i="18"/>
  <c r="J807" i="18"/>
  <c r="H813" i="18"/>
  <c r="I813" i="18" s="1"/>
  <c r="G813" i="18"/>
  <c r="K813" i="18" s="1"/>
  <c r="A834" i="18"/>
  <c r="G834" i="18"/>
  <c r="K834" i="18" s="1"/>
  <c r="F834" i="18"/>
  <c r="M834" i="18"/>
  <c r="E834" i="18"/>
  <c r="H834" i="18" s="1"/>
  <c r="I834" i="18" s="1"/>
  <c r="C834" i="18"/>
  <c r="D834" i="18"/>
  <c r="L873" i="18"/>
  <c r="J873" i="18"/>
  <c r="C34" i="18"/>
  <c r="C42" i="18"/>
  <c r="C50" i="18"/>
  <c r="C58" i="18"/>
  <c r="C66" i="18"/>
  <c r="C74" i="18"/>
  <c r="C82" i="18"/>
  <c r="H89" i="18"/>
  <c r="I89" i="18" s="1"/>
  <c r="C90" i="18"/>
  <c r="G94" i="18"/>
  <c r="K94" i="18" s="1"/>
  <c r="H97" i="18"/>
  <c r="C98" i="18"/>
  <c r="G102" i="18"/>
  <c r="K102" i="18" s="1"/>
  <c r="H105" i="18"/>
  <c r="I105" i="18" s="1"/>
  <c r="C106" i="18"/>
  <c r="G110" i="18"/>
  <c r="K110" i="18" s="1"/>
  <c r="H113" i="18"/>
  <c r="C114" i="18"/>
  <c r="G118" i="18"/>
  <c r="K118" i="18" s="1"/>
  <c r="H121" i="18"/>
  <c r="I121" i="18" s="1"/>
  <c r="C122" i="18"/>
  <c r="G126" i="18"/>
  <c r="K126" i="18" s="1"/>
  <c r="H129" i="18"/>
  <c r="C130" i="18"/>
  <c r="G134" i="18"/>
  <c r="K134" i="18" s="1"/>
  <c r="E136" i="18"/>
  <c r="H136" i="18" s="1"/>
  <c r="I136" i="18" s="1"/>
  <c r="M136" i="18"/>
  <c r="H137" i="18"/>
  <c r="I137" i="18" s="1"/>
  <c r="C138" i="18"/>
  <c r="G142" i="18"/>
  <c r="K142" i="18" s="1"/>
  <c r="E144" i="18"/>
  <c r="H144" i="18" s="1"/>
  <c r="I144" i="18" s="1"/>
  <c r="M144" i="18"/>
  <c r="H145" i="18"/>
  <c r="I145" i="18" s="1"/>
  <c r="C146" i="18"/>
  <c r="G150" i="18"/>
  <c r="K150" i="18" s="1"/>
  <c r="E152" i="18"/>
  <c r="H152" i="18" s="1"/>
  <c r="M152" i="18"/>
  <c r="H153" i="18"/>
  <c r="I153" i="18" s="1"/>
  <c r="C154" i="18"/>
  <c r="G158" i="18"/>
  <c r="K158" i="18" s="1"/>
  <c r="E160" i="18"/>
  <c r="H160" i="18" s="1"/>
  <c r="I160" i="18" s="1"/>
  <c r="M160" i="18"/>
  <c r="H161" i="18"/>
  <c r="C162" i="18"/>
  <c r="G166" i="18"/>
  <c r="K166" i="18" s="1"/>
  <c r="E168" i="18"/>
  <c r="H168" i="18" s="1"/>
  <c r="I168" i="18" s="1"/>
  <c r="M168" i="18"/>
  <c r="H169" i="18"/>
  <c r="I169" i="18" s="1"/>
  <c r="C170" i="18"/>
  <c r="G174" i="18"/>
  <c r="E176" i="18"/>
  <c r="H176" i="18" s="1"/>
  <c r="I176" i="18" s="1"/>
  <c r="M176" i="18"/>
  <c r="H177" i="18"/>
  <c r="I177" i="18" s="1"/>
  <c r="C178" i="18"/>
  <c r="G182" i="18"/>
  <c r="K182" i="18" s="1"/>
  <c r="E184" i="18"/>
  <c r="H184" i="18" s="1"/>
  <c r="I184" i="18" s="1"/>
  <c r="M184" i="18"/>
  <c r="H185" i="18"/>
  <c r="I185" i="18" s="1"/>
  <c r="C186" i="18"/>
  <c r="G190" i="18"/>
  <c r="K190" i="18" s="1"/>
  <c r="E192" i="18"/>
  <c r="M192" i="18"/>
  <c r="H193" i="18"/>
  <c r="C194" i="18"/>
  <c r="G198" i="18"/>
  <c r="K198" i="18" s="1"/>
  <c r="E200" i="18"/>
  <c r="H200" i="18" s="1"/>
  <c r="I200" i="18" s="1"/>
  <c r="M200" i="18"/>
  <c r="H201" i="18"/>
  <c r="I201" i="18" s="1"/>
  <c r="C202" i="18"/>
  <c r="G206" i="18"/>
  <c r="K206" i="18" s="1"/>
  <c r="E208" i="18"/>
  <c r="H208" i="18" s="1"/>
  <c r="I208" i="18" s="1"/>
  <c r="M208" i="18"/>
  <c r="H209" i="18"/>
  <c r="I209" i="18" s="1"/>
  <c r="C210" i="18"/>
  <c r="G214" i="18"/>
  <c r="K214" i="18" s="1"/>
  <c r="E216" i="18"/>
  <c r="H216" i="18" s="1"/>
  <c r="M216" i="18"/>
  <c r="H217" i="18"/>
  <c r="I217" i="18" s="1"/>
  <c r="C218" i="18"/>
  <c r="G222" i="18"/>
  <c r="K222" i="18" s="1"/>
  <c r="E224" i="18"/>
  <c r="H224" i="18" s="1"/>
  <c r="I224" i="18" s="1"/>
  <c r="M224" i="18"/>
  <c r="H225" i="18"/>
  <c r="C226" i="18"/>
  <c r="G230" i="18"/>
  <c r="K230" i="18" s="1"/>
  <c r="E232" i="18"/>
  <c r="H232" i="18" s="1"/>
  <c r="I232" i="18" s="1"/>
  <c r="M232" i="18"/>
  <c r="H233" i="18"/>
  <c r="I233" i="18" s="1"/>
  <c r="C234" i="18"/>
  <c r="G238" i="18"/>
  <c r="E240" i="18"/>
  <c r="H240" i="18" s="1"/>
  <c r="I240" i="18" s="1"/>
  <c r="M240" i="18"/>
  <c r="H241" i="18"/>
  <c r="I241" i="18" s="1"/>
  <c r="C242" i="18"/>
  <c r="G246" i="18"/>
  <c r="K246" i="18" s="1"/>
  <c r="E248" i="18"/>
  <c r="H248" i="18" s="1"/>
  <c r="I248" i="18" s="1"/>
  <c r="M248" i="18"/>
  <c r="H249" i="18"/>
  <c r="I249" i="18" s="1"/>
  <c r="C250" i="18"/>
  <c r="G254" i="18"/>
  <c r="K254" i="18" s="1"/>
  <c r="E256" i="18"/>
  <c r="H256" i="18" s="1"/>
  <c r="I256" i="18" s="1"/>
  <c r="M256" i="18"/>
  <c r="H257" i="18"/>
  <c r="C258" i="18"/>
  <c r="G262" i="18"/>
  <c r="K262" i="18" s="1"/>
  <c r="E264" i="18"/>
  <c r="H264" i="18" s="1"/>
  <c r="I264" i="18" s="1"/>
  <c r="M264" i="18"/>
  <c r="H265" i="18"/>
  <c r="I265" i="18" s="1"/>
  <c r="C266" i="18"/>
  <c r="G270" i="18"/>
  <c r="K270" i="18" s="1"/>
  <c r="E272" i="18"/>
  <c r="H272" i="18" s="1"/>
  <c r="I272" i="18" s="1"/>
  <c r="M272" i="18"/>
  <c r="H273" i="18"/>
  <c r="I273" i="18" s="1"/>
  <c r="C274" i="18"/>
  <c r="G278" i="18"/>
  <c r="K278" i="18" s="1"/>
  <c r="E280" i="18"/>
  <c r="H280" i="18" s="1"/>
  <c r="M280" i="18"/>
  <c r="H281" i="18"/>
  <c r="I281" i="18" s="1"/>
  <c r="C282" i="18"/>
  <c r="E288" i="18"/>
  <c r="M288" i="18"/>
  <c r="H289" i="18"/>
  <c r="I289" i="18" s="1"/>
  <c r="C290" i="18"/>
  <c r="E296" i="18"/>
  <c r="H296" i="18" s="1"/>
  <c r="M296" i="18"/>
  <c r="H297" i="18"/>
  <c r="I297" i="18" s="1"/>
  <c r="C298" i="18"/>
  <c r="E304" i="18"/>
  <c r="H304" i="18" s="1"/>
  <c r="I304" i="18" s="1"/>
  <c r="M304" i="18"/>
  <c r="H305" i="18"/>
  <c r="I305" i="18" s="1"/>
  <c r="C306" i="18"/>
  <c r="E312" i="18"/>
  <c r="H312" i="18" s="1"/>
  <c r="I312" i="18" s="1"/>
  <c r="M312" i="18"/>
  <c r="H313" i="18"/>
  <c r="I313" i="18" s="1"/>
  <c r="C314" i="18"/>
  <c r="E320" i="18"/>
  <c r="H320" i="18" s="1"/>
  <c r="I320" i="18" s="1"/>
  <c r="M320" i="18"/>
  <c r="H321" i="18"/>
  <c r="I321" i="18" s="1"/>
  <c r="C322" i="18"/>
  <c r="E328" i="18"/>
  <c r="G328" i="18" s="1"/>
  <c r="K328" i="18" s="1"/>
  <c r="M328" i="18"/>
  <c r="H329" i="18"/>
  <c r="I329" i="18" s="1"/>
  <c r="C330" i="18"/>
  <c r="E336" i="18"/>
  <c r="H336" i="18" s="1"/>
  <c r="I336" i="18" s="1"/>
  <c r="M336" i="18"/>
  <c r="H337" i="18"/>
  <c r="I337" i="18" s="1"/>
  <c r="C338" i="18"/>
  <c r="E344" i="18"/>
  <c r="H344" i="18" s="1"/>
  <c r="M344" i="18"/>
  <c r="H345" i="18"/>
  <c r="I345" i="18" s="1"/>
  <c r="C346" i="18"/>
  <c r="E352" i="18"/>
  <c r="H352" i="18" s="1"/>
  <c r="I352" i="18" s="1"/>
  <c r="M352" i="18"/>
  <c r="H353" i="18"/>
  <c r="I353" i="18" s="1"/>
  <c r="C354" i="18"/>
  <c r="E360" i="18"/>
  <c r="H360" i="18" s="1"/>
  <c r="M360" i="18"/>
  <c r="H361" i="18"/>
  <c r="I361" i="18" s="1"/>
  <c r="C362" i="18"/>
  <c r="E368" i="18"/>
  <c r="H368" i="18" s="1"/>
  <c r="I368" i="18" s="1"/>
  <c r="M368" i="18"/>
  <c r="H369" i="18"/>
  <c r="I369" i="18" s="1"/>
  <c r="C370" i="18"/>
  <c r="M375" i="18"/>
  <c r="E375" i="18"/>
  <c r="A379" i="18"/>
  <c r="M379" i="18"/>
  <c r="E379" i="18"/>
  <c r="M383" i="18"/>
  <c r="E383" i="18"/>
  <c r="A383" i="18"/>
  <c r="A387" i="18"/>
  <c r="M387" i="18"/>
  <c r="E387" i="18"/>
  <c r="M391" i="18"/>
  <c r="E391" i="18"/>
  <c r="A391" i="18"/>
  <c r="A395" i="18"/>
  <c r="M395" i="18"/>
  <c r="E395" i="18"/>
  <c r="M399" i="18"/>
  <c r="E399" i="18"/>
  <c r="A399" i="18"/>
  <c r="A403" i="18"/>
  <c r="M403" i="18"/>
  <c r="E403" i="18"/>
  <c r="M407" i="18"/>
  <c r="E407" i="18"/>
  <c r="A407" i="18"/>
  <c r="A411" i="18"/>
  <c r="M411" i="18"/>
  <c r="E411" i="18"/>
  <c r="M415" i="18"/>
  <c r="E415" i="18"/>
  <c r="A415" i="18"/>
  <c r="G418" i="18"/>
  <c r="K418" i="18" s="1"/>
  <c r="G419" i="18"/>
  <c r="K419" i="18" s="1"/>
  <c r="F420" i="18"/>
  <c r="M424" i="18"/>
  <c r="E424" i="18"/>
  <c r="H424" i="18" s="1"/>
  <c r="I424" i="18" s="1"/>
  <c r="D424" i="18"/>
  <c r="C425" i="18"/>
  <c r="H425" i="18"/>
  <c r="I425" i="18" s="1"/>
  <c r="G425" i="18"/>
  <c r="G432" i="18"/>
  <c r="K432" i="18" s="1"/>
  <c r="F433" i="18"/>
  <c r="C435" i="18"/>
  <c r="C436" i="18"/>
  <c r="D437" i="18"/>
  <c r="C437" i="18"/>
  <c r="G445" i="18"/>
  <c r="M445" i="18"/>
  <c r="E445" i="18"/>
  <c r="H445" i="18" s="1"/>
  <c r="D445" i="18"/>
  <c r="C445" i="18"/>
  <c r="C448" i="18"/>
  <c r="F449" i="18"/>
  <c r="H451" i="18"/>
  <c r="C457" i="18"/>
  <c r="A457" i="18"/>
  <c r="H457" i="18"/>
  <c r="G457" i="18"/>
  <c r="A459" i="18"/>
  <c r="G459" i="18"/>
  <c r="K459" i="18" s="1"/>
  <c r="F459" i="18"/>
  <c r="M459" i="18"/>
  <c r="E459" i="18"/>
  <c r="F461" i="18"/>
  <c r="H462" i="18"/>
  <c r="G462" i="18"/>
  <c r="K462" i="18" s="1"/>
  <c r="F472" i="18"/>
  <c r="M472" i="18"/>
  <c r="E472" i="18"/>
  <c r="G472" i="18" s="1"/>
  <c r="K472" i="18" s="1"/>
  <c r="D472" i="18"/>
  <c r="M485" i="18"/>
  <c r="E485" i="18"/>
  <c r="H485" i="18" s="1"/>
  <c r="D485" i="18"/>
  <c r="C485" i="18"/>
  <c r="F493" i="18"/>
  <c r="M493" i="18"/>
  <c r="E493" i="18"/>
  <c r="G493" i="18" s="1"/>
  <c r="K493" i="18" s="1"/>
  <c r="D493" i="18"/>
  <c r="C493" i="18"/>
  <c r="H494" i="18"/>
  <c r="G494" i="18"/>
  <c r="K494" i="18" s="1"/>
  <c r="C499" i="18"/>
  <c r="C504" i="18"/>
  <c r="F509" i="18"/>
  <c r="M509" i="18"/>
  <c r="E509" i="18"/>
  <c r="G509" i="18" s="1"/>
  <c r="K509" i="18" s="1"/>
  <c r="D509" i="18"/>
  <c r="C509" i="18"/>
  <c r="H510" i="18"/>
  <c r="G510" i="18"/>
  <c r="K510" i="18" s="1"/>
  <c r="F517" i="18"/>
  <c r="M517" i="18"/>
  <c r="E517" i="18"/>
  <c r="G517" i="18" s="1"/>
  <c r="K517" i="18" s="1"/>
  <c r="D517" i="18"/>
  <c r="C517" i="18"/>
  <c r="A517" i="18"/>
  <c r="H520" i="18"/>
  <c r="I520" i="18" s="1"/>
  <c r="A531" i="18"/>
  <c r="H531" i="18"/>
  <c r="F531" i="18"/>
  <c r="M531" i="18"/>
  <c r="E531" i="18"/>
  <c r="G531" i="18" s="1"/>
  <c r="K531" i="18" s="1"/>
  <c r="C531" i="18"/>
  <c r="H558" i="18"/>
  <c r="I558" i="18" s="1"/>
  <c r="G558" i="18"/>
  <c r="K558" i="18" s="1"/>
  <c r="G653" i="18"/>
  <c r="K653" i="18" s="1"/>
  <c r="F653" i="18"/>
  <c r="M653" i="18"/>
  <c r="E653" i="18"/>
  <c r="D653" i="18"/>
  <c r="C653" i="18"/>
  <c r="A653" i="18"/>
  <c r="H653" i="18"/>
  <c r="H670" i="18"/>
  <c r="G670" i="18"/>
  <c r="K670" i="18" s="1"/>
  <c r="L674" i="18"/>
  <c r="J674" i="18"/>
  <c r="H678" i="18"/>
  <c r="G678" i="18"/>
  <c r="K678" i="18" s="1"/>
  <c r="L682" i="18"/>
  <c r="J682" i="18"/>
  <c r="H686" i="18"/>
  <c r="G686" i="18"/>
  <c r="K686" i="18" s="1"/>
  <c r="K698" i="18"/>
  <c r="H743" i="18"/>
  <c r="I743" i="18" s="1"/>
  <c r="G743" i="18"/>
  <c r="K743" i="18" s="1"/>
  <c r="I772" i="18"/>
  <c r="L823" i="18"/>
  <c r="J823" i="18"/>
  <c r="L825" i="18"/>
  <c r="J825" i="18"/>
  <c r="L847" i="18"/>
  <c r="J847" i="18"/>
  <c r="L895" i="18"/>
  <c r="J895" i="18"/>
  <c r="G908" i="18"/>
  <c r="K908" i="18" s="1"/>
  <c r="F908" i="18"/>
  <c r="M908" i="18"/>
  <c r="E908" i="18"/>
  <c r="D908" i="18"/>
  <c r="C908" i="18"/>
  <c r="A908" i="18"/>
  <c r="H908" i="18"/>
  <c r="G933" i="18"/>
  <c r="K933" i="18" s="1"/>
  <c r="F933" i="18"/>
  <c r="M933" i="18"/>
  <c r="E933" i="18"/>
  <c r="D933" i="18"/>
  <c r="C933" i="18"/>
  <c r="A933" i="18"/>
  <c r="H933" i="18"/>
  <c r="H94" i="18"/>
  <c r="I94" i="18" s="1"/>
  <c r="H102" i="18"/>
  <c r="I102" i="18" s="1"/>
  <c r="H110" i="18"/>
  <c r="I110" i="18" s="1"/>
  <c r="H118" i="18"/>
  <c r="I118" i="18" s="1"/>
  <c r="H126" i="18"/>
  <c r="I126" i="18" s="1"/>
  <c r="H134" i="18"/>
  <c r="I134" i="18" s="1"/>
  <c r="F136" i="18"/>
  <c r="H142" i="18"/>
  <c r="I142" i="18" s="1"/>
  <c r="F144" i="18"/>
  <c r="H150" i="18"/>
  <c r="I150" i="18" s="1"/>
  <c r="F152" i="18"/>
  <c r="H158" i="18"/>
  <c r="F160" i="18"/>
  <c r="H166" i="18"/>
  <c r="I166" i="18" s="1"/>
  <c r="F168" i="18"/>
  <c r="H174" i="18"/>
  <c r="I174" i="18" s="1"/>
  <c r="F176" i="18"/>
  <c r="H182" i="18"/>
  <c r="I182" i="18" s="1"/>
  <c r="F184" i="18"/>
  <c r="H190" i="18"/>
  <c r="F192" i="18"/>
  <c r="H198" i="18"/>
  <c r="I198" i="18" s="1"/>
  <c r="F200" i="18"/>
  <c r="H206" i="18"/>
  <c r="I206" i="18" s="1"/>
  <c r="F208" i="18"/>
  <c r="H214" i="18"/>
  <c r="I214" i="18" s="1"/>
  <c r="F216" i="18"/>
  <c r="H222" i="18"/>
  <c r="F224" i="18"/>
  <c r="H230" i="18"/>
  <c r="I230" i="18" s="1"/>
  <c r="F232" i="18"/>
  <c r="H238" i="18"/>
  <c r="I238" i="18" s="1"/>
  <c r="F240" i="18"/>
  <c r="H246" i="18"/>
  <c r="I246" i="18" s="1"/>
  <c r="F248" i="18"/>
  <c r="H254" i="18"/>
  <c r="F256" i="18"/>
  <c r="H262" i="18"/>
  <c r="I262" i="18" s="1"/>
  <c r="F264" i="18"/>
  <c r="H270" i="18"/>
  <c r="I270" i="18" s="1"/>
  <c r="F272" i="18"/>
  <c r="D274" i="18"/>
  <c r="H278" i="18"/>
  <c r="I278" i="18" s="1"/>
  <c r="F280" i="18"/>
  <c r="D282" i="18"/>
  <c r="C287" i="18"/>
  <c r="F288" i="18"/>
  <c r="A289" i="18"/>
  <c r="D290" i="18"/>
  <c r="C295" i="18"/>
  <c r="F296" i="18"/>
  <c r="A297" i="18"/>
  <c r="D298" i="18"/>
  <c r="C303" i="18"/>
  <c r="F304" i="18"/>
  <c r="A305" i="18"/>
  <c r="D306" i="18"/>
  <c r="C311" i="18"/>
  <c r="F312" i="18"/>
  <c r="A313" i="18"/>
  <c r="D314" i="18"/>
  <c r="C319" i="18"/>
  <c r="F320" i="18"/>
  <c r="A321" i="18"/>
  <c r="D322" i="18"/>
  <c r="C327" i="18"/>
  <c r="F328" i="18"/>
  <c r="A329" i="18"/>
  <c r="D330" i="18"/>
  <c r="C335" i="18"/>
  <c r="F336" i="18"/>
  <c r="A337" i="18"/>
  <c r="D338" i="18"/>
  <c r="C343" i="18"/>
  <c r="F344" i="18"/>
  <c r="A345" i="18"/>
  <c r="D346" i="18"/>
  <c r="C351" i="18"/>
  <c r="F352" i="18"/>
  <c r="A353" i="18"/>
  <c r="D354" i="18"/>
  <c r="C359" i="18"/>
  <c r="F360" i="18"/>
  <c r="A361" i="18"/>
  <c r="D362" i="18"/>
  <c r="C367" i="18"/>
  <c r="F368" i="18"/>
  <c r="A369" i="18"/>
  <c r="D370" i="18"/>
  <c r="C375" i="18"/>
  <c r="C379" i="18"/>
  <c r="C383" i="18"/>
  <c r="C387" i="18"/>
  <c r="C391" i="18"/>
  <c r="C395" i="18"/>
  <c r="C399" i="18"/>
  <c r="C403" i="18"/>
  <c r="C407" i="18"/>
  <c r="C411" i="18"/>
  <c r="C415" i="18"/>
  <c r="H419" i="18"/>
  <c r="I419" i="18" s="1"/>
  <c r="G420" i="18"/>
  <c r="K420" i="18" s="1"/>
  <c r="C424" i="18"/>
  <c r="D425" i="18"/>
  <c r="D435" i="18"/>
  <c r="E436" i="18"/>
  <c r="H436" i="18" s="1"/>
  <c r="I436" i="18" s="1"/>
  <c r="E437" i="18"/>
  <c r="G437" i="18" s="1"/>
  <c r="K437" i="18" s="1"/>
  <c r="C441" i="18"/>
  <c r="A441" i="18"/>
  <c r="H441" i="18"/>
  <c r="G441" i="18"/>
  <c r="K441" i="18" s="1"/>
  <c r="A443" i="18"/>
  <c r="G443" i="18"/>
  <c r="K443" i="18" s="1"/>
  <c r="F443" i="18"/>
  <c r="M443" i="18"/>
  <c r="E443" i="18"/>
  <c r="H443" i="18" s="1"/>
  <c r="F445" i="18"/>
  <c r="H446" i="18"/>
  <c r="G446" i="18"/>
  <c r="K446" i="18" s="1"/>
  <c r="G448" i="18"/>
  <c r="D457" i="18"/>
  <c r="C459" i="18"/>
  <c r="C472" i="18"/>
  <c r="C481" i="18"/>
  <c r="A481" i="18"/>
  <c r="H481" i="18"/>
  <c r="A483" i="18"/>
  <c r="F483" i="18"/>
  <c r="M483" i="18"/>
  <c r="E483" i="18"/>
  <c r="H483" i="18" s="1"/>
  <c r="F485" i="18"/>
  <c r="H486" i="18"/>
  <c r="I486" i="18" s="1"/>
  <c r="G486" i="18"/>
  <c r="K486" i="18" s="1"/>
  <c r="H493" i="18"/>
  <c r="D499" i="18"/>
  <c r="H509" i="18"/>
  <c r="I522" i="18"/>
  <c r="D531" i="18"/>
  <c r="H534" i="18"/>
  <c r="I534" i="18" s="1"/>
  <c r="G534" i="18"/>
  <c r="K534" i="18" s="1"/>
  <c r="K538" i="18"/>
  <c r="F557" i="18"/>
  <c r="M557" i="18"/>
  <c r="E557" i="18"/>
  <c r="H557" i="18" s="1"/>
  <c r="D557" i="18"/>
  <c r="C557" i="18"/>
  <c r="A557" i="18"/>
  <c r="K562" i="18"/>
  <c r="K578" i="18"/>
  <c r="K586" i="18"/>
  <c r="K594" i="18"/>
  <c r="K602" i="18"/>
  <c r="K610" i="18"/>
  <c r="K618" i="18"/>
  <c r="K626" i="18"/>
  <c r="G661" i="18"/>
  <c r="K661" i="18" s="1"/>
  <c r="F661" i="18"/>
  <c r="M661" i="18"/>
  <c r="E661" i="18"/>
  <c r="D661" i="18"/>
  <c r="C661" i="18"/>
  <c r="A661" i="18"/>
  <c r="H661" i="18"/>
  <c r="L690" i="18"/>
  <c r="J690" i="18"/>
  <c r="H694" i="18"/>
  <c r="G694" i="18"/>
  <c r="K694" i="18" s="1"/>
  <c r="K706" i="18"/>
  <c r="K714" i="18"/>
  <c r="K722" i="18"/>
  <c r="H751" i="18"/>
  <c r="I751" i="18" s="1"/>
  <c r="G751" i="18"/>
  <c r="K751" i="18" s="1"/>
  <c r="L793" i="18"/>
  <c r="J793" i="18"/>
  <c r="H837" i="18"/>
  <c r="I837" i="18" s="1"/>
  <c r="G837" i="18"/>
  <c r="K837" i="18" s="1"/>
  <c r="L841" i="18"/>
  <c r="J841" i="18"/>
  <c r="K867" i="18"/>
  <c r="G136" i="18"/>
  <c r="G144" i="18"/>
  <c r="K144" i="18" s="1"/>
  <c r="G160" i="18"/>
  <c r="K160" i="18" s="1"/>
  <c r="G168" i="18"/>
  <c r="G176" i="18"/>
  <c r="K176" i="18" s="1"/>
  <c r="G184" i="18"/>
  <c r="K184" i="18" s="1"/>
  <c r="G192" i="18"/>
  <c r="K192" i="18" s="1"/>
  <c r="G200" i="18"/>
  <c r="G208" i="18"/>
  <c r="K208" i="18" s="1"/>
  <c r="G224" i="18"/>
  <c r="K224" i="18" s="1"/>
  <c r="G232" i="18"/>
  <c r="G240" i="18"/>
  <c r="K240" i="18" s="1"/>
  <c r="G248" i="18"/>
  <c r="K248" i="18" s="1"/>
  <c r="G256" i="18"/>
  <c r="K256" i="18" s="1"/>
  <c r="G264" i="18"/>
  <c r="G272" i="18"/>
  <c r="K272" i="18" s="1"/>
  <c r="E274" i="18"/>
  <c r="E282" i="18"/>
  <c r="G288" i="18"/>
  <c r="E290" i="18"/>
  <c r="M290" i="18"/>
  <c r="E298" i="18"/>
  <c r="M298" i="18"/>
  <c r="G304" i="18"/>
  <c r="E306" i="18"/>
  <c r="M306" i="18"/>
  <c r="G312" i="18"/>
  <c r="K312" i="18" s="1"/>
  <c r="E314" i="18"/>
  <c r="M314" i="18"/>
  <c r="G320" i="18"/>
  <c r="E322" i="18"/>
  <c r="M322" i="18"/>
  <c r="E330" i="18"/>
  <c r="M330" i="18"/>
  <c r="G336" i="18"/>
  <c r="E338" i="18"/>
  <c r="M338" i="18"/>
  <c r="E346" i="18"/>
  <c r="M346" i="18"/>
  <c r="G352" i="18"/>
  <c r="E354" i="18"/>
  <c r="M354" i="18"/>
  <c r="E362" i="18"/>
  <c r="M362" i="18"/>
  <c r="G368" i="18"/>
  <c r="E370" i="18"/>
  <c r="M370" i="18"/>
  <c r="H376" i="18"/>
  <c r="I376" i="18" s="1"/>
  <c r="D376" i="18"/>
  <c r="M376" i="18"/>
  <c r="D380" i="18"/>
  <c r="H380" i="18"/>
  <c r="I380" i="18" s="1"/>
  <c r="M380" i="18"/>
  <c r="H384" i="18"/>
  <c r="I384" i="18" s="1"/>
  <c r="D384" i="18"/>
  <c r="M384" i="18"/>
  <c r="D388" i="18"/>
  <c r="H388" i="18"/>
  <c r="I388" i="18" s="1"/>
  <c r="M388" i="18"/>
  <c r="H392" i="18"/>
  <c r="I392" i="18" s="1"/>
  <c r="D392" i="18"/>
  <c r="M392" i="18"/>
  <c r="D396" i="18"/>
  <c r="H396" i="18"/>
  <c r="I396" i="18" s="1"/>
  <c r="M396" i="18"/>
  <c r="H400" i="18"/>
  <c r="I400" i="18" s="1"/>
  <c r="D400" i="18"/>
  <c r="M400" i="18"/>
  <c r="D404" i="18"/>
  <c r="H404" i="18"/>
  <c r="I404" i="18" s="1"/>
  <c r="M404" i="18"/>
  <c r="H408" i="18"/>
  <c r="I408" i="18" s="1"/>
  <c r="D408" i="18"/>
  <c r="M408" i="18"/>
  <c r="D412" i="18"/>
  <c r="H412" i="18"/>
  <c r="I412" i="18" s="1"/>
  <c r="M412" i="18"/>
  <c r="H416" i="18"/>
  <c r="I416" i="18" s="1"/>
  <c r="M416" i="18"/>
  <c r="D416" i="18"/>
  <c r="A427" i="18"/>
  <c r="F427" i="18"/>
  <c r="M427" i="18"/>
  <c r="E427" i="18"/>
  <c r="D428" i="18"/>
  <c r="A428" i="18"/>
  <c r="H428" i="18"/>
  <c r="I428" i="18" s="1"/>
  <c r="K434" i="18"/>
  <c r="F456" i="18"/>
  <c r="M456" i="18"/>
  <c r="E456" i="18"/>
  <c r="G456" i="18" s="1"/>
  <c r="K456" i="18" s="1"/>
  <c r="D456" i="18"/>
  <c r="M469" i="18"/>
  <c r="E469" i="18"/>
  <c r="H469" i="18" s="1"/>
  <c r="D469" i="18"/>
  <c r="C469" i="18"/>
  <c r="K474" i="18"/>
  <c r="K514" i="18"/>
  <c r="F533" i="18"/>
  <c r="M533" i="18"/>
  <c r="E533" i="18"/>
  <c r="H533" i="18" s="1"/>
  <c r="D533" i="18"/>
  <c r="C533" i="18"/>
  <c r="A533" i="18"/>
  <c r="A547" i="18"/>
  <c r="F547" i="18"/>
  <c r="M547" i="18"/>
  <c r="E547" i="18"/>
  <c r="H547" i="18" s="1"/>
  <c r="C547" i="18"/>
  <c r="A571" i="18"/>
  <c r="F571" i="18"/>
  <c r="M571" i="18"/>
  <c r="E571" i="18"/>
  <c r="H571" i="18" s="1"/>
  <c r="C571" i="18"/>
  <c r="K634" i="18"/>
  <c r="K642" i="18"/>
  <c r="G669" i="18"/>
  <c r="K669" i="18" s="1"/>
  <c r="F669" i="18"/>
  <c r="M669" i="18"/>
  <c r="E669" i="18"/>
  <c r="H669" i="18" s="1"/>
  <c r="I669" i="18" s="1"/>
  <c r="D669" i="18"/>
  <c r="C669" i="18"/>
  <c r="A669" i="18"/>
  <c r="G677" i="18"/>
  <c r="K677" i="18" s="1"/>
  <c r="F677" i="18"/>
  <c r="M677" i="18"/>
  <c r="E677" i="18"/>
  <c r="H677" i="18" s="1"/>
  <c r="I677" i="18" s="1"/>
  <c r="D677" i="18"/>
  <c r="C677" i="18"/>
  <c r="A677" i="18"/>
  <c r="G685" i="18"/>
  <c r="K685" i="18" s="1"/>
  <c r="F685" i="18"/>
  <c r="M685" i="18"/>
  <c r="E685" i="18"/>
  <c r="H685" i="18" s="1"/>
  <c r="I685" i="18" s="1"/>
  <c r="D685" i="18"/>
  <c r="C685" i="18"/>
  <c r="A685" i="18"/>
  <c r="L698" i="18"/>
  <c r="J698" i="18"/>
  <c r="H702" i="18"/>
  <c r="G702" i="18"/>
  <c r="K702" i="18" s="1"/>
  <c r="M736" i="18"/>
  <c r="E736" i="18"/>
  <c r="G736" i="18" s="1"/>
  <c r="K736" i="18" s="1"/>
  <c r="H736" i="18"/>
  <c r="F736" i="18"/>
  <c r="D736" i="18"/>
  <c r="C736" i="18"/>
  <c r="A736" i="18"/>
  <c r="H759" i="18"/>
  <c r="G759" i="18"/>
  <c r="K759" i="18" s="1"/>
  <c r="L799" i="18"/>
  <c r="J799" i="18"/>
  <c r="L817" i="18"/>
  <c r="J817" i="18"/>
  <c r="L863" i="18"/>
  <c r="J863" i="18"/>
  <c r="F876" i="18"/>
  <c r="M876" i="18"/>
  <c r="E876" i="18"/>
  <c r="G876" i="18" s="1"/>
  <c r="K876" i="18" s="1"/>
  <c r="D876" i="18"/>
  <c r="C876" i="18"/>
  <c r="A876" i="18"/>
  <c r="H876" i="18"/>
  <c r="L887" i="18"/>
  <c r="J887" i="18"/>
  <c r="L889" i="18"/>
  <c r="J889" i="18"/>
  <c r="A898" i="18"/>
  <c r="F898" i="18"/>
  <c r="M898" i="18"/>
  <c r="E898" i="18"/>
  <c r="H898" i="18" s="1"/>
  <c r="C898" i="18"/>
  <c r="D898" i="18"/>
  <c r="H913" i="18"/>
  <c r="G913" i="18"/>
  <c r="K913" i="18" s="1"/>
  <c r="E287" i="18"/>
  <c r="E295" i="18"/>
  <c r="E303" i="18"/>
  <c r="E311" i="18"/>
  <c r="E319" i="18"/>
  <c r="E327" i="18"/>
  <c r="E335" i="18"/>
  <c r="E343" i="18"/>
  <c r="E351" i="18"/>
  <c r="E359" i="18"/>
  <c r="E367" i="18"/>
  <c r="F375" i="18"/>
  <c r="C376" i="18"/>
  <c r="F379" i="18"/>
  <c r="C380" i="18"/>
  <c r="F383" i="18"/>
  <c r="C384" i="18"/>
  <c r="F387" i="18"/>
  <c r="C388" i="18"/>
  <c r="F391" i="18"/>
  <c r="C392" i="18"/>
  <c r="F395" i="18"/>
  <c r="C396" i="18"/>
  <c r="F399" i="18"/>
  <c r="C400" i="18"/>
  <c r="F403" i="18"/>
  <c r="C404" i="18"/>
  <c r="F407" i="18"/>
  <c r="C408" i="18"/>
  <c r="F411" i="18"/>
  <c r="C412" i="18"/>
  <c r="F415" i="18"/>
  <c r="C416" i="18"/>
  <c r="C417" i="18"/>
  <c r="H417" i="18"/>
  <c r="G417" i="18"/>
  <c r="K417" i="18" s="1"/>
  <c r="G424" i="18"/>
  <c r="K424" i="18" s="1"/>
  <c r="F425" i="18"/>
  <c r="C427" i="18"/>
  <c r="C428" i="18"/>
  <c r="G429" i="18"/>
  <c r="K429" i="18" s="1"/>
  <c r="D429" i="18"/>
  <c r="C429" i="18"/>
  <c r="H435" i="18"/>
  <c r="I435" i="18" s="1"/>
  <c r="G436" i="18"/>
  <c r="K436" i="18" s="1"/>
  <c r="H437" i="18"/>
  <c r="F440" i="18"/>
  <c r="M440" i="18"/>
  <c r="E440" i="18"/>
  <c r="G440" i="18" s="1"/>
  <c r="D440" i="18"/>
  <c r="M449" i="18"/>
  <c r="C456" i="18"/>
  <c r="F457" i="18"/>
  <c r="H459" i="18"/>
  <c r="I459" i="18" s="1"/>
  <c r="C465" i="18"/>
  <c r="A465" i="18"/>
  <c r="H465" i="18"/>
  <c r="I465" i="18" s="1"/>
  <c r="G465" i="18"/>
  <c r="K465" i="18" s="1"/>
  <c r="A467" i="18"/>
  <c r="F467" i="18"/>
  <c r="M467" i="18"/>
  <c r="E467" i="18"/>
  <c r="H467" i="18" s="1"/>
  <c r="F469" i="18"/>
  <c r="H470" i="18"/>
  <c r="I470" i="18" s="1"/>
  <c r="G470" i="18"/>
  <c r="K470" i="18" s="1"/>
  <c r="H480" i="18"/>
  <c r="I480" i="18" s="1"/>
  <c r="F480" i="18"/>
  <c r="M480" i="18"/>
  <c r="E480" i="18"/>
  <c r="G480" i="18" s="1"/>
  <c r="K480" i="18" s="1"/>
  <c r="D480" i="18"/>
  <c r="E481" i="18"/>
  <c r="G481" i="18" s="1"/>
  <c r="K481" i="18" s="1"/>
  <c r="D483" i="18"/>
  <c r="A491" i="18"/>
  <c r="H491" i="18"/>
  <c r="F491" i="18"/>
  <c r="M491" i="18"/>
  <c r="E491" i="18"/>
  <c r="G491" i="18" s="1"/>
  <c r="K491" i="18" s="1"/>
  <c r="G496" i="18"/>
  <c r="K496" i="18" s="1"/>
  <c r="F496" i="18"/>
  <c r="M496" i="18"/>
  <c r="E496" i="18"/>
  <c r="H496" i="18" s="1"/>
  <c r="I496" i="18" s="1"/>
  <c r="D496" i="18"/>
  <c r="K498" i="18"/>
  <c r="A507" i="18"/>
  <c r="G507" i="18"/>
  <c r="K507" i="18" s="1"/>
  <c r="F507" i="18"/>
  <c r="M507" i="18"/>
  <c r="E507" i="18"/>
  <c r="H507" i="18" s="1"/>
  <c r="I507" i="18" s="1"/>
  <c r="A523" i="18"/>
  <c r="F523" i="18"/>
  <c r="M523" i="18"/>
  <c r="E523" i="18"/>
  <c r="H523" i="18" s="1"/>
  <c r="C523" i="18"/>
  <c r="L538" i="18"/>
  <c r="J538" i="18"/>
  <c r="D547" i="18"/>
  <c r="H550" i="18"/>
  <c r="I550" i="18" s="1"/>
  <c r="G550" i="18"/>
  <c r="K550" i="18" s="1"/>
  <c r="K554" i="18"/>
  <c r="L562" i="18"/>
  <c r="J562" i="18"/>
  <c r="D571" i="18"/>
  <c r="H574" i="18"/>
  <c r="I574" i="18" s="1"/>
  <c r="G574" i="18"/>
  <c r="K574" i="18" s="1"/>
  <c r="L578" i="18"/>
  <c r="J578" i="18"/>
  <c r="L586" i="18"/>
  <c r="J586" i="18"/>
  <c r="L594" i="18"/>
  <c r="J594" i="18"/>
  <c r="L602" i="18"/>
  <c r="J602" i="18"/>
  <c r="L610" i="18"/>
  <c r="J610" i="18"/>
  <c r="L618" i="18"/>
  <c r="J618" i="18"/>
  <c r="L626" i="18"/>
  <c r="J626" i="18"/>
  <c r="K650" i="18"/>
  <c r="F693" i="18"/>
  <c r="M693" i="18"/>
  <c r="E693" i="18"/>
  <c r="H693" i="18" s="1"/>
  <c r="D693" i="18"/>
  <c r="C693" i="18"/>
  <c r="A693" i="18"/>
  <c r="L706" i="18"/>
  <c r="J706" i="18"/>
  <c r="H710" i="18"/>
  <c r="I710" i="18" s="1"/>
  <c r="G710" i="18"/>
  <c r="K710" i="18" s="1"/>
  <c r="L714" i="18"/>
  <c r="J714" i="18"/>
  <c r="H718" i="18"/>
  <c r="G718" i="18"/>
  <c r="K718" i="18" s="1"/>
  <c r="L722" i="18"/>
  <c r="J722" i="18"/>
  <c r="H726" i="18"/>
  <c r="I726" i="18" s="1"/>
  <c r="G726" i="18"/>
  <c r="K726" i="18" s="1"/>
  <c r="J730" i="18"/>
  <c r="C732" i="18"/>
  <c r="A732" i="18"/>
  <c r="F732" i="18"/>
  <c r="E732" i="18"/>
  <c r="H732" i="18" s="1"/>
  <c r="D732" i="18"/>
  <c r="J737" i="18"/>
  <c r="L737" i="18"/>
  <c r="M744" i="18"/>
  <c r="E744" i="18"/>
  <c r="G744" i="18" s="1"/>
  <c r="K744" i="18" s="1"/>
  <c r="H744" i="18"/>
  <c r="F744" i="18"/>
  <c r="D744" i="18"/>
  <c r="C744" i="18"/>
  <c r="A744" i="18"/>
  <c r="J769" i="18"/>
  <c r="L769" i="18"/>
  <c r="L785" i="18"/>
  <c r="J785" i="18"/>
  <c r="F739" i="18"/>
  <c r="H747" i="18"/>
  <c r="I747" i="18" s="1"/>
  <c r="F747" i="18"/>
  <c r="F755" i="18"/>
  <c r="D763" i="18"/>
  <c r="H763" i="18"/>
  <c r="F763" i="18"/>
  <c r="G764" i="18"/>
  <c r="C764" i="18"/>
  <c r="A764" i="18"/>
  <c r="L809" i="18"/>
  <c r="J809" i="18"/>
  <c r="L833" i="18"/>
  <c r="J833" i="18"/>
  <c r="A842" i="18"/>
  <c r="G842" i="18"/>
  <c r="K842" i="18" s="1"/>
  <c r="F842" i="18"/>
  <c r="M842" i="18"/>
  <c r="E842" i="18"/>
  <c r="H842" i="18" s="1"/>
  <c r="I842" i="18" s="1"/>
  <c r="C842" i="18"/>
  <c r="G852" i="18"/>
  <c r="K852" i="18" s="1"/>
  <c r="F852" i="18"/>
  <c r="M852" i="18"/>
  <c r="E852" i="18"/>
  <c r="D852" i="18"/>
  <c r="C852" i="18"/>
  <c r="A852" i="18"/>
  <c r="L865" i="18"/>
  <c r="J865" i="18"/>
  <c r="A874" i="18"/>
  <c r="H874" i="18"/>
  <c r="F874" i="18"/>
  <c r="M874" i="18"/>
  <c r="E874" i="18"/>
  <c r="G874" i="18" s="1"/>
  <c r="K874" i="18" s="1"/>
  <c r="C874" i="18"/>
  <c r="F884" i="18"/>
  <c r="M884" i="18"/>
  <c r="E884" i="18"/>
  <c r="G884" i="18" s="1"/>
  <c r="K884" i="18" s="1"/>
  <c r="D884" i="18"/>
  <c r="C884" i="18"/>
  <c r="A884" i="18"/>
  <c r="L897" i="18"/>
  <c r="J897" i="18"/>
  <c r="A906" i="18"/>
  <c r="G906" i="18"/>
  <c r="K906" i="18" s="1"/>
  <c r="F906" i="18"/>
  <c r="M906" i="18"/>
  <c r="E906" i="18"/>
  <c r="H906" i="18" s="1"/>
  <c r="I906" i="18" s="1"/>
  <c r="C906" i="18"/>
  <c r="G981" i="18"/>
  <c r="K981" i="18" s="1"/>
  <c r="F981" i="18"/>
  <c r="M981" i="18"/>
  <c r="E981" i="18"/>
  <c r="H981" i="18" s="1"/>
  <c r="I981" i="18" s="1"/>
  <c r="D981" i="18"/>
  <c r="C981" i="18"/>
  <c r="A981" i="18"/>
  <c r="C579" i="18"/>
  <c r="C587" i="18"/>
  <c r="C595" i="18"/>
  <c r="C603" i="18"/>
  <c r="C611" i="18"/>
  <c r="C619" i="18"/>
  <c r="C627" i="18"/>
  <c r="C635" i="18"/>
  <c r="C643" i="18"/>
  <c r="C651" i="18"/>
  <c r="C659" i="18"/>
  <c r="C667" i="18"/>
  <c r="C675" i="18"/>
  <c r="C683" i="18"/>
  <c r="C691" i="18"/>
  <c r="C699" i="18"/>
  <c r="C707" i="18"/>
  <c r="C715" i="18"/>
  <c r="C723" i="18"/>
  <c r="C739" i="18"/>
  <c r="M739" i="18"/>
  <c r="C747" i="18"/>
  <c r="M747" i="18"/>
  <c r="C755" i="18"/>
  <c r="M755" i="18"/>
  <c r="C763" i="18"/>
  <c r="D764" i="18"/>
  <c r="M766" i="18"/>
  <c r="E766" i="18"/>
  <c r="G766" i="18" s="1"/>
  <c r="K766" i="18" s="1"/>
  <c r="A766" i="18"/>
  <c r="C776" i="18"/>
  <c r="G776" i="18"/>
  <c r="K776" i="18" s="1"/>
  <c r="M776" i="18"/>
  <c r="E776" i="18"/>
  <c r="L839" i="18"/>
  <c r="J839" i="18"/>
  <c r="D842" i="18"/>
  <c r="H845" i="18"/>
  <c r="I845" i="18" s="1"/>
  <c r="G845" i="18"/>
  <c r="K845" i="18" s="1"/>
  <c r="H852" i="18"/>
  <c r="I852" i="18" s="1"/>
  <c r="L871" i="18"/>
  <c r="J871" i="18"/>
  <c r="D874" i="18"/>
  <c r="H877" i="18"/>
  <c r="I877" i="18" s="1"/>
  <c r="G877" i="18"/>
  <c r="K877" i="18" s="1"/>
  <c r="H884" i="18"/>
  <c r="L903" i="18"/>
  <c r="J903" i="18"/>
  <c r="D906" i="18"/>
  <c r="H909" i="18"/>
  <c r="I909" i="18" s="1"/>
  <c r="G909" i="18"/>
  <c r="K909" i="18" s="1"/>
  <c r="D932" i="18"/>
  <c r="C932" i="18"/>
  <c r="A932" i="18"/>
  <c r="M932" i="18"/>
  <c r="F932" i="18"/>
  <c r="E932" i="18"/>
  <c r="H932" i="18" s="1"/>
  <c r="A971" i="18"/>
  <c r="G971" i="18"/>
  <c r="K971" i="18" s="1"/>
  <c r="F971" i="18"/>
  <c r="M971" i="18"/>
  <c r="E971" i="18"/>
  <c r="H971" i="18" s="1"/>
  <c r="I971" i="18" s="1"/>
  <c r="C971" i="18"/>
  <c r="D971" i="18"/>
  <c r="A423" i="18"/>
  <c r="A431" i="18"/>
  <c r="A439" i="18"/>
  <c r="H444" i="18"/>
  <c r="I444" i="18" s="1"/>
  <c r="A447" i="18"/>
  <c r="H452" i="18"/>
  <c r="I452" i="18" s="1"/>
  <c r="A455" i="18"/>
  <c r="H460" i="18"/>
  <c r="I460" i="18" s="1"/>
  <c r="A463" i="18"/>
  <c r="H468" i="18"/>
  <c r="I468" i="18" s="1"/>
  <c r="A471" i="18"/>
  <c r="H476" i="18"/>
  <c r="I476" i="18" s="1"/>
  <c r="A479" i="18"/>
  <c r="H484" i="18"/>
  <c r="I484" i="18" s="1"/>
  <c r="A487" i="18"/>
  <c r="G489" i="18"/>
  <c r="K489" i="18" s="1"/>
  <c r="H492" i="18"/>
  <c r="I492" i="18" s="1"/>
  <c r="A495" i="18"/>
  <c r="G497" i="18"/>
  <c r="K497" i="18" s="1"/>
  <c r="H500" i="18"/>
  <c r="I500" i="18" s="1"/>
  <c r="A503" i="18"/>
  <c r="G505" i="18"/>
  <c r="K505" i="18" s="1"/>
  <c r="H508" i="18"/>
  <c r="I508" i="18" s="1"/>
  <c r="A511" i="18"/>
  <c r="D512" i="18"/>
  <c r="G513" i="18"/>
  <c r="K513" i="18" s="1"/>
  <c r="H516" i="18"/>
  <c r="I516" i="18" s="1"/>
  <c r="A519" i="18"/>
  <c r="D520" i="18"/>
  <c r="G521" i="18"/>
  <c r="K521" i="18" s="1"/>
  <c r="H524" i="18"/>
  <c r="I524" i="18" s="1"/>
  <c r="A527" i="18"/>
  <c r="D528" i="18"/>
  <c r="G529" i="18"/>
  <c r="K529" i="18" s="1"/>
  <c r="H532" i="18"/>
  <c r="I532" i="18" s="1"/>
  <c r="A535" i="18"/>
  <c r="D536" i="18"/>
  <c r="G537" i="18"/>
  <c r="K537" i="18" s="1"/>
  <c r="H540" i="18"/>
  <c r="I540" i="18" s="1"/>
  <c r="A543" i="18"/>
  <c r="D544" i="18"/>
  <c r="G545" i="18"/>
  <c r="K545" i="18" s="1"/>
  <c r="H548" i="18"/>
  <c r="I548" i="18" s="1"/>
  <c r="A551" i="18"/>
  <c r="D552" i="18"/>
  <c r="G553" i="18"/>
  <c r="K553" i="18" s="1"/>
  <c r="H556" i="18"/>
  <c r="I556" i="18" s="1"/>
  <c r="A559" i="18"/>
  <c r="D560" i="18"/>
  <c r="G561" i="18"/>
  <c r="K561" i="18" s="1"/>
  <c r="H564" i="18"/>
  <c r="I564" i="18" s="1"/>
  <c r="A567" i="18"/>
  <c r="D568" i="18"/>
  <c r="G569" i="18"/>
  <c r="K569" i="18" s="1"/>
  <c r="H572" i="18"/>
  <c r="I572" i="18" s="1"/>
  <c r="A575" i="18"/>
  <c r="D576" i="18"/>
  <c r="G577" i="18"/>
  <c r="K577" i="18" s="1"/>
  <c r="E579" i="18"/>
  <c r="M579" i="18"/>
  <c r="H580" i="18"/>
  <c r="I580" i="18" s="1"/>
  <c r="A583" i="18"/>
  <c r="D584" i="18"/>
  <c r="G585" i="18"/>
  <c r="K585" i="18" s="1"/>
  <c r="E587" i="18"/>
  <c r="M587" i="18"/>
  <c r="H588" i="18"/>
  <c r="I588" i="18" s="1"/>
  <c r="A591" i="18"/>
  <c r="D592" i="18"/>
  <c r="G593" i="18"/>
  <c r="K593" i="18" s="1"/>
  <c r="E595" i="18"/>
  <c r="M595" i="18"/>
  <c r="H596" i="18"/>
  <c r="I596" i="18" s="1"/>
  <c r="A599" i="18"/>
  <c r="D600" i="18"/>
  <c r="G601" i="18"/>
  <c r="K601" i="18" s="1"/>
  <c r="E603" i="18"/>
  <c r="M603" i="18"/>
  <c r="H604" i="18"/>
  <c r="I604" i="18" s="1"/>
  <c r="A607" i="18"/>
  <c r="D608" i="18"/>
  <c r="G609" i="18"/>
  <c r="K609" i="18" s="1"/>
  <c r="E611" i="18"/>
  <c r="M611" i="18"/>
  <c r="H612" i="18"/>
  <c r="I612" i="18" s="1"/>
  <c r="A615" i="18"/>
  <c r="D616" i="18"/>
  <c r="G617" i="18"/>
  <c r="K617" i="18" s="1"/>
  <c r="E619" i="18"/>
  <c r="M619" i="18"/>
  <c r="H620" i="18"/>
  <c r="I620" i="18" s="1"/>
  <c r="A623" i="18"/>
  <c r="D624" i="18"/>
  <c r="G625" i="18"/>
  <c r="K625" i="18" s="1"/>
  <c r="E627" i="18"/>
  <c r="M627" i="18"/>
  <c r="H628" i="18"/>
  <c r="I628" i="18" s="1"/>
  <c r="A631" i="18"/>
  <c r="D632" i="18"/>
  <c r="G633" i="18"/>
  <c r="K633" i="18" s="1"/>
  <c r="E635" i="18"/>
  <c r="M635" i="18"/>
  <c r="H636" i="18"/>
  <c r="I636" i="18" s="1"/>
  <c r="A639" i="18"/>
  <c r="D640" i="18"/>
  <c r="G641" i="18"/>
  <c r="K641" i="18" s="1"/>
  <c r="E643" i="18"/>
  <c r="M643" i="18"/>
  <c r="H644" i="18"/>
  <c r="I644" i="18" s="1"/>
  <c r="A647" i="18"/>
  <c r="D648" i="18"/>
  <c r="G649" i="18"/>
  <c r="K649" i="18" s="1"/>
  <c r="E651" i="18"/>
  <c r="M651" i="18"/>
  <c r="H652" i="18"/>
  <c r="I652" i="18" s="1"/>
  <c r="A655" i="18"/>
  <c r="D656" i="18"/>
  <c r="G657" i="18"/>
  <c r="K657" i="18" s="1"/>
  <c r="E659" i="18"/>
  <c r="M659" i="18"/>
  <c r="H660" i="18"/>
  <c r="I660" i="18" s="1"/>
  <c r="A663" i="18"/>
  <c r="D664" i="18"/>
  <c r="G665" i="18"/>
  <c r="K665" i="18" s="1"/>
  <c r="E667" i="18"/>
  <c r="M667" i="18"/>
  <c r="H668" i="18"/>
  <c r="I668" i="18" s="1"/>
  <c r="A671" i="18"/>
  <c r="D672" i="18"/>
  <c r="G673" i="18"/>
  <c r="K673" i="18" s="1"/>
  <c r="E675" i="18"/>
  <c r="M675" i="18"/>
  <c r="H676" i="18"/>
  <c r="I676" i="18" s="1"/>
  <c r="A679" i="18"/>
  <c r="D680" i="18"/>
  <c r="G681" i="18"/>
  <c r="K681" i="18" s="1"/>
  <c r="E683" i="18"/>
  <c r="M683" i="18"/>
  <c r="H684" i="18"/>
  <c r="I684" i="18" s="1"/>
  <c r="A687" i="18"/>
  <c r="D688" i="18"/>
  <c r="G689" i="18"/>
  <c r="K689" i="18" s="1"/>
  <c r="E691" i="18"/>
  <c r="M691" i="18"/>
  <c r="H692" i="18"/>
  <c r="I692" i="18" s="1"/>
  <c r="A695" i="18"/>
  <c r="D696" i="18"/>
  <c r="G697" i="18"/>
  <c r="K697" i="18" s="1"/>
  <c r="E699" i="18"/>
  <c r="M699" i="18"/>
  <c r="H700" i="18"/>
  <c r="I700" i="18" s="1"/>
  <c r="A703" i="18"/>
  <c r="D704" i="18"/>
  <c r="G705" i="18"/>
  <c r="K705" i="18" s="1"/>
  <c r="E707" i="18"/>
  <c r="M707" i="18"/>
  <c r="H708" i="18"/>
  <c r="I708" i="18" s="1"/>
  <c r="A711" i="18"/>
  <c r="D712" i="18"/>
  <c r="G713" i="18"/>
  <c r="K713" i="18" s="1"/>
  <c r="E715" i="18"/>
  <c r="M715" i="18"/>
  <c r="H716" i="18"/>
  <c r="I716" i="18" s="1"/>
  <c r="A719" i="18"/>
  <c r="D720" i="18"/>
  <c r="G721" i="18"/>
  <c r="K721" i="18" s="1"/>
  <c r="E723" i="18"/>
  <c r="M723" i="18"/>
  <c r="H724" i="18"/>
  <c r="I724" i="18" s="1"/>
  <c r="A727" i="18"/>
  <c r="D728" i="18"/>
  <c r="G729" i="18"/>
  <c r="K729" i="18" s="1"/>
  <c r="E739" i="18"/>
  <c r="H739" i="18" s="1"/>
  <c r="I739" i="18" s="1"/>
  <c r="E747" i="18"/>
  <c r="E755" i="18"/>
  <c r="H755" i="18" s="1"/>
  <c r="I755" i="18" s="1"/>
  <c r="G763" i="18"/>
  <c r="K763" i="18" s="1"/>
  <c r="F764" i="18"/>
  <c r="D766" i="18"/>
  <c r="F776" i="18"/>
  <c r="A778" i="18"/>
  <c r="M778" i="18"/>
  <c r="E778" i="18"/>
  <c r="G778" i="18" s="1"/>
  <c r="K778" i="18" s="1"/>
  <c r="C778" i="18"/>
  <c r="D779" i="18"/>
  <c r="H779" i="18"/>
  <c r="I779" i="18" s="1"/>
  <c r="F779" i="18"/>
  <c r="K779" i="18" s="1"/>
  <c r="G780" i="18"/>
  <c r="K780" i="18" s="1"/>
  <c r="C780" i="18"/>
  <c r="A780" i="18"/>
  <c r="H797" i="18"/>
  <c r="I797" i="18" s="1"/>
  <c r="G797" i="18"/>
  <c r="K797" i="18" s="1"/>
  <c r="G812" i="18"/>
  <c r="K812" i="18" s="1"/>
  <c r="F812" i="18"/>
  <c r="M812" i="18"/>
  <c r="E812" i="18"/>
  <c r="H812" i="18" s="1"/>
  <c r="D812" i="18"/>
  <c r="C812" i="18"/>
  <c r="A812" i="18"/>
  <c r="F836" i="18"/>
  <c r="M836" i="18"/>
  <c r="E836" i="18"/>
  <c r="H836" i="18" s="1"/>
  <c r="D836" i="18"/>
  <c r="C836" i="18"/>
  <c r="A836" i="18"/>
  <c r="H869" i="18"/>
  <c r="I869" i="18" s="1"/>
  <c r="G869" i="18"/>
  <c r="K869" i="18" s="1"/>
  <c r="H901" i="18"/>
  <c r="I901" i="18" s="1"/>
  <c r="G901" i="18"/>
  <c r="K901" i="18" s="1"/>
  <c r="D924" i="18"/>
  <c r="C924" i="18"/>
  <c r="A924" i="18"/>
  <c r="M924" i="18"/>
  <c r="E924" i="18"/>
  <c r="H924" i="18" s="1"/>
  <c r="H942" i="18"/>
  <c r="G942" i="18"/>
  <c r="K942" i="18" s="1"/>
  <c r="A444" i="18"/>
  <c r="A452" i="18"/>
  <c r="A460" i="18"/>
  <c r="A468" i="18"/>
  <c r="A476" i="18"/>
  <c r="A484" i="18"/>
  <c r="H489" i="18"/>
  <c r="A492" i="18"/>
  <c r="H497" i="18"/>
  <c r="I497" i="18" s="1"/>
  <c r="A500" i="18"/>
  <c r="H505" i="18"/>
  <c r="I505" i="18" s="1"/>
  <c r="A508" i="18"/>
  <c r="E512" i="18"/>
  <c r="H512" i="18" s="1"/>
  <c r="I512" i="18" s="1"/>
  <c r="M512" i="18"/>
  <c r="H513" i="18"/>
  <c r="I513" i="18" s="1"/>
  <c r="A516" i="18"/>
  <c r="E520" i="18"/>
  <c r="M520" i="18"/>
  <c r="H521" i="18"/>
  <c r="I521" i="18" s="1"/>
  <c r="A524" i="18"/>
  <c r="E528" i="18"/>
  <c r="H528" i="18" s="1"/>
  <c r="I528" i="18" s="1"/>
  <c r="M528" i="18"/>
  <c r="H529" i="18"/>
  <c r="I529" i="18" s="1"/>
  <c r="A532" i="18"/>
  <c r="E536" i="18"/>
  <c r="H536" i="18" s="1"/>
  <c r="I536" i="18" s="1"/>
  <c r="M536" i="18"/>
  <c r="H537" i="18"/>
  <c r="I537" i="18" s="1"/>
  <c r="A540" i="18"/>
  <c r="E544" i="18"/>
  <c r="H544" i="18" s="1"/>
  <c r="I544" i="18" s="1"/>
  <c r="M544" i="18"/>
  <c r="H545" i="18"/>
  <c r="I545" i="18" s="1"/>
  <c r="A548" i="18"/>
  <c r="E552" i="18"/>
  <c r="H552" i="18" s="1"/>
  <c r="I552" i="18" s="1"/>
  <c r="M552" i="18"/>
  <c r="H553" i="18"/>
  <c r="I553" i="18" s="1"/>
  <c r="A556" i="18"/>
  <c r="E560" i="18"/>
  <c r="H560" i="18" s="1"/>
  <c r="I560" i="18" s="1"/>
  <c r="M560" i="18"/>
  <c r="H561" i="18"/>
  <c r="I561" i="18" s="1"/>
  <c r="A564" i="18"/>
  <c r="E568" i="18"/>
  <c r="H568" i="18" s="1"/>
  <c r="I568" i="18" s="1"/>
  <c r="M568" i="18"/>
  <c r="H569" i="18"/>
  <c r="I569" i="18" s="1"/>
  <c r="A572" i="18"/>
  <c r="E576" i="18"/>
  <c r="H576" i="18" s="1"/>
  <c r="I576" i="18" s="1"/>
  <c r="M576" i="18"/>
  <c r="H577" i="18"/>
  <c r="I577" i="18" s="1"/>
  <c r="F579" i="18"/>
  <c r="A580" i="18"/>
  <c r="E584" i="18"/>
  <c r="G584" i="18" s="1"/>
  <c r="K584" i="18" s="1"/>
  <c r="M584" i="18"/>
  <c r="H585" i="18"/>
  <c r="I585" i="18" s="1"/>
  <c r="F587" i="18"/>
  <c r="A588" i="18"/>
  <c r="E592" i="18"/>
  <c r="H592" i="18" s="1"/>
  <c r="I592" i="18" s="1"/>
  <c r="M592" i="18"/>
  <c r="H593" i="18"/>
  <c r="I593" i="18" s="1"/>
  <c r="F595" i="18"/>
  <c r="A596" i="18"/>
  <c r="E600" i="18"/>
  <c r="H600" i="18" s="1"/>
  <c r="I600" i="18" s="1"/>
  <c r="M600" i="18"/>
  <c r="H601" i="18"/>
  <c r="F603" i="18"/>
  <c r="A604" i="18"/>
  <c r="E608" i="18"/>
  <c r="H608" i="18" s="1"/>
  <c r="I608" i="18" s="1"/>
  <c r="M608" i="18"/>
  <c r="H609" i="18"/>
  <c r="I609" i="18" s="1"/>
  <c r="F611" i="18"/>
  <c r="A612" i="18"/>
  <c r="E616" i="18"/>
  <c r="H616" i="18" s="1"/>
  <c r="I616" i="18" s="1"/>
  <c r="M616" i="18"/>
  <c r="H617" i="18"/>
  <c r="I617" i="18" s="1"/>
  <c r="F619" i="18"/>
  <c r="A620" i="18"/>
  <c r="E624" i="18"/>
  <c r="H624" i="18" s="1"/>
  <c r="I624" i="18" s="1"/>
  <c r="M624" i="18"/>
  <c r="H625" i="18"/>
  <c r="I625" i="18" s="1"/>
  <c r="F627" i="18"/>
  <c r="A628" i="18"/>
  <c r="E632" i="18"/>
  <c r="H632" i="18" s="1"/>
  <c r="I632" i="18" s="1"/>
  <c r="M632" i="18"/>
  <c r="H633" i="18"/>
  <c r="I633" i="18" s="1"/>
  <c r="F635" i="18"/>
  <c r="A636" i="18"/>
  <c r="E640" i="18"/>
  <c r="H640" i="18" s="1"/>
  <c r="I640" i="18" s="1"/>
  <c r="M640" i="18"/>
  <c r="H641" i="18"/>
  <c r="I641" i="18" s="1"/>
  <c r="F643" i="18"/>
  <c r="A644" i="18"/>
  <c r="E648" i="18"/>
  <c r="G648" i="18" s="1"/>
  <c r="K648" i="18" s="1"/>
  <c r="M648" i="18"/>
  <c r="H649" i="18"/>
  <c r="I649" i="18" s="1"/>
  <c r="F651" i="18"/>
  <c r="A652" i="18"/>
  <c r="E656" i="18"/>
  <c r="H656" i="18" s="1"/>
  <c r="I656" i="18" s="1"/>
  <c r="M656" i="18"/>
  <c r="H657" i="18"/>
  <c r="I657" i="18" s="1"/>
  <c r="F659" i="18"/>
  <c r="A660" i="18"/>
  <c r="E664" i="18"/>
  <c r="H664" i="18" s="1"/>
  <c r="I664" i="18" s="1"/>
  <c r="M664" i="18"/>
  <c r="H665" i="18"/>
  <c r="F667" i="18"/>
  <c r="A668" i="18"/>
  <c r="E672" i="18"/>
  <c r="H672" i="18" s="1"/>
  <c r="I672" i="18" s="1"/>
  <c r="M672" i="18"/>
  <c r="H673" i="18"/>
  <c r="I673" i="18" s="1"/>
  <c r="F675" i="18"/>
  <c r="A676" i="18"/>
  <c r="E680" i="18"/>
  <c r="G680" i="18" s="1"/>
  <c r="K680" i="18" s="1"/>
  <c r="M680" i="18"/>
  <c r="H681" i="18"/>
  <c r="I681" i="18" s="1"/>
  <c r="F683" i="18"/>
  <c r="A684" i="18"/>
  <c r="E688" i="18"/>
  <c r="H688" i="18" s="1"/>
  <c r="I688" i="18" s="1"/>
  <c r="M688" i="18"/>
  <c r="H689" i="18"/>
  <c r="I689" i="18" s="1"/>
  <c r="F691" i="18"/>
  <c r="A692" i="18"/>
  <c r="E696" i="18"/>
  <c r="H696" i="18" s="1"/>
  <c r="I696" i="18" s="1"/>
  <c r="M696" i="18"/>
  <c r="H697" i="18"/>
  <c r="I697" i="18" s="1"/>
  <c r="F699" i="18"/>
  <c r="A700" i="18"/>
  <c r="E704" i="18"/>
  <c r="H704" i="18" s="1"/>
  <c r="I704" i="18" s="1"/>
  <c r="M704" i="18"/>
  <c r="H705" i="18"/>
  <c r="I705" i="18" s="1"/>
  <c r="F707" i="18"/>
  <c r="A708" i="18"/>
  <c r="E712" i="18"/>
  <c r="H712" i="18" s="1"/>
  <c r="M712" i="18"/>
  <c r="F715" i="18"/>
  <c r="A716" i="18"/>
  <c r="E720" i="18"/>
  <c r="H720" i="18" s="1"/>
  <c r="I720" i="18" s="1"/>
  <c r="M720" i="18"/>
  <c r="F723" i="18"/>
  <c r="A724" i="18"/>
  <c r="E728" i="18"/>
  <c r="H728" i="18" s="1"/>
  <c r="M728" i="18"/>
  <c r="F733" i="18"/>
  <c r="D733" i="18"/>
  <c r="M733" i="18"/>
  <c r="G739" i="18"/>
  <c r="K739" i="18" s="1"/>
  <c r="F741" i="18"/>
  <c r="D741" i="18"/>
  <c r="M741" i="18"/>
  <c r="G747" i="18"/>
  <c r="K747" i="18" s="1"/>
  <c r="F749" i="18"/>
  <c r="D749" i="18"/>
  <c r="M749" i="18"/>
  <c r="G755" i="18"/>
  <c r="K755" i="18" s="1"/>
  <c r="F757" i="18"/>
  <c r="D757" i="18"/>
  <c r="M757" i="18"/>
  <c r="H764" i="18"/>
  <c r="I764" i="18" s="1"/>
  <c r="F766" i="18"/>
  <c r="C768" i="18"/>
  <c r="G768" i="18"/>
  <c r="M768" i="18"/>
  <c r="E768" i="18"/>
  <c r="H776" i="18"/>
  <c r="M782" i="18"/>
  <c r="E782" i="18"/>
  <c r="H782" i="18" s="1"/>
  <c r="A782" i="18"/>
  <c r="A786" i="18"/>
  <c r="M786" i="18"/>
  <c r="E786" i="18"/>
  <c r="G786" i="18" s="1"/>
  <c r="K786" i="18" s="1"/>
  <c r="C786" i="18"/>
  <c r="A794" i="18"/>
  <c r="F794" i="18"/>
  <c r="M794" i="18"/>
  <c r="E794" i="18"/>
  <c r="H794" i="18" s="1"/>
  <c r="C794" i="18"/>
  <c r="A826" i="18"/>
  <c r="G826" i="18"/>
  <c r="K826" i="18" s="1"/>
  <c r="F826" i="18"/>
  <c r="M826" i="18"/>
  <c r="E826" i="18"/>
  <c r="H826" i="18" s="1"/>
  <c r="I826" i="18" s="1"/>
  <c r="C826" i="18"/>
  <c r="H829" i="18"/>
  <c r="G829" i="18"/>
  <c r="K829" i="18" s="1"/>
  <c r="A858" i="18"/>
  <c r="F858" i="18"/>
  <c r="M858" i="18"/>
  <c r="E858" i="18"/>
  <c r="H858" i="18" s="1"/>
  <c r="C858" i="18"/>
  <c r="F868" i="18"/>
  <c r="M868" i="18"/>
  <c r="E868" i="18"/>
  <c r="H868" i="18" s="1"/>
  <c r="D868" i="18"/>
  <c r="C868" i="18"/>
  <c r="A868" i="18"/>
  <c r="A890" i="18"/>
  <c r="G890" i="18"/>
  <c r="K890" i="18" s="1"/>
  <c r="F890" i="18"/>
  <c r="M890" i="18"/>
  <c r="E890" i="18"/>
  <c r="H890" i="18" s="1"/>
  <c r="I890" i="18" s="1"/>
  <c r="C890" i="18"/>
  <c r="G900" i="18"/>
  <c r="K900" i="18" s="1"/>
  <c r="F900" i="18"/>
  <c r="M900" i="18"/>
  <c r="E900" i="18"/>
  <c r="H900" i="18" s="1"/>
  <c r="D900" i="18"/>
  <c r="C900" i="18"/>
  <c r="A900" i="18"/>
  <c r="A489" i="18"/>
  <c r="A497" i="18"/>
  <c r="A505" i="18"/>
  <c r="F512" i="18"/>
  <c r="A513" i="18"/>
  <c r="F520" i="18"/>
  <c r="A521" i="18"/>
  <c r="F528" i="18"/>
  <c r="A529" i="18"/>
  <c r="F536" i="18"/>
  <c r="A537" i="18"/>
  <c r="F544" i="18"/>
  <c r="A545" i="18"/>
  <c r="F552" i="18"/>
  <c r="A553" i="18"/>
  <c r="F560" i="18"/>
  <c r="A561" i="18"/>
  <c r="F568" i="18"/>
  <c r="A569" i="18"/>
  <c r="F576" i="18"/>
  <c r="A577" i="18"/>
  <c r="G579" i="18"/>
  <c r="K579" i="18" s="1"/>
  <c r="F584" i="18"/>
  <c r="A585" i="18"/>
  <c r="G587" i="18"/>
  <c r="K587" i="18" s="1"/>
  <c r="F592" i="18"/>
  <c r="A593" i="18"/>
  <c r="G595" i="18"/>
  <c r="F600" i="18"/>
  <c r="A601" i="18"/>
  <c r="G603" i="18"/>
  <c r="K603" i="18" s="1"/>
  <c r="F608" i="18"/>
  <c r="A609" i="18"/>
  <c r="G611" i="18"/>
  <c r="K611" i="18" s="1"/>
  <c r="F616" i="18"/>
  <c r="A617" i="18"/>
  <c r="G619" i="18"/>
  <c r="K619" i="18" s="1"/>
  <c r="F624" i="18"/>
  <c r="A625" i="18"/>
  <c r="G627" i="18"/>
  <c r="K627" i="18" s="1"/>
  <c r="F632" i="18"/>
  <c r="A633" i="18"/>
  <c r="G635" i="18"/>
  <c r="K635" i="18" s="1"/>
  <c r="F640" i="18"/>
  <c r="A641" i="18"/>
  <c r="G643" i="18"/>
  <c r="K643" i="18" s="1"/>
  <c r="F648" i="18"/>
  <c r="A649" i="18"/>
  <c r="G651" i="18"/>
  <c r="K651" i="18" s="1"/>
  <c r="F656" i="18"/>
  <c r="A657" i="18"/>
  <c r="G659" i="18"/>
  <c r="F664" i="18"/>
  <c r="A665" i="18"/>
  <c r="G667" i="18"/>
  <c r="K667" i="18" s="1"/>
  <c r="F672" i="18"/>
  <c r="A673" i="18"/>
  <c r="G675" i="18"/>
  <c r="K675" i="18" s="1"/>
  <c r="F680" i="18"/>
  <c r="A681" i="18"/>
  <c r="G683" i="18"/>
  <c r="K683" i="18" s="1"/>
  <c r="F688" i="18"/>
  <c r="G691" i="18"/>
  <c r="F696" i="18"/>
  <c r="G699" i="18"/>
  <c r="K699" i="18" s="1"/>
  <c r="F704" i="18"/>
  <c r="G707" i="18"/>
  <c r="K707" i="18" s="1"/>
  <c r="F712" i="18"/>
  <c r="G715" i="18"/>
  <c r="K715" i="18" s="1"/>
  <c r="F720" i="18"/>
  <c r="G723" i="18"/>
  <c r="K723" i="18" s="1"/>
  <c r="F728" i="18"/>
  <c r="A734" i="18"/>
  <c r="G734" i="18"/>
  <c r="K734" i="18" s="1"/>
  <c r="A742" i="18"/>
  <c r="G742" i="18"/>
  <c r="K742" i="18" s="1"/>
  <c r="A750" i="18"/>
  <c r="G750" i="18"/>
  <c r="K750" i="18" s="1"/>
  <c r="A758" i="18"/>
  <c r="G758" i="18"/>
  <c r="K758" i="18" s="1"/>
  <c r="H766" i="18"/>
  <c r="C782" i="18"/>
  <c r="D786" i="18"/>
  <c r="G796" i="18"/>
  <c r="K796" i="18" s="1"/>
  <c r="F796" i="18"/>
  <c r="M796" i="18"/>
  <c r="E796" i="18"/>
  <c r="D796" i="18"/>
  <c r="C796" i="18"/>
  <c r="A796" i="18"/>
  <c r="F828" i="18"/>
  <c r="M828" i="18"/>
  <c r="E828" i="18"/>
  <c r="H828" i="18" s="1"/>
  <c r="D828" i="18"/>
  <c r="C828" i="18"/>
  <c r="A828" i="18"/>
  <c r="K841" i="18"/>
  <c r="H861" i="18"/>
  <c r="G861" i="18"/>
  <c r="K861" i="18" s="1"/>
  <c r="K873" i="18"/>
  <c r="H893" i="18"/>
  <c r="I893" i="18" s="1"/>
  <c r="G893" i="18"/>
  <c r="K893" i="18" s="1"/>
  <c r="K905" i="18"/>
  <c r="F914" i="18"/>
  <c r="M914" i="18"/>
  <c r="E914" i="18"/>
  <c r="G914" i="18" s="1"/>
  <c r="K914" i="18" s="1"/>
  <c r="H914" i="18"/>
  <c r="D914" i="18"/>
  <c r="C914" i="18"/>
  <c r="A914" i="18"/>
  <c r="G512" i="18"/>
  <c r="K512" i="18" s="1"/>
  <c r="G520" i="18"/>
  <c r="K520" i="18" s="1"/>
  <c r="G528" i="18"/>
  <c r="G536" i="18"/>
  <c r="K536" i="18" s="1"/>
  <c r="G544" i="18"/>
  <c r="K544" i="18" s="1"/>
  <c r="G552" i="18"/>
  <c r="K552" i="18" s="1"/>
  <c r="G560" i="18"/>
  <c r="G568" i="18"/>
  <c r="G576" i="18"/>
  <c r="K576" i="18" s="1"/>
  <c r="H579" i="18"/>
  <c r="I579" i="18" s="1"/>
  <c r="H587" i="18"/>
  <c r="I587" i="18" s="1"/>
  <c r="G592" i="18"/>
  <c r="K592" i="18" s="1"/>
  <c r="H595" i="18"/>
  <c r="G600" i="18"/>
  <c r="K600" i="18" s="1"/>
  <c r="H603" i="18"/>
  <c r="I603" i="18" s="1"/>
  <c r="G608" i="18"/>
  <c r="H611" i="18"/>
  <c r="I611" i="18" s="1"/>
  <c r="G616" i="18"/>
  <c r="K616" i="18" s="1"/>
  <c r="H619" i="18"/>
  <c r="I619" i="18" s="1"/>
  <c r="G624" i="18"/>
  <c r="K624" i="18" s="1"/>
  <c r="H627" i="18"/>
  <c r="G632" i="18"/>
  <c r="K632" i="18" s="1"/>
  <c r="H635" i="18"/>
  <c r="I635" i="18" s="1"/>
  <c r="G640" i="18"/>
  <c r="K640" i="18" s="1"/>
  <c r="H643" i="18"/>
  <c r="I643" i="18" s="1"/>
  <c r="H651" i="18"/>
  <c r="I651" i="18" s="1"/>
  <c r="G656" i="18"/>
  <c r="K656" i="18" s="1"/>
  <c r="H659" i="18"/>
  <c r="G664" i="18"/>
  <c r="K664" i="18" s="1"/>
  <c r="H667" i="18"/>
  <c r="I667" i="18" s="1"/>
  <c r="G672" i="18"/>
  <c r="H675" i="18"/>
  <c r="I675" i="18" s="1"/>
  <c r="C676" i="18"/>
  <c r="H683" i="18"/>
  <c r="I683" i="18" s="1"/>
  <c r="C684" i="18"/>
  <c r="G688" i="18"/>
  <c r="K688" i="18" s="1"/>
  <c r="H691" i="18"/>
  <c r="I691" i="18" s="1"/>
  <c r="C692" i="18"/>
  <c r="G696" i="18"/>
  <c r="H699" i="18"/>
  <c r="I699" i="18" s="1"/>
  <c r="C700" i="18"/>
  <c r="G704" i="18"/>
  <c r="K704" i="18" s="1"/>
  <c r="H707" i="18"/>
  <c r="I707" i="18" s="1"/>
  <c r="C708" i="18"/>
  <c r="D711" i="18"/>
  <c r="H715" i="18"/>
  <c r="I715" i="18" s="1"/>
  <c r="C716" i="18"/>
  <c r="D719" i="18"/>
  <c r="G720" i="18"/>
  <c r="K720" i="18" s="1"/>
  <c r="H723" i="18"/>
  <c r="I723" i="18" s="1"/>
  <c r="C724" i="18"/>
  <c r="D727" i="18"/>
  <c r="E733" i="18"/>
  <c r="H733" i="18" s="1"/>
  <c r="C734" i="18"/>
  <c r="M734" i="18"/>
  <c r="E741" i="18"/>
  <c r="H741" i="18" s="1"/>
  <c r="C742" i="18"/>
  <c r="M742" i="18"/>
  <c r="E749" i="18"/>
  <c r="H749" i="18" s="1"/>
  <c r="C750" i="18"/>
  <c r="M750" i="18"/>
  <c r="E757" i="18"/>
  <c r="H757" i="18" s="1"/>
  <c r="C758" i="18"/>
  <c r="M758" i="18"/>
  <c r="F768" i="18"/>
  <c r="A770" i="18"/>
  <c r="M770" i="18"/>
  <c r="E770" i="18"/>
  <c r="C770" i="18"/>
  <c r="D771" i="18"/>
  <c r="H771" i="18"/>
  <c r="I771" i="18" s="1"/>
  <c r="F771" i="18"/>
  <c r="K771" i="18" s="1"/>
  <c r="G772" i="18"/>
  <c r="K772" i="18" s="1"/>
  <c r="C772" i="18"/>
  <c r="A772" i="18"/>
  <c r="D782" i="18"/>
  <c r="F786" i="18"/>
  <c r="H796" i="18"/>
  <c r="A802" i="18"/>
  <c r="H802" i="18"/>
  <c r="F802" i="18"/>
  <c r="M802" i="18"/>
  <c r="E802" i="18"/>
  <c r="G802" i="18" s="1"/>
  <c r="K802" i="18" s="1"/>
  <c r="C802" i="18"/>
  <c r="H805" i="18"/>
  <c r="I805" i="18" s="1"/>
  <c r="G805" i="18"/>
  <c r="K805" i="18" s="1"/>
  <c r="A818" i="18"/>
  <c r="G818" i="18"/>
  <c r="K818" i="18" s="1"/>
  <c r="F818" i="18"/>
  <c r="M818" i="18"/>
  <c r="E818" i="18"/>
  <c r="H818" i="18" s="1"/>
  <c r="I818" i="18" s="1"/>
  <c r="C818" i="18"/>
  <c r="H821" i="18"/>
  <c r="G821" i="18"/>
  <c r="K821" i="18" s="1"/>
  <c r="A850" i="18"/>
  <c r="G850" i="18"/>
  <c r="K850" i="18" s="1"/>
  <c r="F850" i="18"/>
  <c r="M850" i="18"/>
  <c r="E850" i="18"/>
  <c r="H850" i="18" s="1"/>
  <c r="I850" i="18" s="1"/>
  <c r="C850" i="18"/>
  <c r="F860" i="18"/>
  <c r="M860" i="18"/>
  <c r="E860" i="18"/>
  <c r="G860" i="18" s="1"/>
  <c r="K860" i="18" s="1"/>
  <c r="D860" i="18"/>
  <c r="C860" i="18"/>
  <c r="A860" i="18"/>
  <c r="A882" i="18"/>
  <c r="G882" i="18"/>
  <c r="K882" i="18" s="1"/>
  <c r="F882" i="18"/>
  <c r="M882" i="18"/>
  <c r="E882" i="18"/>
  <c r="H882" i="18" s="1"/>
  <c r="I882" i="18" s="1"/>
  <c r="C882" i="18"/>
  <c r="F892" i="18"/>
  <c r="M892" i="18"/>
  <c r="E892" i="18"/>
  <c r="G892" i="18" s="1"/>
  <c r="K892" i="18" s="1"/>
  <c r="D892" i="18"/>
  <c r="C892" i="18"/>
  <c r="A892" i="18"/>
  <c r="E423" i="18"/>
  <c r="E431" i="18"/>
  <c r="E439" i="18"/>
  <c r="E447" i="18"/>
  <c r="E455" i="18"/>
  <c r="E463" i="18"/>
  <c r="E471" i="18"/>
  <c r="E479" i="18"/>
  <c r="E487" i="18"/>
  <c r="E495" i="18"/>
  <c r="E503" i="18"/>
  <c r="E511" i="18"/>
  <c r="E519" i="18"/>
  <c r="E527" i="18"/>
  <c r="E535" i="18"/>
  <c r="E543" i="18"/>
  <c r="E551" i="18"/>
  <c r="E559" i="18"/>
  <c r="E567" i="18"/>
  <c r="E575" i="18"/>
  <c r="E583" i="18"/>
  <c r="E591" i="18"/>
  <c r="E599" i="18"/>
  <c r="E607" i="18"/>
  <c r="E615" i="18"/>
  <c r="E623" i="18"/>
  <c r="E631" i="18"/>
  <c r="E639" i="18"/>
  <c r="E647" i="18"/>
  <c r="E655" i="18"/>
  <c r="E663" i="18"/>
  <c r="E671" i="18"/>
  <c r="E679" i="18"/>
  <c r="E687" i="18"/>
  <c r="E695" i="18"/>
  <c r="E703" i="18"/>
  <c r="E711" i="18"/>
  <c r="E719" i="18"/>
  <c r="E727" i="18"/>
  <c r="F730" i="18"/>
  <c r="K730" i="18" s="1"/>
  <c r="H731" i="18"/>
  <c r="I731" i="18" s="1"/>
  <c r="G733" i="18"/>
  <c r="K733" i="18" s="1"/>
  <c r="D734" i="18"/>
  <c r="M738" i="18"/>
  <c r="E738" i="18"/>
  <c r="C738" i="18"/>
  <c r="A739" i="18"/>
  <c r="D742" i="18"/>
  <c r="M746" i="18"/>
  <c r="E746" i="18"/>
  <c r="C746" i="18"/>
  <c r="A747" i="18"/>
  <c r="G749" i="18"/>
  <c r="K749" i="18" s="1"/>
  <c r="D750" i="18"/>
  <c r="M754" i="18"/>
  <c r="E754" i="18"/>
  <c r="C754" i="18"/>
  <c r="A755" i="18"/>
  <c r="G757" i="18"/>
  <c r="K757" i="18" s="1"/>
  <c r="D758" i="18"/>
  <c r="M762" i="18"/>
  <c r="E762" i="18"/>
  <c r="C762" i="18"/>
  <c r="A763" i="18"/>
  <c r="M763" i="18"/>
  <c r="M764" i="18"/>
  <c r="G767" i="18"/>
  <c r="H768" i="18"/>
  <c r="I768" i="18" s="1"/>
  <c r="D770" i="18"/>
  <c r="C771" i="18"/>
  <c r="D772" i="18"/>
  <c r="M774" i="18"/>
  <c r="E774" i="18"/>
  <c r="H774" i="18" s="1"/>
  <c r="A774" i="18"/>
  <c r="G774" i="18"/>
  <c r="K774" i="18" s="1"/>
  <c r="H778" i="18"/>
  <c r="I778" i="18" s="1"/>
  <c r="H780" i="18"/>
  <c r="I780" i="18" s="1"/>
  <c r="F782" i="18"/>
  <c r="H783" i="18"/>
  <c r="G783" i="18"/>
  <c r="K783" i="18" s="1"/>
  <c r="F788" i="18"/>
  <c r="M788" i="18"/>
  <c r="E788" i="18"/>
  <c r="H788" i="18" s="1"/>
  <c r="C788" i="18"/>
  <c r="A788" i="18"/>
  <c r="I789" i="18"/>
  <c r="D802" i="18"/>
  <c r="F804" i="18"/>
  <c r="M804" i="18"/>
  <c r="E804" i="18"/>
  <c r="H804" i="18" s="1"/>
  <c r="D804" i="18"/>
  <c r="C804" i="18"/>
  <c r="A804" i="18"/>
  <c r="K809" i="18"/>
  <c r="D818" i="18"/>
  <c r="G820" i="18"/>
  <c r="K820" i="18" s="1"/>
  <c r="F820" i="18"/>
  <c r="M820" i="18"/>
  <c r="E820" i="18"/>
  <c r="H820" i="18" s="1"/>
  <c r="D820" i="18"/>
  <c r="C820" i="18"/>
  <c r="A820" i="18"/>
  <c r="K833" i="18"/>
  <c r="D850" i="18"/>
  <c r="H853" i="18"/>
  <c r="G853" i="18"/>
  <c r="K853" i="18" s="1"/>
  <c r="K865" i="18"/>
  <c r="D882" i="18"/>
  <c r="H885" i="18"/>
  <c r="I885" i="18" s="1"/>
  <c r="G885" i="18"/>
  <c r="K885" i="18" s="1"/>
  <c r="H892" i="18"/>
  <c r="K897" i="18"/>
  <c r="H926" i="18"/>
  <c r="I926" i="18" s="1"/>
  <c r="F965" i="18"/>
  <c r="M965" i="18"/>
  <c r="E965" i="18"/>
  <c r="G965" i="18" s="1"/>
  <c r="K965" i="18" s="1"/>
  <c r="D965" i="18"/>
  <c r="C965" i="18"/>
  <c r="A965" i="18"/>
  <c r="H965" i="18"/>
  <c r="D765" i="18"/>
  <c r="D773" i="18"/>
  <c r="D781" i="18"/>
  <c r="E784" i="18"/>
  <c r="H784" i="18" s="1"/>
  <c r="M784" i="18"/>
  <c r="F787" i="18"/>
  <c r="K787" i="18" s="1"/>
  <c r="D789" i="18"/>
  <c r="E792" i="18"/>
  <c r="H792" i="18" s="1"/>
  <c r="M792" i="18"/>
  <c r="F795" i="18"/>
  <c r="K795" i="18" s="1"/>
  <c r="D797" i="18"/>
  <c r="E800" i="18"/>
  <c r="H800" i="18" s="1"/>
  <c r="M800" i="18"/>
  <c r="F803" i="18"/>
  <c r="K803" i="18" s="1"/>
  <c r="E808" i="18"/>
  <c r="H808" i="18" s="1"/>
  <c r="M808" i="18"/>
  <c r="F811" i="18"/>
  <c r="K811" i="18" s="1"/>
  <c r="E816" i="18"/>
  <c r="H816" i="18" s="1"/>
  <c r="M816" i="18"/>
  <c r="F819" i="18"/>
  <c r="K819" i="18" s="1"/>
  <c r="E824" i="18"/>
  <c r="H824" i="18" s="1"/>
  <c r="I824" i="18" s="1"/>
  <c r="M824" i="18"/>
  <c r="F827" i="18"/>
  <c r="K827" i="18" s="1"/>
  <c r="E832" i="18"/>
  <c r="H832" i="18" s="1"/>
  <c r="M832" i="18"/>
  <c r="F835" i="18"/>
  <c r="K835" i="18" s="1"/>
  <c r="E840" i="18"/>
  <c r="H840" i="18" s="1"/>
  <c r="I840" i="18" s="1"/>
  <c r="M840" i="18"/>
  <c r="F843" i="18"/>
  <c r="K843" i="18" s="1"/>
  <c r="E848" i="18"/>
  <c r="G848" i="18" s="1"/>
  <c r="K848" i="18" s="1"/>
  <c r="M848" i="18"/>
  <c r="F851" i="18"/>
  <c r="K851" i="18" s="1"/>
  <c r="E856" i="18"/>
  <c r="M856" i="18"/>
  <c r="F859" i="18"/>
  <c r="K859" i="18" s="1"/>
  <c r="E864" i="18"/>
  <c r="H864" i="18" s="1"/>
  <c r="M864" i="18"/>
  <c r="F867" i="18"/>
  <c r="E872" i="18"/>
  <c r="H872" i="18" s="1"/>
  <c r="I872" i="18" s="1"/>
  <c r="M872" i="18"/>
  <c r="F875" i="18"/>
  <c r="K875" i="18" s="1"/>
  <c r="E880" i="18"/>
  <c r="G880" i="18" s="1"/>
  <c r="K880" i="18" s="1"/>
  <c r="M880" i="18"/>
  <c r="F883" i="18"/>
  <c r="K883" i="18" s="1"/>
  <c r="E888" i="18"/>
  <c r="H888" i="18" s="1"/>
  <c r="I888" i="18" s="1"/>
  <c r="M888" i="18"/>
  <c r="F891" i="18"/>
  <c r="K891" i="18" s="1"/>
  <c r="E896" i="18"/>
  <c r="H896" i="18" s="1"/>
  <c r="M896" i="18"/>
  <c r="F899" i="18"/>
  <c r="K899" i="18" s="1"/>
  <c r="E904" i="18"/>
  <c r="H904" i="18" s="1"/>
  <c r="I904" i="18" s="1"/>
  <c r="M904" i="18"/>
  <c r="F907" i="18"/>
  <c r="K907" i="18" s="1"/>
  <c r="G916" i="18"/>
  <c r="K916" i="18" s="1"/>
  <c r="A923" i="18"/>
  <c r="H923" i="18"/>
  <c r="I923" i="18" s="1"/>
  <c r="F923" i="18"/>
  <c r="M923" i="18"/>
  <c r="E923" i="18"/>
  <c r="G923" i="18" s="1"/>
  <c r="K923" i="18" s="1"/>
  <c r="G941" i="18"/>
  <c r="K941" i="18" s="1"/>
  <c r="F941" i="18"/>
  <c r="M941" i="18"/>
  <c r="E941" i="18"/>
  <c r="H941" i="18" s="1"/>
  <c r="D941" i="18"/>
  <c r="C941" i="18"/>
  <c r="G973" i="18"/>
  <c r="K973" i="18" s="1"/>
  <c r="F973" i="18"/>
  <c r="M973" i="18"/>
  <c r="E973" i="18"/>
  <c r="H973" i="18" s="1"/>
  <c r="D973" i="18"/>
  <c r="C973" i="18"/>
  <c r="A973" i="18"/>
  <c r="A979" i="18"/>
  <c r="G979" i="18"/>
  <c r="K979" i="18" s="1"/>
  <c r="F979" i="18"/>
  <c r="M979" i="18"/>
  <c r="E979" i="18"/>
  <c r="H979" i="18" s="1"/>
  <c r="I979" i="18" s="1"/>
  <c r="C979" i="18"/>
  <c r="H982" i="18"/>
  <c r="G982" i="18"/>
  <c r="K982" i="18" s="1"/>
  <c r="G784" i="18"/>
  <c r="K784" i="18" s="1"/>
  <c r="H787" i="18"/>
  <c r="I787" i="18" s="1"/>
  <c r="A790" i="18"/>
  <c r="G792" i="18"/>
  <c r="K792" i="18" s="1"/>
  <c r="H795" i="18"/>
  <c r="I795" i="18" s="1"/>
  <c r="A798" i="18"/>
  <c r="D799" i="18"/>
  <c r="H803" i="18"/>
  <c r="I803" i="18" s="1"/>
  <c r="A806" i="18"/>
  <c r="D807" i="18"/>
  <c r="G808" i="18"/>
  <c r="K808" i="18" s="1"/>
  <c r="H811" i="18"/>
  <c r="I811" i="18" s="1"/>
  <c r="A814" i="18"/>
  <c r="D815" i="18"/>
  <c r="H819" i="18"/>
  <c r="I819" i="18" s="1"/>
  <c r="A822" i="18"/>
  <c r="D823" i="18"/>
  <c r="G824" i="18"/>
  <c r="K824" i="18" s="1"/>
  <c r="H827" i="18"/>
  <c r="I827" i="18" s="1"/>
  <c r="A830" i="18"/>
  <c r="D831" i="18"/>
  <c r="H835" i="18"/>
  <c r="I835" i="18" s="1"/>
  <c r="A838" i="18"/>
  <c r="D839" i="18"/>
  <c r="G840" i="18"/>
  <c r="K840" i="18" s="1"/>
  <c r="H843" i="18"/>
  <c r="I843" i="18" s="1"/>
  <c r="A846" i="18"/>
  <c r="D847" i="18"/>
  <c r="H851" i="18"/>
  <c r="I851" i="18" s="1"/>
  <c r="A854" i="18"/>
  <c r="D855" i="18"/>
  <c r="G856" i="18"/>
  <c r="K856" i="18" s="1"/>
  <c r="H859" i="18"/>
  <c r="I859" i="18" s="1"/>
  <c r="A862" i="18"/>
  <c r="D863" i="18"/>
  <c r="H867" i="18"/>
  <c r="I867" i="18" s="1"/>
  <c r="A870" i="18"/>
  <c r="D871" i="18"/>
  <c r="G872" i="18"/>
  <c r="K872" i="18" s="1"/>
  <c r="H875" i="18"/>
  <c r="I875" i="18" s="1"/>
  <c r="A878" i="18"/>
  <c r="D879" i="18"/>
  <c r="H883" i="18"/>
  <c r="I883" i="18" s="1"/>
  <c r="A886" i="18"/>
  <c r="D887" i="18"/>
  <c r="G888" i="18"/>
  <c r="K888" i="18" s="1"/>
  <c r="H891" i="18"/>
  <c r="I891" i="18" s="1"/>
  <c r="A894" i="18"/>
  <c r="D895" i="18"/>
  <c r="H899" i="18"/>
  <c r="I899" i="18" s="1"/>
  <c r="A902" i="18"/>
  <c r="D903" i="18"/>
  <c r="G904" i="18"/>
  <c r="K904" i="18" s="1"/>
  <c r="H907" i="18"/>
  <c r="I907" i="18" s="1"/>
  <c r="A910" i="18"/>
  <c r="D911" i="18"/>
  <c r="A915" i="18"/>
  <c r="H915" i="18"/>
  <c r="I915" i="18" s="1"/>
  <c r="M917" i="18"/>
  <c r="L918" i="18"/>
  <c r="A931" i="18"/>
  <c r="F931" i="18"/>
  <c r="M931" i="18"/>
  <c r="E931" i="18"/>
  <c r="G931" i="18" s="1"/>
  <c r="K931" i="18" s="1"/>
  <c r="H936" i="18"/>
  <c r="I936" i="18" s="1"/>
  <c r="G936" i="18"/>
  <c r="K936" i="18" s="1"/>
  <c r="F936" i="18"/>
  <c r="M936" i="18"/>
  <c r="E936" i="18"/>
  <c r="D936" i="18"/>
  <c r="H937" i="18"/>
  <c r="G937" i="18"/>
  <c r="K937" i="18" s="1"/>
  <c r="A987" i="18"/>
  <c r="G987" i="18"/>
  <c r="K987" i="18" s="1"/>
  <c r="F987" i="18"/>
  <c r="M987" i="18"/>
  <c r="E987" i="18"/>
  <c r="H987" i="18" s="1"/>
  <c r="I987" i="18" s="1"/>
  <c r="C987" i="18"/>
  <c r="H990" i="18"/>
  <c r="I990" i="18" s="1"/>
  <c r="G990" i="18"/>
  <c r="K990" i="18" s="1"/>
  <c r="A827" i="18"/>
  <c r="A835" i="18"/>
  <c r="H856" i="18"/>
  <c r="H880" i="18"/>
  <c r="M916" i="18"/>
  <c r="M920" i="18"/>
  <c r="E920" i="18"/>
  <c r="G920" i="18" s="1"/>
  <c r="K920" i="18" s="1"/>
  <c r="D920" i="18"/>
  <c r="F944" i="18"/>
  <c r="M944" i="18"/>
  <c r="E944" i="18"/>
  <c r="H944" i="18" s="1"/>
  <c r="D944" i="18"/>
  <c r="I945" i="18"/>
  <c r="H950" i="18"/>
  <c r="G950" i="18"/>
  <c r="K950" i="18" s="1"/>
  <c r="F989" i="18"/>
  <c r="M989" i="18"/>
  <c r="E989" i="18"/>
  <c r="G989" i="18" s="1"/>
  <c r="K989" i="18" s="1"/>
  <c r="D989" i="18"/>
  <c r="C989" i="18"/>
  <c r="A989" i="18"/>
  <c r="C790" i="18"/>
  <c r="C798" i="18"/>
  <c r="C806" i="18"/>
  <c r="C814" i="18"/>
  <c r="A824" i="18"/>
  <c r="A832" i="18"/>
  <c r="A840" i="18"/>
  <c r="C846" i="18"/>
  <c r="A848" i="18"/>
  <c r="C854" i="18"/>
  <c r="A856" i="18"/>
  <c r="C862" i="18"/>
  <c r="A864" i="18"/>
  <c r="C870" i="18"/>
  <c r="A872" i="18"/>
  <c r="C878" i="18"/>
  <c r="A880" i="18"/>
  <c r="C886" i="18"/>
  <c r="A888" i="18"/>
  <c r="C894" i="18"/>
  <c r="A896" i="18"/>
  <c r="C902" i="18"/>
  <c r="A904" i="18"/>
  <c r="C910" i="18"/>
  <c r="H912" i="18"/>
  <c r="G912" i="18"/>
  <c r="K912" i="18" s="1"/>
  <c r="C920" i="18"/>
  <c r="H921" i="18"/>
  <c r="I921" i="18" s="1"/>
  <c r="G921" i="18"/>
  <c r="K921" i="18" s="1"/>
  <c r="A939" i="18"/>
  <c r="F939" i="18"/>
  <c r="M939" i="18"/>
  <c r="E939" i="18"/>
  <c r="H939" i="18" s="1"/>
  <c r="C944" i="18"/>
  <c r="A947" i="18"/>
  <c r="H947" i="18"/>
  <c r="F947" i="18"/>
  <c r="M947" i="18"/>
  <c r="E947" i="18"/>
  <c r="G947" i="18" s="1"/>
  <c r="K947" i="18" s="1"/>
  <c r="C947" i="18"/>
  <c r="H958" i="18"/>
  <c r="G958" i="18"/>
  <c r="K958" i="18" s="1"/>
  <c r="H989" i="18"/>
  <c r="A995" i="18"/>
  <c r="F995" i="18"/>
  <c r="M995" i="18"/>
  <c r="E995" i="18"/>
  <c r="H995" i="18" s="1"/>
  <c r="C995" i="18"/>
  <c r="H998" i="18"/>
  <c r="I998" i="18" s="1"/>
  <c r="G998" i="18"/>
  <c r="K998" i="18" s="1"/>
  <c r="C787" i="18"/>
  <c r="D790" i="18"/>
  <c r="G791" i="18"/>
  <c r="K791" i="18" s="1"/>
  <c r="C795" i="18"/>
  <c r="D798" i="18"/>
  <c r="C803" i="18"/>
  <c r="D806" i="18"/>
  <c r="C811" i="18"/>
  <c r="D814" i="18"/>
  <c r="C819" i="18"/>
  <c r="D916" i="18"/>
  <c r="C916" i="18"/>
  <c r="H916" i="18"/>
  <c r="I916" i="18" s="1"/>
  <c r="G917" i="18"/>
  <c r="F917" i="18"/>
  <c r="D917" i="18"/>
  <c r="C917" i="18"/>
  <c r="M928" i="18"/>
  <c r="E928" i="18"/>
  <c r="G928" i="18" s="1"/>
  <c r="K928" i="18" s="1"/>
  <c r="D928" i="18"/>
  <c r="F949" i="18"/>
  <c r="M949" i="18"/>
  <c r="E949" i="18"/>
  <c r="G949" i="18" s="1"/>
  <c r="K949" i="18" s="1"/>
  <c r="D949" i="18"/>
  <c r="C949" i="18"/>
  <c r="A949" i="18"/>
  <c r="A955" i="18"/>
  <c r="G955" i="18"/>
  <c r="K955" i="18" s="1"/>
  <c r="F955" i="18"/>
  <c r="M955" i="18"/>
  <c r="E955" i="18"/>
  <c r="H955" i="18" s="1"/>
  <c r="I955" i="18" s="1"/>
  <c r="C955" i="18"/>
  <c r="H966" i="18"/>
  <c r="I966" i="18" s="1"/>
  <c r="G966" i="18"/>
  <c r="K966" i="18" s="1"/>
  <c r="G997" i="18"/>
  <c r="K997" i="18" s="1"/>
  <c r="F997" i="18"/>
  <c r="M997" i="18"/>
  <c r="E997" i="18"/>
  <c r="D997" i="18"/>
  <c r="C997" i="18"/>
  <c r="A997" i="18"/>
  <c r="A1003" i="18"/>
  <c r="H1003" i="18"/>
  <c r="I1003" i="18" s="1"/>
  <c r="G1003" i="18"/>
  <c r="K1003" i="18" s="1"/>
  <c r="F1003" i="18"/>
  <c r="M1003" i="18"/>
  <c r="E1003" i="18"/>
  <c r="C1003" i="18"/>
  <c r="E790" i="18"/>
  <c r="H790" i="18" s="1"/>
  <c r="E798" i="18"/>
  <c r="H798" i="18" s="1"/>
  <c r="E806" i="18"/>
  <c r="H806" i="18" s="1"/>
  <c r="E814" i="18"/>
  <c r="H814" i="18" s="1"/>
  <c r="E822" i="18"/>
  <c r="H822" i="18" s="1"/>
  <c r="E830" i="18"/>
  <c r="H830" i="18" s="1"/>
  <c r="E838" i="18"/>
  <c r="H838" i="18" s="1"/>
  <c r="E846" i="18"/>
  <c r="H846" i="18" s="1"/>
  <c r="E854" i="18"/>
  <c r="H854" i="18" s="1"/>
  <c r="E862" i="18"/>
  <c r="H862" i="18" s="1"/>
  <c r="E870" i="18"/>
  <c r="H870" i="18" s="1"/>
  <c r="E878" i="18"/>
  <c r="H878" i="18" s="1"/>
  <c r="E886" i="18"/>
  <c r="H886" i="18" s="1"/>
  <c r="E894" i="18"/>
  <c r="H894" i="18" s="1"/>
  <c r="E902" i="18"/>
  <c r="H902" i="18" s="1"/>
  <c r="E910" i="18"/>
  <c r="H910" i="18" s="1"/>
  <c r="H911" i="18"/>
  <c r="I911" i="18" s="1"/>
  <c r="D912" i="18"/>
  <c r="F915" i="18"/>
  <c r="K915" i="18" s="1"/>
  <c r="E916" i="18"/>
  <c r="E917" i="18"/>
  <c r="H917" i="18" s="1"/>
  <c r="G925" i="18"/>
  <c r="F925" i="18"/>
  <c r="D925" i="18"/>
  <c r="C925" i="18"/>
  <c r="C928" i="18"/>
  <c r="H929" i="18"/>
  <c r="I929" i="18" s="1"/>
  <c r="G929" i="18"/>
  <c r="K929" i="18" s="1"/>
  <c r="H934" i="18"/>
  <c r="G934" i="18"/>
  <c r="K934" i="18" s="1"/>
  <c r="D939" i="18"/>
  <c r="H949" i="18"/>
  <c r="D955" i="18"/>
  <c r="G957" i="18"/>
  <c r="K957" i="18" s="1"/>
  <c r="F957" i="18"/>
  <c r="M957" i="18"/>
  <c r="E957" i="18"/>
  <c r="H957" i="18" s="1"/>
  <c r="D957" i="18"/>
  <c r="C957" i="18"/>
  <c r="A957" i="18"/>
  <c r="A963" i="18"/>
  <c r="H963" i="18"/>
  <c r="I963" i="18" s="1"/>
  <c r="G963" i="18"/>
  <c r="K963" i="18" s="1"/>
  <c r="F963" i="18"/>
  <c r="M963" i="18"/>
  <c r="E963" i="18"/>
  <c r="C963" i="18"/>
  <c r="H974" i="18"/>
  <c r="I974" i="18" s="1"/>
  <c r="G974" i="18"/>
  <c r="K974" i="18" s="1"/>
  <c r="H997" i="18"/>
  <c r="D1003" i="18"/>
  <c r="A919" i="18"/>
  <c r="H940" i="18"/>
  <c r="I940" i="18" s="1"/>
  <c r="G945" i="18"/>
  <c r="K945" i="18" s="1"/>
  <c r="H948" i="18"/>
  <c r="I948" i="18" s="1"/>
  <c r="D952" i="18"/>
  <c r="G953" i="18"/>
  <c r="K953" i="18" s="1"/>
  <c r="H956" i="18"/>
  <c r="I956" i="18" s="1"/>
  <c r="D960" i="18"/>
  <c r="G961" i="18"/>
  <c r="K961" i="18" s="1"/>
  <c r="H964" i="18"/>
  <c r="I964" i="18" s="1"/>
  <c r="D968" i="18"/>
  <c r="G969" i="18"/>
  <c r="K969" i="18" s="1"/>
  <c r="H972" i="18"/>
  <c r="I972" i="18" s="1"/>
  <c r="D976" i="18"/>
  <c r="G977" i="18"/>
  <c r="K977" i="18" s="1"/>
  <c r="H980" i="18"/>
  <c r="I980" i="18" s="1"/>
  <c r="D984" i="18"/>
  <c r="G985" i="18"/>
  <c r="K985" i="18" s="1"/>
  <c r="H988" i="18"/>
  <c r="I988" i="18" s="1"/>
  <c r="D992" i="18"/>
  <c r="G993" i="18"/>
  <c r="K993" i="18" s="1"/>
  <c r="H996" i="18"/>
  <c r="I996" i="18" s="1"/>
  <c r="D1000" i="18"/>
  <c r="G1001" i="18"/>
  <c r="K1001" i="18" s="1"/>
  <c r="H1004" i="18"/>
  <c r="I1004" i="18" s="1"/>
  <c r="C922" i="18"/>
  <c r="C930" i="18"/>
  <c r="C938" i="18"/>
  <c r="A940" i="18"/>
  <c r="C946" i="18"/>
  <c r="A948" i="18"/>
  <c r="E952" i="18"/>
  <c r="H952" i="18" s="1"/>
  <c r="M952" i="18"/>
  <c r="C954" i="18"/>
  <c r="A956" i="18"/>
  <c r="E960" i="18"/>
  <c r="H960" i="18" s="1"/>
  <c r="I960" i="18" s="1"/>
  <c r="M960" i="18"/>
  <c r="C962" i="18"/>
  <c r="A964" i="18"/>
  <c r="E968" i="18"/>
  <c r="H968" i="18" s="1"/>
  <c r="M968" i="18"/>
  <c r="C970" i="18"/>
  <c r="A972" i="18"/>
  <c r="E976" i="18"/>
  <c r="G976" i="18" s="1"/>
  <c r="K976" i="18" s="1"/>
  <c r="M976" i="18"/>
  <c r="C978" i="18"/>
  <c r="A980" i="18"/>
  <c r="E984" i="18"/>
  <c r="G984" i="18" s="1"/>
  <c r="K984" i="18" s="1"/>
  <c r="M984" i="18"/>
  <c r="C986" i="18"/>
  <c r="A988" i="18"/>
  <c r="E992" i="18"/>
  <c r="H992" i="18" s="1"/>
  <c r="I992" i="18" s="1"/>
  <c r="M992" i="18"/>
  <c r="C994" i="18"/>
  <c r="A996" i="18"/>
  <c r="E1000" i="18"/>
  <c r="H1000" i="18" s="1"/>
  <c r="M1000" i="18"/>
  <c r="C1002" i="18"/>
  <c r="A1004" i="18"/>
  <c r="F952" i="18"/>
  <c r="F960" i="18"/>
  <c r="F968" i="18"/>
  <c r="F976" i="18"/>
  <c r="F984" i="18"/>
  <c r="F992" i="18"/>
  <c r="F1000" i="18"/>
  <c r="D1002" i="18"/>
  <c r="D919" i="18"/>
  <c r="E922" i="18"/>
  <c r="M922" i="18"/>
  <c r="D927" i="18"/>
  <c r="E930" i="18"/>
  <c r="M930" i="18"/>
  <c r="D935" i="18"/>
  <c r="E938" i="18"/>
  <c r="M938" i="18"/>
  <c r="C940" i="18"/>
  <c r="D943" i="18"/>
  <c r="E946" i="18"/>
  <c r="M946" i="18"/>
  <c r="C948" i="18"/>
  <c r="D951" i="18"/>
  <c r="E954" i="18"/>
  <c r="M954" i="18"/>
  <c r="C956" i="18"/>
  <c r="D959" i="18"/>
  <c r="G960" i="18"/>
  <c r="K960" i="18" s="1"/>
  <c r="E962" i="18"/>
  <c r="M962" i="18"/>
  <c r="C964" i="18"/>
  <c r="D967" i="18"/>
  <c r="E970" i="18"/>
  <c r="M970" i="18"/>
  <c r="C972" i="18"/>
  <c r="D975" i="18"/>
  <c r="E978" i="18"/>
  <c r="M978" i="18"/>
  <c r="C980" i="18"/>
  <c r="D983" i="18"/>
  <c r="E986" i="18"/>
  <c r="M986" i="18"/>
  <c r="C988" i="18"/>
  <c r="D991" i="18"/>
  <c r="G992" i="18"/>
  <c r="K992" i="18" s="1"/>
  <c r="E994" i="18"/>
  <c r="M994" i="18"/>
  <c r="C996" i="18"/>
  <c r="D999" i="18"/>
  <c r="E1002" i="18"/>
  <c r="M1002" i="18"/>
  <c r="C1004" i="18"/>
  <c r="E919" i="18"/>
  <c r="E927" i="18"/>
  <c r="E935" i="18"/>
  <c r="E943" i="18"/>
  <c r="E951" i="18"/>
  <c r="E959" i="18"/>
  <c r="E967" i="18"/>
  <c r="E975" i="18"/>
  <c r="E983" i="18"/>
  <c r="E991" i="18"/>
  <c r="E999" i="18"/>
  <c r="L890" i="18" l="1"/>
  <c r="J890" i="18"/>
  <c r="L704" i="18"/>
  <c r="J704" i="18"/>
  <c r="L640" i="18"/>
  <c r="J640" i="18"/>
  <c r="L576" i="18"/>
  <c r="J576" i="18"/>
  <c r="L560" i="18"/>
  <c r="J560" i="18"/>
  <c r="L544" i="18"/>
  <c r="J544" i="18"/>
  <c r="L528" i="18"/>
  <c r="J528" i="18"/>
  <c r="L512" i="18"/>
  <c r="J512" i="18"/>
  <c r="L507" i="18"/>
  <c r="J507" i="18"/>
  <c r="L677" i="18"/>
  <c r="J677" i="18"/>
  <c r="L436" i="18"/>
  <c r="J436" i="18"/>
  <c r="L256" i="18"/>
  <c r="J256" i="18"/>
  <c r="L275" i="18"/>
  <c r="J275" i="18"/>
  <c r="L96" i="18"/>
  <c r="J96" i="18"/>
  <c r="L992" i="18"/>
  <c r="J992" i="18"/>
  <c r="J904" i="18"/>
  <c r="L904" i="18"/>
  <c r="J840" i="18"/>
  <c r="L840" i="18"/>
  <c r="L664" i="18"/>
  <c r="J664" i="18"/>
  <c r="L600" i="18"/>
  <c r="J600" i="18"/>
  <c r="L842" i="18"/>
  <c r="J842" i="18"/>
  <c r="L685" i="18"/>
  <c r="J685" i="18"/>
  <c r="L312" i="18"/>
  <c r="J312" i="18"/>
  <c r="L834" i="18"/>
  <c r="J834" i="18"/>
  <c r="L448" i="18"/>
  <c r="J448" i="18"/>
  <c r="L25" i="18"/>
  <c r="J25" i="18"/>
  <c r="J107" i="18"/>
  <c r="L107" i="18"/>
  <c r="L688" i="18"/>
  <c r="J688" i="18"/>
  <c r="L624" i="18"/>
  <c r="J624" i="18"/>
  <c r="L240" i="18"/>
  <c r="J240" i="18"/>
  <c r="L176" i="18"/>
  <c r="J176" i="18"/>
  <c r="L488" i="18"/>
  <c r="J488" i="18"/>
  <c r="L882" i="18"/>
  <c r="J882" i="18"/>
  <c r="L826" i="18"/>
  <c r="J826" i="18"/>
  <c r="L264" i="18"/>
  <c r="J264" i="18"/>
  <c r="L200" i="18"/>
  <c r="J200" i="18"/>
  <c r="L136" i="18"/>
  <c r="J136" i="18"/>
  <c r="L155" i="18"/>
  <c r="J155" i="18"/>
  <c r="L515" i="18"/>
  <c r="J515" i="18"/>
  <c r="L672" i="18"/>
  <c r="J672" i="18"/>
  <c r="L608" i="18"/>
  <c r="J608" i="18"/>
  <c r="L568" i="18"/>
  <c r="J568" i="18"/>
  <c r="L552" i="18"/>
  <c r="J552" i="18"/>
  <c r="L536" i="18"/>
  <c r="J536" i="18"/>
  <c r="L906" i="18"/>
  <c r="J906" i="18"/>
  <c r="L224" i="18"/>
  <c r="J224" i="18"/>
  <c r="L160" i="18"/>
  <c r="J160" i="18"/>
  <c r="L432" i="18"/>
  <c r="J432" i="18"/>
  <c r="L115" i="18"/>
  <c r="J115" i="18"/>
  <c r="K9" i="16"/>
  <c r="K8" i="16"/>
  <c r="K5" i="16"/>
  <c r="K10" i="16"/>
  <c r="L10" i="16" s="1"/>
  <c r="K7" i="16"/>
  <c r="N11" i="14"/>
  <c r="O11" i="14" s="1"/>
  <c r="K11" i="16"/>
  <c r="K6" i="16"/>
  <c r="L6" i="16" s="1"/>
  <c r="J872" i="18"/>
  <c r="L872" i="18"/>
  <c r="L696" i="18"/>
  <c r="J696" i="18"/>
  <c r="L632" i="18"/>
  <c r="J632" i="18"/>
  <c r="J755" i="18"/>
  <c r="L755" i="18"/>
  <c r="L424" i="18"/>
  <c r="J424" i="18"/>
  <c r="L368" i="18"/>
  <c r="J368" i="18"/>
  <c r="L352" i="18"/>
  <c r="J352" i="18"/>
  <c r="L336" i="18"/>
  <c r="J336" i="18"/>
  <c r="L320" i="18"/>
  <c r="J320" i="18"/>
  <c r="L304" i="18"/>
  <c r="J304" i="18"/>
  <c r="L248" i="18"/>
  <c r="J248" i="18"/>
  <c r="L184" i="18"/>
  <c r="J184" i="18"/>
  <c r="L563" i="18"/>
  <c r="J563" i="18"/>
  <c r="L104" i="18"/>
  <c r="J104" i="18"/>
  <c r="L147" i="18"/>
  <c r="J147" i="18"/>
  <c r="H10" i="20"/>
  <c r="L960" i="18"/>
  <c r="J960" i="18"/>
  <c r="L955" i="18"/>
  <c r="J955" i="18"/>
  <c r="L656" i="18"/>
  <c r="J656" i="18"/>
  <c r="L592" i="18"/>
  <c r="J592" i="18"/>
  <c r="L971" i="18"/>
  <c r="J971" i="18"/>
  <c r="L272" i="18"/>
  <c r="J272" i="18"/>
  <c r="L208" i="18"/>
  <c r="J208" i="18"/>
  <c r="L144" i="18"/>
  <c r="J144" i="18"/>
  <c r="L637" i="18"/>
  <c r="J637" i="18"/>
  <c r="L421" i="18"/>
  <c r="J421" i="18"/>
  <c r="N12" i="14"/>
  <c r="O12" i="14" s="1"/>
  <c r="K16" i="16"/>
  <c r="K18" i="16"/>
  <c r="L18" i="16" s="1"/>
  <c r="K12" i="16"/>
  <c r="K17" i="16"/>
  <c r="K14" i="16"/>
  <c r="L14" i="16" s="1"/>
  <c r="I9" i="20"/>
  <c r="K9" i="20" s="1"/>
  <c r="L9" i="20" s="1"/>
  <c r="K15" i="16"/>
  <c r="K13" i="16"/>
  <c r="L16" i="16"/>
  <c r="L987" i="18"/>
  <c r="J987" i="18"/>
  <c r="L979" i="18"/>
  <c r="J979" i="18"/>
  <c r="J888" i="18"/>
  <c r="L888" i="18"/>
  <c r="J824" i="18"/>
  <c r="L824" i="18"/>
  <c r="L850" i="18"/>
  <c r="J850" i="18"/>
  <c r="L818" i="18"/>
  <c r="J818" i="18"/>
  <c r="L720" i="18"/>
  <c r="J720" i="18"/>
  <c r="L616" i="18"/>
  <c r="J616" i="18"/>
  <c r="J739" i="18"/>
  <c r="L739" i="18"/>
  <c r="L981" i="18"/>
  <c r="J981" i="18"/>
  <c r="L496" i="18"/>
  <c r="J496" i="18"/>
  <c r="L669" i="18"/>
  <c r="J669" i="18"/>
  <c r="L232" i="18"/>
  <c r="J232" i="18"/>
  <c r="L168" i="18"/>
  <c r="J168" i="18"/>
  <c r="L645" i="18"/>
  <c r="J645" i="18"/>
  <c r="L464" i="18"/>
  <c r="J464" i="18"/>
  <c r="L866" i="18"/>
  <c r="J866" i="18"/>
  <c r="L613" i="18"/>
  <c r="J613" i="18"/>
  <c r="L339" i="18"/>
  <c r="J339" i="18"/>
  <c r="L267" i="18"/>
  <c r="J267" i="18"/>
  <c r="L323" i="18"/>
  <c r="J323" i="18"/>
  <c r="H986" i="18"/>
  <c r="G986" i="18"/>
  <c r="K986" i="18" s="1"/>
  <c r="J945" i="18"/>
  <c r="L945" i="18"/>
  <c r="J747" i="18"/>
  <c r="L747" i="18"/>
  <c r="L408" i="18"/>
  <c r="J408" i="18"/>
  <c r="J534" i="18"/>
  <c r="L534" i="18"/>
  <c r="I451" i="18"/>
  <c r="J137" i="18"/>
  <c r="L137" i="18"/>
  <c r="I187" i="18"/>
  <c r="L301" i="18"/>
  <c r="J301" i="18"/>
  <c r="I91" i="18"/>
  <c r="G983" i="18"/>
  <c r="K983" i="18" s="1"/>
  <c r="H983" i="18"/>
  <c r="I983" i="18" s="1"/>
  <c r="H919" i="18"/>
  <c r="G919" i="18"/>
  <c r="K919" i="18" s="1"/>
  <c r="H994" i="18"/>
  <c r="G994" i="18"/>
  <c r="K994" i="18" s="1"/>
  <c r="G968" i="18"/>
  <c r="K968" i="18" s="1"/>
  <c r="H922" i="18"/>
  <c r="I922" i="18" s="1"/>
  <c r="G922" i="18"/>
  <c r="K922" i="18" s="1"/>
  <c r="L972" i="18"/>
  <c r="J972" i="18"/>
  <c r="J963" i="18"/>
  <c r="L963" i="18"/>
  <c r="J929" i="18"/>
  <c r="L929" i="18"/>
  <c r="L1003" i="18"/>
  <c r="J1003" i="18"/>
  <c r="H928" i="18"/>
  <c r="I928" i="18" s="1"/>
  <c r="G995" i="18"/>
  <c r="K995" i="18" s="1"/>
  <c r="H920" i="18"/>
  <c r="I920" i="18" s="1"/>
  <c r="I856" i="18"/>
  <c r="J990" i="18"/>
  <c r="L990" i="18"/>
  <c r="H984" i="18"/>
  <c r="I984" i="18" s="1"/>
  <c r="L936" i="18"/>
  <c r="J936" i="18"/>
  <c r="L915" i="18"/>
  <c r="J915" i="18"/>
  <c r="L899" i="18"/>
  <c r="J899" i="18"/>
  <c r="L883" i="18"/>
  <c r="J883" i="18"/>
  <c r="L867" i="18"/>
  <c r="J867" i="18"/>
  <c r="L851" i="18"/>
  <c r="J851" i="18"/>
  <c r="L835" i="18"/>
  <c r="J835" i="18"/>
  <c r="L819" i="18"/>
  <c r="J819" i="18"/>
  <c r="L803" i="18"/>
  <c r="J803" i="18"/>
  <c r="J789" i="18"/>
  <c r="L789" i="18"/>
  <c r="I783" i="18"/>
  <c r="G741" i="18"/>
  <c r="K741" i="18" s="1"/>
  <c r="G671" i="18"/>
  <c r="K671" i="18" s="1"/>
  <c r="H671" i="18"/>
  <c r="I671" i="18" s="1"/>
  <c r="G607" i="18"/>
  <c r="K607" i="18" s="1"/>
  <c r="H607" i="18"/>
  <c r="I607" i="18" s="1"/>
  <c r="G543" i="18"/>
  <c r="K543" i="18" s="1"/>
  <c r="H543" i="18"/>
  <c r="I543" i="18" s="1"/>
  <c r="H479" i="18"/>
  <c r="G479" i="18"/>
  <c r="K479" i="18" s="1"/>
  <c r="I733" i="18"/>
  <c r="J715" i="18"/>
  <c r="L715" i="18"/>
  <c r="K696" i="18"/>
  <c r="J675" i="18"/>
  <c r="L675" i="18"/>
  <c r="J643" i="18"/>
  <c r="L643" i="18"/>
  <c r="J611" i="18"/>
  <c r="L611" i="18"/>
  <c r="J579" i="18"/>
  <c r="L579" i="18"/>
  <c r="I861" i="18"/>
  <c r="G828" i="18"/>
  <c r="K828" i="18" s="1"/>
  <c r="I900" i="18"/>
  <c r="G858" i="18"/>
  <c r="K858" i="18" s="1"/>
  <c r="G794" i="18"/>
  <c r="K794" i="18" s="1"/>
  <c r="H786" i="18"/>
  <c r="I786" i="18" s="1"/>
  <c r="J705" i="18"/>
  <c r="L705" i="18"/>
  <c r="J641" i="18"/>
  <c r="L641" i="18"/>
  <c r="J577" i="18"/>
  <c r="L577" i="18"/>
  <c r="J561" i="18"/>
  <c r="L561" i="18"/>
  <c r="J545" i="18"/>
  <c r="L545" i="18"/>
  <c r="J529" i="18"/>
  <c r="L529" i="18"/>
  <c r="J513" i="18"/>
  <c r="L513" i="18"/>
  <c r="I489" i="18"/>
  <c r="I942" i="18"/>
  <c r="L779" i="18"/>
  <c r="J779" i="18"/>
  <c r="L724" i="18"/>
  <c r="J724" i="18"/>
  <c r="L692" i="18"/>
  <c r="J692" i="18"/>
  <c r="L660" i="18"/>
  <c r="J660" i="18"/>
  <c r="L628" i="18"/>
  <c r="J628" i="18"/>
  <c r="L596" i="18"/>
  <c r="J596" i="18"/>
  <c r="L492" i="18"/>
  <c r="J492" i="18"/>
  <c r="I763" i="18"/>
  <c r="L730" i="18"/>
  <c r="I718" i="18"/>
  <c r="G693" i="18"/>
  <c r="K693" i="18" s="1"/>
  <c r="G523" i="18"/>
  <c r="K523" i="18" s="1"/>
  <c r="G351" i="18"/>
  <c r="K351" i="18" s="1"/>
  <c r="H351" i="18"/>
  <c r="G287" i="18"/>
  <c r="K287" i="18" s="1"/>
  <c r="H287" i="18"/>
  <c r="G898" i="18"/>
  <c r="K898" i="18" s="1"/>
  <c r="G533" i="18"/>
  <c r="K533" i="18" s="1"/>
  <c r="K368" i="18"/>
  <c r="H346" i="18"/>
  <c r="G346" i="18"/>
  <c r="K346" i="18" s="1"/>
  <c r="K304" i="18"/>
  <c r="G280" i="18"/>
  <c r="K280" i="18" s="1"/>
  <c r="H517" i="18"/>
  <c r="I517" i="18" s="1"/>
  <c r="I443" i="18"/>
  <c r="I254" i="18"/>
  <c r="I222" i="18"/>
  <c r="I190" i="18"/>
  <c r="I158" i="18"/>
  <c r="J118" i="18"/>
  <c r="L118" i="18"/>
  <c r="I494" i="18"/>
  <c r="H472" i="18"/>
  <c r="I472" i="18" s="1"/>
  <c r="J273" i="18"/>
  <c r="L273" i="18"/>
  <c r="J209" i="18"/>
  <c r="L209" i="18"/>
  <c r="J145" i="18"/>
  <c r="L145" i="18"/>
  <c r="I113" i="18"/>
  <c r="I565" i="18"/>
  <c r="G555" i="18"/>
  <c r="K555" i="18" s="1"/>
  <c r="J773" i="18"/>
  <c r="L773" i="18"/>
  <c r="H748" i="18"/>
  <c r="I748" i="18" s="1"/>
  <c r="G539" i="18"/>
  <c r="K539" i="18" s="1"/>
  <c r="I454" i="18"/>
  <c r="L276" i="18"/>
  <c r="J276" i="18"/>
  <c r="G251" i="18"/>
  <c r="K251" i="18" s="1"/>
  <c r="I221" i="18"/>
  <c r="J71" i="18"/>
  <c r="L71" i="18"/>
  <c r="I629" i="18"/>
  <c r="I418" i="18"/>
  <c r="J294" i="18"/>
  <c r="L294" i="18"/>
  <c r="L194" i="18"/>
  <c r="J194" i="18"/>
  <c r="I78" i="18"/>
  <c r="J52" i="18"/>
  <c r="L52" i="18"/>
  <c r="I35" i="18"/>
  <c r="K27" i="18"/>
  <c r="G5" i="18"/>
  <c r="K5" i="18" s="1"/>
  <c r="L348" i="18"/>
  <c r="J348" i="18"/>
  <c r="G315" i="18"/>
  <c r="K315" i="18" s="1"/>
  <c r="L236" i="18"/>
  <c r="J236" i="18"/>
  <c r="I205" i="18"/>
  <c r="H93" i="18"/>
  <c r="I93" i="18" s="1"/>
  <c r="G40" i="18"/>
  <c r="K40" i="18" s="1"/>
  <c r="G409" i="18"/>
  <c r="K409" i="18" s="1"/>
  <c r="H385" i="18"/>
  <c r="I385" i="18" s="1"/>
  <c r="G377" i="18"/>
  <c r="K377" i="18" s="1"/>
  <c r="G371" i="18"/>
  <c r="K371" i="18" s="1"/>
  <c r="I284" i="18"/>
  <c r="G133" i="18"/>
  <c r="K133" i="18" s="1"/>
  <c r="I99" i="18"/>
  <c r="L33" i="18"/>
  <c r="J33" i="18"/>
  <c r="I293" i="18"/>
  <c r="G189" i="18"/>
  <c r="K189" i="18" s="1"/>
  <c r="G363" i="18"/>
  <c r="K363" i="18" s="1"/>
  <c r="G331" i="18"/>
  <c r="K331" i="18" s="1"/>
  <c r="G245" i="18"/>
  <c r="K245" i="18" s="1"/>
  <c r="I211" i="18"/>
  <c r="H73" i="18"/>
  <c r="I73" i="18" s="1"/>
  <c r="L621" i="18"/>
  <c r="J621" i="18"/>
  <c r="L268" i="18"/>
  <c r="J268" i="18"/>
  <c r="G139" i="18"/>
  <c r="K139" i="18" s="1"/>
  <c r="H123" i="18"/>
  <c r="I123" i="18" s="1"/>
  <c r="G117" i="18"/>
  <c r="K117" i="18" s="1"/>
  <c r="G259" i="18"/>
  <c r="K259" i="18" s="1"/>
  <c r="G38" i="18"/>
  <c r="K38" i="18" s="1"/>
  <c r="L300" i="18"/>
  <c r="J300" i="18"/>
  <c r="G165" i="18"/>
  <c r="K165" i="18" s="1"/>
  <c r="G70" i="18"/>
  <c r="K70" i="18" s="1"/>
  <c r="S193" i="20"/>
  <c r="K193" i="20"/>
  <c r="C193" i="20"/>
  <c r="Q193" i="20"/>
  <c r="I193" i="20"/>
  <c r="A193" i="20"/>
  <c r="P193" i="20"/>
  <c r="F193" i="20"/>
  <c r="O193" i="20"/>
  <c r="E193" i="20"/>
  <c r="N193" i="20"/>
  <c r="D193" i="20"/>
  <c r="M193" i="20"/>
  <c r="L193" i="20"/>
  <c r="H193" i="20"/>
  <c r="R193" i="20"/>
  <c r="J193" i="20"/>
  <c r="G193" i="20"/>
  <c r="O141" i="20"/>
  <c r="G141" i="20"/>
  <c r="N141" i="20"/>
  <c r="F141" i="20"/>
  <c r="M141" i="20"/>
  <c r="E141" i="20"/>
  <c r="S141" i="20"/>
  <c r="K141" i="20"/>
  <c r="C141" i="20"/>
  <c r="J141" i="20"/>
  <c r="I141" i="20"/>
  <c r="H141" i="20"/>
  <c r="D141" i="20"/>
  <c r="R141" i="20"/>
  <c r="P141" i="20"/>
  <c r="Q141" i="20"/>
  <c r="L141" i="20"/>
  <c r="A141" i="20"/>
  <c r="Q87" i="20"/>
  <c r="I87" i="20"/>
  <c r="A87" i="20"/>
  <c r="P87" i="20"/>
  <c r="H87" i="20"/>
  <c r="O87" i="20"/>
  <c r="G87" i="20"/>
  <c r="N87" i="20"/>
  <c r="F87" i="20"/>
  <c r="M87" i="20"/>
  <c r="E87" i="20"/>
  <c r="S87" i="20"/>
  <c r="K87" i="20"/>
  <c r="C87" i="20"/>
  <c r="R87" i="20"/>
  <c r="L87" i="20"/>
  <c r="J87" i="20"/>
  <c r="D87" i="20"/>
  <c r="N112" i="20"/>
  <c r="F112" i="20"/>
  <c r="M112" i="20"/>
  <c r="E112" i="20"/>
  <c r="L112" i="20"/>
  <c r="D112" i="20"/>
  <c r="S112" i="20"/>
  <c r="K112" i="20"/>
  <c r="C112" i="20"/>
  <c r="R112" i="20"/>
  <c r="J112" i="20"/>
  <c r="P112" i="20"/>
  <c r="H112" i="20"/>
  <c r="A112" i="20"/>
  <c r="Q112" i="20"/>
  <c r="I112" i="20"/>
  <c r="O112" i="20"/>
  <c r="G112" i="20"/>
  <c r="R84" i="20"/>
  <c r="J84" i="20"/>
  <c r="Q84" i="20"/>
  <c r="I84" i="20"/>
  <c r="A84" i="20"/>
  <c r="P84" i="20"/>
  <c r="H84" i="20"/>
  <c r="O84" i="20"/>
  <c r="G84" i="20"/>
  <c r="N84" i="20"/>
  <c r="F84" i="20"/>
  <c r="L84" i="20"/>
  <c r="D84" i="20"/>
  <c r="M84" i="20"/>
  <c r="K84" i="20"/>
  <c r="E84" i="20"/>
  <c r="C84" i="20"/>
  <c r="S84" i="20"/>
  <c r="O101" i="20"/>
  <c r="G101" i="20"/>
  <c r="N101" i="20"/>
  <c r="F101" i="20"/>
  <c r="M101" i="20"/>
  <c r="E101" i="20"/>
  <c r="L101" i="20"/>
  <c r="D101" i="20"/>
  <c r="S101" i="20"/>
  <c r="K101" i="20"/>
  <c r="C101" i="20"/>
  <c r="Q101" i="20"/>
  <c r="I101" i="20"/>
  <c r="A101" i="20"/>
  <c r="R101" i="20"/>
  <c r="P101" i="20"/>
  <c r="J101" i="20"/>
  <c r="H101" i="20"/>
  <c r="S89" i="20"/>
  <c r="K89" i="20"/>
  <c r="C89" i="20"/>
  <c r="R89" i="20"/>
  <c r="J89" i="20"/>
  <c r="Q89" i="20"/>
  <c r="I89" i="20"/>
  <c r="A89" i="20"/>
  <c r="P89" i="20"/>
  <c r="H89" i="20"/>
  <c r="O89" i="20"/>
  <c r="G89" i="20"/>
  <c r="M89" i="20"/>
  <c r="E89" i="20"/>
  <c r="N89" i="20"/>
  <c r="L89" i="20"/>
  <c r="F89" i="20"/>
  <c r="D89" i="20"/>
  <c r="O69" i="20"/>
  <c r="G69" i="20"/>
  <c r="N69" i="20"/>
  <c r="F69" i="20"/>
  <c r="M69" i="20"/>
  <c r="E69" i="20"/>
  <c r="L69" i="20"/>
  <c r="D69" i="20"/>
  <c r="S69" i="20"/>
  <c r="K69" i="20"/>
  <c r="C69" i="20"/>
  <c r="Q69" i="20"/>
  <c r="I69" i="20"/>
  <c r="A69" i="20"/>
  <c r="J69" i="20"/>
  <c r="H69" i="20"/>
  <c r="R69" i="20"/>
  <c r="P69" i="20"/>
  <c r="O133" i="20"/>
  <c r="G133" i="20"/>
  <c r="N133" i="20"/>
  <c r="F133" i="20"/>
  <c r="M133" i="20"/>
  <c r="E133" i="20"/>
  <c r="L133" i="20"/>
  <c r="D133" i="20"/>
  <c r="S133" i="20"/>
  <c r="K133" i="20"/>
  <c r="C133" i="20"/>
  <c r="Q133" i="20"/>
  <c r="I133" i="20"/>
  <c r="A133" i="20"/>
  <c r="R133" i="20"/>
  <c r="P133" i="20"/>
  <c r="J133" i="20"/>
  <c r="H133" i="20"/>
  <c r="L161" i="20"/>
  <c r="S161" i="20"/>
  <c r="K161" i="20"/>
  <c r="C161" i="20"/>
  <c r="R161" i="20"/>
  <c r="J161" i="20"/>
  <c r="Q161" i="20"/>
  <c r="I161" i="20"/>
  <c r="A161" i="20"/>
  <c r="O161" i="20"/>
  <c r="G161" i="20"/>
  <c r="P161" i="20"/>
  <c r="N161" i="20"/>
  <c r="M161" i="20"/>
  <c r="H161" i="20"/>
  <c r="F161" i="20"/>
  <c r="D161" i="20"/>
  <c r="E161" i="20"/>
  <c r="N88" i="20"/>
  <c r="F88" i="20"/>
  <c r="M88" i="20"/>
  <c r="E88" i="20"/>
  <c r="L88" i="20"/>
  <c r="D88" i="20"/>
  <c r="S88" i="20"/>
  <c r="K88" i="20"/>
  <c r="C88" i="20"/>
  <c r="R88" i="20"/>
  <c r="J88" i="20"/>
  <c r="P88" i="20"/>
  <c r="H88" i="20"/>
  <c r="A88" i="20"/>
  <c r="Q88" i="20"/>
  <c r="I88" i="20"/>
  <c r="O88" i="20"/>
  <c r="G88" i="20"/>
  <c r="F9" i="16"/>
  <c r="H9" i="16" s="1"/>
  <c r="L9" i="16" s="1"/>
  <c r="B219" i="19"/>
  <c r="B216" i="17"/>
  <c r="Q222" i="13"/>
  <c r="I222" i="13"/>
  <c r="A222" i="13"/>
  <c r="P222" i="13"/>
  <c r="H222" i="13"/>
  <c r="O222" i="13"/>
  <c r="G222" i="13"/>
  <c r="N222" i="13"/>
  <c r="F222" i="13"/>
  <c r="M222" i="13"/>
  <c r="E222" i="13"/>
  <c r="L222" i="13"/>
  <c r="D222" i="13"/>
  <c r="K222" i="13"/>
  <c r="C222" i="13"/>
  <c r="J222" i="13"/>
  <c r="B35" i="19"/>
  <c r="B32" i="17"/>
  <c r="J38" i="13"/>
  <c r="Q38" i="13"/>
  <c r="I38" i="13"/>
  <c r="A38" i="13"/>
  <c r="P38" i="13"/>
  <c r="H38" i="13"/>
  <c r="O38" i="13"/>
  <c r="G38" i="13"/>
  <c r="N38" i="13"/>
  <c r="F38" i="13"/>
  <c r="M38" i="13"/>
  <c r="E38" i="13"/>
  <c r="L38" i="13"/>
  <c r="D38" i="13"/>
  <c r="K38" i="13"/>
  <c r="C38" i="13"/>
  <c r="B164" i="19"/>
  <c r="B161" i="17"/>
  <c r="P167" i="13"/>
  <c r="H167" i="13"/>
  <c r="O167" i="13"/>
  <c r="G167" i="13"/>
  <c r="N167" i="13"/>
  <c r="F167" i="13"/>
  <c r="M167" i="13"/>
  <c r="E167" i="13"/>
  <c r="L167" i="13"/>
  <c r="D167" i="13"/>
  <c r="K167" i="13"/>
  <c r="C167" i="13"/>
  <c r="I167" i="13"/>
  <c r="A167" i="13"/>
  <c r="Q167" i="13"/>
  <c r="J167" i="13"/>
  <c r="B26" i="19"/>
  <c r="B23" i="17"/>
  <c r="K29" i="13"/>
  <c r="C29" i="13"/>
  <c r="J29" i="13"/>
  <c r="Q29" i="13"/>
  <c r="I29" i="13"/>
  <c r="A29" i="13"/>
  <c r="P29" i="13"/>
  <c r="H29" i="13"/>
  <c r="O29" i="13"/>
  <c r="G29" i="13"/>
  <c r="N29" i="13"/>
  <c r="F29" i="13"/>
  <c r="M29" i="13"/>
  <c r="E29" i="13"/>
  <c r="L29" i="13"/>
  <c r="D29" i="13"/>
  <c r="B57" i="19"/>
  <c r="B54" i="17"/>
  <c r="L60" i="13"/>
  <c r="D60" i="13"/>
  <c r="K60" i="13"/>
  <c r="C60" i="13"/>
  <c r="J60" i="13"/>
  <c r="Q60" i="13"/>
  <c r="I60" i="13"/>
  <c r="A60" i="13"/>
  <c r="P60" i="13"/>
  <c r="H60" i="13"/>
  <c r="O60" i="13"/>
  <c r="G60" i="13"/>
  <c r="N60" i="13"/>
  <c r="F60" i="13"/>
  <c r="M60" i="13"/>
  <c r="E60" i="13"/>
  <c r="B89" i="19"/>
  <c r="B86" i="17"/>
  <c r="K92" i="13"/>
  <c r="C92" i="13"/>
  <c r="Q92" i="13"/>
  <c r="I92" i="13"/>
  <c r="A92" i="13"/>
  <c r="P92" i="13"/>
  <c r="H92" i="13"/>
  <c r="O92" i="13"/>
  <c r="G92" i="13"/>
  <c r="N92" i="13"/>
  <c r="F92" i="13"/>
  <c r="J92" i="13"/>
  <c r="E92" i="13"/>
  <c r="D92" i="13"/>
  <c r="M92" i="13"/>
  <c r="L92" i="13"/>
  <c r="S73" i="20"/>
  <c r="K73" i="20"/>
  <c r="C73" i="20"/>
  <c r="R73" i="20"/>
  <c r="J73" i="20"/>
  <c r="Q73" i="20"/>
  <c r="I73" i="20"/>
  <c r="A73" i="20"/>
  <c r="P73" i="20"/>
  <c r="H73" i="20"/>
  <c r="O73" i="20"/>
  <c r="G73" i="20"/>
  <c r="M73" i="20"/>
  <c r="E73" i="20"/>
  <c r="N73" i="20"/>
  <c r="F73" i="20"/>
  <c r="L73" i="20"/>
  <c r="D73" i="20"/>
  <c r="Q55" i="20"/>
  <c r="I55" i="20"/>
  <c r="A55" i="20"/>
  <c r="P55" i="20"/>
  <c r="H55" i="20"/>
  <c r="O55" i="20"/>
  <c r="G55" i="20"/>
  <c r="N55" i="20"/>
  <c r="F55" i="20"/>
  <c r="M55" i="20"/>
  <c r="E55" i="20"/>
  <c r="S55" i="20"/>
  <c r="K55" i="20"/>
  <c r="C55" i="20"/>
  <c r="R55" i="20"/>
  <c r="L55" i="20"/>
  <c r="J55" i="20"/>
  <c r="D55" i="20"/>
  <c r="B100" i="19"/>
  <c r="B97" i="17"/>
  <c r="P103" i="13"/>
  <c r="H103" i="13"/>
  <c r="N103" i="13"/>
  <c r="F103" i="13"/>
  <c r="M103" i="13"/>
  <c r="E103" i="13"/>
  <c r="L103" i="13"/>
  <c r="D103" i="13"/>
  <c r="K103" i="13"/>
  <c r="C103" i="13"/>
  <c r="O103" i="13"/>
  <c r="J103" i="13"/>
  <c r="I103" i="13"/>
  <c r="G103" i="13"/>
  <c r="A103" i="13"/>
  <c r="Q103" i="13"/>
  <c r="B15" i="19"/>
  <c r="B12" i="17"/>
  <c r="N18" i="13"/>
  <c r="F18" i="13"/>
  <c r="M18" i="13"/>
  <c r="E18" i="13"/>
  <c r="L18" i="13"/>
  <c r="D18" i="13"/>
  <c r="K18" i="13"/>
  <c r="C18" i="13"/>
  <c r="J18" i="13"/>
  <c r="Q18" i="13"/>
  <c r="I18" i="13"/>
  <c r="A18" i="13"/>
  <c r="P18" i="13"/>
  <c r="H18" i="13"/>
  <c r="O18" i="13"/>
  <c r="G18" i="13"/>
  <c r="B179" i="19"/>
  <c r="B176" i="17"/>
  <c r="Q182" i="13"/>
  <c r="I182" i="13"/>
  <c r="A182" i="13"/>
  <c r="P182" i="13"/>
  <c r="H182" i="13"/>
  <c r="O182" i="13"/>
  <c r="G182" i="13"/>
  <c r="N182" i="13"/>
  <c r="F182" i="13"/>
  <c r="M182" i="13"/>
  <c r="E182" i="13"/>
  <c r="L182" i="13"/>
  <c r="D182" i="13"/>
  <c r="K182" i="13"/>
  <c r="C182" i="13"/>
  <c r="J182" i="13"/>
  <c r="B30" i="19"/>
  <c r="B27" i="17"/>
  <c r="O33" i="13"/>
  <c r="G33" i="13"/>
  <c r="N33" i="13"/>
  <c r="F33" i="13"/>
  <c r="M33" i="13"/>
  <c r="E33" i="13"/>
  <c r="L33" i="13"/>
  <c r="D33" i="13"/>
  <c r="K33" i="13"/>
  <c r="C33" i="13"/>
  <c r="J33" i="13"/>
  <c r="Q33" i="13"/>
  <c r="I33" i="13"/>
  <c r="A33" i="13"/>
  <c r="P33" i="13"/>
  <c r="H33" i="13"/>
  <c r="B163" i="19"/>
  <c r="B160" i="17"/>
  <c r="Q166" i="13"/>
  <c r="I166" i="13"/>
  <c r="A166" i="13"/>
  <c r="P166" i="13"/>
  <c r="H166" i="13"/>
  <c r="O166" i="13"/>
  <c r="G166" i="13"/>
  <c r="N166" i="13"/>
  <c r="F166" i="13"/>
  <c r="M166" i="13"/>
  <c r="E166" i="13"/>
  <c r="L166" i="13"/>
  <c r="D166" i="13"/>
  <c r="K166" i="13"/>
  <c r="J166" i="13"/>
  <c r="C166" i="13"/>
  <c r="B37" i="19"/>
  <c r="B34" i="17"/>
  <c r="P40" i="13"/>
  <c r="H40" i="13"/>
  <c r="O40" i="13"/>
  <c r="G40" i="13"/>
  <c r="N40" i="13"/>
  <c r="F40" i="13"/>
  <c r="M40" i="13"/>
  <c r="E40" i="13"/>
  <c r="L40" i="13"/>
  <c r="D40" i="13"/>
  <c r="K40" i="13"/>
  <c r="C40" i="13"/>
  <c r="J40" i="13"/>
  <c r="Q40" i="13"/>
  <c r="I40" i="13"/>
  <c r="A40" i="13"/>
  <c r="B212" i="19"/>
  <c r="B209" i="17"/>
  <c r="P215" i="13"/>
  <c r="H215" i="13"/>
  <c r="O215" i="13"/>
  <c r="G215" i="13"/>
  <c r="N215" i="13"/>
  <c r="F215" i="13"/>
  <c r="M215" i="13"/>
  <c r="E215" i="13"/>
  <c r="L215" i="13"/>
  <c r="D215" i="13"/>
  <c r="K215" i="13"/>
  <c r="C215" i="13"/>
  <c r="J215" i="13"/>
  <c r="Q215" i="13"/>
  <c r="I215" i="13"/>
  <c r="A215" i="13"/>
  <c r="B276" i="19"/>
  <c r="B273" i="17"/>
  <c r="P279" i="13"/>
  <c r="H279" i="13"/>
  <c r="O279" i="13"/>
  <c r="G279" i="13"/>
  <c r="N279" i="13"/>
  <c r="F279" i="13"/>
  <c r="M279" i="13"/>
  <c r="E279" i="13"/>
  <c r="L279" i="13"/>
  <c r="D279" i="13"/>
  <c r="K279" i="13"/>
  <c r="C279" i="13"/>
  <c r="J279" i="13"/>
  <c r="Q279" i="13"/>
  <c r="I279" i="13"/>
  <c r="A279" i="13"/>
  <c r="B101" i="19"/>
  <c r="B98" i="17"/>
  <c r="O104" i="13"/>
  <c r="G104" i="13"/>
  <c r="N104" i="13"/>
  <c r="M104" i="13"/>
  <c r="E104" i="13"/>
  <c r="L104" i="13"/>
  <c r="D104" i="13"/>
  <c r="K104" i="13"/>
  <c r="C104" i="13"/>
  <c r="J104" i="13"/>
  <c r="Q104" i="13"/>
  <c r="P104" i="13"/>
  <c r="I104" i="13"/>
  <c r="H104" i="13"/>
  <c r="F104" i="13"/>
  <c r="A104" i="13"/>
  <c r="B165" i="19"/>
  <c r="B162" i="17"/>
  <c r="O168" i="13"/>
  <c r="G168" i="13"/>
  <c r="N168" i="13"/>
  <c r="F168" i="13"/>
  <c r="M168" i="13"/>
  <c r="E168" i="13"/>
  <c r="L168" i="13"/>
  <c r="D168" i="13"/>
  <c r="K168" i="13"/>
  <c r="C168" i="13"/>
  <c r="J168" i="13"/>
  <c r="Q168" i="13"/>
  <c r="P168" i="13"/>
  <c r="I168" i="13"/>
  <c r="H168" i="13"/>
  <c r="A168" i="13"/>
  <c r="B229" i="19"/>
  <c r="B226" i="17"/>
  <c r="O232" i="13"/>
  <c r="G232" i="13"/>
  <c r="N232" i="13"/>
  <c r="F232" i="13"/>
  <c r="M232" i="13"/>
  <c r="E232" i="13"/>
  <c r="L232" i="13"/>
  <c r="D232" i="13"/>
  <c r="K232" i="13"/>
  <c r="C232" i="13"/>
  <c r="J232" i="13"/>
  <c r="Q232" i="13"/>
  <c r="I232" i="13"/>
  <c r="A232" i="13"/>
  <c r="P232" i="13"/>
  <c r="H232" i="13"/>
  <c r="B293" i="19"/>
  <c r="B290" i="17"/>
  <c r="O296" i="13"/>
  <c r="G296" i="13"/>
  <c r="N296" i="13"/>
  <c r="F296" i="13"/>
  <c r="M296" i="13"/>
  <c r="E296" i="13"/>
  <c r="L296" i="13"/>
  <c r="D296" i="13"/>
  <c r="K296" i="13"/>
  <c r="C296" i="13"/>
  <c r="J296" i="13"/>
  <c r="Q296" i="13"/>
  <c r="I296" i="13"/>
  <c r="A296" i="13"/>
  <c r="P296" i="13"/>
  <c r="H296" i="13"/>
  <c r="B118" i="19"/>
  <c r="B115" i="17"/>
  <c r="N121" i="13"/>
  <c r="F121" i="13"/>
  <c r="M121" i="13"/>
  <c r="E121" i="13"/>
  <c r="L121" i="13"/>
  <c r="D121" i="13"/>
  <c r="K121" i="13"/>
  <c r="C121" i="13"/>
  <c r="J121" i="13"/>
  <c r="Q121" i="13"/>
  <c r="I121" i="13"/>
  <c r="A121" i="13"/>
  <c r="P121" i="13"/>
  <c r="O121" i="13"/>
  <c r="H121" i="13"/>
  <c r="G121" i="13"/>
  <c r="B182" i="19"/>
  <c r="B179" i="17"/>
  <c r="N185" i="13"/>
  <c r="F185" i="13"/>
  <c r="M185" i="13"/>
  <c r="E185" i="13"/>
  <c r="L185" i="13"/>
  <c r="D185" i="13"/>
  <c r="K185" i="13"/>
  <c r="C185" i="13"/>
  <c r="J185" i="13"/>
  <c r="Q185" i="13"/>
  <c r="I185" i="13"/>
  <c r="A185" i="13"/>
  <c r="P185" i="13"/>
  <c r="H185" i="13"/>
  <c r="O185" i="13"/>
  <c r="G185" i="13"/>
  <c r="B246" i="19"/>
  <c r="B243" i="17"/>
  <c r="N249" i="13"/>
  <c r="F249" i="13"/>
  <c r="M249" i="13"/>
  <c r="E249" i="13"/>
  <c r="L249" i="13"/>
  <c r="D249" i="13"/>
  <c r="K249" i="13"/>
  <c r="C249" i="13"/>
  <c r="J249" i="13"/>
  <c r="Q249" i="13"/>
  <c r="I249" i="13"/>
  <c r="A249" i="13"/>
  <c r="P249" i="13"/>
  <c r="H249" i="13"/>
  <c r="O249" i="13"/>
  <c r="G249" i="13"/>
  <c r="B71" i="19"/>
  <c r="B68" i="17"/>
  <c r="M74" i="13"/>
  <c r="E74" i="13"/>
  <c r="K74" i="13"/>
  <c r="C74" i="13"/>
  <c r="J74" i="13"/>
  <c r="Q74" i="13"/>
  <c r="I74" i="13"/>
  <c r="A74" i="13"/>
  <c r="P74" i="13"/>
  <c r="H74" i="13"/>
  <c r="O74" i="13"/>
  <c r="N74" i="13"/>
  <c r="L74" i="13"/>
  <c r="G74" i="13"/>
  <c r="F74" i="13"/>
  <c r="D74" i="13"/>
  <c r="B135" i="19"/>
  <c r="B132" i="17"/>
  <c r="M138" i="13"/>
  <c r="E138" i="13"/>
  <c r="L138" i="13"/>
  <c r="D138" i="13"/>
  <c r="K138" i="13"/>
  <c r="C138" i="13"/>
  <c r="J138" i="13"/>
  <c r="Q138" i="13"/>
  <c r="I138" i="13"/>
  <c r="A138" i="13"/>
  <c r="P138" i="13"/>
  <c r="H138" i="13"/>
  <c r="O138" i="13"/>
  <c r="N138" i="13"/>
  <c r="G138" i="13"/>
  <c r="F138" i="13"/>
  <c r="B199" i="19"/>
  <c r="B196" i="17"/>
  <c r="M202" i="13"/>
  <c r="E202" i="13"/>
  <c r="L202" i="13"/>
  <c r="D202" i="13"/>
  <c r="K202" i="13"/>
  <c r="C202" i="13"/>
  <c r="J202" i="13"/>
  <c r="Q202" i="13"/>
  <c r="I202" i="13"/>
  <c r="A202" i="13"/>
  <c r="P202" i="13"/>
  <c r="H202" i="13"/>
  <c r="O202" i="13"/>
  <c r="G202" i="13"/>
  <c r="N202" i="13"/>
  <c r="F202" i="13"/>
  <c r="B263" i="19"/>
  <c r="B260" i="17"/>
  <c r="M266" i="13"/>
  <c r="E266" i="13"/>
  <c r="L266" i="13"/>
  <c r="D266" i="13"/>
  <c r="K266" i="13"/>
  <c r="C266" i="13"/>
  <c r="J266" i="13"/>
  <c r="Q266" i="13"/>
  <c r="I266" i="13"/>
  <c r="A266" i="13"/>
  <c r="P266" i="13"/>
  <c r="H266" i="13"/>
  <c r="O266" i="13"/>
  <c r="G266" i="13"/>
  <c r="N266" i="13"/>
  <c r="F266" i="13"/>
  <c r="B80" i="19"/>
  <c r="B77" i="17"/>
  <c r="L83" i="13"/>
  <c r="D83" i="13"/>
  <c r="J83" i="13"/>
  <c r="Q83" i="13"/>
  <c r="I83" i="13"/>
  <c r="A83" i="13"/>
  <c r="P83" i="13"/>
  <c r="H83" i="13"/>
  <c r="O83" i="13"/>
  <c r="G83" i="13"/>
  <c r="M83" i="13"/>
  <c r="K83" i="13"/>
  <c r="F83" i="13"/>
  <c r="E83" i="13"/>
  <c r="C83" i="13"/>
  <c r="N83" i="13"/>
  <c r="B144" i="19"/>
  <c r="B141" i="17"/>
  <c r="L147" i="13"/>
  <c r="D147" i="13"/>
  <c r="K147" i="13"/>
  <c r="C147" i="13"/>
  <c r="J147" i="13"/>
  <c r="Q147" i="13"/>
  <c r="I147" i="13"/>
  <c r="A147" i="13"/>
  <c r="P147" i="13"/>
  <c r="H147" i="13"/>
  <c r="O147" i="13"/>
  <c r="G147" i="13"/>
  <c r="N147" i="13"/>
  <c r="M147" i="13"/>
  <c r="F147" i="13"/>
  <c r="E147" i="13"/>
  <c r="B208" i="19"/>
  <c r="B205" i="17"/>
  <c r="L211" i="13"/>
  <c r="D211" i="13"/>
  <c r="K211" i="13"/>
  <c r="C211" i="13"/>
  <c r="J211" i="13"/>
  <c r="Q211" i="13"/>
  <c r="I211" i="13"/>
  <c r="A211" i="13"/>
  <c r="P211" i="13"/>
  <c r="H211" i="13"/>
  <c r="O211" i="13"/>
  <c r="G211" i="13"/>
  <c r="N211" i="13"/>
  <c r="F211" i="13"/>
  <c r="M211" i="13"/>
  <c r="E211" i="13"/>
  <c r="B272" i="19"/>
  <c r="B269" i="17"/>
  <c r="L275" i="13"/>
  <c r="D275" i="13"/>
  <c r="K275" i="13"/>
  <c r="C275" i="13"/>
  <c r="J275" i="13"/>
  <c r="Q275" i="13"/>
  <c r="I275" i="13"/>
  <c r="A275" i="13"/>
  <c r="P275" i="13"/>
  <c r="H275" i="13"/>
  <c r="O275" i="13"/>
  <c r="G275" i="13"/>
  <c r="N275" i="13"/>
  <c r="F275" i="13"/>
  <c r="M275" i="13"/>
  <c r="E275" i="13"/>
  <c r="B129" i="19"/>
  <c r="B126" i="17"/>
  <c r="K132" i="13"/>
  <c r="C132" i="13"/>
  <c r="J132" i="13"/>
  <c r="Q132" i="13"/>
  <c r="I132" i="13"/>
  <c r="A132" i="13"/>
  <c r="P132" i="13"/>
  <c r="H132" i="13"/>
  <c r="O132" i="13"/>
  <c r="G132" i="13"/>
  <c r="N132" i="13"/>
  <c r="F132" i="13"/>
  <c r="M132" i="13"/>
  <c r="L132" i="13"/>
  <c r="E132" i="13"/>
  <c r="D132" i="13"/>
  <c r="B193" i="19"/>
  <c r="B190" i="17"/>
  <c r="K196" i="13"/>
  <c r="C196" i="13"/>
  <c r="J196" i="13"/>
  <c r="Q196" i="13"/>
  <c r="I196" i="13"/>
  <c r="A196" i="13"/>
  <c r="P196" i="13"/>
  <c r="H196" i="13"/>
  <c r="O196" i="13"/>
  <c r="G196" i="13"/>
  <c r="N196" i="13"/>
  <c r="F196" i="13"/>
  <c r="M196" i="13"/>
  <c r="E196" i="13"/>
  <c r="L196" i="13"/>
  <c r="D196" i="13"/>
  <c r="B257" i="19"/>
  <c r="B254" i="17"/>
  <c r="K260" i="13"/>
  <c r="C260" i="13"/>
  <c r="J260" i="13"/>
  <c r="Q260" i="13"/>
  <c r="I260" i="13"/>
  <c r="A260" i="13"/>
  <c r="P260" i="13"/>
  <c r="H260" i="13"/>
  <c r="O260" i="13"/>
  <c r="G260" i="13"/>
  <c r="N260" i="13"/>
  <c r="F260" i="13"/>
  <c r="M260" i="13"/>
  <c r="E260" i="13"/>
  <c r="L260" i="13"/>
  <c r="D260" i="13"/>
  <c r="B74" i="19"/>
  <c r="B71" i="17"/>
  <c r="J77" i="13"/>
  <c r="P77" i="13"/>
  <c r="H77" i="13"/>
  <c r="O77" i="13"/>
  <c r="G77" i="13"/>
  <c r="N77" i="13"/>
  <c r="F77" i="13"/>
  <c r="M77" i="13"/>
  <c r="E77" i="13"/>
  <c r="I77" i="13"/>
  <c r="D77" i="13"/>
  <c r="C77" i="13"/>
  <c r="A77" i="13"/>
  <c r="Q77" i="13"/>
  <c r="L77" i="13"/>
  <c r="K77" i="13"/>
  <c r="B138" i="19"/>
  <c r="B135" i="17"/>
  <c r="J141" i="13"/>
  <c r="Q141" i="13"/>
  <c r="I141" i="13"/>
  <c r="A141" i="13"/>
  <c r="P141" i="13"/>
  <c r="H141" i="13"/>
  <c r="O141" i="13"/>
  <c r="G141" i="13"/>
  <c r="N141" i="13"/>
  <c r="F141" i="13"/>
  <c r="M141" i="13"/>
  <c r="E141" i="13"/>
  <c r="C141" i="13"/>
  <c r="L141" i="13"/>
  <c r="K141" i="13"/>
  <c r="D141" i="13"/>
  <c r="B202" i="19"/>
  <c r="B199" i="17"/>
  <c r="J205" i="13"/>
  <c r="Q205" i="13"/>
  <c r="I205" i="13"/>
  <c r="A205" i="13"/>
  <c r="P205" i="13"/>
  <c r="H205" i="13"/>
  <c r="O205" i="13"/>
  <c r="G205" i="13"/>
  <c r="N205" i="13"/>
  <c r="F205" i="13"/>
  <c r="M205" i="13"/>
  <c r="E205" i="13"/>
  <c r="L205" i="13"/>
  <c r="D205" i="13"/>
  <c r="K205" i="13"/>
  <c r="C205" i="13"/>
  <c r="B266" i="19"/>
  <c r="B263" i="17"/>
  <c r="J269" i="13"/>
  <c r="Q269" i="13"/>
  <c r="I269" i="13"/>
  <c r="A269" i="13"/>
  <c r="P269" i="13"/>
  <c r="H269" i="13"/>
  <c r="O269" i="13"/>
  <c r="G269" i="13"/>
  <c r="N269" i="13"/>
  <c r="F269" i="13"/>
  <c r="M269" i="13"/>
  <c r="E269" i="13"/>
  <c r="L269" i="13"/>
  <c r="D269" i="13"/>
  <c r="K269" i="13"/>
  <c r="C269" i="13"/>
  <c r="B172" i="19"/>
  <c r="B169" i="17"/>
  <c r="P175" i="13"/>
  <c r="H175" i="13"/>
  <c r="O175" i="13"/>
  <c r="G175" i="13"/>
  <c r="N175" i="13"/>
  <c r="F175" i="13"/>
  <c r="M175" i="13"/>
  <c r="E175" i="13"/>
  <c r="L175" i="13"/>
  <c r="D175" i="13"/>
  <c r="K175" i="13"/>
  <c r="C175" i="13"/>
  <c r="A175" i="13"/>
  <c r="Q175" i="13"/>
  <c r="J175" i="13"/>
  <c r="I175" i="13"/>
  <c r="B36" i="19"/>
  <c r="B33" i="17"/>
  <c r="Q39" i="13"/>
  <c r="I39" i="13"/>
  <c r="A39" i="13"/>
  <c r="P39" i="13"/>
  <c r="H39" i="13"/>
  <c r="O39" i="13"/>
  <c r="G39" i="13"/>
  <c r="N39" i="13"/>
  <c r="F39" i="13"/>
  <c r="M39" i="13"/>
  <c r="E39" i="13"/>
  <c r="L39" i="13"/>
  <c r="D39" i="13"/>
  <c r="K39" i="13"/>
  <c r="C39" i="13"/>
  <c r="J39" i="13"/>
  <c r="G930" i="18"/>
  <c r="K930" i="18" s="1"/>
  <c r="H930" i="18"/>
  <c r="I930" i="18" s="1"/>
  <c r="I880" i="18"/>
  <c r="J683" i="18"/>
  <c r="L683" i="18"/>
  <c r="L480" i="18"/>
  <c r="J480" i="18"/>
  <c r="L57" i="18"/>
  <c r="J57" i="18"/>
  <c r="L164" i="18"/>
  <c r="J164" i="18"/>
  <c r="L948" i="18"/>
  <c r="J948" i="18"/>
  <c r="H848" i="18"/>
  <c r="I848" i="18" s="1"/>
  <c r="G896" i="18"/>
  <c r="K896" i="18" s="1"/>
  <c r="G864" i="18"/>
  <c r="K864" i="18" s="1"/>
  <c r="G832" i="18"/>
  <c r="K832" i="18" s="1"/>
  <c r="G816" i="18"/>
  <c r="K816" i="18" s="1"/>
  <c r="G800" i="18"/>
  <c r="K800" i="18" s="1"/>
  <c r="I808" i="18"/>
  <c r="H762" i="18"/>
  <c r="I762" i="18" s="1"/>
  <c r="G762" i="18"/>
  <c r="K762" i="18" s="1"/>
  <c r="G727" i="18"/>
  <c r="K727" i="18" s="1"/>
  <c r="H727" i="18"/>
  <c r="G663" i="18"/>
  <c r="K663" i="18" s="1"/>
  <c r="H663" i="18"/>
  <c r="G599" i="18"/>
  <c r="K599" i="18" s="1"/>
  <c r="H599" i="18"/>
  <c r="G535" i="18"/>
  <c r="K535" i="18" s="1"/>
  <c r="H535" i="18"/>
  <c r="H471" i="18"/>
  <c r="I471" i="18" s="1"/>
  <c r="G471" i="18"/>
  <c r="K471" i="18" s="1"/>
  <c r="G770" i="18"/>
  <c r="K770" i="18" s="1"/>
  <c r="H770" i="18"/>
  <c r="G728" i="18"/>
  <c r="K728" i="18" s="1"/>
  <c r="G712" i="18"/>
  <c r="K712" i="18" s="1"/>
  <c r="K672" i="18"/>
  <c r="K608" i="18"/>
  <c r="K659" i="18"/>
  <c r="K595" i="18"/>
  <c r="K768" i="18"/>
  <c r="I665" i="18"/>
  <c r="I601" i="18"/>
  <c r="J901" i="18"/>
  <c r="L901" i="18"/>
  <c r="L460" i="18"/>
  <c r="J460" i="18"/>
  <c r="I977" i="18"/>
  <c r="J877" i="18"/>
  <c r="L877" i="18"/>
  <c r="I744" i="18"/>
  <c r="J574" i="18"/>
  <c r="L574" i="18"/>
  <c r="G343" i="18"/>
  <c r="K343" i="18" s="1"/>
  <c r="H343" i="18"/>
  <c r="G427" i="18"/>
  <c r="K427" i="18" s="1"/>
  <c r="H427" i="18"/>
  <c r="L412" i="18"/>
  <c r="J412" i="18"/>
  <c r="L392" i="18"/>
  <c r="J392" i="18"/>
  <c r="L380" i="18"/>
  <c r="J380" i="18"/>
  <c r="G344" i="18"/>
  <c r="K344" i="18" s="1"/>
  <c r="H322" i="18"/>
  <c r="G322" i="18"/>
  <c r="K322" i="18" s="1"/>
  <c r="H274" i="18"/>
  <c r="G274" i="18"/>
  <c r="K274" i="18" s="1"/>
  <c r="G216" i="18"/>
  <c r="K216" i="18" s="1"/>
  <c r="G152" i="18"/>
  <c r="K152" i="18" s="1"/>
  <c r="J837" i="18"/>
  <c r="L837" i="18"/>
  <c r="I721" i="18"/>
  <c r="I509" i="18"/>
  <c r="H461" i="18"/>
  <c r="I461" i="18" s="1"/>
  <c r="J278" i="18"/>
  <c r="L278" i="18"/>
  <c r="J110" i="18"/>
  <c r="L110" i="18"/>
  <c r="K457" i="18"/>
  <c r="H411" i="18"/>
  <c r="I411" i="18" s="1"/>
  <c r="G411" i="18"/>
  <c r="K411" i="18" s="1"/>
  <c r="H391" i="18"/>
  <c r="I391" i="18" s="1"/>
  <c r="G391" i="18"/>
  <c r="K391" i="18" s="1"/>
  <c r="H379" i="18"/>
  <c r="I379" i="18" s="1"/>
  <c r="G379" i="18"/>
  <c r="K379" i="18" s="1"/>
  <c r="J233" i="18"/>
  <c r="L233" i="18"/>
  <c r="J169" i="18"/>
  <c r="L169" i="18"/>
  <c r="J89" i="18"/>
  <c r="L89" i="18"/>
  <c r="L477" i="18"/>
  <c r="J477" i="18"/>
  <c r="J638" i="18"/>
  <c r="L638" i="18"/>
  <c r="I420" i="18"/>
  <c r="J39" i="18"/>
  <c r="L39" i="18"/>
  <c r="J622" i="18"/>
  <c r="L622" i="18"/>
  <c r="L292" i="18"/>
  <c r="J292" i="18"/>
  <c r="L180" i="18"/>
  <c r="J180" i="18"/>
  <c r="L61" i="18"/>
  <c r="J61" i="18"/>
  <c r="H648" i="18"/>
  <c r="I648" i="18" s="1"/>
  <c r="G85" i="18"/>
  <c r="K85" i="18" s="1"/>
  <c r="H85" i="18"/>
  <c r="K752" i="18"/>
  <c r="L458" i="18"/>
  <c r="J458" i="18"/>
  <c r="I277" i="18"/>
  <c r="J526" i="18"/>
  <c r="L526" i="18"/>
  <c r="I181" i="18"/>
  <c r="I124" i="18"/>
  <c r="J654" i="18"/>
  <c r="L654" i="18"/>
  <c r="J614" i="18"/>
  <c r="L614" i="18"/>
  <c r="J366" i="18"/>
  <c r="L366" i="18"/>
  <c r="K488" i="18"/>
  <c r="H405" i="18"/>
  <c r="I405" i="18" s="1"/>
  <c r="H389" i="18"/>
  <c r="I389" i="18" s="1"/>
  <c r="L90" i="18"/>
  <c r="J90" i="18"/>
  <c r="H11" i="18"/>
  <c r="I11" i="18" s="1"/>
  <c r="E19" i="16"/>
  <c r="D19" i="18" s="1"/>
  <c r="D19" i="16"/>
  <c r="I740" i="18"/>
  <c r="L15" i="16"/>
  <c r="L7" i="16"/>
  <c r="N104" i="20"/>
  <c r="F104" i="20"/>
  <c r="M104" i="20"/>
  <c r="E104" i="20"/>
  <c r="L104" i="20"/>
  <c r="D104" i="20"/>
  <c r="S104" i="20"/>
  <c r="K104" i="20"/>
  <c r="C104" i="20"/>
  <c r="R104" i="20"/>
  <c r="J104" i="20"/>
  <c r="P104" i="20"/>
  <c r="H104" i="20"/>
  <c r="Q104" i="20"/>
  <c r="O104" i="20"/>
  <c r="I104" i="20"/>
  <c r="A104" i="20"/>
  <c r="G104" i="20"/>
  <c r="N160" i="20"/>
  <c r="F160" i="20"/>
  <c r="M160" i="20"/>
  <c r="E160" i="20"/>
  <c r="L160" i="20"/>
  <c r="D160" i="20"/>
  <c r="R160" i="20"/>
  <c r="J160" i="20"/>
  <c r="Q160" i="20"/>
  <c r="A160" i="20"/>
  <c r="P160" i="20"/>
  <c r="O160" i="20"/>
  <c r="K160" i="20"/>
  <c r="I160" i="20"/>
  <c r="G160" i="20"/>
  <c r="S160" i="20"/>
  <c r="H160" i="20"/>
  <c r="C160" i="20"/>
  <c r="R92" i="20"/>
  <c r="J92" i="20"/>
  <c r="M92" i="20"/>
  <c r="D92" i="20"/>
  <c r="L92" i="20"/>
  <c r="C92" i="20"/>
  <c r="K92" i="20"/>
  <c r="A92" i="20"/>
  <c r="S92" i="20"/>
  <c r="I92" i="20"/>
  <c r="Q92" i="20"/>
  <c r="H92" i="20"/>
  <c r="O92" i="20"/>
  <c r="F92" i="20"/>
  <c r="P92" i="20"/>
  <c r="N92" i="20"/>
  <c r="G92" i="20"/>
  <c r="E92" i="20"/>
  <c r="N120" i="20"/>
  <c r="F120" i="20"/>
  <c r="M120" i="20"/>
  <c r="E120" i="20"/>
  <c r="L120" i="20"/>
  <c r="D120" i="20"/>
  <c r="S120" i="20"/>
  <c r="K120" i="20"/>
  <c r="C120" i="20"/>
  <c r="R120" i="20"/>
  <c r="J120" i="20"/>
  <c r="P120" i="20"/>
  <c r="H120" i="20"/>
  <c r="I120" i="20"/>
  <c r="G120" i="20"/>
  <c r="A120" i="20"/>
  <c r="Q120" i="20"/>
  <c r="O120" i="20"/>
  <c r="I13" i="16"/>
  <c r="J13" i="16" s="1"/>
  <c r="H13" i="16"/>
  <c r="B155" i="19"/>
  <c r="B152" i="17"/>
  <c r="Q158" i="13"/>
  <c r="I158" i="13"/>
  <c r="A158" i="13"/>
  <c r="P158" i="13"/>
  <c r="H158" i="13"/>
  <c r="O158" i="13"/>
  <c r="G158" i="13"/>
  <c r="N158" i="13"/>
  <c r="F158" i="13"/>
  <c r="M158" i="13"/>
  <c r="E158" i="13"/>
  <c r="L158" i="13"/>
  <c r="D158" i="13"/>
  <c r="K158" i="13"/>
  <c r="J158" i="13"/>
  <c r="C158" i="13"/>
  <c r="B27" i="19"/>
  <c r="B24" i="17"/>
  <c r="J30" i="13"/>
  <c r="Q30" i="13"/>
  <c r="I30" i="13"/>
  <c r="A30" i="13"/>
  <c r="P30" i="13"/>
  <c r="H30" i="13"/>
  <c r="O30" i="13"/>
  <c r="G30" i="13"/>
  <c r="N30" i="13"/>
  <c r="F30" i="13"/>
  <c r="M30" i="13"/>
  <c r="E30" i="13"/>
  <c r="L30" i="13"/>
  <c r="D30" i="13"/>
  <c r="K30" i="13"/>
  <c r="C30" i="13"/>
  <c r="B132" i="19"/>
  <c r="B129" i="17"/>
  <c r="P135" i="13"/>
  <c r="H135" i="13"/>
  <c r="O135" i="13"/>
  <c r="G135" i="13"/>
  <c r="N135" i="13"/>
  <c r="F135" i="13"/>
  <c r="M135" i="13"/>
  <c r="E135" i="13"/>
  <c r="L135" i="13"/>
  <c r="D135" i="13"/>
  <c r="K135" i="13"/>
  <c r="C135" i="13"/>
  <c r="I135" i="13"/>
  <c r="A135" i="13"/>
  <c r="Q135" i="13"/>
  <c r="J135" i="13"/>
  <c r="B18" i="19"/>
  <c r="B15" i="17"/>
  <c r="K21" i="13"/>
  <c r="C21" i="13"/>
  <c r="J21" i="13"/>
  <c r="Q21" i="13"/>
  <c r="I21" i="13"/>
  <c r="A21" i="13"/>
  <c r="P21" i="13"/>
  <c r="H21" i="13"/>
  <c r="O21" i="13"/>
  <c r="G21" i="13"/>
  <c r="N21" i="13"/>
  <c r="F21" i="13"/>
  <c r="M21" i="13"/>
  <c r="E21" i="13"/>
  <c r="L21" i="13"/>
  <c r="D21" i="13"/>
  <c r="B49" i="19"/>
  <c r="B46" i="17"/>
  <c r="L52" i="13"/>
  <c r="D52" i="13"/>
  <c r="K52" i="13"/>
  <c r="C52" i="13"/>
  <c r="J52" i="13"/>
  <c r="Q52" i="13"/>
  <c r="I52" i="13"/>
  <c r="A52" i="13"/>
  <c r="P52" i="13"/>
  <c r="H52" i="13"/>
  <c r="O52" i="13"/>
  <c r="G52" i="13"/>
  <c r="N52" i="13"/>
  <c r="F52" i="13"/>
  <c r="M52" i="13"/>
  <c r="E52" i="13"/>
  <c r="B56" i="19"/>
  <c r="B53" i="17"/>
  <c r="M59" i="13"/>
  <c r="E59" i="13"/>
  <c r="L59" i="13"/>
  <c r="D59" i="13"/>
  <c r="K59" i="13"/>
  <c r="C59" i="13"/>
  <c r="J59" i="13"/>
  <c r="Q59" i="13"/>
  <c r="I59" i="13"/>
  <c r="A59" i="13"/>
  <c r="P59" i="13"/>
  <c r="H59" i="13"/>
  <c r="O59" i="13"/>
  <c r="G59" i="13"/>
  <c r="N59" i="13"/>
  <c r="F59" i="13"/>
  <c r="R15" i="20"/>
  <c r="J15" i="20"/>
  <c r="Q15" i="20"/>
  <c r="I15" i="20"/>
  <c r="A15" i="20"/>
  <c r="P15" i="20"/>
  <c r="H15" i="20"/>
  <c r="O15" i="20"/>
  <c r="G15" i="20"/>
  <c r="N15" i="20"/>
  <c r="F15" i="20"/>
  <c r="L15" i="20"/>
  <c r="D15" i="20"/>
  <c r="E15" i="20"/>
  <c r="C15" i="20"/>
  <c r="M15" i="20"/>
  <c r="S15" i="20"/>
  <c r="K15" i="20"/>
  <c r="B75" i="19"/>
  <c r="B72" i="17"/>
  <c r="Q78" i="13"/>
  <c r="I78" i="13"/>
  <c r="A78" i="13"/>
  <c r="O78" i="13"/>
  <c r="G78" i="13"/>
  <c r="N78" i="13"/>
  <c r="F78" i="13"/>
  <c r="M78" i="13"/>
  <c r="E78" i="13"/>
  <c r="L78" i="13"/>
  <c r="D78" i="13"/>
  <c r="K78" i="13"/>
  <c r="J78" i="13"/>
  <c r="H78" i="13"/>
  <c r="C78" i="13"/>
  <c r="P78" i="13"/>
  <c r="B148" i="19"/>
  <c r="B145" i="17"/>
  <c r="P151" i="13"/>
  <c r="H151" i="13"/>
  <c r="O151" i="13"/>
  <c r="G151" i="13"/>
  <c r="N151" i="13"/>
  <c r="F151" i="13"/>
  <c r="M151" i="13"/>
  <c r="E151" i="13"/>
  <c r="L151" i="13"/>
  <c r="D151" i="13"/>
  <c r="K151" i="13"/>
  <c r="C151" i="13"/>
  <c r="Q151" i="13"/>
  <c r="J151" i="13"/>
  <c r="I151" i="13"/>
  <c r="A151" i="13"/>
  <c r="B22" i="19"/>
  <c r="B19" i="17"/>
  <c r="O25" i="13"/>
  <c r="G25" i="13"/>
  <c r="N25" i="13"/>
  <c r="F25" i="13"/>
  <c r="M25" i="13"/>
  <c r="E25" i="13"/>
  <c r="L25" i="13"/>
  <c r="D25" i="13"/>
  <c r="K25" i="13"/>
  <c r="C25" i="13"/>
  <c r="J25" i="13"/>
  <c r="Q25" i="13"/>
  <c r="I25" i="13"/>
  <c r="A25" i="13"/>
  <c r="P25" i="13"/>
  <c r="H25" i="13"/>
  <c r="B131" i="19"/>
  <c r="B128" i="17"/>
  <c r="Q134" i="13"/>
  <c r="I134" i="13"/>
  <c r="A134" i="13"/>
  <c r="P134" i="13"/>
  <c r="H134" i="13"/>
  <c r="O134" i="13"/>
  <c r="G134" i="13"/>
  <c r="N134" i="13"/>
  <c r="F134" i="13"/>
  <c r="M134" i="13"/>
  <c r="E134" i="13"/>
  <c r="L134" i="13"/>
  <c r="D134" i="13"/>
  <c r="K134" i="13"/>
  <c r="J134" i="13"/>
  <c r="C134" i="13"/>
  <c r="B29" i="19"/>
  <c r="B26" i="17"/>
  <c r="P32" i="13"/>
  <c r="H32" i="13"/>
  <c r="O32" i="13"/>
  <c r="G32" i="13"/>
  <c r="N32" i="13"/>
  <c r="F32" i="13"/>
  <c r="M32" i="13"/>
  <c r="E32" i="13"/>
  <c r="L32" i="13"/>
  <c r="D32" i="13"/>
  <c r="K32" i="13"/>
  <c r="C32" i="13"/>
  <c r="J32" i="13"/>
  <c r="Q32" i="13"/>
  <c r="I32" i="13"/>
  <c r="A32" i="13"/>
  <c r="B220" i="19"/>
  <c r="B217" i="17"/>
  <c r="P223" i="13"/>
  <c r="H223" i="13"/>
  <c r="O223" i="13"/>
  <c r="G223" i="13"/>
  <c r="N223" i="13"/>
  <c r="F223" i="13"/>
  <c r="M223" i="13"/>
  <c r="E223" i="13"/>
  <c r="L223" i="13"/>
  <c r="D223" i="13"/>
  <c r="K223" i="13"/>
  <c r="C223" i="13"/>
  <c r="J223" i="13"/>
  <c r="Q223" i="13"/>
  <c r="I223" i="13"/>
  <c r="A223" i="13"/>
  <c r="B284" i="19"/>
  <c r="B281" i="17"/>
  <c r="P287" i="13"/>
  <c r="H287" i="13"/>
  <c r="O287" i="13"/>
  <c r="G287" i="13"/>
  <c r="N287" i="13"/>
  <c r="F287" i="13"/>
  <c r="M287" i="13"/>
  <c r="E287" i="13"/>
  <c r="L287" i="13"/>
  <c r="D287" i="13"/>
  <c r="K287" i="13"/>
  <c r="C287" i="13"/>
  <c r="J287" i="13"/>
  <c r="Q287" i="13"/>
  <c r="I287" i="13"/>
  <c r="A287" i="13"/>
  <c r="B109" i="19"/>
  <c r="B106" i="17"/>
  <c r="O112" i="13"/>
  <c r="G112" i="13"/>
  <c r="N112" i="13"/>
  <c r="F112" i="13"/>
  <c r="M112" i="13"/>
  <c r="E112" i="13"/>
  <c r="L112" i="13"/>
  <c r="D112" i="13"/>
  <c r="K112" i="13"/>
  <c r="C112" i="13"/>
  <c r="J112" i="13"/>
  <c r="P112" i="13"/>
  <c r="I112" i="13"/>
  <c r="H112" i="13"/>
  <c r="A112" i="13"/>
  <c r="Q112" i="13"/>
  <c r="B173" i="19"/>
  <c r="B170" i="17"/>
  <c r="O176" i="13"/>
  <c r="G176" i="13"/>
  <c r="N176" i="13"/>
  <c r="F176" i="13"/>
  <c r="M176" i="13"/>
  <c r="E176" i="13"/>
  <c r="L176" i="13"/>
  <c r="D176" i="13"/>
  <c r="K176" i="13"/>
  <c r="C176" i="13"/>
  <c r="J176" i="13"/>
  <c r="Q176" i="13"/>
  <c r="P176" i="13"/>
  <c r="I176" i="13"/>
  <c r="H176" i="13"/>
  <c r="A176" i="13"/>
  <c r="B237" i="19"/>
  <c r="B234" i="17"/>
  <c r="O240" i="13"/>
  <c r="G240" i="13"/>
  <c r="N240" i="13"/>
  <c r="F240" i="13"/>
  <c r="M240" i="13"/>
  <c r="E240" i="13"/>
  <c r="L240" i="13"/>
  <c r="D240" i="13"/>
  <c r="K240" i="13"/>
  <c r="C240" i="13"/>
  <c r="J240" i="13"/>
  <c r="Q240" i="13"/>
  <c r="I240" i="13"/>
  <c r="A240" i="13"/>
  <c r="P240" i="13"/>
  <c r="H240" i="13"/>
  <c r="B301" i="19"/>
  <c r="B298" i="17"/>
  <c r="O304" i="13"/>
  <c r="G304" i="13"/>
  <c r="N304" i="13"/>
  <c r="F304" i="13"/>
  <c r="M304" i="13"/>
  <c r="E304" i="13"/>
  <c r="L304" i="13"/>
  <c r="D304" i="13"/>
  <c r="K304" i="13"/>
  <c r="C304" i="13"/>
  <c r="J304" i="13"/>
  <c r="Q304" i="13"/>
  <c r="I304" i="13"/>
  <c r="A304" i="13"/>
  <c r="P304" i="13"/>
  <c r="H304" i="13"/>
  <c r="B126" i="19"/>
  <c r="B123" i="17"/>
  <c r="N129" i="13"/>
  <c r="F129" i="13"/>
  <c r="M129" i="13"/>
  <c r="E129" i="13"/>
  <c r="L129" i="13"/>
  <c r="D129" i="13"/>
  <c r="K129" i="13"/>
  <c r="C129" i="13"/>
  <c r="J129" i="13"/>
  <c r="Q129" i="13"/>
  <c r="I129" i="13"/>
  <c r="A129" i="13"/>
  <c r="O129" i="13"/>
  <c r="H129" i="13"/>
  <c r="G129" i="13"/>
  <c r="P129" i="13"/>
  <c r="B190" i="19"/>
  <c r="B187" i="17"/>
  <c r="N193" i="13"/>
  <c r="F193" i="13"/>
  <c r="M193" i="13"/>
  <c r="E193" i="13"/>
  <c r="L193" i="13"/>
  <c r="D193" i="13"/>
  <c r="K193" i="13"/>
  <c r="C193" i="13"/>
  <c r="J193" i="13"/>
  <c r="Q193" i="13"/>
  <c r="I193" i="13"/>
  <c r="A193" i="13"/>
  <c r="P193" i="13"/>
  <c r="H193" i="13"/>
  <c r="O193" i="13"/>
  <c r="G193" i="13"/>
  <c r="B254" i="19"/>
  <c r="B251" i="17"/>
  <c r="N257" i="13"/>
  <c r="F257" i="13"/>
  <c r="M257" i="13"/>
  <c r="E257" i="13"/>
  <c r="L257" i="13"/>
  <c r="D257" i="13"/>
  <c r="K257" i="13"/>
  <c r="C257" i="13"/>
  <c r="J257" i="13"/>
  <c r="Q257" i="13"/>
  <c r="I257" i="13"/>
  <c r="A257" i="13"/>
  <c r="P257" i="13"/>
  <c r="H257" i="13"/>
  <c r="O257" i="13"/>
  <c r="G257" i="13"/>
  <c r="B79" i="19"/>
  <c r="B76" i="17"/>
  <c r="M82" i="13"/>
  <c r="E82" i="13"/>
  <c r="K82" i="13"/>
  <c r="C82" i="13"/>
  <c r="J82" i="13"/>
  <c r="Q82" i="13"/>
  <c r="I82" i="13"/>
  <c r="A82" i="13"/>
  <c r="P82" i="13"/>
  <c r="H82" i="13"/>
  <c r="G82" i="13"/>
  <c r="F82" i="13"/>
  <c r="D82" i="13"/>
  <c r="O82" i="13"/>
  <c r="N82" i="13"/>
  <c r="L82" i="13"/>
  <c r="B143" i="19"/>
  <c r="B140" i="17"/>
  <c r="M146" i="13"/>
  <c r="E146" i="13"/>
  <c r="L146" i="13"/>
  <c r="D146" i="13"/>
  <c r="K146" i="13"/>
  <c r="C146" i="13"/>
  <c r="J146" i="13"/>
  <c r="Q146" i="13"/>
  <c r="I146" i="13"/>
  <c r="A146" i="13"/>
  <c r="P146" i="13"/>
  <c r="H146" i="13"/>
  <c r="N146" i="13"/>
  <c r="G146" i="13"/>
  <c r="F146" i="13"/>
  <c r="O146" i="13"/>
  <c r="B207" i="19"/>
  <c r="B204" i="17"/>
  <c r="M210" i="13"/>
  <c r="E210" i="13"/>
  <c r="L210" i="13"/>
  <c r="D210" i="13"/>
  <c r="K210" i="13"/>
  <c r="C210" i="13"/>
  <c r="J210" i="13"/>
  <c r="Q210" i="13"/>
  <c r="I210" i="13"/>
  <c r="A210" i="13"/>
  <c r="P210" i="13"/>
  <c r="H210" i="13"/>
  <c r="O210" i="13"/>
  <c r="G210" i="13"/>
  <c r="N210" i="13"/>
  <c r="F210" i="13"/>
  <c r="B271" i="19"/>
  <c r="B268" i="17"/>
  <c r="M274" i="13"/>
  <c r="E274" i="13"/>
  <c r="L274" i="13"/>
  <c r="D274" i="13"/>
  <c r="K274" i="13"/>
  <c r="C274" i="13"/>
  <c r="J274" i="13"/>
  <c r="Q274" i="13"/>
  <c r="I274" i="13"/>
  <c r="A274" i="13"/>
  <c r="P274" i="13"/>
  <c r="H274" i="13"/>
  <c r="O274" i="13"/>
  <c r="G274" i="13"/>
  <c r="N274" i="13"/>
  <c r="F274" i="13"/>
  <c r="B88" i="19"/>
  <c r="B85" i="17"/>
  <c r="L91" i="13"/>
  <c r="D91" i="13"/>
  <c r="J91" i="13"/>
  <c r="Q91" i="13"/>
  <c r="I91" i="13"/>
  <c r="A91" i="13"/>
  <c r="P91" i="13"/>
  <c r="H91" i="13"/>
  <c r="O91" i="13"/>
  <c r="G91" i="13"/>
  <c r="E91" i="13"/>
  <c r="C91" i="13"/>
  <c r="N91" i="13"/>
  <c r="M91" i="13"/>
  <c r="K91" i="13"/>
  <c r="F91" i="13"/>
  <c r="B152" i="19"/>
  <c r="B149" i="17"/>
  <c r="L155" i="13"/>
  <c r="D155" i="13"/>
  <c r="K155" i="13"/>
  <c r="C155" i="13"/>
  <c r="J155" i="13"/>
  <c r="Q155" i="13"/>
  <c r="I155" i="13"/>
  <c r="A155" i="13"/>
  <c r="P155" i="13"/>
  <c r="H155" i="13"/>
  <c r="O155" i="13"/>
  <c r="G155" i="13"/>
  <c r="N155" i="13"/>
  <c r="M155" i="13"/>
  <c r="F155" i="13"/>
  <c r="E155" i="13"/>
  <c r="B216" i="19"/>
  <c r="B213" i="17"/>
  <c r="L219" i="13"/>
  <c r="D219" i="13"/>
  <c r="K219" i="13"/>
  <c r="C219" i="13"/>
  <c r="J219" i="13"/>
  <c r="Q219" i="13"/>
  <c r="I219" i="13"/>
  <c r="A219" i="13"/>
  <c r="P219" i="13"/>
  <c r="H219" i="13"/>
  <c r="O219" i="13"/>
  <c r="G219" i="13"/>
  <c r="N219" i="13"/>
  <c r="F219" i="13"/>
  <c r="M219" i="13"/>
  <c r="E219" i="13"/>
  <c r="B280" i="19"/>
  <c r="B277" i="17"/>
  <c r="L283" i="13"/>
  <c r="D283" i="13"/>
  <c r="K283" i="13"/>
  <c r="C283" i="13"/>
  <c r="J283" i="13"/>
  <c r="Q283" i="13"/>
  <c r="I283" i="13"/>
  <c r="A283" i="13"/>
  <c r="P283" i="13"/>
  <c r="H283" i="13"/>
  <c r="O283" i="13"/>
  <c r="G283" i="13"/>
  <c r="N283" i="13"/>
  <c r="F283" i="13"/>
  <c r="M283" i="13"/>
  <c r="E283" i="13"/>
  <c r="B137" i="19"/>
  <c r="B134" i="17"/>
  <c r="K140" i="13"/>
  <c r="C140" i="13"/>
  <c r="J140" i="13"/>
  <c r="Q140" i="13"/>
  <c r="I140" i="13"/>
  <c r="A140" i="13"/>
  <c r="P140" i="13"/>
  <c r="H140" i="13"/>
  <c r="O140" i="13"/>
  <c r="G140" i="13"/>
  <c r="N140" i="13"/>
  <c r="F140" i="13"/>
  <c r="M140" i="13"/>
  <c r="L140" i="13"/>
  <c r="E140" i="13"/>
  <c r="D140" i="13"/>
  <c r="B201" i="19"/>
  <c r="B198" i="17"/>
  <c r="K204" i="13"/>
  <c r="C204" i="13"/>
  <c r="J204" i="13"/>
  <c r="Q204" i="13"/>
  <c r="I204" i="13"/>
  <c r="A204" i="13"/>
  <c r="P204" i="13"/>
  <c r="H204" i="13"/>
  <c r="O204" i="13"/>
  <c r="G204" i="13"/>
  <c r="N204" i="13"/>
  <c r="F204" i="13"/>
  <c r="M204" i="13"/>
  <c r="E204" i="13"/>
  <c r="L204" i="13"/>
  <c r="D204" i="13"/>
  <c r="B265" i="19"/>
  <c r="B262" i="17"/>
  <c r="K268" i="13"/>
  <c r="C268" i="13"/>
  <c r="J268" i="13"/>
  <c r="Q268" i="13"/>
  <c r="I268" i="13"/>
  <c r="A268" i="13"/>
  <c r="P268" i="13"/>
  <c r="H268" i="13"/>
  <c r="O268" i="13"/>
  <c r="G268" i="13"/>
  <c r="N268" i="13"/>
  <c r="F268" i="13"/>
  <c r="M268" i="13"/>
  <c r="E268" i="13"/>
  <c r="L268" i="13"/>
  <c r="D268" i="13"/>
  <c r="B82" i="19"/>
  <c r="B79" i="17"/>
  <c r="J85" i="13"/>
  <c r="P85" i="13"/>
  <c r="H85" i="13"/>
  <c r="O85" i="13"/>
  <c r="G85" i="13"/>
  <c r="N85" i="13"/>
  <c r="F85" i="13"/>
  <c r="M85" i="13"/>
  <c r="E85" i="13"/>
  <c r="A85" i="13"/>
  <c r="Q85" i="13"/>
  <c r="L85" i="13"/>
  <c r="K85" i="13"/>
  <c r="I85" i="13"/>
  <c r="D85" i="13"/>
  <c r="C85" i="13"/>
  <c r="B146" i="19"/>
  <c r="B143" i="17"/>
  <c r="J149" i="13"/>
  <c r="Q149" i="13"/>
  <c r="I149" i="13"/>
  <c r="A149" i="13"/>
  <c r="P149" i="13"/>
  <c r="H149" i="13"/>
  <c r="O149" i="13"/>
  <c r="G149" i="13"/>
  <c r="N149" i="13"/>
  <c r="F149" i="13"/>
  <c r="M149" i="13"/>
  <c r="E149" i="13"/>
  <c r="L149" i="13"/>
  <c r="K149" i="13"/>
  <c r="D149" i="13"/>
  <c r="C149" i="13"/>
  <c r="B210" i="19"/>
  <c r="B207" i="17"/>
  <c r="J213" i="13"/>
  <c r="Q213" i="13"/>
  <c r="I213" i="13"/>
  <c r="A213" i="13"/>
  <c r="P213" i="13"/>
  <c r="H213" i="13"/>
  <c r="O213" i="13"/>
  <c r="G213" i="13"/>
  <c r="N213" i="13"/>
  <c r="F213" i="13"/>
  <c r="M213" i="13"/>
  <c r="E213" i="13"/>
  <c r="L213" i="13"/>
  <c r="D213" i="13"/>
  <c r="K213" i="13"/>
  <c r="C213" i="13"/>
  <c r="B274" i="19"/>
  <c r="B271" i="17"/>
  <c r="J277" i="13"/>
  <c r="Q277" i="13"/>
  <c r="I277" i="13"/>
  <c r="A277" i="13"/>
  <c r="P277" i="13"/>
  <c r="H277" i="13"/>
  <c r="O277" i="13"/>
  <c r="G277" i="13"/>
  <c r="N277" i="13"/>
  <c r="F277" i="13"/>
  <c r="M277" i="13"/>
  <c r="E277" i="13"/>
  <c r="L277" i="13"/>
  <c r="D277" i="13"/>
  <c r="K277" i="13"/>
  <c r="C277" i="13"/>
  <c r="B140" i="19"/>
  <c r="B137" i="17"/>
  <c r="P143" i="13"/>
  <c r="H143" i="13"/>
  <c r="O143" i="13"/>
  <c r="G143" i="13"/>
  <c r="N143" i="13"/>
  <c r="F143" i="13"/>
  <c r="M143" i="13"/>
  <c r="E143" i="13"/>
  <c r="L143" i="13"/>
  <c r="D143" i="13"/>
  <c r="K143" i="13"/>
  <c r="C143" i="13"/>
  <c r="A143" i="13"/>
  <c r="Q143" i="13"/>
  <c r="J143" i="13"/>
  <c r="I143" i="13"/>
  <c r="B28" i="19"/>
  <c r="B25" i="17"/>
  <c r="Q31" i="13"/>
  <c r="I31" i="13"/>
  <c r="A31" i="13"/>
  <c r="P31" i="13"/>
  <c r="H31" i="13"/>
  <c r="O31" i="13"/>
  <c r="G31" i="13"/>
  <c r="N31" i="13"/>
  <c r="F31" i="13"/>
  <c r="M31" i="13"/>
  <c r="E31" i="13"/>
  <c r="L31" i="13"/>
  <c r="D31" i="13"/>
  <c r="K31" i="13"/>
  <c r="C31" i="13"/>
  <c r="J31" i="13"/>
  <c r="L916" i="18"/>
  <c r="J916" i="18"/>
  <c r="I816" i="18"/>
  <c r="G631" i="18"/>
  <c r="K631" i="18" s="1"/>
  <c r="H631" i="18"/>
  <c r="I802" i="18"/>
  <c r="J697" i="18"/>
  <c r="L697" i="18"/>
  <c r="J710" i="18"/>
  <c r="L710" i="18"/>
  <c r="L772" i="18"/>
  <c r="J772" i="18"/>
  <c r="H395" i="18"/>
  <c r="I395" i="18" s="1"/>
  <c r="G395" i="18"/>
  <c r="K395" i="18" s="1"/>
  <c r="I589" i="18"/>
  <c r="I261" i="18"/>
  <c r="L220" i="18"/>
  <c r="J220" i="18"/>
  <c r="G975" i="18"/>
  <c r="K975" i="18" s="1"/>
  <c r="H975" i="18"/>
  <c r="G967" i="18"/>
  <c r="K967" i="18" s="1"/>
  <c r="H967" i="18"/>
  <c r="I967" i="18" s="1"/>
  <c r="H978" i="18"/>
  <c r="G978" i="18"/>
  <c r="K978" i="18" s="1"/>
  <c r="G952" i="18"/>
  <c r="K952" i="18" s="1"/>
  <c r="H938" i="18"/>
  <c r="I938" i="18" s="1"/>
  <c r="G938" i="18"/>
  <c r="K938" i="18" s="1"/>
  <c r="L988" i="18"/>
  <c r="J988" i="18"/>
  <c r="I969" i="18"/>
  <c r="L911" i="18"/>
  <c r="J911" i="18"/>
  <c r="I1001" i="18"/>
  <c r="I912" i="18"/>
  <c r="G944" i="18"/>
  <c r="K944" i="18" s="1"/>
  <c r="I937" i="18"/>
  <c r="I982" i="18"/>
  <c r="H976" i="18"/>
  <c r="I976" i="18" s="1"/>
  <c r="G902" i="18"/>
  <c r="K902" i="18" s="1"/>
  <c r="G886" i="18"/>
  <c r="K886" i="18" s="1"/>
  <c r="G870" i="18"/>
  <c r="K870" i="18" s="1"/>
  <c r="G854" i="18"/>
  <c r="K854" i="18" s="1"/>
  <c r="G838" i="18"/>
  <c r="K838" i="18" s="1"/>
  <c r="G822" i="18"/>
  <c r="K822" i="18" s="1"/>
  <c r="G806" i="18"/>
  <c r="K806" i="18" s="1"/>
  <c r="I792" i="18"/>
  <c r="H860" i="18"/>
  <c r="I860" i="18" s="1"/>
  <c r="I820" i="18"/>
  <c r="L780" i="18"/>
  <c r="J780" i="18"/>
  <c r="G719" i="18"/>
  <c r="K719" i="18" s="1"/>
  <c r="H719" i="18"/>
  <c r="I719" i="18" s="1"/>
  <c r="G655" i="18"/>
  <c r="K655" i="18" s="1"/>
  <c r="H655" i="18"/>
  <c r="I655" i="18" s="1"/>
  <c r="G591" i="18"/>
  <c r="K591" i="18" s="1"/>
  <c r="H591" i="18"/>
  <c r="I591" i="18" s="1"/>
  <c r="G527" i="18"/>
  <c r="K527" i="18" s="1"/>
  <c r="H527" i="18"/>
  <c r="H463" i="18"/>
  <c r="G463" i="18"/>
  <c r="K463" i="18" s="1"/>
  <c r="I749" i="18"/>
  <c r="J691" i="18"/>
  <c r="L691" i="18"/>
  <c r="J667" i="18"/>
  <c r="L667" i="18"/>
  <c r="J635" i="18"/>
  <c r="L635" i="18"/>
  <c r="J603" i="18"/>
  <c r="L603" i="18"/>
  <c r="K568" i="18"/>
  <c r="G868" i="18"/>
  <c r="K868" i="18" s="1"/>
  <c r="G782" i="18"/>
  <c r="K782" i="18" s="1"/>
  <c r="J689" i="18"/>
  <c r="L689" i="18"/>
  <c r="J625" i="18"/>
  <c r="L625" i="18"/>
  <c r="G924" i="18"/>
  <c r="K924" i="18" s="1"/>
  <c r="G836" i="18"/>
  <c r="K836" i="18" s="1"/>
  <c r="L700" i="18"/>
  <c r="J700" i="18"/>
  <c r="L668" i="18"/>
  <c r="J668" i="18"/>
  <c r="L636" i="18"/>
  <c r="J636" i="18"/>
  <c r="L604" i="18"/>
  <c r="J604" i="18"/>
  <c r="L572" i="18"/>
  <c r="J572" i="18"/>
  <c r="L556" i="18"/>
  <c r="J556" i="18"/>
  <c r="L540" i="18"/>
  <c r="J540" i="18"/>
  <c r="L524" i="18"/>
  <c r="J524" i="18"/>
  <c r="L508" i="18"/>
  <c r="J508" i="18"/>
  <c r="L459" i="18"/>
  <c r="J459" i="18"/>
  <c r="H440" i="18"/>
  <c r="I440" i="18" s="1"/>
  <c r="G335" i="18"/>
  <c r="K335" i="18" s="1"/>
  <c r="H335" i="18"/>
  <c r="I913" i="18"/>
  <c r="I759" i="18"/>
  <c r="H362" i="18"/>
  <c r="I362" i="18" s="1"/>
  <c r="G362" i="18"/>
  <c r="K362" i="18" s="1"/>
  <c r="K320" i="18"/>
  <c r="H298" i="18"/>
  <c r="G298" i="18"/>
  <c r="K298" i="18" s="1"/>
  <c r="H680" i="18"/>
  <c r="I680" i="18" s="1"/>
  <c r="G557" i="18"/>
  <c r="K557" i="18" s="1"/>
  <c r="G483" i="18"/>
  <c r="K483" i="18" s="1"/>
  <c r="J246" i="18"/>
  <c r="L246" i="18"/>
  <c r="J214" i="18"/>
  <c r="L214" i="18"/>
  <c r="J182" i="18"/>
  <c r="L182" i="18"/>
  <c r="J150" i="18"/>
  <c r="L150" i="18"/>
  <c r="J102" i="18"/>
  <c r="L102" i="18"/>
  <c r="I686" i="18"/>
  <c r="I670" i="18"/>
  <c r="I462" i="18"/>
  <c r="I457" i="18"/>
  <c r="I445" i="18"/>
  <c r="I257" i="18"/>
  <c r="I193" i="18"/>
  <c r="I129" i="18"/>
  <c r="I662" i="18"/>
  <c r="G541" i="18"/>
  <c r="K541" i="18" s="1"/>
  <c r="I504" i="18"/>
  <c r="K464" i="18"/>
  <c r="G525" i="18"/>
  <c r="K525" i="18" s="1"/>
  <c r="G433" i="18"/>
  <c r="K433" i="18" s="1"/>
  <c r="H56" i="18"/>
  <c r="I56" i="18" s="1"/>
  <c r="G56" i="18"/>
  <c r="K56" i="18" s="1"/>
  <c r="K25" i="18"/>
  <c r="G149" i="18"/>
  <c r="K149" i="18" s="1"/>
  <c r="G88" i="18"/>
  <c r="K88" i="18" s="1"/>
  <c r="J318" i="18"/>
  <c r="L318" i="18"/>
  <c r="G141" i="18"/>
  <c r="K141" i="18" s="1"/>
  <c r="G64" i="18"/>
  <c r="K64" i="18" s="1"/>
  <c r="H64" i="18"/>
  <c r="G53" i="18"/>
  <c r="K53" i="18" s="1"/>
  <c r="H53" i="18"/>
  <c r="I53" i="18" s="1"/>
  <c r="H393" i="18"/>
  <c r="I393" i="18" s="1"/>
  <c r="J374" i="18"/>
  <c r="L374" i="18"/>
  <c r="G163" i="18"/>
  <c r="K163" i="18" s="1"/>
  <c r="L103" i="18"/>
  <c r="J103" i="18"/>
  <c r="I65" i="18"/>
  <c r="I54" i="18"/>
  <c r="I630" i="18"/>
  <c r="G219" i="18"/>
  <c r="K219" i="18" s="1"/>
  <c r="G48" i="18"/>
  <c r="K48" i="18" s="1"/>
  <c r="I597" i="18"/>
  <c r="I212" i="18"/>
  <c r="I68" i="18"/>
  <c r="G30" i="18"/>
  <c r="K30" i="18" s="1"/>
  <c r="L364" i="18"/>
  <c r="J364" i="18"/>
  <c r="G349" i="18"/>
  <c r="K349" i="18" s="1"/>
  <c r="I299" i="18"/>
  <c r="K237" i="18"/>
  <c r="I413" i="18"/>
  <c r="I397" i="18"/>
  <c r="I381" i="18"/>
  <c r="K81" i="18"/>
  <c r="I473" i="18"/>
  <c r="I76" i="18"/>
  <c r="G16" i="18"/>
  <c r="K16" i="18" s="1"/>
  <c r="L162" i="18"/>
  <c r="J162" i="18"/>
  <c r="I285" i="18"/>
  <c r="R76" i="20"/>
  <c r="J76" i="20"/>
  <c r="Q76" i="20"/>
  <c r="I76" i="20"/>
  <c r="A76" i="20"/>
  <c r="P76" i="20"/>
  <c r="H76" i="20"/>
  <c r="O76" i="20"/>
  <c r="G76" i="20"/>
  <c r="N76" i="20"/>
  <c r="F76" i="20"/>
  <c r="L76" i="20"/>
  <c r="D76" i="20"/>
  <c r="E76" i="20"/>
  <c r="C76" i="20"/>
  <c r="M76" i="20"/>
  <c r="S76" i="20"/>
  <c r="K76" i="20"/>
  <c r="S81" i="20"/>
  <c r="K81" i="20"/>
  <c r="C81" i="20"/>
  <c r="R81" i="20"/>
  <c r="J81" i="20"/>
  <c r="Q81" i="20"/>
  <c r="I81" i="20"/>
  <c r="A81" i="20"/>
  <c r="P81" i="20"/>
  <c r="H81" i="20"/>
  <c r="O81" i="20"/>
  <c r="G81" i="20"/>
  <c r="M81" i="20"/>
  <c r="E81" i="20"/>
  <c r="F81" i="20"/>
  <c r="D81" i="20"/>
  <c r="N81" i="20"/>
  <c r="L81" i="20"/>
  <c r="L62" i="20"/>
  <c r="D62" i="20"/>
  <c r="S62" i="20"/>
  <c r="K62" i="20"/>
  <c r="C62" i="20"/>
  <c r="R62" i="20"/>
  <c r="J62" i="20"/>
  <c r="Q62" i="20"/>
  <c r="I62" i="20"/>
  <c r="A62" i="20"/>
  <c r="P62" i="20"/>
  <c r="H62" i="20"/>
  <c r="N62" i="20"/>
  <c r="F62" i="20"/>
  <c r="O62" i="20"/>
  <c r="M62" i="20"/>
  <c r="G62" i="20"/>
  <c r="E62" i="20"/>
  <c r="N128" i="20"/>
  <c r="F128" i="20"/>
  <c r="M128" i="20"/>
  <c r="E128" i="20"/>
  <c r="L128" i="20"/>
  <c r="D128" i="20"/>
  <c r="S128" i="20"/>
  <c r="K128" i="20"/>
  <c r="C128" i="20"/>
  <c r="R128" i="20"/>
  <c r="J128" i="20"/>
  <c r="P128" i="20"/>
  <c r="H128" i="20"/>
  <c r="Q128" i="20"/>
  <c r="O128" i="20"/>
  <c r="I128" i="20"/>
  <c r="G128" i="20"/>
  <c r="A128" i="20"/>
  <c r="N72" i="20"/>
  <c r="F72" i="20"/>
  <c r="M72" i="20"/>
  <c r="E72" i="20"/>
  <c r="L72" i="20"/>
  <c r="D72" i="20"/>
  <c r="S72" i="20"/>
  <c r="K72" i="20"/>
  <c r="C72" i="20"/>
  <c r="R72" i="20"/>
  <c r="J72" i="20"/>
  <c r="P72" i="20"/>
  <c r="H72" i="20"/>
  <c r="Q72" i="20"/>
  <c r="O72" i="20"/>
  <c r="I72" i="20"/>
  <c r="G72" i="20"/>
  <c r="A72" i="20"/>
  <c r="A18" i="15"/>
  <c r="A25" i="15" s="1"/>
  <c r="R249" i="20"/>
  <c r="J249" i="20"/>
  <c r="Q249" i="20"/>
  <c r="I249" i="20"/>
  <c r="A249" i="20"/>
  <c r="O249" i="20"/>
  <c r="G249" i="20"/>
  <c r="K249" i="20"/>
  <c r="H249" i="20"/>
  <c r="F249" i="20"/>
  <c r="S249" i="20"/>
  <c r="E249" i="20"/>
  <c r="P249" i="20"/>
  <c r="D249" i="20"/>
  <c r="M249" i="20"/>
  <c r="N249" i="20"/>
  <c r="L249" i="20"/>
  <c r="C249" i="20"/>
  <c r="S129" i="20"/>
  <c r="K129" i="20"/>
  <c r="C129" i="20"/>
  <c r="R129" i="20"/>
  <c r="J129" i="20"/>
  <c r="Q129" i="20"/>
  <c r="I129" i="20"/>
  <c r="A129" i="20"/>
  <c r="P129" i="20"/>
  <c r="H129" i="20"/>
  <c r="O129" i="20"/>
  <c r="G129" i="20"/>
  <c r="M129" i="20"/>
  <c r="E129" i="20"/>
  <c r="N129" i="20"/>
  <c r="F129" i="20"/>
  <c r="L129" i="20"/>
  <c r="D129" i="20"/>
  <c r="H17" i="16"/>
  <c r="B123" i="19"/>
  <c r="B120" i="17"/>
  <c r="Q126" i="13"/>
  <c r="I126" i="13"/>
  <c r="A126" i="13"/>
  <c r="P126" i="13"/>
  <c r="H126" i="13"/>
  <c r="O126" i="13"/>
  <c r="G126" i="13"/>
  <c r="N126" i="13"/>
  <c r="F126" i="13"/>
  <c r="M126" i="13"/>
  <c r="E126" i="13"/>
  <c r="L126" i="13"/>
  <c r="D126" i="13"/>
  <c r="K126" i="13"/>
  <c r="J126" i="13"/>
  <c r="C126" i="13"/>
  <c r="B19" i="19"/>
  <c r="B16" i="17"/>
  <c r="J22" i="13"/>
  <c r="Q22" i="13"/>
  <c r="I22" i="13"/>
  <c r="A22" i="13"/>
  <c r="P22" i="13"/>
  <c r="H22" i="13"/>
  <c r="O22" i="13"/>
  <c r="G22" i="13"/>
  <c r="N22" i="13"/>
  <c r="F22" i="13"/>
  <c r="M22" i="13"/>
  <c r="E22" i="13"/>
  <c r="L22" i="13"/>
  <c r="D22" i="13"/>
  <c r="K22" i="13"/>
  <c r="C22" i="13"/>
  <c r="B83" i="19"/>
  <c r="B80" i="17"/>
  <c r="Q86" i="13"/>
  <c r="I86" i="13"/>
  <c r="A86" i="13"/>
  <c r="O86" i="13"/>
  <c r="G86" i="13"/>
  <c r="N86" i="13"/>
  <c r="F86" i="13"/>
  <c r="M86" i="13"/>
  <c r="E86" i="13"/>
  <c r="L86" i="13"/>
  <c r="D86" i="13"/>
  <c r="C86" i="13"/>
  <c r="P86" i="13"/>
  <c r="K86" i="13"/>
  <c r="J86" i="13"/>
  <c r="H86" i="13"/>
  <c r="B10" i="19"/>
  <c r="B7" i="17"/>
  <c r="C13" i="13"/>
  <c r="J13" i="13"/>
  <c r="I13" i="13"/>
  <c r="A13" i="13"/>
  <c r="P13" i="13"/>
  <c r="H13" i="13"/>
  <c r="G13" i="13"/>
  <c r="F13" i="13"/>
  <c r="Q13" i="13" s="1"/>
  <c r="M13" i="13"/>
  <c r="E13" i="13"/>
  <c r="K13" i="13" s="1"/>
  <c r="N13" i="13" s="1"/>
  <c r="O13" i="13" s="1"/>
  <c r="L13" i="13"/>
  <c r="D13" i="13"/>
  <c r="Q47" i="20"/>
  <c r="I47" i="20"/>
  <c r="A47" i="20"/>
  <c r="P47" i="20"/>
  <c r="H47" i="20"/>
  <c r="L47" i="20"/>
  <c r="K47" i="20"/>
  <c r="J47" i="20"/>
  <c r="S47" i="20"/>
  <c r="G47" i="20"/>
  <c r="R47" i="20"/>
  <c r="F47" i="20"/>
  <c r="N47" i="20"/>
  <c r="D47" i="20"/>
  <c r="O47" i="20"/>
  <c r="E47" i="20"/>
  <c r="M47" i="20"/>
  <c r="C47" i="20"/>
  <c r="R31" i="20"/>
  <c r="J31" i="20"/>
  <c r="Q31" i="20"/>
  <c r="I31" i="20"/>
  <c r="A31" i="20"/>
  <c r="P31" i="20"/>
  <c r="H31" i="20"/>
  <c r="O31" i="20"/>
  <c r="G31" i="20"/>
  <c r="N31" i="20"/>
  <c r="F31" i="20"/>
  <c r="L31" i="20"/>
  <c r="D31" i="20"/>
  <c r="S31" i="20"/>
  <c r="M31" i="20"/>
  <c r="K31" i="20"/>
  <c r="E31" i="20"/>
  <c r="C31" i="20"/>
  <c r="B41" i="19"/>
  <c r="B38" i="17"/>
  <c r="L44" i="13"/>
  <c r="D44" i="13"/>
  <c r="K44" i="13"/>
  <c r="C44" i="13"/>
  <c r="J44" i="13"/>
  <c r="Q44" i="13"/>
  <c r="I44" i="13"/>
  <c r="A44" i="13"/>
  <c r="P44" i="13"/>
  <c r="H44" i="13"/>
  <c r="O44" i="13"/>
  <c r="G44" i="13"/>
  <c r="N44" i="13"/>
  <c r="F44" i="13"/>
  <c r="M44" i="13"/>
  <c r="E44" i="13"/>
  <c r="B48" i="19"/>
  <c r="B45" i="17"/>
  <c r="M51" i="13"/>
  <c r="E51" i="13"/>
  <c r="L51" i="13"/>
  <c r="D51" i="13"/>
  <c r="K51" i="13"/>
  <c r="C51" i="13"/>
  <c r="J51" i="13"/>
  <c r="Q51" i="13"/>
  <c r="I51" i="13"/>
  <c r="A51" i="13"/>
  <c r="P51" i="13"/>
  <c r="H51" i="13"/>
  <c r="O51" i="13"/>
  <c r="G51" i="13"/>
  <c r="N51" i="13"/>
  <c r="F51" i="13"/>
  <c r="B63" i="19"/>
  <c r="B60" i="17"/>
  <c r="Q66" i="13"/>
  <c r="P66" i="13"/>
  <c r="N66" i="13"/>
  <c r="F66" i="13"/>
  <c r="M66" i="13"/>
  <c r="E66" i="13"/>
  <c r="L66" i="13"/>
  <c r="D66" i="13"/>
  <c r="K66" i="13"/>
  <c r="C66" i="13"/>
  <c r="J66" i="13"/>
  <c r="I66" i="13"/>
  <c r="A66" i="13"/>
  <c r="H66" i="13"/>
  <c r="O66" i="13"/>
  <c r="G66" i="13"/>
  <c r="B116" i="19"/>
  <c r="B113" i="17"/>
  <c r="P119" i="13"/>
  <c r="H119" i="13"/>
  <c r="O119" i="13"/>
  <c r="G119" i="13"/>
  <c r="N119" i="13"/>
  <c r="F119" i="13"/>
  <c r="M119" i="13"/>
  <c r="E119" i="13"/>
  <c r="L119" i="13"/>
  <c r="D119" i="13"/>
  <c r="K119" i="13"/>
  <c r="C119" i="13"/>
  <c r="Q119" i="13"/>
  <c r="J119" i="13"/>
  <c r="I119" i="13"/>
  <c r="A119" i="13"/>
  <c r="B14" i="19"/>
  <c r="B11" i="17"/>
  <c r="O17" i="13"/>
  <c r="G17" i="13"/>
  <c r="N17" i="13"/>
  <c r="F17" i="13"/>
  <c r="M17" i="13"/>
  <c r="E17" i="13"/>
  <c r="L17" i="13"/>
  <c r="D17" i="13"/>
  <c r="K17" i="13"/>
  <c r="C17" i="13"/>
  <c r="J17" i="13"/>
  <c r="Q17" i="13"/>
  <c r="I17" i="13"/>
  <c r="A17" i="13"/>
  <c r="P17" i="13"/>
  <c r="H17" i="13"/>
  <c r="B91" i="19"/>
  <c r="B88" i="17"/>
  <c r="Q94" i="13"/>
  <c r="I94" i="13"/>
  <c r="A94" i="13"/>
  <c r="O94" i="13"/>
  <c r="G94" i="13"/>
  <c r="N94" i="13"/>
  <c r="F94" i="13"/>
  <c r="M94" i="13"/>
  <c r="E94" i="13"/>
  <c r="L94" i="13"/>
  <c r="D94" i="13"/>
  <c r="P94" i="13"/>
  <c r="K94" i="13"/>
  <c r="J94" i="13"/>
  <c r="H94" i="13"/>
  <c r="C94" i="13"/>
  <c r="B21" i="19"/>
  <c r="B18" i="17"/>
  <c r="P24" i="13"/>
  <c r="H24" i="13"/>
  <c r="O24" i="13"/>
  <c r="G24" i="13"/>
  <c r="N24" i="13"/>
  <c r="F24" i="13"/>
  <c r="M24" i="13"/>
  <c r="E24" i="13"/>
  <c r="L24" i="13"/>
  <c r="D24" i="13"/>
  <c r="K24" i="13"/>
  <c r="C24" i="13"/>
  <c r="J24" i="13"/>
  <c r="Q24" i="13"/>
  <c r="I24" i="13"/>
  <c r="A24" i="13"/>
  <c r="B228" i="19"/>
  <c r="B225" i="17"/>
  <c r="P231" i="13"/>
  <c r="H231" i="13"/>
  <c r="O231" i="13"/>
  <c r="G231" i="13"/>
  <c r="N231" i="13"/>
  <c r="F231" i="13"/>
  <c r="M231" i="13"/>
  <c r="E231" i="13"/>
  <c r="L231" i="13"/>
  <c r="D231" i="13"/>
  <c r="K231" i="13"/>
  <c r="C231" i="13"/>
  <c r="J231" i="13"/>
  <c r="Q231" i="13"/>
  <c r="I231" i="13"/>
  <c r="A231" i="13"/>
  <c r="B292" i="19"/>
  <c r="B289" i="17"/>
  <c r="P295" i="13"/>
  <c r="H295" i="13"/>
  <c r="O295" i="13"/>
  <c r="G295" i="13"/>
  <c r="N295" i="13"/>
  <c r="F295" i="13"/>
  <c r="M295" i="13"/>
  <c r="E295" i="13"/>
  <c r="L295" i="13"/>
  <c r="D295" i="13"/>
  <c r="K295" i="13"/>
  <c r="C295" i="13"/>
  <c r="J295" i="13"/>
  <c r="Q295" i="13"/>
  <c r="I295" i="13"/>
  <c r="A295" i="13"/>
  <c r="B117" i="19"/>
  <c r="B114" i="17"/>
  <c r="O120" i="13"/>
  <c r="G120" i="13"/>
  <c r="N120" i="13"/>
  <c r="F120" i="13"/>
  <c r="M120" i="13"/>
  <c r="E120" i="13"/>
  <c r="L120" i="13"/>
  <c r="D120" i="13"/>
  <c r="K120" i="13"/>
  <c r="C120" i="13"/>
  <c r="J120" i="13"/>
  <c r="H120" i="13"/>
  <c r="A120" i="13"/>
  <c r="Q120" i="13"/>
  <c r="P120" i="13"/>
  <c r="I120" i="13"/>
  <c r="B181" i="19"/>
  <c r="B178" i="17"/>
  <c r="O184" i="13"/>
  <c r="G184" i="13"/>
  <c r="N184" i="13"/>
  <c r="F184" i="13"/>
  <c r="M184" i="13"/>
  <c r="E184" i="13"/>
  <c r="L184" i="13"/>
  <c r="D184" i="13"/>
  <c r="K184" i="13"/>
  <c r="C184" i="13"/>
  <c r="J184" i="13"/>
  <c r="Q184" i="13"/>
  <c r="I184" i="13"/>
  <c r="A184" i="13"/>
  <c r="H184" i="13"/>
  <c r="P184" i="13"/>
  <c r="B245" i="19"/>
  <c r="B242" i="17"/>
  <c r="O248" i="13"/>
  <c r="G248" i="13"/>
  <c r="N248" i="13"/>
  <c r="F248" i="13"/>
  <c r="M248" i="13"/>
  <c r="E248" i="13"/>
  <c r="L248" i="13"/>
  <c r="D248" i="13"/>
  <c r="K248" i="13"/>
  <c r="C248" i="13"/>
  <c r="J248" i="13"/>
  <c r="Q248" i="13"/>
  <c r="I248" i="13"/>
  <c r="A248" i="13"/>
  <c r="H248" i="13"/>
  <c r="P248" i="13"/>
  <c r="B70" i="19"/>
  <c r="B67" i="17"/>
  <c r="N73" i="13"/>
  <c r="F73" i="13"/>
  <c r="L73" i="13"/>
  <c r="D73" i="13"/>
  <c r="K73" i="13"/>
  <c r="C73" i="13"/>
  <c r="J73" i="13"/>
  <c r="Q73" i="13"/>
  <c r="I73" i="13"/>
  <c r="A73" i="13"/>
  <c r="M73" i="13"/>
  <c r="H73" i="13"/>
  <c r="G73" i="13"/>
  <c r="E73" i="13"/>
  <c r="P73" i="13"/>
  <c r="O73" i="13"/>
  <c r="B134" i="19"/>
  <c r="B131" i="17"/>
  <c r="N137" i="13"/>
  <c r="F137" i="13"/>
  <c r="M137" i="13"/>
  <c r="E137" i="13"/>
  <c r="L137" i="13"/>
  <c r="D137" i="13"/>
  <c r="K137" i="13"/>
  <c r="C137" i="13"/>
  <c r="J137" i="13"/>
  <c r="Q137" i="13"/>
  <c r="I137" i="13"/>
  <c r="A137" i="13"/>
  <c r="G137" i="13"/>
  <c r="P137" i="13"/>
  <c r="O137" i="13"/>
  <c r="H137" i="13"/>
  <c r="B198" i="19"/>
  <c r="B195" i="17"/>
  <c r="N201" i="13"/>
  <c r="F201" i="13"/>
  <c r="M201" i="13"/>
  <c r="E201" i="13"/>
  <c r="L201" i="13"/>
  <c r="D201" i="13"/>
  <c r="K201" i="13"/>
  <c r="C201" i="13"/>
  <c r="J201" i="13"/>
  <c r="Q201" i="13"/>
  <c r="I201" i="13"/>
  <c r="A201" i="13"/>
  <c r="P201" i="13"/>
  <c r="H201" i="13"/>
  <c r="O201" i="13"/>
  <c r="G201" i="13"/>
  <c r="B262" i="19"/>
  <c r="B259" i="17"/>
  <c r="N265" i="13"/>
  <c r="F265" i="13"/>
  <c r="M265" i="13"/>
  <c r="E265" i="13"/>
  <c r="L265" i="13"/>
  <c r="D265" i="13"/>
  <c r="K265" i="13"/>
  <c r="C265" i="13"/>
  <c r="J265" i="13"/>
  <c r="Q265" i="13"/>
  <c r="I265" i="13"/>
  <c r="A265" i="13"/>
  <c r="P265" i="13"/>
  <c r="H265" i="13"/>
  <c r="O265" i="13"/>
  <c r="G265" i="13"/>
  <c r="B87" i="19"/>
  <c r="B84" i="17"/>
  <c r="M90" i="13"/>
  <c r="E90" i="13"/>
  <c r="K90" i="13"/>
  <c r="C90" i="13"/>
  <c r="J90" i="13"/>
  <c r="Q90" i="13"/>
  <c r="I90" i="13"/>
  <c r="A90" i="13"/>
  <c r="P90" i="13"/>
  <c r="H90" i="13"/>
  <c r="O90" i="13"/>
  <c r="N90" i="13"/>
  <c r="L90" i="13"/>
  <c r="G90" i="13"/>
  <c r="F90" i="13"/>
  <c r="D90" i="13"/>
  <c r="B151" i="19"/>
  <c r="B148" i="17"/>
  <c r="M154" i="13"/>
  <c r="E154" i="13"/>
  <c r="L154" i="13"/>
  <c r="D154" i="13"/>
  <c r="K154" i="13"/>
  <c r="C154" i="13"/>
  <c r="J154" i="13"/>
  <c r="Q154" i="13"/>
  <c r="I154" i="13"/>
  <c r="A154" i="13"/>
  <c r="P154" i="13"/>
  <c r="H154" i="13"/>
  <c r="F154" i="13"/>
  <c r="O154" i="13"/>
  <c r="N154" i="13"/>
  <c r="G154" i="13"/>
  <c r="B215" i="19"/>
  <c r="B212" i="17"/>
  <c r="M218" i="13"/>
  <c r="E218" i="13"/>
  <c r="L218" i="13"/>
  <c r="D218" i="13"/>
  <c r="K218" i="13"/>
  <c r="C218" i="13"/>
  <c r="J218" i="13"/>
  <c r="Q218" i="13"/>
  <c r="I218" i="13"/>
  <c r="A218" i="13"/>
  <c r="P218" i="13"/>
  <c r="H218" i="13"/>
  <c r="O218" i="13"/>
  <c r="G218" i="13"/>
  <c r="F218" i="13"/>
  <c r="N218" i="13"/>
  <c r="B279" i="19"/>
  <c r="B276" i="17"/>
  <c r="M282" i="13"/>
  <c r="E282" i="13"/>
  <c r="L282" i="13"/>
  <c r="D282" i="13"/>
  <c r="K282" i="13"/>
  <c r="C282" i="13"/>
  <c r="J282" i="13"/>
  <c r="Q282" i="13"/>
  <c r="I282" i="13"/>
  <c r="A282" i="13"/>
  <c r="P282" i="13"/>
  <c r="H282" i="13"/>
  <c r="O282" i="13"/>
  <c r="G282" i="13"/>
  <c r="F282" i="13"/>
  <c r="N282" i="13"/>
  <c r="B96" i="19"/>
  <c r="B93" i="17"/>
  <c r="L99" i="13"/>
  <c r="D99" i="13"/>
  <c r="J99" i="13"/>
  <c r="Q99" i="13"/>
  <c r="I99" i="13"/>
  <c r="A99" i="13"/>
  <c r="P99" i="13"/>
  <c r="H99" i="13"/>
  <c r="O99" i="13"/>
  <c r="G99" i="13"/>
  <c r="N99" i="13"/>
  <c r="M99" i="13"/>
  <c r="K99" i="13"/>
  <c r="F99" i="13"/>
  <c r="E99" i="13"/>
  <c r="C99" i="13"/>
  <c r="B160" i="19"/>
  <c r="B157" i="17"/>
  <c r="L163" i="13"/>
  <c r="D163" i="13"/>
  <c r="K163" i="13"/>
  <c r="C163" i="13"/>
  <c r="J163" i="13"/>
  <c r="Q163" i="13"/>
  <c r="I163" i="13"/>
  <c r="A163" i="13"/>
  <c r="P163" i="13"/>
  <c r="H163" i="13"/>
  <c r="O163" i="13"/>
  <c r="G163" i="13"/>
  <c r="M163" i="13"/>
  <c r="F163" i="13"/>
  <c r="E163" i="13"/>
  <c r="N163" i="13"/>
  <c r="B224" i="19"/>
  <c r="B221" i="17"/>
  <c r="L227" i="13"/>
  <c r="D227" i="13"/>
  <c r="K227" i="13"/>
  <c r="C227" i="13"/>
  <c r="J227" i="13"/>
  <c r="Q227" i="13"/>
  <c r="I227" i="13"/>
  <c r="A227" i="13"/>
  <c r="P227" i="13"/>
  <c r="H227" i="13"/>
  <c r="O227" i="13"/>
  <c r="G227" i="13"/>
  <c r="N227" i="13"/>
  <c r="F227" i="13"/>
  <c r="M227" i="13"/>
  <c r="E227" i="13"/>
  <c r="B288" i="19"/>
  <c r="B285" i="17"/>
  <c r="L291" i="13"/>
  <c r="D291" i="13"/>
  <c r="K291" i="13"/>
  <c r="C291" i="13"/>
  <c r="J291" i="13"/>
  <c r="Q291" i="13"/>
  <c r="I291" i="13"/>
  <c r="A291" i="13"/>
  <c r="P291" i="13"/>
  <c r="H291" i="13"/>
  <c r="O291" i="13"/>
  <c r="G291" i="13"/>
  <c r="N291" i="13"/>
  <c r="F291" i="13"/>
  <c r="M291" i="13"/>
  <c r="E291" i="13"/>
  <c r="B145" i="19"/>
  <c r="B142" i="17"/>
  <c r="K148" i="13"/>
  <c r="C148" i="13"/>
  <c r="J148" i="13"/>
  <c r="Q148" i="13"/>
  <c r="I148" i="13"/>
  <c r="A148" i="13"/>
  <c r="P148" i="13"/>
  <c r="H148" i="13"/>
  <c r="O148" i="13"/>
  <c r="G148" i="13"/>
  <c r="N148" i="13"/>
  <c r="F148" i="13"/>
  <c r="L148" i="13"/>
  <c r="E148" i="13"/>
  <c r="D148" i="13"/>
  <c r="M148" i="13"/>
  <c r="B209" i="19"/>
  <c r="B206" i="17"/>
  <c r="K212" i="13"/>
  <c r="C212" i="13"/>
  <c r="J212" i="13"/>
  <c r="Q212" i="13"/>
  <c r="I212" i="13"/>
  <c r="A212" i="13"/>
  <c r="P212" i="13"/>
  <c r="H212" i="13"/>
  <c r="O212" i="13"/>
  <c r="G212" i="13"/>
  <c r="N212" i="13"/>
  <c r="F212" i="13"/>
  <c r="M212" i="13"/>
  <c r="E212" i="13"/>
  <c r="L212" i="13"/>
  <c r="D212" i="13"/>
  <c r="B273" i="19"/>
  <c r="B270" i="17"/>
  <c r="K276" i="13"/>
  <c r="C276" i="13"/>
  <c r="J276" i="13"/>
  <c r="Q276" i="13"/>
  <c r="I276" i="13"/>
  <c r="A276" i="13"/>
  <c r="P276" i="13"/>
  <c r="H276" i="13"/>
  <c r="O276" i="13"/>
  <c r="G276" i="13"/>
  <c r="N276" i="13"/>
  <c r="F276" i="13"/>
  <c r="M276" i="13"/>
  <c r="E276" i="13"/>
  <c r="L276" i="13"/>
  <c r="D276" i="13"/>
  <c r="B90" i="19"/>
  <c r="B87" i="17"/>
  <c r="J93" i="13"/>
  <c r="P93" i="13"/>
  <c r="H93" i="13"/>
  <c r="O93" i="13"/>
  <c r="G93" i="13"/>
  <c r="N93" i="13"/>
  <c r="F93" i="13"/>
  <c r="M93" i="13"/>
  <c r="E93" i="13"/>
  <c r="L93" i="13"/>
  <c r="K93" i="13"/>
  <c r="I93" i="13"/>
  <c r="D93" i="13"/>
  <c r="C93" i="13"/>
  <c r="A93" i="13"/>
  <c r="Q93" i="13"/>
  <c r="B154" i="19"/>
  <c r="B151" i="17"/>
  <c r="J157" i="13"/>
  <c r="Q157" i="13"/>
  <c r="I157" i="13"/>
  <c r="A157" i="13"/>
  <c r="P157" i="13"/>
  <c r="H157" i="13"/>
  <c r="O157" i="13"/>
  <c r="G157" i="13"/>
  <c r="N157" i="13"/>
  <c r="F157" i="13"/>
  <c r="M157" i="13"/>
  <c r="E157" i="13"/>
  <c r="L157" i="13"/>
  <c r="K157" i="13"/>
  <c r="D157" i="13"/>
  <c r="C157" i="13"/>
  <c r="B218" i="19"/>
  <c r="B215" i="17"/>
  <c r="J221" i="13"/>
  <c r="Q221" i="13"/>
  <c r="I221" i="13"/>
  <c r="A221" i="13"/>
  <c r="P221" i="13"/>
  <c r="H221" i="13"/>
  <c r="O221" i="13"/>
  <c r="G221" i="13"/>
  <c r="N221" i="13"/>
  <c r="F221" i="13"/>
  <c r="M221" i="13"/>
  <c r="E221" i="13"/>
  <c r="L221" i="13"/>
  <c r="D221" i="13"/>
  <c r="K221" i="13"/>
  <c r="C221" i="13"/>
  <c r="B282" i="19"/>
  <c r="B279" i="17"/>
  <c r="J285" i="13"/>
  <c r="Q285" i="13"/>
  <c r="I285" i="13"/>
  <c r="A285" i="13"/>
  <c r="P285" i="13"/>
  <c r="H285" i="13"/>
  <c r="O285" i="13"/>
  <c r="G285" i="13"/>
  <c r="N285" i="13"/>
  <c r="F285" i="13"/>
  <c r="M285" i="13"/>
  <c r="E285" i="13"/>
  <c r="L285" i="13"/>
  <c r="D285" i="13"/>
  <c r="K285" i="13"/>
  <c r="C285" i="13"/>
  <c r="B108" i="19"/>
  <c r="B105" i="17"/>
  <c r="P111" i="13"/>
  <c r="H111" i="13"/>
  <c r="O111" i="13"/>
  <c r="G111" i="13"/>
  <c r="N111" i="13"/>
  <c r="F111" i="13"/>
  <c r="M111" i="13"/>
  <c r="E111" i="13"/>
  <c r="L111" i="13"/>
  <c r="D111" i="13"/>
  <c r="K111" i="13"/>
  <c r="C111" i="13"/>
  <c r="A111" i="13"/>
  <c r="Q111" i="13"/>
  <c r="J111" i="13"/>
  <c r="I111" i="13"/>
  <c r="B20" i="19"/>
  <c r="B17" i="17"/>
  <c r="Q23" i="13"/>
  <c r="I23" i="13"/>
  <c r="A23" i="13"/>
  <c r="P23" i="13"/>
  <c r="H23" i="13"/>
  <c r="O23" i="13"/>
  <c r="G23" i="13"/>
  <c r="N23" i="13"/>
  <c r="F23" i="13"/>
  <c r="M23" i="13"/>
  <c r="E23" i="13"/>
  <c r="L23" i="13"/>
  <c r="D23" i="13"/>
  <c r="K23" i="13"/>
  <c r="C23" i="13"/>
  <c r="J23" i="13"/>
  <c r="G567" i="18"/>
  <c r="K567" i="18" s="1"/>
  <c r="H567" i="18"/>
  <c r="L500" i="18"/>
  <c r="J500" i="18"/>
  <c r="J558" i="18"/>
  <c r="L558" i="18"/>
  <c r="H407" i="18"/>
  <c r="I407" i="18" s="1"/>
  <c r="G407" i="18"/>
  <c r="K407" i="18" s="1"/>
  <c r="J265" i="18"/>
  <c r="L265" i="18"/>
  <c r="J121" i="18"/>
  <c r="L121" i="18"/>
  <c r="I760" i="18"/>
  <c r="I291" i="18"/>
  <c r="L546" i="18"/>
  <c r="J546" i="18"/>
  <c r="L192" i="18"/>
  <c r="J192" i="18"/>
  <c r="L466" i="18"/>
  <c r="J466" i="18"/>
  <c r="H954" i="18"/>
  <c r="G954" i="18"/>
  <c r="K954" i="18" s="1"/>
  <c r="J974" i="18"/>
  <c r="L974" i="18"/>
  <c r="L964" i="18"/>
  <c r="J964" i="18"/>
  <c r="L940" i="18"/>
  <c r="J940" i="18"/>
  <c r="I949" i="18"/>
  <c r="J966" i="18"/>
  <c r="L966" i="18"/>
  <c r="J998" i="18"/>
  <c r="L998" i="18"/>
  <c r="G939" i="18"/>
  <c r="K939" i="18" s="1"/>
  <c r="I993" i="18"/>
  <c r="L923" i="18"/>
  <c r="J923" i="18"/>
  <c r="G790" i="18"/>
  <c r="K790" i="18" s="1"/>
  <c r="I965" i="18"/>
  <c r="J926" i="18"/>
  <c r="L926" i="18"/>
  <c r="L778" i="18"/>
  <c r="J778" i="18"/>
  <c r="J768" i="18"/>
  <c r="L768" i="18"/>
  <c r="H738" i="18"/>
  <c r="G738" i="18"/>
  <c r="K738" i="18" s="1"/>
  <c r="G711" i="18"/>
  <c r="K711" i="18" s="1"/>
  <c r="H711" i="18"/>
  <c r="G647" i="18"/>
  <c r="K647" i="18" s="1"/>
  <c r="H647" i="18"/>
  <c r="I647" i="18" s="1"/>
  <c r="G583" i="18"/>
  <c r="K583" i="18" s="1"/>
  <c r="H583" i="18"/>
  <c r="I583" i="18" s="1"/>
  <c r="G519" i="18"/>
  <c r="K519" i="18" s="1"/>
  <c r="H519" i="18"/>
  <c r="I519" i="18" s="1"/>
  <c r="H455" i="18"/>
  <c r="I455" i="18" s="1"/>
  <c r="G455" i="18"/>
  <c r="K455" i="18" s="1"/>
  <c r="K560" i="18"/>
  <c r="J649" i="18"/>
  <c r="L649" i="18"/>
  <c r="J585" i="18"/>
  <c r="L585" i="18"/>
  <c r="J869" i="18"/>
  <c r="L869" i="18"/>
  <c r="J797" i="18"/>
  <c r="L797" i="18"/>
  <c r="L484" i="18"/>
  <c r="J484" i="18"/>
  <c r="L452" i="18"/>
  <c r="J452" i="18"/>
  <c r="J909" i="18"/>
  <c r="L909" i="18"/>
  <c r="G732" i="18"/>
  <c r="K732" i="18" s="1"/>
  <c r="J726" i="18"/>
  <c r="L726" i="18"/>
  <c r="I437" i="18"/>
  <c r="G327" i="18"/>
  <c r="K327" i="18" s="1"/>
  <c r="H327" i="18"/>
  <c r="L400" i="18"/>
  <c r="J400" i="18"/>
  <c r="L388" i="18"/>
  <c r="J388" i="18"/>
  <c r="G360" i="18"/>
  <c r="K360" i="18" s="1"/>
  <c r="H338" i="18"/>
  <c r="G338" i="18"/>
  <c r="K338" i="18" s="1"/>
  <c r="G296" i="18"/>
  <c r="K296" i="18" s="1"/>
  <c r="K264" i="18"/>
  <c r="K200" i="18"/>
  <c r="K136" i="18"/>
  <c r="I713" i="18"/>
  <c r="I493" i="18"/>
  <c r="J94" i="18"/>
  <c r="L94" i="18"/>
  <c r="I531" i="18"/>
  <c r="G485" i="18"/>
  <c r="K485" i="18" s="1"/>
  <c r="H399" i="18"/>
  <c r="G399" i="18"/>
  <c r="K399" i="18" s="1"/>
  <c r="H387" i="18"/>
  <c r="G387" i="18"/>
  <c r="K387" i="18" s="1"/>
  <c r="J361" i="18"/>
  <c r="L361" i="18"/>
  <c r="J345" i="18"/>
  <c r="L345" i="18"/>
  <c r="J329" i="18"/>
  <c r="L329" i="18"/>
  <c r="J313" i="18"/>
  <c r="L313" i="18"/>
  <c r="J297" i="18"/>
  <c r="L297" i="18"/>
  <c r="J281" i="18"/>
  <c r="L281" i="18"/>
  <c r="J217" i="18"/>
  <c r="L217" i="18"/>
  <c r="J153" i="18"/>
  <c r="L153" i="18"/>
  <c r="J105" i="18"/>
  <c r="L105" i="18"/>
  <c r="I750" i="18"/>
  <c r="I725" i="18"/>
  <c r="I717" i="18"/>
  <c r="I709" i="18"/>
  <c r="L252" i="18"/>
  <c r="J252" i="18"/>
  <c r="L92" i="18"/>
  <c r="J92" i="18"/>
  <c r="L570" i="18"/>
  <c r="J570" i="18"/>
  <c r="I243" i="18"/>
  <c r="I112" i="18"/>
  <c r="L72" i="18"/>
  <c r="J72" i="18"/>
  <c r="L316" i="18"/>
  <c r="J316" i="18"/>
  <c r="I283" i="18"/>
  <c r="I120" i="18"/>
  <c r="I83" i="18"/>
  <c r="G32" i="18"/>
  <c r="K32" i="18" s="1"/>
  <c r="H32" i="18"/>
  <c r="J24" i="18"/>
  <c r="L24" i="18"/>
  <c r="I606" i="18"/>
  <c r="I372" i="18"/>
  <c r="I253" i="18"/>
  <c r="G227" i="18"/>
  <c r="K227" i="18" s="1"/>
  <c r="I101" i="18"/>
  <c r="K86" i="18"/>
  <c r="G75" i="18"/>
  <c r="K75" i="18" s="1"/>
  <c r="J502" i="18"/>
  <c r="L502" i="18"/>
  <c r="L170" i="18"/>
  <c r="J170" i="18"/>
  <c r="J590" i="18"/>
  <c r="L590" i="18"/>
  <c r="I573" i="18"/>
  <c r="I549" i="18"/>
  <c r="J334" i="18"/>
  <c r="L334" i="18"/>
  <c r="G203" i="18"/>
  <c r="K203" i="18" s="1"/>
  <c r="I140" i="18"/>
  <c r="L127" i="18"/>
  <c r="J127" i="18"/>
  <c r="J63" i="18"/>
  <c r="L63" i="18"/>
  <c r="K323" i="18"/>
  <c r="I81" i="18"/>
  <c r="K6" i="18"/>
  <c r="G49" i="18"/>
  <c r="K49" i="18" s="1"/>
  <c r="G19" i="18"/>
  <c r="K19" i="18" s="1"/>
  <c r="E15" i="16"/>
  <c r="D15" i="18" s="1"/>
  <c r="D15" i="16"/>
  <c r="S65" i="20"/>
  <c r="K65" i="20"/>
  <c r="C65" i="20"/>
  <c r="R65" i="20"/>
  <c r="J65" i="20"/>
  <c r="Q65" i="20"/>
  <c r="I65" i="20"/>
  <c r="A65" i="20"/>
  <c r="P65" i="20"/>
  <c r="H65" i="20"/>
  <c r="O65" i="20"/>
  <c r="G65" i="20"/>
  <c r="M65" i="20"/>
  <c r="E65" i="20"/>
  <c r="N65" i="20"/>
  <c r="L65" i="20"/>
  <c r="F65" i="20"/>
  <c r="D65" i="20"/>
  <c r="M185" i="20"/>
  <c r="E185" i="20"/>
  <c r="L185" i="20"/>
  <c r="D185" i="20"/>
  <c r="S185" i="20"/>
  <c r="K185" i="20"/>
  <c r="C185" i="20"/>
  <c r="R185" i="20"/>
  <c r="J185" i="20"/>
  <c r="Q185" i="20"/>
  <c r="I185" i="20"/>
  <c r="A185" i="20"/>
  <c r="O185" i="20"/>
  <c r="G185" i="20"/>
  <c r="H185" i="20"/>
  <c r="F185" i="20"/>
  <c r="P185" i="20"/>
  <c r="N185" i="20"/>
  <c r="Q305" i="20"/>
  <c r="I305" i="20"/>
  <c r="A305" i="20"/>
  <c r="P305" i="20"/>
  <c r="H305" i="20"/>
  <c r="N305" i="20"/>
  <c r="F305" i="20"/>
  <c r="L305" i="20"/>
  <c r="D305" i="20"/>
  <c r="R305" i="20"/>
  <c r="J305" i="20"/>
  <c r="M305" i="20"/>
  <c r="K305" i="20"/>
  <c r="E305" i="20"/>
  <c r="O305" i="20"/>
  <c r="S305" i="20"/>
  <c r="G305" i="20"/>
  <c r="C305" i="20"/>
  <c r="Q289" i="20"/>
  <c r="I289" i="20"/>
  <c r="A289" i="20"/>
  <c r="P289" i="20"/>
  <c r="H289" i="20"/>
  <c r="N289" i="20"/>
  <c r="F289" i="20"/>
  <c r="L289" i="20"/>
  <c r="D289" i="20"/>
  <c r="R289" i="20"/>
  <c r="O289" i="20"/>
  <c r="K289" i="20"/>
  <c r="G289" i="20"/>
  <c r="S289" i="20"/>
  <c r="C289" i="20"/>
  <c r="E289" i="20"/>
  <c r="M289" i="20"/>
  <c r="J289" i="20"/>
  <c r="Q273" i="20"/>
  <c r="I273" i="20"/>
  <c r="A273" i="20"/>
  <c r="P273" i="20"/>
  <c r="H273" i="20"/>
  <c r="N273" i="20"/>
  <c r="F273" i="20"/>
  <c r="L273" i="20"/>
  <c r="D273" i="20"/>
  <c r="R273" i="20"/>
  <c r="O273" i="20"/>
  <c r="K273" i="20"/>
  <c r="G273" i="20"/>
  <c r="S273" i="20"/>
  <c r="C273" i="20"/>
  <c r="J273" i="20"/>
  <c r="E273" i="20"/>
  <c r="M273" i="20"/>
  <c r="R241" i="20"/>
  <c r="J241" i="20"/>
  <c r="Q241" i="20"/>
  <c r="I241" i="20"/>
  <c r="A241" i="20"/>
  <c r="O241" i="20"/>
  <c r="G241" i="20"/>
  <c r="H241" i="20"/>
  <c r="F241" i="20"/>
  <c r="S241" i="20"/>
  <c r="E241" i="20"/>
  <c r="P241" i="20"/>
  <c r="D241" i="20"/>
  <c r="N241" i="20"/>
  <c r="C241" i="20"/>
  <c r="L241" i="20"/>
  <c r="M241" i="20"/>
  <c r="K241" i="20"/>
  <c r="M177" i="20"/>
  <c r="E177" i="20"/>
  <c r="L177" i="20"/>
  <c r="D177" i="20"/>
  <c r="S177" i="20"/>
  <c r="K177" i="20"/>
  <c r="C177" i="20"/>
  <c r="R177" i="20"/>
  <c r="J177" i="20"/>
  <c r="Q177" i="20"/>
  <c r="I177" i="20"/>
  <c r="A177" i="20"/>
  <c r="O177" i="20"/>
  <c r="G177" i="20"/>
  <c r="P177" i="20"/>
  <c r="H177" i="20"/>
  <c r="N177" i="20"/>
  <c r="F177" i="20"/>
  <c r="N136" i="20"/>
  <c r="F136" i="20"/>
  <c r="M136" i="20"/>
  <c r="E136" i="20"/>
  <c r="L136" i="20"/>
  <c r="D136" i="20"/>
  <c r="S136" i="20"/>
  <c r="K136" i="20"/>
  <c r="C136" i="20"/>
  <c r="R136" i="20"/>
  <c r="J136" i="20"/>
  <c r="P136" i="20"/>
  <c r="H136" i="20"/>
  <c r="Q136" i="20"/>
  <c r="O136" i="20"/>
  <c r="I136" i="20"/>
  <c r="A136" i="20"/>
  <c r="G136" i="20"/>
  <c r="I17" i="16"/>
  <c r="J17" i="16" s="1"/>
  <c r="I8" i="16"/>
  <c r="J8" i="16" s="1"/>
  <c r="F21" i="16"/>
  <c r="H21" i="16" s="1"/>
  <c r="B97" i="19"/>
  <c r="B94" i="17"/>
  <c r="K100" i="13"/>
  <c r="C100" i="13"/>
  <c r="Q100" i="13"/>
  <c r="I100" i="13"/>
  <c r="A100" i="13"/>
  <c r="P100" i="13"/>
  <c r="H100" i="13"/>
  <c r="O100" i="13"/>
  <c r="G100" i="13"/>
  <c r="N100" i="13"/>
  <c r="F100" i="13"/>
  <c r="M100" i="13"/>
  <c r="L100" i="13"/>
  <c r="J100" i="13"/>
  <c r="E100" i="13"/>
  <c r="D100" i="13"/>
  <c r="B11" i="19"/>
  <c r="B8" i="17"/>
  <c r="J14" i="13"/>
  <c r="I14" i="13"/>
  <c r="A14" i="13"/>
  <c r="P14" i="13"/>
  <c r="H14" i="13"/>
  <c r="G14" i="13"/>
  <c r="F14" i="13"/>
  <c r="K14" i="13" s="1"/>
  <c r="N14" i="13" s="1"/>
  <c r="O14" i="13" s="1"/>
  <c r="M14" i="13"/>
  <c r="E14" i="13"/>
  <c r="L14" i="13"/>
  <c r="D14" i="13"/>
  <c r="C14" i="13"/>
  <c r="B73" i="19"/>
  <c r="B70" i="17"/>
  <c r="K76" i="13"/>
  <c r="C76" i="13"/>
  <c r="Q76" i="13"/>
  <c r="I76" i="13"/>
  <c r="A76" i="13"/>
  <c r="P76" i="13"/>
  <c r="H76" i="13"/>
  <c r="O76" i="13"/>
  <c r="G76" i="13"/>
  <c r="N76" i="13"/>
  <c r="F76" i="13"/>
  <c r="D76" i="13"/>
  <c r="M76" i="13"/>
  <c r="L76" i="13"/>
  <c r="J76" i="13"/>
  <c r="E76" i="13"/>
  <c r="B267" i="19"/>
  <c r="B264" i="17"/>
  <c r="Q270" i="13"/>
  <c r="I270" i="13"/>
  <c r="A270" i="13"/>
  <c r="P270" i="13"/>
  <c r="H270" i="13"/>
  <c r="O270" i="13"/>
  <c r="G270" i="13"/>
  <c r="N270" i="13"/>
  <c r="F270" i="13"/>
  <c r="M270" i="13"/>
  <c r="E270" i="13"/>
  <c r="L270" i="13"/>
  <c r="D270" i="13"/>
  <c r="K270" i="13"/>
  <c r="C270" i="13"/>
  <c r="J270" i="13"/>
  <c r="B33" i="19"/>
  <c r="B30" i="17"/>
  <c r="L36" i="13"/>
  <c r="D36" i="13"/>
  <c r="K36" i="13"/>
  <c r="C36" i="13"/>
  <c r="J36" i="13"/>
  <c r="Q36" i="13"/>
  <c r="I36" i="13"/>
  <c r="A36" i="13"/>
  <c r="P36" i="13"/>
  <c r="H36" i="13"/>
  <c r="O36" i="13"/>
  <c r="G36" i="13"/>
  <c r="N36" i="13"/>
  <c r="F36" i="13"/>
  <c r="M36" i="13"/>
  <c r="E36" i="13"/>
  <c r="B259" i="19"/>
  <c r="B256" i="17"/>
  <c r="Q262" i="13"/>
  <c r="I262" i="13"/>
  <c r="A262" i="13"/>
  <c r="P262" i="13"/>
  <c r="H262" i="13"/>
  <c r="O262" i="13"/>
  <c r="G262" i="13"/>
  <c r="N262" i="13"/>
  <c r="F262" i="13"/>
  <c r="M262" i="13"/>
  <c r="E262" i="13"/>
  <c r="L262" i="13"/>
  <c r="D262" i="13"/>
  <c r="K262" i="13"/>
  <c r="C262" i="13"/>
  <c r="J262" i="13"/>
  <c r="B40" i="19"/>
  <c r="B37" i="17"/>
  <c r="M43" i="13"/>
  <c r="E43" i="13"/>
  <c r="L43" i="13"/>
  <c r="D43" i="13"/>
  <c r="K43" i="13"/>
  <c r="C43" i="13"/>
  <c r="J43" i="13"/>
  <c r="Q43" i="13"/>
  <c r="I43" i="13"/>
  <c r="A43" i="13"/>
  <c r="P43" i="13"/>
  <c r="H43" i="13"/>
  <c r="O43" i="13"/>
  <c r="G43" i="13"/>
  <c r="N43" i="13"/>
  <c r="F43" i="13"/>
  <c r="B251" i="19"/>
  <c r="B248" i="17"/>
  <c r="Q254" i="13"/>
  <c r="I254" i="13"/>
  <c r="A254" i="13"/>
  <c r="P254" i="13"/>
  <c r="H254" i="13"/>
  <c r="O254" i="13"/>
  <c r="G254" i="13"/>
  <c r="N254" i="13"/>
  <c r="F254" i="13"/>
  <c r="M254" i="13"/>
  <c r="E254" i="13"/>
  <c r="L254" i="13"/>
  <c r="D254" i="13"/>
  <c r="K254" i="13"/>
  <c r="C254" i="13"/>
  <c r="J254" i="13"/>
  <c r="B55" i="19"/>
  <c r="B52" i="17"/>
  <c r="N58" i="13"/>
  <c r="F58" i="13"/>
  <c r="M58" i="13"/>
  <c r="E58" i="13"/>
  <c r="L58" i="13"/>
  <c r="D58" i="13"/>
  <c r="K58" i="13"/>
  <c r="C58" i="13"/>
  <c r="J58" i="13"/>
  <c r="Q58" i="13"/>
  <c r="I58" i="13"/>
  <c r="A58" i="13"/>
  <c r="P58" i="13"/>
  <c r="H58" i="13"/>
  <c r="O58" i="13"/>
  <c r="G58" i="13"/>
  <c r="B76" i="19"/>
  <c r="B73" i="17"/>
  <c r="P79" i="13"/>
  <c r="H79" i="13"/>
  <c r="N79" i="13"/>
  <c r="F79" i="13"/>
  <c r="M79" i="13"/>
  <c r="E79" i="13"/>
  <c r="L79" i="13"/>
  <c r="D79" i="13"/>
  <c r="K79" i="13"/>
  <c r="C79" i="13"/>
  <c r="Q79" i="13"/>
  <c r="O79" i="13"/>
  <c r="J79" i="13"/>
  <c r="I79" i="13"/>
  <c r="G79" i="13"/>
  <c r="A79" i="13"/>
  <c r="M217" i="20"/>
  <c r="E217" i="20"/>
  <c r="N217" i="20"/>
  <c r="D217" i="20"/>
  <c r="L217" i="20"/>
  <c r="C217" i="20"/>
  <c r="K217" i="20"/>
  <c r="R217" i="20"/>
  <c r="I217" i="20"/>
  <c r="P217" i="20"/>
  <c r="O217" i="20"/>
  <c r="J217" i="20"/>
  <c r="H217" i="20"/>
  <c r="G217" i="20"/>
  <c r="S217" i="20"/>
  <c r="A217" i="20"/>
  <c r="F217" i="20"/>
  <c r="Q217" i="20"/>
  <c r="B81" i="19"/>
  <c r="B78" i="17"/>
  <c r="K84" i="13"/>
  <c r="C84" i="13"/>
  <c r="Q84" i="13"/>
  <c r="I84" i="13"/>
  <c r="A84" i="13"/>
  <c r="P84" i="13"/>
  <c r="H84" i="13"/>
  <c r="O84" i="13"/>
  <c r="G84" i="13"/>
  <c r="N84" i="13"/>
  <c r="F84" i="13"/>
  <c r="M84" i="13"/>
  <c r="L84" i="13"/>
  <c r="J84" i="13"/>
  <c r="E84" i="13"/>
  <c r="D84" i="13"/>
  <c r="B13" i="19"/>
  <c r="B10" i="17"/>
  <c r="P16" i="13"/>
  <c r="Q16" i="13" s="1"/>
  <c r="H16" i="13"/>
  <c r="G16" i="13"/>
  <c r="F16" i="13"/>
  <c r="M16" i="13"/>
  <c r="E16" i="13"/>
  <c r="L16" i="13"/>
  <c r="D16" i="13"/>
  <c r="C16" i="13"/>
  <c r="J16" i="13"/>
  <c r="K16" i="13" s="1"/>
  <c r="N16" i="13" s="1"/>
  <c r="O16" i="13" s="1"/>
  <c r="I16" i="13"/>
  <c r="A16" i="13"/>
  <c r="B236" i="19"/>
  <c r="B233" i="17"/>
  <c r="P239" i="13"/>
  <c r="H239" i="13"/>
  <c r="O239" i="13"/>
  <c r="G239" i="13"/>
  <c r="N239" i="13"/>
  <c r="F239" i="13"/>
  <c r="M239" i="13"/>
  <c r="E239" i="13"/>
  <c r="L239" i="13"/>
  <c r="D239" i="13"/>
  <c r="K239" i="13"/>
  <c r="C239" i="13"/>
  <c r="J239" i="13"/>
  <c r="Q239" i="13"/>
  <c r="I239" i="13"/>
  <c r="A239" i="13"/>
  <c r="B300" i="19"/>
  <c r="B297" i="17"/>
  <c r="P303" i="13"/>
  <c r="H303" i="13"/>
  <c r="O303" i="13"/>
  <c r="G303" i="13"/>
  <c r="N303" i="13"/>
  <c r="F303" i="13"/>
  <c r="M303" i="13"/>
  <c r="E303" i="13"/>
  <c r="L303" i="13"/>
  <c r="D303" i="13"/>
  <c r="K303" i="13"/>
  <c r="C303" i="13"/>
  <c r="J303" i="13"/>
  <c r="Q303" i="13"/>
  <c r="I303" i="13"/>
  <c r="A303" i="13"/>
  <c r="B125" i="19"/>
  <c r="B122" i="17"/>
  <c r="O128" i="13"/>
  <c r="G128" i="13"/>
  <c r="N128" i="13"/>
  <c r="F128" i="13"/>
  <c r="M128" i="13"/>
  <c r="E128" i="13"/>
  <c r="L128" i="13"/>
  <c r="D128" i="13"/>
  <c r="K128" i="13"/>
  <c r="C128" i="13"/>
  <c r="J128" i="13"/>
  <c r="Q128" i="13"/>
  <c r="P128" i="13"/>
  <c r="I128" i="13"/>
  <c r="H128" i="13"/>
  <c r="A128" i="13"/>
  <c r="B189" i="19"/>
  <c r="B186" i="17"/>
  <c r="O192" i="13"/>
  <c r="G192" i="13"/>
  <c r="N192" i="13"/>
  <c r="F192" i="13"/>
  <c r="M192" i="13"/>
  <c r="E192" i="13"/>
  <c r="L192" i="13"/>
  <c r="D192" i="13"/>
  <c r="K192" i="13"/>
  <c r="C192" i="13"/>
  <c r="J192" i="13"/>
  <c r="Q192" i="13"/>
  <c r="I192" i="13"/>
  <c r="A192" i="13"/>
  <c r="P192" i="13"/>
  <c r="H192" i="13"/>
  <c r="B253" i="19"/>
  <c r="B250" i="17"/>
  <c r="O256" i="13"/>
  <c r="G256" i="13"/>
  <c r="N256" i="13"/>
  <c r="F256" i="13"/>
  <c r="M256" i="13"/>
  <c r="E256" i="13"/>
  <c r="L256" i="13"/>
  <c r="D256" i="13"/>
  <c r="K256" i="13"/>
  <c r="C256" i="13"/>
  <c r="J256" i="13"/>
  <c r="Q256" i="13"/>
  <c r="I256" i="13"/>
  <c r="A256" i="13"/>
  <c r="P256" i="13"/>
  <c r="H256" i="13"/>
  <c r="B78" i="19"/>
  <c r="B75" i="17"/>
  <c r="N81" i="13"/>
  <c r="F81" i="13"/>
  <c r="L81" i="13"/>
  <c r="D81" i="13"/>
  <c r="K81" i="13"/>
  <c r="C81" i="13"/>
  <c r="J81" i="13"/>
  <c r="Q81" i="13"/>
  <c r="I81" i="13"/>
  <c r="A81" i="13"/>
  <c r="E81" i="13"/>
  <c r="P81" i="13"/>
  <c r="O81" i="13"/>
  <c r="M81" i="13"/>
  <c r="H81" i="13"/>
  <c r="G81" i="13"/>
  <c r="B142" i="19"/>
  <c r="B139" i="17"/>
  <c r="N145" i="13"/>
  <c r="F145" i="13"/>
  <c r="M145" i="13"/>
  <c r="E145" i="13"/>
  <c r="L145" i="13"/>
  <c r="D145" i="13"/>
  <c r="K145" i="13"/>
  <c r="C145" i="13"/>
  <c r="J145" i="13"/>
  <c r="Q145" i="13"/>
  <c r="I145" i="13"/>
  <c r="A145" i="13"/>
  <c r="P145" i="13"/>
  <c r="O145" i="13"/>
  <c r="H145" i="13"/>
  <c r="G145" i="13"/>
  <c r="B206" i="19"/>
  <c r="B203" i="17"/>
  <c r="N209" i="13"/>
  <c r="F209" i="13"/>
  <c r="M209" i="13"/>
  <c r="E209" i="13"/>
  <c r="L209" i="13"/>
  <c r="D209" i="13"/>
  <c r="K209" i="13"/>
  <c r="C209" i="13"/>
  <c r="J209" i="13"/>
  <c r="Q209" i="13"/>
  <c r="I209" i="13"/>
  <c r="A209" i="13"/>
  <c r="P209" i="13"/>
  <c r="H209" i="13"/>
  <c r="O209" i="13"/>
  <c r="G209" i="13"/>
  <c r="B270" i="19"/>
  <c r="B267" i="17"/>
  <c r="N273" i="13"/>
  <c r="F273" i="13"/>
  <c r="M273" i="13"/>
  <c r="E273" i="13"/>
  <c r="L273" i="13"/>
  <c r="D273" i="13"/>
  <c r="K273" i="13"/>
  <c r="C273" i="13"/>
  <c r="J273" i="13"/>
  <c r="Q273" i="13"/>
  <c r="I273" i="13"/>
  <c r="A273" i="13"/>
  <c r="P273" i="13"/>
  <c r="H273" i="13"/>
  <c r="O273" i="13"/>
  <c r="G273" i="13"/>
  <c r="B95" i="19"/>
  <c r="B92" i="17"/>
  <c r="M98" i="13"/>
  <c r="E98" i="13"/>
  <c r="K98" i="13"/>
  <c r="C98" i="13"/>
  <c r="J98" i="13"/>
  <c r="Q98" i="13"/>
  <c r="I98" i="13"/>
  <c r="A98" i="13"/>
  <c r="P98" i="13"/>
  <c r="H98" i="13"/>
  <c r="N98" i="13"/>
  <c r="L98" i="13"/>
  <c r="G98" i="13"/>
  <c r="F98" i="13"/>
  <c r="D98" i="13"/>
  <c r="O98" i="13"/>
  <c r="B159" i="19"/>
  <c r="B156" i="17"/>
  <c r="M162" i="13"/>
  <c r="E162" i="13"/>
  <c r="L162" i="13"/>
  <c r="D162" i="13"/>
  <c r="K162" i="13"/>
  <c r="C162" i="13"/>
  <c r="J162" i="13"/>
  <c r="Q162" i="13"/>
  <c r="I162" i="13"/>
  <c r="A162" i="13"/>
  <c r="P162" i="13"/>
  <c r="H162" i="13"/>
  <c r="O162" i="13"/>
  <c r="N162" i="13"/>
  <c r="G162" i="13"/>
  <c r="F162" i="13"/>
  <c r="B223" i="19"/>
  <c r="B220" i="17"/>
  <c r="M226" i="13"/>
  <c r="E226" i="13"/>
  <c r="L226" i="13"/>
  <c r="D226" i="13"/>
  <c r="K226" i="13"/>
  <c r="C226" i="13"/>
  <c r="J226" i="13"/>
  <c r="Q226" i="13"/>
  <c r="I226" i="13"/>
  <c r="A226" i="13"/>
  <c r="P226" i="13"/>
  <c r="H226" i="13"/>
  <c r="O226" i="13"/>
  <c r="G226" i="13"/>
  <c r="N226" i="13"/>
  <c r="F226" i="13"/>
  <c r="B287" i="19"/>
  <c r="B284" i="17"/>
  <c r="M290" i="13"/>
  <c r="E290" i="13"/>
  <c r="L290" i="13"/>
  <c r="D290" i="13"/>
  <c r="K290" i="13"/>
  <c r="C290" i="13"/>
  <c r="J290" i="13"/>
  <c r="Q290" i="13"/>
  <c r="I290" i="13"/>
  <c r="A290" i="13"/>
  <c r="P290" i="13"/>
  <c r="H290" i="13"/>
  <c r="O290" i="13"/>
  <c r="G290" i="13"/>
  <c r="N290" i="13"/>
  <c r="F290" i="13"/>
  <c r="B104" i="19"/>
  <c r="B101" i="17"/>
  <c r="L107" i="13"/>
  <c r="D107" i="13"/>
  <c r="K107" i="13"/>
  <c r="C107" i="13"/>
  <c r="J107" i="13"/>
  <c r="Q107" i="13"/>
  <c r="I107" i="13"/>
  <c r="A107" i="13"/>
  <c r="P107" i="13"/>
  <c r="H107" i="13"/>
  <c r="O107" i="13"/>
  <c r="G107" i="13"/>
  <c r="E107" i="13"/>
  <c r="N107" i="13"/>
  <c r="M107" i="13"/>
  <c r="F107" i="13"/>
  <c r="B168" i="19"/>
  <c r="B165" i="17"/>
  <c r="L171" i="13"/>
  <c r="D171" i="13"/>
  <c r="K171" i="13"/>
  <c r="C171" i="13"/>
  <c r="J171" i="13"/>
  <c r="Q171" i="13"/>
  <c r="I171" i="13"/>
  <c r="A171" i="13"/>
  <c r="P171" i="13"/>
  <c r="H171" i="13"/>
  <c r="O171" i="13"/>
  <c r="G171" i="13"/>
  <c r="E171" i="13"/>
  <c r="N171" i="13"/>
  <c r="M171" i="13"/>
  <c r="F171" i="13"/>
  <c r="B232" i="19"/>
  <c r="B229" i="17"/>
  <c r="L235" i="13"/>
  <c r="D235" i="13"/>
  <c r="K235" i="13"/>
  <c r="C235" i="13"/>
  <c r="J235" i="13"/>
  <c r="Q235" i="13"/>
  <c r="I235" i="13"/>
  <c r="A235" i="13"/>
  <c r="P235" i="13"/>
  <c r="H235" i="13"/>
  <c r="O235" i="13"/>
  <c r="G235" i="13"/>
  <c r="N235" i="13"/>
  <c r="F235" i="13"/>
  <c r="M235" i="13"/>
  <c r="E235" i="13"/>
  <c r="B296" i="19"/>
  <c r="B293" i="17"/>
  <c r="L299" i="13"/>
  <c r="D299" i="13"/>
  <c r="K299" i="13"/>
  <c r="C299" i="13"/>
  <c r="J299" i="13"/>
  <c r="Q299" i="13"/>
  <c r="I299" i="13"/>
  <c r="A299" i="13"/>
  <c r="P299" i="13"/>
  <c r="H299" i="13"/>
  <c r="O299" i="13"/>
  <c r="G299" i="13"/>
  <c r="N299" i="13"/>
  <c r="F299" i="13"/>
  <c r="M299" i="13"/>
  <c r="E299" i="13"/>
  <c r="B153" i="19"/>
  <c r="B150" i="17"/>
  <c r="K156" i="13"/>
  <c r="C156" i="13"/>
  <c r="J156" i="13"/>
  <c r="Q156" i="13"/>
  <c r="I156" i="13"/>
  <c r="A156" i="13"/>
  <c r="P156" i="13"/>
  <c r="H156" i="13"/>
  <c r="O156" i="13"/>
  <c r="G156" i="13"/>
  <c r="N156" i="13"/>
  <c r="F156" i="13"/>
  <c r="D156" i="13"/>
  <c r="M156" i="13"/>
  <c r="L156" i="13"/>
  <c r="E156" i="13"/>
  <c r="B217" i="19"/>
  <c r="B214" i="17"/>
  <c r="K220" i="13"/>
  <c r="C220" i="13"/>
  <c r="J220" i="13"/>
  <c r="Q220" i="13"/>
  <c r="I220" i="13"/>
  <c r="A220" i="13"/>
  <c r="P220" i="13"/>
  <c r="H220" i="13"/>
  <c r="O220" i="13"/>
  <c r="G220" i="13"/>
  <c r="N220" i="13"/>
  <c r="F220" i="13"/>
  <c r="M220" i="13"/>
  <c r="E220" i="13"/>
  <c r="L220" i="13"/>
  <c r="D220" i="13"/>
  <c r="B281" i="19"/>
  <c r="B278" i="17"/>
  <c r="K284" i="13"/>
  <c r="C284" i="13"/>
  <c r="J284" i="13"/>
  <c r="Q284" i="13"/>
  <c r="I284" i="13"/>
  <c r="A284" i="13"/>
  <c r="P284" i="13"/>
  <c r="H284" i="13"/>
  <c r="O284" i="13"/>
  <c r="G284" i="13"/>
  <c r="N284" i="13"/>
  <c r="F284" i="13"/>
  <c r="M284" i="13"/>
  <c r="E284" i="13"/>
  <c r="L284" i="13"/>
  <c r="D284" i="13"/>
  <c r="B98" i="19"/>
  <c r="B95" i="17"/>
  <c r="J101" i="13"/>
  <c r="P101" i="13"/>
  <c r="H101" i="13"/>
  <c r="O101" i="13"/>
  <c r="G101" i="13"/>
  <c r="N101" i="13"/>
  <c r="F101" i="13"/>
  <c r="M101" i="13"/>
  <c r="E101" i="13"/>
  <c r="D101" i="13"/>
  <c r="C101" i="13"/>
  <c r="A101" i="13"/>
  <c r="Q101" i="13"/>
  <c r="L101" i="13"/>
  <c r="K101" i="13"/>
  <c r="I101" i="13"/>
  <c r="B162" i="19"/>
  <c r="B159" i="17"/>
  <c r="J165" i="13"/>
  <c r="Q165" i="13"/>
  <c r="I165" i="13"/>
  <c r="A165" i="13"/>
  <c r="P165" i="13"/>
  <c r="H165" i="13"/>
  <c r="O165" i="13"/>
  <c r="G165" i="13"/>
  <c r="N165" i="13"/>
  <c r="F165" i="13"/>
  <c r="M165" i="13"/>
  <c r="E165" i="13"/>
  <c r="K165" i="13"/>
  <c r="D165" i="13"/>
  <c r="C165" i="13"/>
  <c r="L165" i="13"/>
  <c r="B226" i="19"/>
  <c r="B223" i="17"/>
  <c r="J229" i="13"/>
  <c r="Q229" i="13"/>
  <c r="I229" i="13"/>
  <c r="A229" i="13"/>
  <c r="P229" i="13"/>
  <c r="H229" i="13"/>
  <c r="O229" i="13"/>
  <c r="G229" i="13"/>
  <c r="N229" i="13"/>
  <c r="F229" i="13"/>
  <c r="M229" i="13"/>
  <c r="E229" i="13"/>
  <c r="L229" i="13"/>
  <c r="D229" i="13"/>
  <c r="K229" i="13"/>
  <c r="C229" i="13"/>
  <c r="B290" i="19"/>
  <c r="B287" i="17"/>
  <c r="J293" i="13"/>
  <c r="Q293" i="13"/>
  <c r="I293" i="13"/>
  <c r="A293" i="13"/>
  <c r="P293" i="13"/>
  <c r="H293" i="13"/>
  <c r="O293" i="13"/>
  <c r="G293" i="13"/>
  <c r="N293" i="13"/>
  <c r="F293" i="13"/>
  <c r="M293" i="13"/>
  <c r="E293" i="13"/>
  <c r="L293" i="13"/>
  <c r="D293" i="13"/>
  <c r="K293" i="13"/>
  <c r="C293" i="13"/>
  <c r="B92" i="19"/>
  <c r="B89" i="17"/>
  <c r="P95" i="13"/>
  <c r="H95" i="13"/>
  <c r="N95" i="13"/>
  <c r="F95" i="13"/>
  <c r="M95" i="13"/>
  <c r="E95" i="13"/>
  <c r="L95" i="13"/>
  <c r="D95" i="13"/>
  <c r="K95" i="13"/>
  <c r="C95" i="13"/>
  <c r="A95" i="13"/>
  <c r="Q95" i="13"/>
  <c r="O95" i="13"/>
  <c r="J95" i="13"/>
  <c r="I95" i="13"/>
  <c r="G95" i="13"/>
  <c r="B12" i="19"/>
  <c r="B9" i="17"/>
  <c r="I15" i="13"/>
  <c r="A15" i="13"/>
  <c r="P15" i="13"/>
  <c r="H15" i="13"/>
  <c r="G15" i="13"/>
  <c r="F15" i="13"/>
  <c r="Q15" i="13" s="1"/>
  <c r="M15" i="13"/>
  <c r="E15" i="13"/>
  <c r="K15" i="13" s="1"/>
  <c r="N15" i="13" s="1"/>
  <c r="O15" i="13" s="1"/>
  <c r="L15" i="13"/>
  <c r="D15" i="13"/>
  <c r="C15" i="13"/>
  <c r="J15" i="13"/>
  <c r="G695" i="18"/>
  <c r="K695" i="18" s="1"/>
  <c r="H695" i="18"/>
  <c r="I695" i="18" s="1"/>
  <c r="L852" i="18"/>
  <c r="J852" i="18"/>
  <c r="J435" i="18"/>
  <c r="L435" i="18"/>
  <c r="J486" i="18"/>
  <c r="L486" i="18"/>
  <c r="J201" i="18"/>
  <c r="L201" i="18"/>
  <c r="L356" i="18"/>
  <c r="J356" i="18"/>
  <c r="I347" i="18"/>
  <c r="I171" i="18"/>
  <c r="L242" i="18"/>
  <c r="J242" i="18"/>
  <c r="G959" i="18"/>
  <c r="K959" i="18" s="1"/>
  <c r="H959" i="18"/>
  <c r="I959" i="18" s="1"/>
  <c r="H1002" i="18"/>
  <c r="G1002" i="18"/>
  <c r="K1002" i="18" s="1"/>
  <c r="G951" i="18"/>
  <c r="K951" i="18" s="1"/>
  <c r="H951" i="18"/>
  <c r="I951" i="18" s="1"/>
  <c r="G1000" i="18"/>
  <c r="K1000" i="18" s="1"/>
  <c r="H962" i="18"/>
  <c r="I962" i="18" s="1"/>
  <c r="G962" i="18"/>
  <c r="K962" i="18" s="1"/>
  <c r="L1004" i="18"/>
  <c r="J1004" i="18"/>
  <c r="I902" i="18"/>
  <c r="I838" i="18"/>
  <c r="I961" i="18"/>
  <c r="K917" i="18"/>
  <c r="I989" i="18"/>
  <c r="I950" i="18"/>
  <c r="H931" i="18"/>
  <c r="I931" i="18" s="1"/>
  <c r="L907" i="18"/>
  <c r="J907" i="18"/>
  <c r="L891" i="18"/>
  <c r="J891" i="18"/>
  <c r="L875" i="18"/>
  <c r="J875" i="18"/>
  <c r="L859" i="18"/>
  <c r="J859" i="18"/>
  <c r="L843" i="18"/>
  <c r="J843" i="18"/>
  <c r="L827" i="18"/>
  <c r="J827" i="18"/>
  <c r="L811" i="18"/>
  <c r="J811" i="18"/>
  <c r="L795" i="18"/>
  <c r="J795" i="18"/>
  <c r="I941" i="18"/>
  <c r="I853" i="18"/>
  <c r="K767" i="18"/>
  <c r="I767" i="18"/>
  <c r="G703" i="18"/>
  <c r="K703" i="18" s="1"/>
  <c r="H703" i="18"/>
  <c r="I703" i="18" s="1"/>
  <c r="G639" i="18"/>
  <c r="K639" i="18" s="1"/>
  <c r="H639" i="18"/>
  <c r="I639" i="18" s="1"/>
  <c r="G575" i="18"/>
  <c r="K575" i="18" s="1"/>
  <c r="H575" i="18"/>
  <c r="I575" i="18" s="1"/>
  <c r="H511" i="18"/>
  <c r="G511" i="18"/>
  <c r="K511" i="18" s="1"/>
  <c r="G447" i="18"/>
  <c r="K447" i="18" s="1"/>
  <c r="H447" i="18"/>
  <c r="I447" i="18" s="1"/>
  <c r="J723" i="18"/>
  <c r="L723" i="18"/>
  <c r="J707" i="18"/>
  <c r="L707" i="18"/>
  <c r="I659" i="18"/>
  <c r="I627" i="18"/>
  <c r="I595" i="18"/>
  <c r="I766" i="18"/>
  <c r="I829" i="18"/>
  <c r="I782" i="18"/>
  <c r="L764" i="18"/>
  <c r="J764" i="18"/>
  <c r="J673" i="18"/>
  <c r="L673" i="18"/>
  <c r="J609" i="18"/>
  <c r="L609" i="18"/>
  <c r="J569" i="18"/>
  <c r="L569" i="18"/>
  <c r="J553" i="18"/>
  <c r="L553" i="18"/>
  <c r="J537" i="18"/>
  <c r="L537" i="18"/>
  <c r="J521" i="18"/>
  <c r="L521" i="18"/>
  <c r="J505" i="18"/>
  <c r="L505" i="18"/>
  <c r="L708" i="18"/>
  <c r="J708" i="18"/>
  <c r="L676" i="18"/>
  <c r="J676" i="18"/>
  <c r="L644" i="18"/>
  <c r="J644" i="18"/>
  <c r="L612" i="18"/>
  <c r="J612" i="18"/>
  <c r="L580" i="18"/>
  <c r="J580" i="18"/>
  <c r="G932" i="18"/>
  <c r="K932" i="18" s="1"/>
  <c r="G467" i="18"/>
  <c r="K467" i="18" s="1"/>
  <c r="G319" i="18"/>
  <c r="K319" i="18" s="1"/>
  <c r="H319" i="18"/>
  <c r="I319" i="18" s="1"/>
  <c r="I702" i="18"/>
  <c r="H456" i="18"/>
  <c r="I456" i="18" s="1"/>
  <c r="K336" i="18"/>
  <c r="H314" i="18"/>
  <c r="I314" i="18" s="1"/>
  <c r="G314" i="18"/>
  <c r="K314" i="18" s="1"/>
  <c r="I985" i="18"/>
  <c r="I661" i="18"/>
  <c r="K448" i="18"/>
  <c r="J270" i="18"/>
  <c r="L270" i="18"/>
  <c r="J238" i="18"/>
  <c r="L238" i="18"/>
  <c r="J206" i="18"/>
  <c r="L206" i="18"/>
  <c r="J174" i="18"/>
  <c r="L174" i="18"/>
  <c r="J142" i="18"/>
  <c r="L142" i="18"/>
  <c r="I933" i="18"/>
  <c r="I908" i="18"/>
  <c r="I653" i="18"/>
  <c r="K445" i="18"/>
  <c r="K425" i="18"/>
  <c r="H375" i="18"/>
  <c r="I375" i="18" s="1"/>
  <c r="G375" i="18"/>
  <c r="K375" i="18" s="1"/>
  <c r="J241" i="18"/>
  <c r="L241" i="18"/>
  <c r="J177" i="18"/>
  <c r="L177" i="18"/>
  <c r="I775" i="18"/>
  <c r="I518" i="18"/>
  <c r="J358" i="18"/>
  <c r="L358" i="18"/>
  <c r="G341" i="18"/>
  <c r="K341" i="18" s="1"/>
  <c r="I157" i="18"/>
  <c r="I309" i="18"/>
  <c r="L258" i="18"/>
  <c r="J258" i="18"/>
  <c r="L130" i="18"/>
  <c r="J130" i="18"/>
  <c r="L100" i="18"/>
  <c r="J100" i="18"/>
  <c r="J84" i="18"/>
  <c r="L84" i="18"/>
  <c r="I67" i="18"/>
  <c r="I46" i="18"/>
  <c r="G269" i="18"/>
  <c r="K269" i="18" s="1"/>
  <c r="I197" i="18"/>
  <c r="L108" i="18"/>
  <c r="J108" i="18"/>
  <c r="I51" i="18"/>
  <c r="H584" i="18"/>
  <c r="I584" i="18" s="1"/>
  <c r="H401" i="18"/>
  <c r="I401" i="18" s="1"/>
  <c r="H357" i="18"/>
  <c r="I357" i="18" s="1"/>
  <c r="H328" i="18"/>
  <c r="I328" i="18" s="1"/>
  <c r="L178" i="18"/>
  <c r="J178" i="18"/>
  <c r="L86" i="18"/>
  <c r="J86" i="18"/>
  <c r="L37" i="18"/>
  <c r="J37" i="18"/>
  <c r="I28" i="18"/>
  <c r="M11" i="18"/>
  <c r="I429" i="18"/>
  <c r="L234" i="18"/>
  <c r="J234" i="18"/>
  <c r="I156" i="18"/>
  <c r="L111" i="18"/>
  <c r="J111" i="18"/>
  <c r="K80" i="18"/>
  <c r="I148" i="18"/>
  <c r="I478" i="18"/>
  <c r="L332" i="18"/>
  <c r="J332" i="18"/>
  <c r="G317" i="18"/>
  <c r="K317" i="18" s="1"/>
  <c r="G59" i="18"/>
  <c r="K59" i="18" s="1"/>
  <c r="I125" i="18"/>
  <c r="L87" i="18"/>
  <c r="J87" i="18"/>
  <c r="I430" i="18"/>
  <c r="S105" i="20"/>
  <c r="K105" i="20"/>
  <c r="C105" i="20"/>
  <c r="R105" i="20"/>
  <c r="J105" i="20"/>
  <c r="Q105" i="20"/>
  <c r="I105" i="20"/>
  <c r="A105" i="20"/>
  <c r="P105" i="20"/>
  <c r="H105" i="20"/>
  <c r="O105" i="20"/>
  <c r="G105" i="20"/>
  <c r="M105" i="20"/>
  <c r="E105" i="20"/>
  <c r="F105" i="20"/>
  <c r="D105" i="20"/>
  <c r="N105" i="20"/>
  <c r="L105" i="20"/>
  <c r="N144" i="20"/>
  <c r="F144" i="20"/>
  <c r="M144" i="20"/>
  <c r="E144" i="20"/>
  <c r="L144" i="20"/>
  <c r="D144" i="20"/>
  <c r="R144" i="20"/>
  <c r="J144" i="20"/>
  <c r="Q144" i="20"/>
  <c r="A144" i="20"/>
  <c r="P144" i="20"/>
  <c r="O144" i="20"/>
  <c r="K144" i="20"/>
  <c r="I144" i="20"/>
  <c r="G144" i="20"/>
  <c r="S144" i="20"/>
  <c r="H144" i="20"/>
  <c r="C144" i="20"/>
  <c r="N96" i="20"/>
  <c r="F96" i="20"/>
  <c r="L96" i="20"/>
  <c r="D96" i="20"/>
  <c r="P96" i="20"/>
  <c r="E96" i="20"/>
  <c r="O96" i="20"/>
  <c r="C96" i="20"/>
  <c r="M96" i="20"/>
  <c r="K96" i="20"/>
  <c r="A96" i="20"/>
  <c r="J96" i="20"/>
  <c r="R96" i="20"/>
  <c r="H96" i="20"/>
  <c r="S96" i="20"/>
  <c r="Q96" i="20"/>
  <c r="I96" i="20"/>
  <c r="G96" i="20"/>
  <c r="M225" i="20"/>
  <c r="E225" i="20"/>
  <c r="L225" i="20"/>
  <c r="D225" i="20"/>
  <c r="S225" i="20"/>
  <c r="K225" i="20"/>
  <c r="C225" i="20"/>
  <c r="Q225" i="20"/>
  <c r="I225" i="20"/>
  <c r="A225" i="20"/>
  <c r="G225" i="20"/>
  <c r="F225" i="20"/>
  <c r="R225" i="20"/>
  <c r="P225" i="20"/>
  <c r="O225" i="20"/>
  <c r="J225" i="20"/>
  <c r="N225" i="20"/>
  <c r="H225" i="20"/>
  <c r="O149" i="20"/>
  <c r="G149" i="20"/>
  <c r="N149" i="20"/>
  <c r="F149" i="20"/>
  <c r="M149" i="20"/>
  <c r="E149" i="20"/>
  <c r="S149" i="20"/>
  <c r="K149" i="20"/>
  <c r="C149" i="20"/>
  <c r="R149" i="20"/>
  <c r="Q149" i="20"/>
  <c r="A149" i="20"/>
  <c r="P149" i="20"/>
  <c r="L149" i="20"/>
  <c r="J149" i="20"/>
  <c r="H149" i="20"/>
  <c r="I149" i="20"/>
  <c r="D149" i="20"/>
  <c r="N152" i="20"/>
  <c r="F152" i="20"/>
  <c r="M152" i="20"/>
  <c r="E152" i="20"/>
  <c r="L152" i="20"/>
  <c r="D152" i="20"/>
  <c r="R152" i="20"/>
  <c r="J152" i="20"/>
  <c r="I152" i="20"/>
  <c r="H152" i="20"/>
  <c r="G152" i="20"/>
  <c r="S152" i="20"/>
  <c r="C152" i="20"/>
  <c r="Q152" i="20"/>
  <c r="A152" i="20"/>
  <c r="O152" i="20"/>
  <c r="P152" i="20"/>
  <c r="K152" i="20"/>
  <c r="F20" i="16"/>
  <c r="H20" i="16" s="1"/>
  <c r="I12" i="16"/>
  <c r="J12" i="16" s="1"/>
  <c r="L12" i="16" s="1"/>
  <c r="N8" i="20"/>
  <c r="F8" i="20"/>
  <c r="M8" i="20"/>
  <c r="O8" i="20" s="1"/>
  <c r="E8" i="20"/>
  <c r="G8" i="20" s="1"/>
  <c r="D8" i="20"/>
  <c r="C8" i="20"/>
  <c r="I8" i="20"/>
  <c r="K8" i="20" s="1"/>
  <c r="L8" i="20" s="1"/>
  <c r="A8" i="20"/>
  <c r="J8" i="20"/>
  <c r="B68" i="19"/>
  <c r="B65" i="17"/>
  <c r="P71" i="13"/>
  <c r="H71" i="13"/>
  <c r="N71" i="13"/>
  <c r="F71" i="13"/>
  <c r="M71" i="13"/>
  <c r="E71" i="13"/>
  <c r="L71" i="13"/>
  <c r="D71" i="13"/>
  <c r="K71" i="13"/>
  <c r="C71" i="13"/>
  <c r="A71" i="13"/>
  <c r="Q71" i="13"/>
  <c r="O71" i="13"/>
  <c r="J71" i="13"/>
  <c r="I71" i="13"/>
  <c r="G71" i="13"/>
  <c r="B58" i="19"/>
  <c r="B55" i="17"/>
  <c r="K61" i="13"/>
  <c r="C61" i="13"/>
  <c r="J61" i="13"/>
  <c r="Q61" i="13"/>
  <c r="I61" i="13"/>
  <c r="A61" i="13"/>
  <c r="P61" i="13"/>
  <c r="H61" i="13"/>
  <c r="O61" i="13"/>
  <c r="G61" i="13"/>
  <c r="N61" i="13"/>
  <c r="F61" i="13"/>
  <c r="M61" i="13"/>
  <c r="E61" i="13"/>
  <c r="L61" i="13"/>
  <c r="D61" i="13"/>
  <c r="B203" i="19"/>
  <c r="B200" i="17"/>
  <c r="Q206" i="13"/>
  <c r="I206" i="13"/>
  <c r="A206" i="13"/>
  <c r="P206" i="13"/>
  <c r="H206" i="13"/>
  <c r="O206" i="13"/>
  <c r="G206" i="13"/>
  <c r="N206" i="13"/>
  <c r="F206" i="13"/>
  <c r="M206" i="13"/>
  <c r="E206" i="13"/>
  <c r="L206" i="13"/>
  <c r="D206" i="13"/>
  <c r="K206" i="13"/>
  <c r="C206" i="13"/>
  <c r="J206" i="13"/>
  <c r="B25" i="19"/>
  <c r="B22" i="17"/>
  <c r="L28" i="13"/>
  <c r="D28" i="13"/>
  <c r="K28" i="13"/>
  <c r="C28" i="13"/>
  <c r="J28" i="13"/>
  <c r="Q28" i="13"/>
  <c r="I28" i="13"/>
  <c r="A28" i="13"/>
  <c r="P28" i="13"/>
  <c r="H28" i="13"/>
  <c r="O28" i="13"/>
  <c r="G28" i="13"/>
  <c r="N28" i="13"/>
  <c r="F28" i="13"/>
  <c r="M28" i="13"/>
  <c r="E28" i="13"/>
  <c r="B195" i="19"/>
  <c r="B192" i="17"/>
  <c r="Q198" i="13"/>
  <c r="I198" i="13"/>
  <c r="A198" i="13"/>
  <c r="P198" i="13"/>
  <c r="H198" i="13"/>
  <c r="O198" i="13"/>
  <c r="G198" i="13"/>
  <c r="N198" i="13"/>
  <c r="F198" i="13"/>
  <c r="M198" i="13"/>
  <c r="E198" i="13"/>
  <c r="L198" i="13"/>
  <c r="D198" i="13"/>
  <c r="K198" i="13"/>
  <c r="C198" i="13"/>
  <c r="J198" i="13"/>
  <c r="B32" i="19"/>
  <c r="B29" i="17"/>
  <c r="M35" i="13"/>
  <c r="E35" i="13"/>
  <c r="L35" i="13"/>
  <c r="D35" i="13"/>
  <c r="K35" i="13"/>
  <c r="C35" i="13"/>
  <c r="J35" i="13"/>
  <c r="Q35" i="13"/>
  <c r="I35" i="13"/>
  <c r="A35" i="13"/>
  <c r="P35" i="13"/>
  <c r="H35" i="13"/>
  <c r="O35" i="13"/>
  <c r="G35" i="13"/>
  <c r="N35" i="13"/>
  <c r="F35" i="13"/>
  <c r="B187" i="19"/>
  <c r="B184" i="17"/>
  <c r="Q190" i="13"/>
  <c r="I190" i="13"/>
  <c r="A190" i="13"/>
  <c r="P190" i="13"/>
  <c r="H190" i="13"/>
  <c r="O190" i="13"/>
  <c r="G190" i="13"/>
  <c r="N190" i="13"/>
  <c r="F190" i="13"/>
  <c r="M190" i="13"/>
  <c r="E190" i="13"/>
  <c r="L190" i="13"/>
  <c r="D190" i="13"/>
  <c r="K190" i="13"/>
  <c r="C190" i="13"/>
  <c r="J190" i="13"/>
  <c r="B47" i="19"/>
  <c r="B44" i="17"/>
  <c r="N50" i="13"/>
  <c r="F50" i="13"/>
  <c r="M50" i="13"/>
  <c r="E50" i="13"/>
  <c r="L50" i="13"/>
  <c r="D50" i="13"/>
  <c r="K50" i="13"/>
  <c r="C50" i="13"/>
  <c r="J50" i="13"/>
  <c r="Q50" i="13"/>
  <c r="I50" i="13"/>
  <c r="A50" i="13"/>
  <c r="P50" i="13"/>
  <c r="H50" i="13"/>
  <c r="O50" i="13"/>
  <c r="G50" i="13"/>
  <c r="Q79" i="20"/>
  <c r="I79" i="20"/>
  <c r="A79" i="20"/>
  <c r="P79" i="20"/>
  <c r="H79" i="20"/>
  <c r="O79" i="20"/>
  <c r="G79" i="20"/>
  <c r="N79" i="20"/>
  <c r="F79" i="20"/>
  <c r="M79" i="20"/>
  <c r="E79" i="20"/>
  <c r="S79" i="20"/>
  <c r="K79" i="20"/>
  <c r="C79" i="20"/>
  <c r="L79" i="20"/>
  <c r="J79" i="20"/>
  <c r="D79" i="20"/>
  <c r="R79" i="20"/>
  <c r="R39" i="20"/>
  <c r="J39" i="20"/>
  <c r="Q39" i="20"/>
  <c r="I39" i="20"/>
  <c r="A39" i="20"/>
  <c r="P39" i="20"/>
  <c r="H39" i="20"/>
  <c r="O39" i="20"/>
  <c r="G39" i="20"/>
  <c r="N39" i="20"/>
  <c r="F39" i="20"/>
  <c r="L39" i="20"/>
  <c r="D39" i="20"/>
  <c r="S39" i="20"/>
  <c r="M39" i="20"/>
  <c r="E39" i="20"/>
  <c r="K39" i="20"/>
  <c r="C39" i="20"/>
  <c r="B62" i="19"/>
  <c r="B59" i="17"/>
  <c r="O65" i="13"/>
  <c r="G65" i="13"/>
  <c r="N65" i="13"/>
  <c r="F65" i="13"/>
  <c r="M65" i="13"/>
  <c r="E65" i="13"/>
  <c r="L65" i="13"/>
  <c r="D65" i="13"/>
  <c r="K65" i="13"/>
  <c r="C65" i="13"/>
  <c r="J65" i="13"/>
  <c r="Q65" i="13"/>
  <c r="I65" i="13"/>
  <c r="A65" i="13"/>
  <c r="P65" i="13"/>
  <c r="H65" i="13"/>
  <c r="O109" i="20"/>
  <c r="G109" i="20"/>
  <c r="N109" i="20"/>
  <c r="F109" i="20"/>
  <c r="M109" i="20"/>
  <c r="E109" i="20"/>
  <c r="L109" i="20"/>
  <c r="D109" i="20"/>
  <c r="S109" i="20"/>
  <c r="K109" i="20"/>
  <c r="C109" i="20"/>
  <c r="Q109" i="20"/>
  <c r="I109" i="20"/>
  <c r="A109" i="20"/>
  <c r="R109" i="20"/>
  <c r="P109" i="20"/>
  <c r="J109" i="20"/>
  <c r="H109" i="20"/>
  <c r="O85" i="20"/>
  <c r="G85" i="20"/>
  <c r="N85" i="20"/>
  <c r="F85" i="20"/>
  <c r="M85" i="20"/>
  <c r="E85" i="20"/>
  <c r="L85" i="20"/>
  <c r="D85" i="20"/>
  <c r="S85" i="20"/>
  <c r="K85" i="20"/>
  <c r="C85" i="20"/>
  <c r="Q85" i="20"/>
  <c r="I85" i="20"/>
  <c r="A85" i="20"/>
  <c r="R85" i="20"/>
  <c r="P85" i="20"/>
  <c r="J85" i="20"/>
  <c r="H85" i="20"/>
  <c r="R68" i="20"/>
  <c r="J68" i="20"/>
  <c r="Q68" i="20"/>
  <c r="I68" i="20"/>
  <c r="A68" i="20"/>
  <c r="P68" i="20"/>
  <c r="H68" i="20"/>
  <c r="O68" i="20"/>
  <c r="G68" i="20"/>
  <c r="N68" i="20"/>
  <c r="F68" i="20"/>
  <c r="L68" i="20"/>
  <c r="D68" i="20"/>
  <c r="S68" i="20"/>
  <c r="M68" i="20"/>
  <c r="E68" i="20"/>
  <c r="K68" i="20"/>
  <c r="C68" i="20"/>
  <c r="B65" i="19"/>
  <c r="B62" i="17"/>
  <c r="Q68" i="13"/>
  <c r="I68" i="13"/>
  <c r="A68" i="13"/>
  <c r="P68" i="13"/>
  <c r="H68" i="13"/>
  <c r="O68" i="13"/>
  <c r="G68" i="13"/>
  <c r="N68" i="13"/>
  <c r="F68" i="13"/>
  <c r="L68" i="13"/>
  <c r="K68" i="13"/>
  <c r="J68" i="13"/>
  <c r="E68" i="13"/>
  <c r="D68" i="13"/>
  <c r="C68" i="13"/>
  <c r="M68" i="13"/>
  <c r="B180" i="19"/>
  <c r="B177" i="17"/>
  <c r="P183" i="13"/>
  <c r="H183" i="13"/>
  <c r="O183" i="13"/>
  <c r="G183" i="13"/>
  <c r="N183" i="13"/>
  <c r="F183" i="13"/>
  <c r="M183" i="13"/>
  <c r="E183" i="13"/>
  <c r="L183" i="13"/>
  <c r="D183" i="13"/>
  <c r="K183" i="13"/>
  <c r="C183" i="13"/>
  <c r="J183" i="13"/>
  <c r="Q183" i="13"/>
  <c r="I183" i="13"/>
  <c r="A183" i="13"/>
  <c r="B244" i="19"/>
  <c r="B241" i="17"/>
  <c r="P247" i="13"/>
  <c r="H247" i="13"/>
  <c r="O247" i="13"/>
  <c r="G247" i="13"/>
  <c r="N247" i="13"/>
  <c r="F247" i="13"/>
  <c r="M247" i="13"/>
  <c r="E247" i="13"/>
  <c r="L247" i="13"/>
  <c r="D247" i="13"/>
  <c r="K247" i="13"/>
  <c r="C247" i="13"/>
  <c r="J247" i="13"/>
  <c r="Q247" i="13"/>
  <c r="I247" i="13"/>
  <c r="A247" i="13"/>
  <c r="B69" i="19"/>
  <c r="B66" i="17"/>
  <c r="O72" i="13"/>
  <c r="G72" i="13"/>
  <c r="M72" i="13"/>
  <c r="E72" i="13"/>
  <c r="L72" i="13"/>
  <c r="D72" i="13"/>
  <c r="K72" i="13"/>
  <c r="C72" i="13"/>
  <c r="J72" i="13"/>
  <c r="H72" i="13"/>
  <c r="F72" i="13"/>
  <c r="A72" i="13"/>
  <c r="Q72" i="13"/>
  <c r="P72" i="13"/>
  <c r="N72" i="13"/>
  <c r="I72" i="13"/>
  <c r="B133" i="19"/>
  <c r="B130" i="17"/>
  <c r="O136" i="13"/>
  <c r="G136" i="13"/>
  <c r="N136" i="13"/>
  <c r="F136" i="13"/>
  <c r="M136" i="13"/>
  <c r="E136" i="13"/>
  <c r="L136" i="13"/>
  <c r="D136" i="13"/>
  <c r="K136" i="13"/>
  <c r="C136" i="13"/>
  <c r="J136" i="13"/>
  <c r="Q136" i="13"/>
  <c r="P136" i="13"/>
  <c r="I136" i="13"/>
  <c r="H136" i="13"/>
  <c r="A136" i="13"/>
  <c r="B197" i="19"/>
  <c r="B194" i="17"/>
  <c r="O200" i="13"/>
  <c r="G200" i="13"/>
  <c r="N200" i="13"/>
  <c r="F200" i="13"/>
  <c r="M200" i="13"/>
  <c r="E200" i="13"/>
  <c r="L200" i="13"/>
  <c r="D200" i="13"/>
  <c r="K200" i="13"/>
  <c r="C200" i="13"/>
  <c r="J200" i="13"/>
  <c r="Q200" i="13"/>
  <c r="I200" i="13"/>
  <c r="A200" i="13"/>
  <c r="P200" i="13"/>
  <c r="H200" i="13"/>
  <c r="B261" i="19"/>
  <c r="B258" i="17"/>
  <c r="O264" i="13"/>
  <c r="G264" i="13"/>
  <c r="N264" i="13"/>
  <c r="F264" i="13"/>
  <c r="M264" i="13"/>
  <c r="E264" i="13"/>
  <c r="L264" i="13"/>
  <c r="D264" i="13"/>
  <c r="K264" i="13"/>
  <c r="C264" i="13"/>
  <c r="J264" i="13"/>
  <c r="Q264" i="13"/>
  <c r="I264" i="13"/>
  <c r="A264" i="13"/>
  <c r="P264" i="13"/>
  <c r="H264" i="13"/>
  <c r="B86" i="19"/>
  <c r="B83" i="17"/>
  <c r="N89" i="13"/>
  <c r="F89" i="13"/>
  <c r="L89" i="13"/>
  <c r="D89" i="13"/>
  <c r="K89" i="13"/>
  <c r="C89" i="13"/>
  <c r="J89" i="13"/>
  <c r="Q89" i="13"/>
  <c r="I89" i="13"/>
  <c r="A89" i="13"/>
  <c r="P89" i="13"/>
  <c r="O89" i="13"/>
  <c r="M89" i="13"/>
  <c r="H89" i="13"/>
  <c r="G89" i="13"/>
  <c r="E89" i="13"/>
  <c r="B150" i="19"/>
  <c r="B147" i="17"/>
  <c r="N153" i="13"/>
  <c r="F153" i="13"/>
  <c r="M153" i="13"/>
  <c r="E153" i="13"/>
  <c r="L153" i="13"/>
  <c r="D153" i="13"/>
  <c r="K153" i="13"/>
  <c r="C153" i="13"/>
  <c r="J153" i="13"/>
  <c r="Q153" i="13"/>
  <c r="I153" i="13"/>
  <c r="A153" i="13"/>
  <c r="P153" i="13"/>
  <c r="O153" i="13"/>
  <c r="H153" i="13"/>
  <c r="G153" i="13"/>
  <c r="B214" i="19"/>
  <c r="B211" i="17"/>
  <c r="N217" i="13"/>
  <c r="F217" i="13"/>
  <c r="M217" i="13"/>
  <c r="E217" i="13"/>
  <c r="L217" i="13"/>
  <c r="D217" i="13"/>
  <c r="K217" i="13"/>
  <c r="C217" i="13"/>
  <c r="J217" i="13"/>
  <c r="Q217" i="13"/>
  <c r="I217" i="13"/>
  <c r="A217" i="13"/>
  <c r="P217" i="13"/>
  <c r="H217" i="13"/>
  <c r="O217" i="13"/>
  <c r="G217" i="13"/>
  <c r="B278" i="19"/>
  <c r="B275" i="17"/>
  <c r="N281" i="13"/>
  <c r="F281" i="13"/>
  <c r="M281" i="13"/>
  <c r="E281" i="13"/>
  <c r="L281" i="13"/>
  <c r="D281" i="13"/>
  <c r="K281" i="13"/>
  <c r="C281" i="13"/>
  <c r="J281" i="13"/>
  <c r="Q281" i="13"/>
  <c r="I281" i="13"/>
  <c r="A281" i="13"/>
  <c r="P281" i="13"/>
  <c r="H281" i="13"/>
  <c r="O281" i="13"/>
  <c r="G281" i="13"/>
  <c r="B103" i="19"/>
  <c r="B100" i="17"/>
  <c r="M106" i="13"/>
  <c r="E106" i="13"/>
  <c r="L106" i="13"/>
  <c r="D106" i="13"/>
  <c r="K106" i="13"/>
  <c r="C106" i="13"/>
  <c r="J106" i="13"/>
  <c r="Q106" i="13"/>
  <c r="I106" i="13"/>
  <c r="A106" i="13"/>
  <c r="P106" i="13"/>
  <c r="H106" i="13"/>
  <c r="O106" i="13"/>
  <c r="N106" i="13"/>
  <c r="G106" i="13"/>
  <c r="F106" i="13"/>
  <c r="B167" i="19"/>
  <c r="B164" i="17"/>
  <c r="M170" i="13"/>
  <c r="E170" i="13"/>
  <c r="L170" i="13"/>
  <c r="D170" i="13"/>
  <c r="K170" i="13"/>
  <c r="C170" i="13"/>
  <c r="J170" i="13"/>
  <c r="Q170" i="13"/>
  <c r="I170" i="13"/>
  <c r="A170" i="13"/>
  <c r="P170" i="13"/>
  <c r="H170" i="13"/>
  <c r="O170" i="13"/>
  <c r="N170" i="13"/>
  <c r="G170" i="13"/>
  <c r="F170" i="13"/>
  <c r="B231" i="19"/>
  <c r="B228" i="17"/>
  <c r="M234" i="13"/>
  <c r="E234" i="13"/>
  <c r="L234" i="13"/>
  <c r="D234" i="13"/>
  <c r="K234" i="13"/>
  <c r="C234" i="13"/>
  <c r="J234" i="13"/>
  <c r="Q234" i="13"/>
  <c r="I234" i="13"/>
  <c r="A234" i="13"/>
  <c r="P234" i="13"/>
  <c r="H234" i="13"/>
  <c r="O234" i="13"/>
  <c r="G234" i="13"/>
  <c r="N234" i="13"/>
  <c r="F234" i="13"/>
  <c r="B295" i="19"/>
  <c r="B292" i="17"/>
  <c r="M298" i="13"/>
  <c r="E298" i="13"/>
  <c r="L298" i="13"/>
  <c r="D298" i="13"/>
  <c r="K298" i="13"/>
  <c r="C298" i="13"/>
  <c r="J298" i="13"/>
  <c r="Q298" i="13"/>
  <c r="I298" i="13"/>
  <c r="A298" i="13"/>
  <c r="P298" i="13"/>
  <c r="H298" i="13"/>
  <c r="O298" i="13"/>
  <c r="G298" i="13"/>
  <c r="N298" i="13"/>
  <c r="F298" i="13"/>
  <c r="B112" i="19"/>
  <c r="B109" i="17"/>
  <c r="L115" i="13"/>
  <c r="D115" i="13"/>
  <c r="K115" i="13"/>
  <c r="C115" i="13"/>
  <c r="J115" i="13"/>
  <c r="Q115" i="13"/>
  <c r="I115" i="13"/>
  <c r="A115" i="13"/>
  <c r="P115" i="13"/>
  <c r="H115" i="13"/>
  <c r="O115" i="13"/>
  <c r="G115" i="13"/>
  <c r="N115" i="13"/>
  <c r="M115" i="13"/>
  <c r="F115" i="13"/>
  <c r="E115" i="13"/>
  <c r="B176" i="19"/>
  <c r="B173" i="17"/>
  <c r="L179" i="13"/>
  <c r="D179" i="13"/>
  <c r="K179" i="13"/>
  <c r="C179" i="13"/>
  <c r="J179" i="13"/>
  <c r="Q179" i="13"/>
  <c r="I179" i="13"/>
  <c r="A179" i="13"/>
  <c r="P179" i="13"/>
  <c r="H179" i="13"/>
  <c r="O179" i="13"/>
  <c r="G179" i="13"/>
  <c r="N179" i="13"/>
  <c r="F179" i="13"/>
  <c r="M179" i="13"/>
  <c r="E179" i="13"/>
  <c r="B240" i="19"/>
  <c r="B237" i="17"/>
  <c r="L243" i="13"/>
  <c r="D243" i="13"/>
  <c r="K243" i="13"/>
  <c r="C243" i="13"/>
  <c r="J243" i="13"/>
  <c r="Q243" i="13"/>
  <c r="I243" i="13"/>
  <c r="A243" i="13"/>
  <c r="P243" i="13"/>
  <c r="H243" i="13"/>
  <c r="O243" i="13"/>
  <c r="G243" i="13"/>
  <c r="N243" i="13"/>
  <c r="F243" i="13"/>
  <c r="M243" i="13"/>
  <c r="E243" i="13"/>
  <c r="B304" i="19"/>
  <c r="B301" i="17"/>
  <c r="L307" i="13"/>
  <c r="D307" i="13"/>
  <c r="K307" i="13"/>
  <c r="C307" i="13"/>
  <c r="J307" i="13"/>
  <c r="Q307" i="13"/>
  <c r="I307" i="13"/>
  <c r="A307" i="13"/>
  <c r="P307" i="13"/>
  <c r="H307" i="13"/>
  <c r="O307" i="13"/>
  <c r="G307" i="13"/>
  <c r="N307" i="13"/>
  <c r="F307" i="13"/>
  <c r="M307" i="13"/>
  <c r="E307" i="13"/>
  <c r="B161" i="19"/>
  <c r="B158" i="17"/>
  <c r="K164" i="13"/>
  <c r="C164" i="13"/>
  <c r="J164" i="13"/>
  <c r="Q164" i="13"/>
  <c r="I164" i="13"/>
  <c r="A164" i="13"/>
  <c r="P164" i="13"/>
  <c r="H164" i="13"/>
  <c r="O164" i="13"/>
  <c r="G164" i="13"/>
  <c r="N164" i="13"/>
  <c r="F164" i="13"/>
  <c r="M164" i="13"/>
  <c r="L164" i="13"/>
  <c r="E164" i="13"/>
  <c r="D164" i="13"/>
  <c r="B225" i="19"/>
  <c r="B222" i="17"/>
  <c r="K228" i="13"/>
  <c r="C228" i="13"/>
  <c r="J228" i="13"/>
  <c r="Q228" i="13"/>
  <c r="I228" i="13"/>
  <c r="A228" i="13"/>
  <c r="P228" i="13"/>
  <c r="H228" i="13"/>
  <c r="O228" i="13"/>
  <c r="G228" i="13"/>
  <c r="N228" i="13"/>
  <c r="F228" i="13"/>
  <c r="M228" i="13"/>
  <c r="E228" i="13"/>
  <c r="L228" i="13"/>
  <c r="D228" i="13"/>
  <c r="B289" i="19"/>
  <c r="B286" i="17"/>
  <c r="K292" i="13"/>
  <c r="C292" i="13"/>
  <c r="J292" i="13"/>
  <c r="Q292" i="13"/>
  <c r="I292" i="13"/>
  <c r="A292" i="13"/>
  <c r="P292" i="13"/>
  <c r="H292" i="13"/>
  <c r="O292" i="13"/>
  <c r="G292" i="13"/>
  <c r="N292" i="13"/>
  <c r="F292" i="13"/>
  <c r="M292" i="13"/>
  <c r="E292" i="13"/>
  <c r="L292" i="13"/>
  <c r="D292" i="13"/>
  <c r="B106" i="19"/>
  <c r="B103" i="17"/>
  <c r="J109" i="13"/>
  <c r="Q109" i="13"/>
  <c r="I109" i="13"/>
  <c r="A109" i="13"/>
  <c r="P109" i="13"/>
  <c r="H109" i="13"/>
  <c r="O109" i="13"/>
  <c r="G109" i="13"/>
  <c r="N109" i="13"/>
  <c r="F109" i="13"/>
  <c r="M109" i="13"/>
  <c r="E109" i="13"/>
  <c r="C109" i="13"/>
  <c r="L109" i="13"/>
  <c r="K109" i="13"/>
  <c r="D109" i="13"/>
  <c r="B170" i="19"/>
  <c r="B167" i="17"/>
  <c r="J173" i="13"/>
  <c r="Q173" i="13"/>
  <c r="I173" i="13"/>
  <c r="A173" i="13"/>
  <c r="P173" i="13"/>
  <c r="H173" i="13"/>
  <c r="O173" i="13"/>
  <c r="G173" i="13"/>
  <c r="N173" i="13"/>
  <c r="F173" i="13"/>
  <c r="M173" i="13"/>
  <c r="E173" i="13"/>
  <c r="C173" i="13"/>
  <c r="L173" i="13"/>
  <c r="K173" i="13"/>
  <c r="D173" i="13"/>
  <c r="B234" i="19"/>
  <c r="B231" i="17"/>
  <c r="J237" i="13"/>
  <c r="Q237" i="13"/>
  <c r="I237" i="13"/>
  <c r="A237" i="13"/>
  <c r="P237" i="13"/>
  <c r="H237" i="13"/>
  <c r="O237" i="13"/>
  <c r="G237" i="13"/>
  <c r="N237" i="13"/>
  <c r="F237" i="13"/>
  <c r="M237" i="13"/>
  <c r="E237" i="13"/>
  <c r="L237" i="13"/>
  <c r="D237" i="13"/>
  <c r="C237" i="13"/>
  <c r="K237" i="13"/>
  <c r="B298" i="19"/>
  <c r="B295" i="17"/>
  <c r="J301" i="13"/>
  <c r="Q301" i="13"/>
  <c r="I301" i="13"/>
  <c r="A301" i="13"/>
  <c r="P301" i="13"/>
  <c r="H301" i="13"/>
  <c r="O301" i="13"/>
  <c r="G301" i="13"/>
  <c r="N301" i="13"/>
  <c r="F301" i="13"/>
  <c r="M301" i="13"/>
  <c r="E301" i="13"/>
  <c r="L301" i="13"/>
  <c r="D301" i="13"/>
  <c r="C301" i="13"/>
  <c r="K301" i="13"/>
  <c r="B67" i="19"/>
  <c r="B64" i="17"/>
  <c r="Q70" i="13"/>
  <c r="I70" i="13"/>
  <c r="A70" i="13"/>
  <c r="O70" i="13"/>
  <c r="G70" i="13"/>
  <c r="N70" i="13"/>
  <c r="F70" i="13"/>
  <c r="M70" i="13"/>
  <c r="E70" i="13"/>
  <c r="L70" i="13"/>
  <c r="D70" i="13"/>
  <c r="P70" i="13"/>
  <c r="K70" i="13"/>
  <c r="J70" i="13"/>
  <c r="H70" i="13"/>
  <c r="C70" i="13"/>
  <c r="L980" i="18"/>
  <c r="J980" i="18"/>
  <c r="K925" i="18"/>
  <c r="I925" i="18"/>
  <c r="H503" i="18"/>
  <c r="I503" i="18" s="1"/>
  <c r="G503" i="18"/>
  <c r="K503" i="18" s="1"/>
  <c r="I741" i="18"/>
  <c r="J893" i="18"/>
  <c r="L893" i="18"/>
  <c r="I874" i="18"/>
  <c r="I491" i="18"/>
  <c r="G311" i="18"/>
  <c r="K311" i="18" s="1"/>
  <c r="H311" i="18"/>
  <c r="H354" i="18"/>
  <c r="I354" i="18" s="1"/>
  <c r="G354" i="18"/>
  <c r="K354" i="18" s="1"/>
  <c r="I481" i="18"/>
  <c r="J813" i="18"/>
  <c r="L813" i="18"/>
  <c r="G13" i="18"/>
  <c r="K13" i="18" s="1"/>
  <c r="J566" i="18"/>
  <c r="L566" i="18"/>
  <c r="I307" i="18"/>
  <c r="G62" i="18"/>
  <c r="K62" i="18" s="1"/>
  <c r="I41" i="18"/>
  <c r="L288" i="18"/>
  <c r="J288" i="18"/>
  <c r="I117" i="18"/>
  <c r="J31" i="18"/>
  <c r="L31" i="18"/>
  <c r="I581" i="18"/>
  <c r="I453" i="18"/>
  <c r="I844" i="18"/>
  <c r="I355" i="18"/>
  <c r="I195" i="18"/>
  <c r="L82" i="18"/>
  <c r="J82" i="18"/>
  <c r="J44" i="18"/>
  <c r="L44" i="18"/>
  <c r="I373" i="18"/>
  <c r="L226" i="18"/>
  <c r="J226" i="18"/>
  <c r="J55" i="18"/>
  <c r="L55" i="18"/>
  <c r="E11" i="16"/>
  <c r="D11" i="18" s="1"/>
  <c r="D11" i="16"/>
  <c r="L11" i="16"/>
  <c r="O61" i="20"/>
  <c r="G61" i="20"/>
  <c r="N61" i="20"/>
  <c r="F61" i="20"/>
  <c r="M61" i="20"/>
  <c r="E61" i="20"/>
  <c r="L61" i="20"/>
  <c r="D61" i="20"/>
  <c r="S61" i="20"/>
  <c r="K61" i="20"/>
  <c r="C61" i="20"/>
  <c r="Q61" i="20"/>
  <c r="I61" i="20"/>
  <c r="A61" i="20"/>
  <c r="R61" i="20"/>
  <c r="J61" i="20"/>
  <c r="P61" i="20"/>
  <c r="H61" i="20"/>
  <c r="Q297" i="20"/>
  <c r="I297" i="20"/>
  <c r="A297" i="20"/>
  <c r="P297" i="20"/>
  <c r="H297" i="20"/>
  <c r="N297" i="20"/>
  <c r="F297" i="20"/>
  <c r="L297" i="20"/>
  <c r="D297" i="20"/>
  <c r="J297" i="20"/>
  <c r="G297" i="20"/>
  <c r="S297" i="20"/>
  <c r="C297" i="20"/>
  <c r="O297" i="20"/>
  <c r="K297" i="20"/>
  <c r="R297" i="20"/>
  <c r="M297" i="20"/>
  <c r="E297" i="20"/>
  <c r="Q281" i="20"/>
  <c r="I281" i="20"/>
  <c r="A281" i="20"/>
  <c r="P281" i="20"/>
  <c r="H281" i="20"/>
  <c r="N281" i="20"/>
  <c r="F281" i="20"/>
  <c r="L281" i="20"/>
  <c r="D281" i="20"/>
  <c r="J281" i="20"/>
  <c r="G281" i="20"/>
  <c r="S281" i="20"/>
  <c r="C281" i="20"/>
  <c r="O281" i="20"/>
  <c r="K281" i="20"/>
  <c r="R281" i="20"/>
  <c r="M281" i="20"/>
  <c r="E281" i="20"/>
  <c r="R265" i="20"/>
  <c r="J265" i="20"/>
  <c r="Q265" i="20"/>
  <c r="I265" i="20"/>
  <c r="A265" i="20"/>
  <c r="O265" i="20"/>
  <c r="G265" i="20"/>
  <c r="M265" i="20"/>
  <c r="E265" i="20"/>
  <c r="S265" i="20"/>
  <c r="K265" i="20"/>
  <c r="C265" i="20"/>
  <c r="P265" i="20"/>
  <c r="N265" i="20"/>
  <c r="L265" i="20"/>
  <c r="F265" i="20"/>
  <c r="H265" i="20"/>
  <c r="D265" i="20"/>
  <c r="S209" i="20"/>
  <c r="K209" i="20"/>
  <c r="C209" i="20"/>
  <c r="R209" i="20"/>
  <c r="J209" i="20"/>
  <c r="Q209" i="20"/>
  <c r="I209" i="20"/>
  <c r="A209" i="20"/>
  <c r="O209" i="20"/>
  <c r="G209" i="20"/>
  <c r="E209" i="20"/>
  <c r="D209" i="20"/>
  <c r="P209" i="20"/>
  <c r="N209" i="20"/>
  <c r="M209" i="20"/>
  <c r="H209" i="20"/>
  <c r="L209" i="20"/>
  <c r="F209" i="20"/>
  <c r="Q63" i="20"/>
  <c r="I63" i="20"/>
  <c r="A63" i="20"/>
  <c r="P63" i="20"/>
  <c r="H63" i="20"/>
  <c r="O63" i="20"/>
  <c r="G63" i="20"/>
  <c r="N63" i="20"/>
  <c r="F63" i="20"/>
  <c r="M63" i="20"/>
  <c r="E63" i="20"/>
  <c r="S63" i="20"/>
  <c r="K63" i="20"/>
  <c r="C63" i="20"/>
  <c r="R63" i="20"/>
  <c r="L63" i="20"/>
  <c r="D63" i="20"/>
  <c r="J63" i="20"/>
  <c r="S113" i="20"/>
  <c r="K113" i="20"/>
  <c r="C113" i="20"/>
  <c r="R113" i="20"/>
  <c r="J113" i="20"/>
  <c r="Q113" i="20"/>
  <c r="I113" i="20"/>
  <c r="A113" i="20"/>
  <c r="P113" i="20"/>
  <c r="H113" i="20"/>
  <c r="O113" i="20"/>
  <c r="G113" i="20"/>
  <c r="M113" i="20"/>
  <c r="E113" i="20"/>
  <c r="N113" i="20"/>
  <c r="L113" i="20"/>
  <c r="F113" i="20"/>
  <c r="D113" i="20"/>
  <c r="N80" i="20"/>
  <c r="F80" i="20"/>
  <c r="M80" i="20"/>
  <c r="E80" i="20"/>
  <c r="L80" i="20"/>
  <c r="D80" i="20"/>
  <c r="S80" i="20"/>
  <c r="K80" i="20"/>
  <c r="C80" i="20"/>
  <c r="R80" i="20"/>
  <c r="J80" i="20"/>
  <c r="P80" i="20"/>
  <c r="H80" i="20"/>
  <c r="Q80" i="20"/>
  <c r="O80" i="20"/>
  <c r="I80" i="20"/>
  <c r="A80" i="20"/>
  <c r="G80" i="20"/>
  <c r="O117" i="20"/>
  <c r="G117" i="20"/>
  <c r="N117" i="20"/>
  <c r="F117" i="20"/>
  <c r="M117" i="20"/>
  <c r="E117" i="20"/>
  <c r="L117" i="20"/>
  <c r="D117" i="20"/>
  <c r="S117" i="20"/>
  <c r="K117" i="20"/>
  <c r="C117" i="20"/>
  <c r="Q117" i="20"/>
  <c r="I117" i="20"/>
  <c r="A117" i="20"/>
  <c r="R117" i="20"/>
  <c r="J117" i="20"/>
  <c r="P117" i="20"/>
  <c r="H117" i="20"/>
  <c r="I5" i="16"/>
  <c r="J5" i="16" s="1"/>
  <c r="L5" i="16" s="1"/>
  <c r="I21" i="16"/>
  <c r="J21" i="16" s="1"/>
  <c r="S137" i="20"/>
  <c r="K137" i="20"/>
  <c r="C137" i="20"/>
  <c r="R137" i="20"/>
  <c r="J137" i="20"/>
  <c r="Q137" i="20"/>
  <c r="I137" i="20"/>
  <c r="A137" i="20"/>
  <c r="P137" i="20"/>
  <c r="H137" i="20"/>
  <c r="O137" i="20"/>
  <c r="G137" i="20"/>
  <c r="M137" i="20"/>
  <c r="E137" i="20"/>
  <c r="F137" i="20"/>
  <c r="D137" i="20"/>
  <c r="N137" i="20"/>
  <c r="L137" i="20"/>
  <c r="B59" i="19"/>
  <c r="B56" i="17"/>
  <c r="J62" i="13"/>
  <c r="Q62" i="13"/>
  <c r="I62" i="13"/>
  <c r="A62" i="13"/>
  <c r="P62" i="13"/>
  <c r="H62" i="13"/>
  <c r="O62" i="13"/>
  <c r="G62" i="13"/>
  <c r="N62" i="13"/>
  <c r="F62" i="13"/>
  <c r="M62" i="13"/>
  <c r="E62" i="13"/>
  <c r="L62" i="13"/>
  <c r="D62" i="13"/>
  <c r="K62" i="13"/>
  <c r="C62" i="13"/>
  <c r="B50" i="19"/>
  <c r="B47" i="17"/>
  <c r="K53" i="13"/>
  <c r="C53" i="13"/>
  <c r="J53" i="13"/>
  <c r="Q53" i="13"/>
  <c r="I53" i="13"/>
  <c r="A53" i="13"/>
  <c r="P53" i="13"/>
  <c r="H53" i="13"/>
  <c r="O53" i="13"/>
  <c r="G53" i="13"/>
  <c r="N53" i="13"/>
  <c r="F53" i="13"/>
  <c r="M53" i="13"/>
  <c r="E53" i="13"/>
  <c r="L53" i="13"/>
  <c r="D53" i="13"/>
  <c r="B147" i="19"/>
  <c r="B144" i="17"/>
  <c r="Q150" i="13"/>
  <c r="I150" i="13"/>
  <c r="A150" i="13"/>
  <c r="P150" i="13"/>
  <c r="H150" i="13"/>
  <c r="O150" i="13"/>
  <c r="G150" i="13"/>
  <c r="N150" i="13"/>
  <c r="F150" i="13"/>
  <c r="M150" i="13"/>
  <c r="E150" i="13"/>
  <c r="L150" i="13"/>
  <c r="D150" i="13"/>
  <c r="J150" i="13"/>
  <c r="C150" i="13"/>
  <c r="K150" i="13"/>
  <c r="B17" i="19"/>
  <c r="B14" i="17"/>
  <c r="L20" i="13"/>
  <c r="D20" i="13"/>
  <c r="K20" i="13"/>
  <c r="C20" i="13"/>
  <c r="J20" i="13"/>
  <c r="Q20" i="13"/>
  <c r="I20" i="13"/>
  <c r="A20" i="13"/>
  <c r="P20" i="13"/>
  <c r="H20" i="13"/>
  <c r="O20" i="13"/>
  <c r="G20" i="13"/>
  <c r="N20" i="13"/>
  <c r="F20" i="13"/>
  <c r="M20" i="13"/>
  <c r="E20" i="13"/>
  <c r="B156" i="19"/>
  <c r="B153" i="17"/>
  <c r="P159" i="13"/>
  <c r="H159" i="13"/>
  <c r="O159" i="13"/>
  <c r="G159" i="13"/>
  <c r="N159" i="13"/>
  <c r="F159" i="13"/>
  <c r="M159" i="13"/>
  <c r="E159" i="13"/>
  <c r="L159" i="13"/>
  <c r="D159" i="13"/>
  <c r="K159" i="13"/>
  <c r="C159" i="13"/>
  <c r="Q159" i="13"/>
  <c r="J159" i="13"/>
  <c r="I159" i="13"/>
  <c r="A159" i="13"/>
  <c r="B24" i="19"/>
  <c r="B21" i="17"/>
  <c r="M27" i="13"/>
  <c r="E27" i="13"/>
  <c r="L27" i="13"/>
  <c r="D27" i="13"/>
  <c r="K27" i="13"/>
  <c r="C27" i="13"/>
  <c r="J27" i="13"/>
  <c r="Q27" i="13"/>
  <c r="I27" i="13"/>
  <c r="A27" i="13"/>
  <c r="P27" i="13"/>
  <c r="H27" i="13"/>
  <c r="O27" i="13"/>
  <c r="G27" i="13"/>
  <c r="N27" i="13"/>
  <c r="F27" i="13"/>
  <c r="B171" i="19"/>
  <c r="B168" i="17"/>
  <c r="Q174" i="13"/>
  <c r="I174" i="13"/>
  <c r="A174" i="13"/>
  <c r="P174" i="13"/>
  <c r="H174" i="13"/>
  <c r="O174" i="13"/>
  <c r="G174" i="13"/>
  <c r="N174" i="13"/>
  <c r="F174" i="13"/>
  <c r="M174" i="13"/>
  <c r="E174" i="13"/>
  <c r="L174" i="13"/>
  <c r="D174" i="13"/>
  <c r="K174" i="13"/>
  <c r="J174" i="13"/>
  <c r="C174" i="13"/>
  <c r="B39" i="19"/>
  <c r="B36" i="17"/>
  <c r="N42" i="13"/>
  <c r="F42" i="13"/>
  <c r="M42" i="13"/>
  <c r="E42" i="13"/>
  <c r="L42" i="13"/>
  <c r="D42" i="13"/>
  <c r="K42" i="13"/>
  <c r="C42" i="13"/>
  <c r="J42" i="13"/>
  <c r="Q42" i="13"/>
  <c r="I42" i="13"/>
  <c r="A42" i="13"/>
  <c r="P42" i="13"/>
  <c r="H42" i="13"/>
  <c r="O42" i="13"/>
  <c r="G42" i="13"/>
  <c r="B54" i="19"/>
  <c r="B51" i="17"/>
  <c r="O57" i="13"/>
  <c r="G57" i="13"/>
  <c r="N57" i="13"/>
  <c r="F57" i="13"/>
  <c r="M57" i="13"/>
  <c r="E57" i="13"/>
  <c r="L57" i="13"/>
  <c r="D57" i="13"/>
  <c r="K57" i="13"/>
  <c r="C57" i="13"/>
  <c r="J57" i="13"/>
  <c r="Q57" i="13"/>
  <c r="I57" i="13"/>
  <c r="A57" i="13"/>
  <c r="P57" i="13"/>
  <c r="H57" i="13"/>
  <c r="B61" i="19"/>
  <c r="B58" i="17"/>
  <c r="P64" i="13"/>
  <c r="H64" i="13"/>
  <c r="O64" i="13"/>
  <c r="G64" i="13"/>
  <c r="N64" i="13"/>
  <c r="F64" i="13"/>
  <c r="M64" i="13"/>
  <c r="E64" i="13"/>
  <c r="L64" i="13"/>
  <c r="D64" i="13"/>
  <c r="K64" i="13"/>
  <c r="C64" i="13"/>
  <c r="J64" i="13"/>
  <c r="Q64" i="13"/>
  <c r="I64" i="13"/>
  <c r="A64" i="13"/>
  <c r="B188" i="19"/>
  <c r="B185" i="17"/>
  <c r="P191" i="13"/>
  <c r="H191" i="13"/>
  <c r="O191" i="13"/>
  <c r="G191" i="13"/>
  <c r="N191" i="13"/>
  <c r="F191" i="13"/>
  <c r="M191" i="13"/>
  <c r="E191" i="13"/>
  <c r="L191" i="13"/>
  <c r="D191" i="13"/>
  <c r="K191" i="13"/>
  <c r="C191" i="13"/>
  <c r="J191" i="13"/>
  <c r="Q191" i="13"/>
  <c r="I191" i="13"/>
  <c r="A191" i="13"/>
  <c r="B252" i="19"/>
  <c r="B249" i="17"/>
  <c r="P255" i="13"/>
  <c r="H255" i="13"/>
  <c r="O255" i="13"/>
  <c r="G255" i="13"/>
  <c r="N255" i="13"/>
  <c r="F255" i="13"/>
  <c r="M255" i="13"/>
  <c r="E255" i="13"/>
  <c r="L255" i="13"/>
  <c r="D255" i="13"/>
  <c r="K255" i="13"/>
  <c r="C255" i="13"/>
  <c r="J255" i="13"/>
  <c r="Q255" i="13"/>
  <c r="I255" i="13"/>
  <c r="A255" i="13"/>
  <c r="B77" i="19"/>
  <c r="B74" i="17"/>
  <c r="O80" i="13"/>
  <c r="G80" i="13"/>
  <c r="M80" i="13"/>
  <c r="E80" i="13"/>
  <c r="L80" i="13"/>
  <c r="D80" i="13"/>
  <c r="K80" i="13"/>
  <c r="C80" i="13"/>
  <c r="J80" i="13"/>
  <c r="Q80" i="13"/>
  <c r="P80" i="13"/>
  <c r="N80" i="13"/>
  <c r="I80" i="13"/>
  <c r="H80" i="13"/>
  <c r="F80" i="13"/>
  <c r="A80" i="13"/>
  <c r="B141" i="19"/>
  <c r="B138" i="17"/>
  <c r="O144" i="13"/>
  <c r="G144" i="13"/>
  <c r="N144" i="13"/>
  <c r="F144" i="13"/>
  <c r="M144" i="13"/>
  <c r="E144" i="13"/>
  <c r="L144" i="13"/>
  <c r="D144" i="13"/>
  <c r="K144" i="13"/>
  <c r="C144" i="13"/>
  <c r="J144" i="13"/>
  <c r="P144" i="13"/>
  <c r="I144" i="13"/>
  <c r="H144" i="13"/>
  <c r="A144" i="13"/>
  <c r="Q144" i="13"/>
  <c r="B205" i="19"/>
  <c r="B202" i="17"/>
  <c r="O208" i="13"/>
  <c r="G208" i="13"/>
  <c r="N208" i="13"/>
  <c r="F208" i="13"/>
  <c r="M208" i="13"/>
  <c r="E208" i="13"/>
  <c r="L208" i="13"/>
  <c r="D208" i="13"/>
  <c r="K208" i="13"/>
  <c r="C208" i="13"/>
  <c r="J208" i="13"/>
  <c r="Q208" i="13"/>
  <c r="I208" i="13"/>
  <c r="A208" i="13"/>
  <c r="P208" i="13"/>
  <c r="H208" i="13"/>
  <c r="B269" i="19"/>
  <c r="B266" i="17"/>
  <c r="O272" i="13"/>
  <c r="G272" i="13"/>
  <c r="N272" i="13"/>
  <c r="F272" i="13"/>
  <c r="M272" i="13"/>
  <c r="E272" i="13"/>
  <c r="L272" i="13"/>
  <c r="D272" i="13"/>
  <c r="K272" i="13"/>
  <c r="C272" i="13"/>
  <c r="J272" i="13"/>
  <c r="Q272" i="13"/>
  <c r="I272" i="13"/>
  <c r="A272" i="13"/>
  <c r="P272" i="13"/>
  <c r="H272" i="13"/>
  <c r="B94" i="19"/>
  <c r="B91" i="17"/>
  <c r="N97" i="13"/>
  <c r="F97" i="13"/>
  <c r="L97" i="13"/>
  <c r="D97" i="13"/>
  <c r="K97" i="13"/>
  <c r="C97" i="13"/>
  <c r="J97" i="13"/>
  <c r="Q97" i="13"/>
  <c r="I97" i="13"/>
  <c r="A97" i="13"/>
  <c r="H97" i="13"/>
  <c r="G97" i="13"/>
  <c r="E97" i="13"/>
  <c r="P97" i="13"/>
  <c r="O97" i="13"/>
  <c r="M97" i="13"/>
  <c r="B158" i="19"/>
  <c r="B155" i="17"/>
  <c r="N161" i="13"/>
  <c r="F161" i="13"/>
  <c r="M161" i="13"/>
  <c r="E161" i="13"/>
  <c r="L161" i="13"/>
  <c r="D161" i="13"/>
  <c r="K161" i="13"/>
  <c r="C161" i="13"/>
  <c r="J161" i="13"/>
  <c r="Q161" i="13"/>
  <c r="I161" i="13"/>
  <c r="A161" i="13"/>
  <c r="O161" i="13"/>
  <c r="H161" i="13"/>
  <c r="G161" i="13"/>
  <c r="P161" i="13"/>
  <c r="B222" i="19"/>
  <c r="B219" i="17"/>
  <c r="N225" i="13"/>
  <c r="F225" i="13"/>
  <c r="M225" i="13"/>
  <c r="E225" i="13"/>
  <c r="L225" i="13"/>
  <c r="D225" i="13"/>
  <c r="K225" i="13"/>
  <c r="C225" i="13"/>
  <c r="J225" i="13"/>
  <c r="Q225" i="13"/>
  <c r="I225" i="13"/>
  <c r="A225" i="13"/>
  <c r="P225" i="13"/>
  <c r="H225" i="13"/>
  <c r="O225" i="13"/>
  <c r="G225" i="13"/>
  <c r="B286" i="19"/>
  <c r="B283" i="17"/>
  <c r="N289" i="13"/>
  <c r="F289" i="13"/>
  <c r="M289" i="13"/>
  <c r="E289" i="13"/>
  <c r="L289" i="13"/>
  <c r="D289" i="13"/>
  <c r="K289" i="13"/>
  <c r="C289" i="13"/>
  <c r="J289" i="13"/>
  <c r="Q289" i="13"/>
  <c r="I289" i="13"/>
  <c r="A289" i="13"/>
  <c r="P289" i="13"/>
  <c r="H289" i="13"/>
  <c r="O289" i="13"/>
  <c r="G289" i="13"/>
  <c r="B111" i="19"/>
  <c r="B108" i="17"/>
  <c r="M114" i="13"/>
  <c r="E114" i="13"/>
  <c r="L114" i="13"/>
  <c r="D114" i="13"/>
  <c r="K114" i="13"/>
  <c r="C114" i="13"/>
  <c r="J114" i="13"/>
  <c r="Q114" i="13"/>
  <c r="I114" i="13"/>
  <c r="A114" i="13"/>
  <c r="P114" i="13"/>
  <c r="H114" i="13"/>
  <c r="N114" i="13"/>
  <c r="G114" i="13"/>
  <c r="F114" i="13"/>
  <c r="O114" i="13"/>
  <c r="B175" i="19"/>
  <c r="B172" i="17"/>
  <c r="M178" i="13"/>
  <c r="E178" i="13"/>
  <c r="L178" i="13"/>
  <c r="D178" i="13"/>
  <c r="K178" i="13"/>
  <c r="C178" i="13"/>
  <c r="J178" i="13"/>
  <c r="Q178" i="13"/>
  <c r="I178" i="13"/>
  <c r="A178" i="13"/>
  <c r="P178" i="13"/>
  <c r="H178" i="13"/>
  <c r="O178" i="13"/>
  <c r="G178" i="13"/>
  <c r="N178" i="13"/>
  <c r="F178" i="13"/>
  <c r="B239" i="19"/>
  <c r="B236" i="17"/>
  <c r="M242" i="13"/>
  <c r="E242" i="13"/>
  <c r="L242" i="13"/>
  <c r="D242" i="13"/>
  <c r="K242" i="13"/>
  <c r="C242" i="13"/>
  <c r="J242" i="13"/>
  <c r="Q242" i="13"/>
  <c r="I242" i="13"/>
  <c r="A242" i="13"/>
  <c r="P242" i="13"/>
  <c r="H242" i="13"/>
  <c r="O242" i="13"/>
  <c r="G242" i="13"/>
  <c r="N242" i="13"/>
  <c r="F242" i="13"/>
  <c r="B303" i="19"/>
  <c r="B300" i="17"/>
  <c r="M306" i="13"/>
  <c r="E306" i="13"/>
  <c r="L306" i="13"/>
  <c r="D306" i="13"/>
  <c r="K306" i="13"/>
  <c r="C306" i="13"/>
  <c r="J306" i="13"/>
  <c r="Q306" i="13"/>
  <c r="I306" i="13"/>
  <c r="A306" i="13"/>
  <c r="P306" i="13"/>
  <c r="H306" i="13"/>
  <c r="O306" i="13"/>
  <c r="G306" i="13"/>
  <c r="N306" i="13"/>
  <c r="F306" i="13"/>
  <c r="B120" i="19"/>
  <c r="B117" i="17"/>
  <c r="L123" i="13"/>
  <c r="D123" i="13"/>
  <c r="K123" i="13"/>
  <c r="C123" i="13"/>
  <c r="J123" i="13"/>
  <c r="Q123" i="13"/>
  <c r="I123" i="13"/>
  <c r="A123" i="13"/>
  <c r="P123" i="13"/>
  <c r="H123" i="13"/>
  <c r="O123" i="13"/>
  <c r="G123" i="13"/>
  <c r="N123" i="13"/>
  <c r="M123" i="13"/>
  <c r="F123" i="13"/>
  <c r="E123" i="13"/>
  <c r="B184" i="19"/>
  <c r="B181" i="17"/>
  <c r="L187" i="13"/>
  <c r="D187" i="13"/>
  <c r="K187" i="13"/>
  <c r="C187" i="13"/>
  <c r="J187" i="13"/>
  <c r="Q187" i="13"/>
  <c r="I187" i="13"/>
  <c r="A187" i="13"/>
  <c r="P187" i="13"/>
  <c r="H187" i="13"/>
  <c r="O187" i="13"/>
  <c r="G187" i="13"/>
  <c r="N187" i="13"/>
  <c r="F187" i="13"/>
  <c r="M187" i="13"/>
  <c r="E187" i="13"/>
  <c r="B248" i="19"/>
  <c r="B245" i="17"/>
  <c r="L251" i="13"/>
  <c r="D251" i="13"/>
  <c r="K251" i="13"/>
  <c r="C251" i="13"/>
  <c r="J251" i="13"/>
  <c r="Q251" i="13"/>
  <c r="I251" i="13"/>
  <c r="A251" i="13"/>
  <c r="P251" i="13"/>
  <c r="H251" i="13"/>
  <c r="O251" i="13"/>
  <c r="G251" i="13"/>
  <c r="N251" i="13"/>
  <c r="F251" i="13"/>
  <c r="M251" i="13"/>
  <c r="E251" i="13"/>
  <c r="B105" i="19"/>
  <c r="B102" i="17"/>
  <c r="K108" i="13"/>
  <c r="C108" i="13"/>
  <c r="J108" i="13"/>
  <c r="Q108" i="13"/>
  <c r="I108" i="13"/>
  <c r="A108" i="13"/>
  <c r="P108" i="13"/>
  <c r="H108" i="13"/>
  <c r="O108" i="13"/>
  <c r="G108" i="13"/>
  <c r="N108" i="13"/>
  <c r="F108" i="13"/>
  <c r="M108" i="13"/>
  <c r="L108" i="13"/>
  <c r="E108" i="13"/>
  <c r="D108" i="13"/>
  <c r="B169" i="19"/>
  <c r="B166" i="17"/>
  <c r="K172" i="13"/>
  <c r="C172" i="13"/>
  <c r="J172" i="13"/>
  <c r="Q172" i="13"/>
  <c r="I172" i="13"/>
  <c r="A172" i="13"/>
  <c r="P172" i="13"/>
  <c r="H172" i="13"/>
  <c r="O172" i="13"/>
  <c r="G172" i="13"/>
  <c r="N172" i="13"/>
  <c r="F172" i="13"/>
  <c r="M172" i="13"/>
  <c r="L172" i="13"/>
  <c r="E172" i="13"/>
  <c r="D172" i="13"/>
  <c r="B233" i="19"/>
  <c r="B230" i="17"/>
  <c r="K236" i="13"/>
  <c r="C236" i="13"/>
  <c r="J236" i="13"/>
  <c r="Q236" i="13"/>
  <c r="I236" i="13"/>
  <c r="A236" i="13"/>
  <c r="P236" i="13"/>
  <c r="H236" i="13"/>
  <c r="O236" i="13"/>
  <c r="G236" i="13"/>
  <c r="N236" i="13"/>
  <c r="F236" i="13"/>
  <c r="M236" i="13"/>
  <c r="E236" i="13"/>
  <c r="L236" i="13"/>
  <c r="D236" i="13"/>
  <c r="B297" i="19"/>
  <c r="B294" i="17"/>
  <c r="K300" i="13"/>
  <c r="C300" i="13"/>
  <c r="J300" i="13"/>
  <c r="Q300" i="13"/>
  <c r="I300" i="13"/>
  <c r="A300" i="13"/>
  <c r="P300" i="13"/>
  <c r="H300" i="13"/>
  <c r="O300" i="13"/>
  <c r="G300" i="13"/>
  <c r="N300" i="13"/>
  <c r="F300" i="13"/>
  <c r="M300" i="13"/>
  <c r="E300" i="13"/>
  <c r="L300" i="13"/>
  <c r="D300" i="13"/>
  <c r="B114" i="19"/>
  <c r="B111" i="17"/>
  <c r="J117" i="13"/>
  <c r="Q117" i="13"/>
  <c r="I117" i="13"/>
  <c r="A117" i="13"/>
  <c r="P117" i="13"/>
  <c r="H117" i="13"/>
  <c r="O117" i="13"/>
  <c r="G117" i="13"/>
  <c r="N117" i="13"/>
  <c r="F117" i="13"/>
  <c r="M117" i="13"/>
  <c r="E117" i="13"/>
  <c r="L117" i="13"/>
  <c r="K117" i="13"/>
  <c r="D117" i="13"/>
  <c r="C117" i="13"/>
  <c r="B178" i="19"/>
  <c r="B175" i="17"/>
  <c r="J181" i="13"/>
  <c r="Q181" i="13"/>
  <c r="I181" i="13"/>
  <c r="A181" i="13"/>
  <c r="P181" i="13"/>
  <c r="H181" i="13"/>
  <c r="O181" i="13"/>
  <c r="G181" i="13"/>
  <c r="N181" i="13"/>
  <c r="F181" i="13"/>
  <c r="M181" i="13"/>
  <c r="E181" i="13"/>
  <c r="L181" i="13"/>
  <c r="D181" i="13"/>
  <c r="K181" i="13"/>
  <c r="C181" i="13"/>
  <c r="B242" i="19"/>
  <c r="B239" i="17"/>
  <c r="J245" i="13"/>
  <c r="Q245" i="13"/>
  <c r="I245" i="13"/>
  <c r="A245" i="13"/>
  <c r="P245" i="13"/>
  <c r="H245" i="13"/>
  <c r="O245" i="13"/>
  <c r="G245" i="13"/>
  <c r="N245" i="13"/>
  <c r="F245" i="13"/>
  <c r="M245" i="13"/>
  <c r="E245" i="13"/>
  <c r="L245" i="13"/>
  <c r="D245" i="13"/>
  <c r="K245" i="13"/>
  <c r="C245" i="13"/>
  <c r="B306" i="19"/>
  <c r="B303" i="17"/>
  <c r="J309" i="13"/>
  <c r="Q309" i="13"/>
  <c r="I309" i="13"/>
  <c r="A309" i="13"/>
  <c r="P309" i="13"/>
  <c r="H309" i="13"/>
  <c r="O309" i="13"/>
  <c r="G309" i="13"/>
  <c r="N309" i="13"/>
  <c r="F309" i="13"/>
  <c r="M309" i="13"/>
  <c r="E309" i="13"/>
  <c r="L309" i="13"/>
  <c r="D309" i="13"/>
  <c r="K309" i="13"/>
  <c r="C309" i="13"/>
  <c r="R23" i="20"/>
  <c r="J23" i="20"/>
  <c r="Q23" i="20"/>
  <c r="I23" i="20"/>
  <c r="A23" i="20"/>
  <c r="P23" i="20"/>
  <c r="H23" i="20"/>
  <c r="O23" i="20"/>
  <c r="G23" i="20"/>
  <c r="N23" i="20"/>
  <c r="F23" i="20"/>
  <c r="L23" i="20"/>
  <c r="D23" i="20"/>
  <c r="M23" i="20"/>
  <c r="K23" i="20"/>
  <c r="E23" i="20"/>
  <c r="C23" i="20"/>
  <c r="S23" i="20"/>
  <c r="B60" i="19"/>
  <c r="B57" i="17"/>
  <c r="Q63" i="13"/>
  <c r="I63" i="13"/>
  <c r="A63" i="13"/>
  <c r="P63" i="13"/>
  <c r="H63" i="13"/>
  <c r="O63" i="13"/>
  <c r="G63" i="13"/>
  <c r="N63" i="13"/>
  <c r="F63" i="13"/>
  <c r="M63" i="13"/>
  <c r="E63" i="13"/>
  <c r="L63" i="13"/>
  <c r="D63" i="13"/>
  <c r="K63" i="13"/>
  <c r="C63" i="13"/>
  <c r="J63" i="13"/>
  <c r="H439" i="18"/>
  <c r="G439" i="18"/>
  <c r="K439" i="18" s="1"/>
  <c r="J633" i="18"/>
  <c r="L633" i="18"/>
  <c r="L476" i="18"/>
  <c r="J476" i="18"/>
  <c r="L396" i="18"/>
  <c r="J396" i="18"/>
  <c r="L751" i="18"/>
  <c r="J751" i="18"/>
  <c r="J425" i="18"/>
  <c r="L425" i="18"/>
  <c r="I810" i="18"/>
  <c r="J326" i="18"/>
  <c r="L326" i="18"/>
  <c r="L244" i="18"/>
  <c r="J244" i="18"/>
  <c r="G999" i="18"/>
  <c r="K999" i="18" s="1"/>
  <c r="H999" i="18"/>
  <c r="H935" i="18"/>
  <c r="I935" i="18" s="1"/>
  <c r="G935" i="18"/>
  <c r="K935" i="18" s="1"/>
  <c r="H946" i="18"/>
  <c r="I946" i="18" s="1"/>
  <c r="G946" i="18"/>
  <c r="K946" i="18" s="1"/>
  <c r="L956" i="18"/>
  <c r="J956" i="18"/>
  <c r="I957" i="18"/>
  <c r="I934" i="18"/>
  <c r="I917" i="18"/>
  <c r="I886" i="18"/>
  <c r="I822" i="18"/>
  <c r="I958" i="18"/>
  <c r="I973" i="18"/>
  <c r="G910" i="18"/>
  <c r="K910" i="18" s="1"/>
  <c r="G894" i="18"/>
  <c r="K894" i="18" s="1"/>
  <c r="G878" i="18"/>
  <c r="K878" i="18" s="1"/>
  <c r="G862" i="18"/>
  <c r="K862" i="18" s="1"/>
  <c r="G846" i="18"/>
  <c r="K846" i="18" s="1"/>
  <c r="G830" i="18"/>
  <c r="K830" i="18" s="1"/>
  <c r="G814" i="18"/>
  <c r="K814" i="18" s="1"/>
  <c r="G798" i="18"/>
  <c r="K798" i="18" s="1"/>
  <c r="G804" i="18"/>
  <c r="K804" i="18" s="1"/>
  <c r="G788" i="18"/>
  <c r="K788" i="18" s="1"/>
  <c r="I774" i="18"/>
  <c r="G687" i="18"/>
  <c r="K687" i="18" s="1"/>
  <c r="H687" i="18"/>
  <c r="G623" i="18"/>
  <c r="K623" i="18" s="1"/>
  <c r="H623" i="18"/>
  <c r="G559" i="18"/>
  <c r="K559" i="18" s="1"/>
  <c r="H559" i="18"/>
  <c r="H495" i="18"/>
  <c r="I495" i="18" s="1"/>
  <c r="G495" i="18"/>
  <c r="K495" i="18" s="1"/>
  <c r="H431" i="18"/>
  <c r="I431" i="18" s="1"/>
  <c r="G431" i="18"/>
  <c r="K431" i="18" s="1"/>
  <c r="I821" i="18"/>
  <c r="L771" i="18"/>
  <c r="J771" i="18"/>
  <c r="J651" i="18"/>
  <c r="L651" i="18"/>
  <c r="J619" i="18"/>
  <c r="L619" i="18"/>
  <c r="J587" i="18"/>
  <c r="L587" i="18"/>
  <c r="K691" i="18"/>
  <c r="I776" i="18"/>
  <c r="J657" i="18"/>
  <c r="L657" i="18"/>
  <c r="J593" i="18"/>
  <c r="L593" i="18"/>
  <c r="J497" i="18"/>
  <c r="L497" i="18"/>
  <c r="I812" i="18"/>
  <c r="L716" i="18"/>
  <c r="J716" i="18"/>
  <c r="L684" i="18"/>
  <c r="J684" i="18"/>
  <c r="L652" i="18"/>
  <c r="J652" i="18"/>
  <c r="L620" i="18"/>
  <c r="J620" i="18"/>
  <c r="L588" i="18"/>
  <c r="J588" i="18"/>
  <c r="L564" i="18"/>
  <c r="J564" i="18"/>
  <c r="L548" i="18"/>
  <c r="J548" i="18"/>
  <c r="L532" i="18"/>
  <c r="J532" i="18"/>
  <c r="L516" i="18"/>
  <c r="J516" i="18"/>
  <c r="K764" i="18"/>
  <c r="I417" i="18"/>
  <c r="G367" i="18"/>
  <c r="K367" i="18" s="1"/>
  <c r="H367" i="18"/>
  <c r="G303" i="18"/>
  <c r="K303" i="18" s="1"/>
  <c r="H303" i="18"/>
  <c r="I791" i="18"/>
  <c r="G571" i="18"/>
  <c r="K571" i="18" s="1"/>
  <c r="G547" i="18"/>
  <c r="K547" i="18" s="1"/>
  <c r="L428" i="18"/>
  <c r="J428" i="18"/>
  <c r="K352" i="18"/>
  <c r="H330" i="18"/>
  <c r="I330" i="18" s="1"/>
  <c r="G330" i="18"/>
  <c r="K330" i="18" s="1"/>
  <c r="K288" i="18"/>
  <c r="I694" i="18"/>
  <c r="I446" i="18"/>
  <c r="I441" i="18"/>
  <c r="J262" i="18"/>
  <c r="L262" i="18"/>
  <c r="J230" i="18"/>
  <c r="L230" i="18"/>
  <c r="J198" i="18"/>
  <c r="L198" i="18"/>
  <c r="J166" i="18"/>
  <c r="L166" i="18"/>
  <c r="J134" i="18"/>
  <c r="L134" i="18"/>
  <c r="I678" i="18"/>
  <c r="I510" i="18"/>
  <c r="I225" i="18"/>
  <c r="I161" i="18"/>
  <c r="I97" i="18"/>
  <c r="I735" i="18"/>
  <c r="G499" i="18"/>
  <c r="K499" i="18" s="1"/>
  <c r="I646" i="18"/>
  <c r="G449" i="18"/>
  <c r="K449" i="18" s="1"/>
  <c r="I701" i="18"/>
  <c r="I605" i="18"/>
  <c r="I324" i="18"/>
  <c r="H77" i="18"/>
  <c r="I77" i="18" s="1"/>
  <c r="G77" i="18"/>
  <c r="K77" i="18" s="1"/>
  <c r="G213" i="18"/>
  <c r="K213" i="18" s="1"/>
  <c r="G179" i="18"/>
  <c r="K179" i="18" s="1"/>
  <c r="I582" i="18"/>
  <c r="G501" i="18"/>
  <c r="K501" i="18" s="1"/>
  <c r="G365" i="18"/>
  <c r="K365" i="18" s="1"/>
  <c r="I333" i="18"/>
  <c r="I235" i="18"/>
  <c r="L186" i="18"/>
  <c r="J186" i="18"/>
  <c r="K61" i="18"/>
  <c r="K756" i="18"/>
  <c r="I752" i="18"/>
  <c r="K301" i="18"/>
  <c r="I228" i="18"/>
  <c r="I128" i="18"/>
  <c r="L80" i="18"/>
  <c r="J80" i="18"/>
  <c r="L69" i="18"/>
  <c r="J69" i="18"/>
  <c r="I60" i="18"/>
  <c r="I43" i="18"/>
  <c r="I475" i="18"/>
  <c r="I308" i="18"/>
  <c r="I204" i="18"/>
  <c r="I47" i="18"/>
  <c r="I58" i="18"/>
  <c r="L26" i="18"/>
  <c r="J26" i="18"/>
  <c r="I260" i="18"/>
  <c r="I27" i="18"/>
  <c r="D22" i="16"/>
  <c r="D18" i="16"/>
  <c r="D14" i="16"/>
  <c r="D10" i="16"/>
  <c r="D6" i="16"/>
  <c r="R233" i="20"/>
  <c r="J233" i="20"/>
  <c r="Q233" i="20"/>
  <c r="I233" i="20"/>
  <c r="A233" i="20"/>
  <c r="O233" i="20"/>
  <c r="G233" i="20"/>
  <c r="F233" i="20"/>
  <c r="S233" i="20"/>
  <c r="E233" i="20"/>
  <c r="P233" i="20"/>
  <c r="D233" i="20"/>
  <c r="N233" i="20"/>
  <c r="C233" i="20"/>
  <c r="M233" i="20"/>
  <c r="K233" i="20"/>
  <c r="L233" i="20"/>
  <c r="H233" i="20"/>
  <c r="S97" i="20"/>
  <c r="K97" i="20"/>
  <c r="C97" i="20"/>
  <c r="Q97" i="20"/>
  <c r="I97" i="20"/>
  <c r="A97" i="20"/>
  <c r="O97" i="20"/>
  <c r="G97" i="20"/>
  <c r="R97" i="20"/>
  <c r="F97" i="20"/>
  <c r="P97" i="20"/>
  <c r="E97" i="20"/>
  <c r="N97" i="20"/>
  <c r="D97" i="20"/>
  <c r="M97" i="20"/>
  <c r="J97" i="20"/>
  <c r="L97" i="20"/>
  <c r="H97" i="20"/>
  <c r="O93" i="20"/>
  <c r="G93" i="20"/>
  <c r="L93" i="20"/>
  <c r="C93" i="20"/>
  <c r="K93" i="20"/>
  <c r="S93" i="20"/>
  <c r="J93" i="20"/>
  <c r="A93" i="20"/>
  <c r="R93" i="20"/>
  <c r="I93" i="20"/>
  <c r="Q93" i="20"/>
  <c r="H93" i="20"/>
  <c r="N93" i="20"/>
  <c r="E93" i="20"/>
  <c r="F93" i="20"/>
  <c r="D93" i="20"/>
  <c r="P93" i="20"/>
  <c r="M93" i="20"/>
  <c r="S145" i="20"/>
  <c r="K145" i="20"/>
  <c r="C145" i="20"/>
  <c r="R145" i="20"/>
  <c r="J145" i="20"/>
  <c r="Q145" i="20"/>
  <c r="I145" i="20"/>
  <c r="A145" i="20"/>
  <c r="O145" i="20"/>
  <c r="G145" i="20"/>
  <c r="N145" i="20"/>
  <c r="M145" i="20"/>
  <c r="L145" i="20"/>
  <c r="H145" i="20"/>
  <c r="F145" i="20"/>
  <c r="D145" i="20"/>
  <c r="E145" i="20"/>
  <c r="P145" i="20"/>
  <c r="R100" i="20"/>
  <c r="J100" i="20"/>
  <c r="Q100" i="20"/>
  <c r="I100" i="20"/>
  <c r="A100" i="20"/>
  <c r="P100" i="20"/>
  <c r="H100" i="20"/>
  <c r="O100" i="20"/>
  <c r="G100" i="20"/>
  <c r="N100" i="20"/>
  <c r="F100" i="20"/>
  <c r="K100" i="20"/>
  <c r="E100" i="20"/>
  <c r="D100" i="20"/>
  <c r="C100" i="20"/>
  <c r="M100" i="20"/>
  <c r="S100" i="20"/>
  <c r="L100" i="20"/>
  <c r="S201" i="20"/>
  <c r="K201" i="20"/>
  <c r="C201" i="20"/>
  <c r="R201" i="20"/>
  <c r="J201" i="20"/>
  <c r="Q201" i="20"/>
  <c r="I201" i="20"/>
  <c r="A201" i="20"/>
  <c r="O201" i="20"/>
  <c r="G201" i="20"/>
  <c r="M201" i="20"/>
  <c r="L201" i="20"/>
  <c r="H201" i="20"/>
  <c r="F201" i="20"/>
  <c r="E201" i="20"/>
  <c r="P201" i="20"/>
  <c r="D201" i="20"/>
  <c r="N201" i="20"/>
  <c r="O77" i="20"/>
  <c r="G77" i="20"/>
  <c r="N77" i="20"/>
  <c r="F77" i="20"/>
  <c r="M77" i="20"/>
  <c r="E77" i="20"/>
  <c r="L77" i="20"/>
  <c r="D77" i="20"/>
  <c r="S77" i="20"/>
  <c r="K77" i="20"/>
  <c r="C77" i="20"/>
  <c r="Q77" i="20"/>
  <c r="I77" i="20"/>
  <c r="A77" i="20"/>
  <c r="R77" i="20"/>
  <c r="P77" i="20"/>
  <c r="J77" i="20"/>
  <c r="H77" i="20"/>
  <c r="N64" i="20"/>
  <c r="F64" i="20"/>
  <c r="M64" i="20"/>
  <c r="E64" i="20"/>
  <c r="L64" i="20"/>
  <c r="D64" i="20"/>
  <c r="S64" i="20"/>
  <c r="K64" i="20"/>
  <c r="C64" i="20"/>
  <c r="R64" i="20"/>
  <c r="J64" i="20"/>
  <c r="P64" i="20"/>
  <c r="H64" i="20"/>
  <c r="I64" i="20"/>
  <c r="G64" i="20"/>
  <c r="A64" i="20"/>
  <c r="Q64" i="20"/>
  <c r="O64" i="20"/>
  <c r="H9" i="20"/>
  <c r="F8" i="16"/>
  <c r="H8" i="16" s="1"/>
  <c r="L8" i="16" s="1"/>
  <c r="S121" i="20"/>
  <c r="K121" i="20"/>
  <c r="C121" i="20"/>
  <c r="R121" i="20"/>
  <c r="J121" i="20"/>
  <c r="Q121" i="20"/>
  <c r="I121" i="20"/>
  <c r="A121" i="20"/>
  <c r="P121" i="20"/>
  <c r="H121" i="20"/>
  <c r="O121" i="20"/>
  <c r="G121" i="20"/>
  <c r="M121" i="20"/>
  <c r="E121" i="20"/>
  <c r="N121" i="20"/>
  <c r="L121" i="20"/>
  <c r="F121" i="20"/>
  <c r="D121" i="20"/>
  <c r="B51" i="19"/>
  <c r="B48" i="17"/>
  <c r="J54" i="13"/>
  <c r="Q54" i="13"/>
  <c r="I54" i="13"/>
  <c r="A54" i="13"/>
  <c r="P54" i="13"/>
  <c r="H54" i="13"/>
  <c r="O54" i="13"/>
  <c r="G54" i="13"/>
  <c r="N54" i="13"/>
  <c r="F54" i="13"/>
  <c r="M54" i="13"/>
  <c r="E54" i="13"/>
  <c r="L54" i="13"/>
  <c r="D54" i="13"/>
  <c r="K54" i="13"/>
  <c r="C54" i="13"/>
  <c r="B275" i="19"/>
  <c r="B272" i="17"/>
  <c r="Q278" i="13"/>
  <c r="I278" i="13"/>
  <c r="A278" i="13"/>
  <c r="P278" i="13"/>
  <c r="H278" i="13"/>
  <c r="O278" i="13"/>
  <c r="G278" i="13"/>
  <c r="N278" i="13"/>
  <c r="F278" i="13"/>
  <c r="M278" i="13"/>
  <c r="E278" i="13"/>
  <c r="L278" i="13"/>
  <c r="D278" i="13"/>
  <c r="K278" i="13"/>
  <c r="C278" i="13"/>
  <c r="J278" i="13"/>
  <c r="B42" i="19"/>
  <c r="B39" i="17"/>
  <c r="K45" i="13"/>
  <c r="C45" i="13"/>
  <c r="J45" i="13"/>
  <c r="Q45" i="13"/>
  <c r="I45" i="13"/>
  <c r="A45" i="13"/>
  <c r="P45" i="13"/>
  <c r="H45" i="13"/>
  <c r="O45" i="13"/>
  <c r="G45" i="13"/>
  <c r="N45" i="13"/>
  <c r="F45" i="13"/>
  <c r="M45" i="13"/>
  <c r="E45" i="13"/>
  <c r="L45" i="13"/>
  <c r="D45" i="13"/>
  <c r="B115" i="19"/>
  <c r="B112" i="17"/>
  <c r="Q118" i="13"/>
  <c r="I118" i="13"/>
  <c r="A118" i="13"/>
  <c r="P118" i="13"/>
  <c r="H118" i="13"/>
  <c r="O118" i="13"/>
  <c r="G118" i="13"/>
  <c r="N118" i="13"/>
  <c r="F118" i="13"/>
  <c r="M118" i="13"/>
  <c r="E118" i="13"/>
  <c r="L118" i="13"/>
  <c r="D118" i="13"/>
  <c r="J118" i="13"/>
  <c r="C118" i="13"/>
  <c r="K118" i="13"/>
  <c r="B9" i="19"/>
  <c r="B6" i="17"/>
  <c r="L12" i="13"/>
  <c r="D12" i="13"/>
  <c r="C12" i="13"/>
  <c r="J12" i="13"/>
  <c r="I12" i="13"/>
  <c r="A12" i="13"/>
  <c r="P12" i="13"/>
  <c r="H12" i="13"/>
  <c r="G12" i="13"/>
  <c r="F12" i="13"/>
  <c r="Q12" i="13" s="1"/>
  <c r="M12" i="13"/>
  <c r="E12" i="13"/>
  <c r="K12" i="13" s="1"/>
  <c r="N12" i="13" s="1"/>
  <c r="O12" i="13" s="1"/>
  <c r="B124" i="19"/>
  <c r="B121" i="17"/>
  <c r="P127" i="13"/>
  <c r="H127" i="13"/>
  <c r="O127" i="13"/>
  <c r="G127" i="13"/>
  <c r="N127" i="13"/>
  <c r="F127" i="13"/>
  <c r="M127" i="13"/>
  <c r="E127" i="13"/>
  <c r="L127" i="13"/>
  <c r="D127" i="13"/>
  <c r="K127" i="13"/>
  <c r="C127" i="13"/>
  <c r="Q127" i="13"/>
  <c r="J127" i="13"/>
  <c r="I127" i="13"/>
  <c r="A127" i="13"/>
  <c r="B16" i="19"/>
  <c r="B13" i="17"/>
  <c r="M19" i="13"/>
  <c r="E19" i="13"/>
  <c r="L19" i="13"/>
  <c r="D19" i="13"/>
  <c r="K19" i="13"/>
  <c r="C19" i="13"/>
  <c r="J19" i="13"/>
  <c r="Q19" i="13"/>
  <c r="I19" i="13"/>
  <c r="A19" i="13"/>
  <c r="P19" i="13"/>
  <c r="H19" i="13"/>
  <c r="O19" i="13"/>
  <c r="G19" i="13"/>
  <c r="N19" i="13"/>
  <c r="F19" i="13"/>
  <c r="B139" i="19"/>
  <c r="B136" i="17"/>
  <c r="Q142" i="13"/>
  <c r="I142" i="13"/>
  <c r="A142" i="13"/>
  <c r="P142" i="13"/>
  <c r="H142" i="13"/>
  <c r="O142" i="13"/>
  <c r="G142" i="13"/>
  <c r="N142" i="13"/>
  <c r="F142" i="13"/>
  <c r="M142" i="13"/>
  <c r="E142" i="13"/>
  <c r="L142" i="13"/>
  <c r="D142" i="13"/>
  <c r="K142" i="13"/>
  <c r="J142" i="13"/>
  <c r="C142" i="13"/>
  <c r="B31" i="19"/>
  <c r="B28" i="17"/>
  <c r="N34" i="13"/>
  <c r="F34" i="13"/>
  <c r="M34" i="13"/>
  <c r="E34" i="13"/>
  <c r="L34" i="13"/>
  <c r="D34" i="13"/>
  <c r="K34" i="13"/>
  <c r="C34" i="13"/>
  <c r="J34" i="13"/>
  <c r="Q34" i="13"/>
  <c r="I34" i="13"/>
  <c r="A34" i="13"/>
  <c r="P34" i="13"/>
  <c r="H34" i="13"/>
  <c r="O34" i="13"/>
  <c r="G34" i="13"/>
  <c r="B307" i="19"/>
  <c r="B304" i="17"/>
  <c r="Q310" i="13"/>
  <c r="I310" i="13"/>
  <c r="A310" i="13"/>
  <c r="P310" i="13"/>
  <c r="H310" i="13"/>
  <c r="O310" i="13"/>
  <c r="G310" i="13"/>
  <c r="N310" i="13"/>
  <c r="F310" i="13"/>
  <c r="M310" i="13"/>
  <c r="E310" i="13"/>
  <c r="L310" i="13"/>
  <c r="D310" i="13"/>
  <c r="K310" i="13"/>
  <c r="C310" i="13"/>
  <c r="J310" i="13"/>
  <c r="B46" i="19"/>
  <c r="B43" i="17"/>
  <c r="O49" i="13"/>
  <c r="G49" i="13"/>
  <c r="N49" i="13"/>
  <c r="F49" i="13"/>
  <c r="M49" i="13"/>
  <c r="E49" i="13"/>
  <c r="L49" i="13"/>
  <c r="D49" i="13"/>
  <c r="K49" i="13"/>
  <c r="C49" i="13"/>
  <c r="J49" i="13"/>
  <c r="Q49" i="13"/>
  <c r="I49" i="13"/>
  <c r="A49" i="13"/>
  <c r="P49" i="13"/>
  <c r="H49" i="13"/>
  <c r="B299" i="19"/>
  <c r="B296" i="17"/>
  <c r="Q302" i="13"/>
  <c r="I302" i="13"/>
  <c r="A302" i="13"/>
  <c r="P302" i="13"/>
  <c r="H302" i="13"/>
  <c r="O302" i="13"/>
  <c r="G302" i="13"/>
  <c r="N302" i="13"/>
  <c r="F302" i="13"/>
  <c r="M302" i="13"/>
  <c r="E302" i="13"/>
  <c r="L302" i="13"/>
  <c r="D302" i="13"/>
  <c r="K302" i="13"/>
  <c r="C302" i="13"/>
  <c r="J302" i="13"/>
  <c r="B53" i="19"/>
  <c r="B50" i="17"/>
  <c r="P56" i="13"/>
  <c r="H56" i="13"/>
  <c r="O56" i="13"/>
  <c r="G56" i="13"/>
  <c r="N56" i="13"/>
  <c r="F56" i="13"/>
  <c r="M56" i="13"/>
  <c r="E56" i="13"/>
  <c r="L56" i="13"/>
  <c r="D56" i="13"/>
  <c r="K56" i="13"/>
  <c r="C56" i="13"/>
  <c r="J56" i="13"/>
  <c r="Q56" i="13"/>
  <c r="I56" i="13"/>
  <c r="A56" i="13"/>
  <c r="B196" i="19"/>
  <c r="B193" i="17"/>
  <c r="P199" i="13"/>
  <c r="H199" i="13"/>
  <c r="O199" i="13"/>
  <c r="G199" i="13"/>
  <c r="N199" i="13"/>
  <c r="F199" i="13"/>
  <c r="M199" i="13"/>
  <c r="E199" i="13"/>
  <c r="L199" i="13"/>
  <c r="D199" i="13"/>
  <c r="K199" i="13"/>
  <c r="C199" i="13"/>
  <c r="J199" i="13"/>
  <c r="I199" i="13"/>
  <c r="A199" i="13"/>
  <c r="Q199" i="13"/>
  <c r="B260" i="19"/>
  <c r="B257" i="17"/>
  <c r="P263" i="13"/>
  <c r="H263" i="13"/>
  <c r="O263" i="13"/>
  <c r="G263" i="13"/>
  <c r="N263" i="13"/>
  <c r="F263" i="13"/>
  <c r="M263" i="13"/>
  <c r="E263" i="13"/>
  <c r="L263" i="13"/>
  <c r="D263" i="13"/>
  <c r="K263" i="13"/>
  <c r="C263" i="13"/>
  <c r="J263" i="13"/>
  <c r="I263" i="13"/>
  <c r="A263" i="13"/>
  <c r="Q263" i="13"/>
  <c r="B85" i="19"/>
  <c r="B82" i="17"/>
  <c r="O88" i="13"/>
  <c r="G88" i="13"/>
  <c r="M88" i="13"/>
  <c r="E88" i="13"/>
  <c r="L88" i="13"/>
  <c r="D88" i="13"/>
  <c r="K88" i="13"/>
  <c r="C88" i="13"/>
  <c r="J88" i="13"/>
  <c r="N88" i="13"/>
  <c r="I88" i="13"/>
  <c r="H88" i="13"/>
  <c r="F88" i="13"/>
  <c r="A88" i="13"/>
  <c r="Q88" i="13"/>
  <c r="P88" i="13"/>
  <c r="B149" i="19"/>
  <c r="B146" i="17"/>
  <c r="O152" i="13"/>
  <c r="G152" i="13"/>
  <c r="N152" i="13"/>
  <c r="F152" i="13"/>
  <c r="M152" i="13"/>
  <c r="E152" i="13"/>
  <c r="L152" i="13"/>
  <c r="D152" i="13"/>
  <c r="K152" i="13"/>
  <c r="C152" i="13"/>
  <c r="J152" i="13"/>
  <c r="H152" i="13"/>
  <c r="A152" i="13"/>
  <c r="Q152" i="13"/>
  <c r="P152" i="13"/>
  <c r="I152" i="13"/>
  <c r="B213" i="19"/>
  <c r="B210" i="17"/>
  <c r="O216" i="13"/>
  <c r="G216" i="13"/>
  <c r="N216" i="13"/>
  <c r="F216" i="13"/>
  <c r="M216" i="13"/>
  <c r="E216" i="13"/>
  <c r="L216" i="13"/>
  <c r="D216" i="13"/>
  <c r="K216" i="13"/>
  <c r="C216" i="13"/>
  <c r="J216" i="13"/>
  <c r="Q216" i="13"/>
  <c r="I216" i="13"/>
  <c r="A216" i="13"/>
  <c r="P216" i="13"/>
  <c r="H216" i="13"/>
  <c r="B277" i="19"/>
  <c r="B274" i="17"/>
  <c r="O280" i="13"/>
  <c r="G280" i="13"/>
  <c r="N280" i="13"/>
  <c r="F280" i="13"/>
  <c r="M280" i="13"/>
  <c r="E280" i="13"/>
  <c r="L280" i="13"/>
  <c r="D280" i="13"/>
  <c r="K280" i="13"/>
  <c r="C280" i="13"/>
  <c r="J280" i="13"/>
  <c r="Q280" i="13"/>
  <c r="I280" i="13"/>
  <c r="A280" i="13"/>
  <c r="P280" i="13"/>
  <c r="H280" i="13"/>
  <c r="B102" i="19"/>
  <c r="B99" i="17"/>
  <c r="N105" i="13"/>
  <c r="F105" i="13"/>
  <c r="M105" i="13"/>
  <c r="E105" i="13"/>
  <c r="L105" i="13"/>
  <c r="D105" i="13"/>
  <c r="K105" i="13"/>
  <c r="C105" i="13"/>
  <c r="J105" i="13"/>
  <c r="Q105" i="13"/>
  <c r="I105" i="13"/>
  <c r="A105" i="13"/>
  <c r="G105" i="13"/>
  <c r="P105" i="13"/>
  <c r="O105" i="13"/>
  <c r="H105" i="13"/>
  <c r="B166" i="19"/>
  <c r="B163" i="17"/>
  <c r="N169" i="13"/>
  <c r="F169" i="13"/>
  <c r="M169" i="13"/>
  <c r="E169" i="13"/>
  <c r="L169" i="13"/>
  <c r="D169" i="13"/>
  <c r="K169" i="13"/>
  <c r="C169" i="13"/>
  <c r="J169" i="13"/>
  <c r="Q169" i="13"/>
  <c r="I169" i="13"/>
  <c r="A169" i="13"/>
  <c r="G169" i="13"/>
  <c r="P169" i="13"/>
  <c r="O169" i="13"/>
  <c r="H169" i="13"/>
  <c r="B230" i="19"/>
  <c r="B227" i="17"/>
  <c r="N233" i="13"/>
  <c r="F233" i="13"/>
  <c r="M233" i="13"/>
  <c r="E233" i="13"/>
  <c r="L233" i="13"/>
  <c r="D233" i="13"/>
  <c r="K233" i="13"/>
  <c r="C233" i="13"/>
  <c r="J233" i="13"/>
  <c r="Q233" i="13"/>
  <c r="I233" i="13"/>
  <c r="A233" i="13"/>
  <c r="P233" i="13"/>
  <c r="H233" i="13"/>
  <c r="G233" i="13"/>
  <c r="O233" i="13"/>
  <c r="B294" i="19"/>
  <c r="B291" i="17"/>
  <c r="N297" i="13"/>
  <c r="F297" i="13"/>
  <c r="M297" i="13"/>
  <c r="E297" i="13"/>
  <c r="L297" i="13"/>
  <c r="D297" i="13"/>
  <c r="K297" i="13"/>
  <c r="C297" i="13"/>
  <c r="J297" i="13"/>
  <c r="Q297" i="13"/>
  <c r="I297" i="13"/>
  <c r="A297" i="13"/>
  <c r="P297" i="13"/>
  <c r="H297" i="13"/>
  <c r="G297" i="13"/>
  <c r="O297" i="13"/>
  <c r="B119" i="19"/>
  <c r="B116" i="17"/>
  <c r="M122" i="13"/>
  <c r="E122" i="13"/>
  <c r="L122" i="13"/>
  <c r="D122" i="13"/>
  <c r="K122" i="13"/>
  <c r="C122" i="13"/>
  <c r="J122" i="13"/>
  <c r="Q122" i="13"/>
  <c r="I122" i="13"/>
  <c r="A122" i="13"/>
  <c r="P122" i="13"/>
  <c r="H122" i="13"/>
  <c r="F122" i="13"/>
  <c r="O122" i="13"/>
  <c r="N122" i="13"/>
  <c r="G122" i="13"/>
  <c r="B183" i="19"/>
  <c r="B180" i="17"/>
  <c r="M186" i="13"/>
  <c r="E186" i="13"/>
  <c r="L186" i="13"/>
  <c r="D186" i="13"/>
  <c r="K186" i="13"/>
  <c r="C186" i="13"/>
  <c r="J186" i="13"/>
  <c r="Q186" i="13"/>
  <c r="I186" i="13"/>
  <c r="A186" i="13"/>
  <c r="P186" i="13"/>
  <c r="H186" i="13"/>
  <c r="O186" i="13"/>
  <c r="G186" i="13"/>
  <c r="N186" i="13"/>
  <c r="F186" i="13"/>
  <c r="B247" i="19"/>
  <c r="B244" i="17"/>
  <c r="M250" i="13"/>
  <c r="E250" i="13"/>
  <c r="L250" i="13"/>
  <c r="D250" i="13"/>
  <c r="K250" i="13"/>
  <c r="C250" i="13"/>
  <c r="J250" i="13"/>
  <c r="Q250" i="13"/>
  <c r="I250" i="13"/>
  <c r="A250" i="13"/>
  <c r="P250" i="13"/>
  <c r="H250" i="13"/>
  <c r="O250" i="13"/>
  <c r="G250" i="13"/>
  <c r="N250" i="13"/>
  <c r="F250" i="13"/>
  <c r="B64" i="19"/>
  <c r="B61" i="17"/>
  <c r="J67" i="13"/>
  <c r="Q67" i="13"/>
  <c r="I67" i="13"/>
  <c r="A67" i="13"/>
  <c r="P67" i="13"/>
  <c r="H67" i="13"/>
  <c r="O67" i="13"/>
  <c r="G67" i="13"/>
  <c r="M67" i="13"/>
  <c r="L67" i="13"/>
  <c r="K67" i="13"/>
  <c r="F67" i="13"/>
  <c r="E67" i="13"/>
  <c r="D67" i="13"/>
  <c r="C67" i="13"/>
  <c r="N67" i="13"/>
  <c r="B128" i="19"/>
  <c r="B125" i="17"/>
  <c r="L131" i="13"/>
  <c r="D131" i="13"/>
  <c r="K131" i="13"/>
  <c r="C131" i="13"/>
  <c r="J131" i="13"/>
  <c r="Q131" i="13"/>
  <c r="I131" i="13"/>
  <c r="A131" i="13"/>
  <c r="P131" i="13"/>
  <c r="H131" i="13"/>
  <c r="O131" i="13"/>
  <c r="G131" i="13"/>
  <c r="M131" i="13"/>
  <c r="F131" i="13"/>
  <c r="E131" i="13"/>
  <c r="N131" i="13"/>
  <c r="B192" i="19"/>
  <c r="B189" i="17"/>
  <c r="L195" i="13"/>
  <c r="D195" i="13"/>
  <c r="K195" i="13"/>
  <c r="C195" i="13"/>
  <c r="J195" i="13"/>
  <c r="Q195" i="13"/>
  <c r="I195" i="13"/>
  <c r="A195" i="13"/>
  <c r="P195" i="13"/>
  <c r="H195" i="13"/>
  <c r="O195" i="13"/>
  <c r="G195" i="13"/>
  <c r="N195" i="13"/>
  <c r="F195" i="13"/>
  <c r="M195" i="13"/>
  <c r="E195" i="13"/>
  <c r="B256" i="19"/>
  <c r="B253" i="17"/>
  <c r="L259" i="13"/>
  <c r="D259" i="13"/>
  <c r="K259" i="13"/>
  <c r="C259" i="13"/>
  <c r="J259" i="13"/>
  <c r="Q259" i="13"/>
  <c r="I259" i="13"/>
  <c r="A259" i="13"/>
  <c r="P259" i="13"/>
  <c r="H259" i="13"/>
  <c r="O259" i="13"/>
  <c r="G259" i="13"/>
  <c r="N259" i="13"/>
  <c r="F259" i="13"/>
  <c r="M259" i="13"/>
  <c r="E259" i="13"/>
  <c r="B113" i="19"/>
  <c r="B110" i="17"/>
  <c r="K116" i="13"/>
  <c r="C116" i="13"/>
  <c r="J116" i="13"/>
  <c r="Q116" i="13"/>
  <c r="I116" i="13"/>
  <c r="A116" i="13"/>
  <c r="P116" i="13"/>
  <c r="H116" i="13"/>
  <c r="O116" i="13"/>
  <c r="G116" i="13"/>
  <c r="N116" i="13"/>
  <c r="F116" i="13"/>
  <c r="L116" i="13"/>
  <c r="E116" i="13"/>
  <c r="D116" i="13"/>
  <c r="M116" i="13"/>
  <c r="B177" i="19"/>
  <c r="B174" i="17"/>
  <c r="K180" i="13"/>
  <c r="C180" i="13"/>
  <c r="J180" i="13"/>
  <c r="Q180" i="13"/>
  <c r="I180" i="13"/>
  <c r="A180" i="13"/>
  <c r="P180" i="13"/>
  <c r="H180" i="13"/>
  <c r="O180" i="13"/>
  <c r="G180" i="13"/>
  <c r="N180" i="13"/>
  <c r="F180" i="13"/>
  <c r="M180" i="13"/>
  <c r="E180" i="13"/>
  <c r="L180" i="13"/>
  <c r="D180" i="13"/>
  <c r="B241" i="19"/>
  <c r="B238" i="17"/>
  <c r="K244" i="13"/>
  <c r="C244" i="13"/>
  <c r="J244" i="13"/>
  <c r="Q244" i="13"/>
  <c r="I244" i="13"/>
  <c r="A244" i="13"/>
  <c r="P244" i="13"/>
  <c r="H244" i="13"/>
  <c r="O244" i="13"/>
  <c r="G244" i="13"/>
  <c r="N244" i="13"/>
  <c r="F244" i="13"/>
  <c r="M244" i="13"/>
  <c r="E244" i="13"/>
  <c r="L244" i="13"/>
  <c r="D244" i="13"/>
  <c r="B305" i="19"/>
  <c r="B302" i="17"/>
  <c r="K308" i="13"/>
  <c r="C308" i="13"/>
  <c r="J308" i="13"/>
  <c r="Q308" i="13"/>
  <c r="I308" i="13"/>
  <c r="A308" i="13"/>
  <c r="P308" i="13"/>
  <c r="H308" i="13"/>
  <c r="O308" i="13"/>
  <c r="G308" i="13"/>
  <c r="N308" i="13"/>
  <c r="F308" i="13"/>
  <c r="M308" i="13"/>
  <c r="E308" i="13"/>
  <c r="L308" i="13"/>
  <c r="D308" i="13"/>
  <c r="B122" i="19"/>
  <c r="B119" i="17"/>
  <c r="J125" i="13"/>
  <c r="Q125" i="13"/>
  <c r="I125" i="13"/>
  <c r="A125" i="13"/>
  <c r="P125" i="13"/>
  <c r="H125" i="13"/>
  <c r="O125" i="13"/>
  <c r="G125" i="13"/>
  <c r="N125" i="13"/>
  <c r="F125" i="13"/>
  <c r="M125" i="13"/>
  <c r="E125" i="13"/>
  <c r="L125" i="13"/>
  <c r="K125" i="13"/>
  <c r="D125" i="13"/>
  <c r="C125" i="13"/>
  <c r="B186" i="19"/>
  <c r="B183" i="17"/>
  <c r="J189" i="13"/>
  <c r="Q189" i="13"/>
  <c r="I189" i="13"/>
  <c r="A189" i="13"/>
  <c r="P189" i="13"/>
  <c r="H189" i="13"/>
  <c r="O189" i="13"/>
  <c r="G189" i="13"/>
  <c r="N189" i="13"/>
  <c r="F189" i="13"/>
  <c r="M189" i="13"/>
  <c r="E189" i="13"/>
  <c r="L189" i="13"/>
  <c r="D189" i="13"/>
  <c r="K189" i="13"/>
  <c r="C189" i="13"/>
  <c r="B250" i="19"/>
  <c r="B247" i="17"/>
  <c r="J253" i="13"/>
  <c r="Q253" i="13"/>
  <c r="I253" i="13"/>
  <c r="A253" i="13"/>
  <c r="P253" i="13"/>
  <c r="H253" i="13"/>
  <c r="O253" i="13"/>
  <c r="G253" i="13"/>
  <c r="N253" i="13"/>
  <c r="F253" i="13"/>
  <c r="M253" i="13"/>
  <c r="E253" i="13"/>
  <c r="L253" i="13"/>
  <c r="D253" i="13"/>
  <c r="K253" i="13"/>
  <c r="C253" i="13"/>
  <c r="K13" i="14"/>
  <c r="B52" i="19"/>
  <c r="B49" i="17"/>
  <c r="Q55" i="13"/>
  <c r="I55" i="13"/>
  <c r="A55" i="13"/>
  <c r="P55" i="13"/>
  <c r="H55" i="13"/>
  <c r="O55" i="13"/>
  <c r="G55" i="13"/>
  <c r="N55" i="13"/>
  <c r="F55" i="13"/>
  <c r="M55" i="13"/>
  <c r="E55" i="13"/>
  <c r="L55" i="13"/>
  <c r="D55" i="13"/>
  <c r="K55" i="13"/>
  <c r="C55" i="13"/>
  <c r="J55" i="13"/>
  <c r="N288" i="17"/>
  <c r="F288" i="17"/>
  <c r="M288" i="17"/>
  <c r="E288" i="17"/>
  <c r="L288" i="17"/>
  <c r="D288" i="17"/>
  <c r="K288" i="17"/>
  <c r="C288" i="17"/>
  <c r="J288" i="17"/>
  <c r="H288" i="17"/>
  <c r="I288" i="17"/>
  <c r="A288" i="17"/>
  <c r="G288" i="17"/>
  <c r="G943" i="18"/>
  <c r="K943" i="18" s="1"/>
  <c r="H943" i="18"/>
  <c r="I943" i="18" s="1"/>
  <c r="I894" i="18"/>
  <c r="I947" i="18"/>
  <c r="I892" i="18"/>
  <c r="H746" i="18"/>
  <c r="I746" i="18" s="1"/>
  <c r="G746" i="18"/>
  <c r="K746" i="18" s="1"/>
  <c r="L444" i="18"/>
  <c r="J444" i="18"/>
  <c r="L376" i="18"/>
  <c r="J376" i="18"/>
  <c r="H290" i="18"/>
  <c r="I290" i="18" s="1"/>
  <c r="G290" i="18"/>
  <c r="K290" i="18" s="1"/>
  <c r="L520" i="18"/>
  <c r="J520" i="18"/>
  <c r="L29" i="18"/>
  <c r="J29" i="18"/>
  <c r="I325" i="18"/>
  <c r="L109" i="18"/>
  <c r="J109" i="18"/>
  <c r="G991" i="18"/>
  <c r="K991" i="18" s="1"/>
  <c r="H991" i="18"/>
  <c r="I991" i="18" s="1"/>
  <c r="H927" i="18"/>
  <c r="I927" i="18" s="1"/>
  <c r="G927" i="18"/>
  <c r="K927" i="18" s="1"/>
  <c r="H970" i="18"/>
  <c r="G970" i="18"/>
  <c r="K970" i="18" s="1"/>
  <c r="L996" i="18"/>
  <c r="J996" i="18"/>
  <c r="I997" i="18"/>
  <c r="I878" i="18"/>
  <c r="I814" i="18"/>
  <c r="I953" i="18"/>
  <c r="J921" i="18"/>
  <c r="L921" i="18"/>
  <c r="L787" i="18"/>
  <c r="J787" i="18"/>
  <c r="I784" i="18"/>
  <c r="J885" i="18"/>
  <c r="L885" i="18"/>
  <c r="H754" i="18"/>
  <c r="I754" i="18" s="1"/>
  <c r="G754" i="18"/>
  <c r="K754" i="18" s="1"/>
  <c r="J731" i="18"/>
  <c r="L731" i="18"/>
  <c r="G679" i="18"/>
  <c r="K679" i="18" s="1"/>
  <c r="H679" i="18"/>
  <c r="G615" i="18"/>
  <c r="K615" i="18" s="1"/>
  <c r="H615" i="18"/>
  <c r="G551" i="18"/>
  <c r="K551" i="18" s="1"/>
  <c r="H551" i="18"/>
  <c r="H487" i="18"/>
  <c r="I487" i="18" s="1"/>
  <c r="G487" i="18"/>
  <c r="K487" i="18" s="1"/>
  <c r="G423" i="18"/>
  <c r="K423" i="18" s="1"/>
  <c r="H423" i="18"/>
  <c r="J805" i="18"/>
  <c r="L805" i="18"/>
  <c r="I796" i="18"/>
  <c r="I757" i="18"/>
  <c r="J699" i="18"/>
  <c r="L699" i="18"/>
  <c r="K528" i="18"/>
  <c r="I914" i="18"/>
  <c r="I868" i="18"/>
  <c r="J681" i="18"/>
  <c r="L681" i="18"/>
  <c r="J617" i="18"/>
  <c r="L617" i="18"/>
  <c r="I836" i="18"/>
  <c r="L468" i="18"/>
  <c r="J468" i="18"/>
  <c r="I884" i="18"/>
  <c r="J845" i="18"/>
  <c r="L845" i="18"/>
  <c r="I734" i="18"/>
  <c r="J550" i="18"/>
  <c r="L550" i="18"/>
  <c r="J470" i="18"/>
  <c r="L470" i="18"/>
  <c r="L465" i="18"/>
  <c r="J465" i="18"/>
  <c r="K440" i="18"/>
  <c r="G359" i="18"/>
  <c r="K359" i="18" s="1"/>
  <c r="H359" i="18"/>
  <c r="I359" i="18" s="1"/>
  <c r="G295" i="18"/>
  <c r="K295" i="18" s="1"/>
  <c r="H295" i="18"/>
  <c r="I295" i="18" s="1"/>
  <c r="I876" i="18"/>
  <c r="I736" i="18"/>
  <c r="G469" i="18"/>
  <c r="K469" i="18" s="1"/>
  <c r="L416" i="18"/>
  <c r="J416" i="18"/>
  <c r="L404" i="18"/>
  <c r="J404" i="18"/>
  <c r="L384" i="18"/>
  <c r="J384" i="18"/>
  <c r="H370" i="18"/>
  <c r="I370" i="18" s="1"/>
  <c r="G370" i="18"/>
  <c r="K370" i="18" s="1"/>
  <c r="H306" i="18"/>
  <c r="I306" i="18" s="1"/>
  <c r="G306" i="18"/>
  <c r="K306" i="18" s="1"/>
  <c r="H282" i="18"/>
  <c r="I282" i="18" s="1"/>
  <c r="G282" i="18"/>
  <c r="K282" i="18" s="1"/>
  <c r="K232" i="18"/>
  <c r="K168" i="18"/>
  <c r="I729" i="18"/>
  <c r="I557" i="18"/>
  <c r="L522" i="18"/>
  <c r="J522" i="18"/>
  <c r="I483" i="18"/>
  <c r="J419" i="18"/>
  <c r="L419" i="18"/>
  <c r="J126" i="18"/>
  <c r="L126" i="18"/>
  <c r="L743" i="18"/>
  <c r="J743" i="18"/>
  <c r="H415" i="18"/>
  <c r="G415" i="18"/>
  <c r="K415" i="18" s="1"/>
  <c r="H403" i="18"/>
  <c r="G403" i="18"/>
  <c r="K403" i="18" s="1"/>
  <c r="H383" i="18"/>
  <c r="G383" i="18"/>
  <c r="K383" i="18" s="1"/>
  <c r="J369" i="18"/>
  <c r="L369" i="18"/>
  <c r="J353" i="18"/>
  <c r="L353" i="18"/>
  <c r="J337" i="18"/>
  <c r="L337" i="18"/>
  <c r="J321" i="18"/>
  <c r="L321" i="18"/>
  <c r="J305" i="18"/>
  <c r="L305" i="18"/>
  <c r="J289" i="18"/>
  <c r="L289" i="18"/>
  <c r="J249" i="18"/>
  <c r="L249" i="18"/>
  <c r="K238" i="18"/>
  <c r="J185" i="18"/>
  <c r="L185" i="18"/>
  <c r="K174" i="18"/>
  <c r="I541" i="18"/>
  <c r="J781" i="18"/>
  <c r="L781" i="18"/>
  <c r="I525" i="18"/>
  <c r="J598" i="18"/>
  <c r="L598" i="18"/>
  <c r="L188" i="18"/>
  <c r="J188" i="18"/>
  <c r="H45" i="18"/>
  <c r="G45" i="18"/>
  <c r="K45" i="18" s="1"/>
  <c r="I742" i="18"/>
  <c r="K421" i="18"/>
  <c r="I149" i="18"/>
  <c r="I88" i="18"/>
  <c r="L482" i="18"/>
  <c r="J482" i="18"/>
  <c r="J350" i="18"/>
  <c r="L350" i="18"/>
  <c r="L250" i="18"/>
  <c r="J250" i="18"/>
  <c r="L172" i="18"/>
  <c r="J172" i="18"/>
  <c r="I141" i="18"/>
  <c r="L95" i="18"/>
  <c r="J95" i="18"/>
  <c r="I17" i="18"/>
  <c r="I756" i="18"/>
  <c r="J286" i="18"/>
  <c r="L286" i="18"/>
  <c r="I116" i="18"/>
  <c r="K99" i="18"/>
  <c r="I23" i="18"/>
  <c r="I542" i="18"/>
  <c r="I340" i="18"/>
  <c r="I758" i="18"/>
  <c r="I36" i="18"/>
  <c r="I349" i="18"/>
  <c r="I237" i="18"/>
  <c r="G173" i="18"/>
  <c r="K173" i="18" s="1"/>
  <c r="I229" i="18"/>
  <c r="L98" i="18"/>
  <c r="J98" i="18"/>
  <c r="I131" i="18"/>
  <c r="I79" i="18"/>
  <c r="L196" i="18"/>
  <c r="J196" i="18"/>
  <c r="L132" i="18"/>
  <c r="J132" i="18"/>
  <c r="I50" i="18"/>
  <c r="E23" i="16"/>
  <c r="D23" i="18" s="1"/>
  <c r="D23" i="16"/>
  <c r="E7" i="16"/>
  <c r="D7" i="18" s="1"/>
  <c r="D7" i="16"/>
  <c r="R257" i="20"/>
  <c r="J257" i="20"/>
  <c r="Q257" i="20"/>
  <c r="I257" i="20"/>
  <c r="A257" i="20"/>
  <c r="O257" i="20"/>
  <c r="G257" i="20"/>
  <c r="M257" i="20"/>
  <c r="E257" i="20"/>
  <c r="S257" i="20"/>
  <c r="K257" i="20"/>
  <c r="C257" i="20"/>
  <c r="D257" i="20"/>
  <c r="P257" i="20"/>
  <c r="N257" i="20"/>
  <c r="H257" i="20"/>
  <c r="L257" i="20"/>
  <c r="F257" i="20"/>
  <c r="M169" i="20"/>
  <c r="E169" i="20"/>
  <c r="L169" i="20"/>
  <c r="D169" i="20"/>
  <c r="S169" i="20"/>
  <c r="K169" i="20"/>
  <c r="C169" i="20"/>
  <c r="R169" i="20"/>
  <c r="J169" i="20"/>
  <c r="Q169" i="20"/>
  <c r="I169" i="20"/>
  <c r="A169" i="20"/>
  <c r="O169" i="20"/>
  <c r="G169" i="20"/>
  <c r="P169" i="20"/>
  <c r="N169" i="20"/>
  <c r="H169" i="20"/>
  <c r="F169" i="20"/>
  <c r="O125" i="20"/>
  <c r="G125" i="20"/>
  <c r="N125" i="20"/>
  <c r="F125" i="20"/>
  <c r="M125" i="20"/>
  <c r="E125" i="20"/>
  <c r="L125" i="20"/>
  <c r="D125" i="20"/>
  <c r="S125" i="20"/>
  <c r="K125" i="20"/>
  <c r="C125" i="20"/>
  <c r="Q125" i="20"/>
  <c r="I125" i="20"/>
  <c r="A125" i="20"/>
  <c r="J125" i="20"/>
  <c r="H125" i="20"/>
  <c r="R125" i="20"/>
  <c r="P125" i="20"/>
  <c r="Q71" i="20"/>
  <c r="I71" i="20"/>
  <c r="A71" i="20"/>
  <c r="P71" i="20"/>
  <c r="H71" i="20"/>
  <c r="O71" i="20"/>
  <c r="G71" i="20"/>
  <c r="N71" i="20"/>
  <c r="F71" i="20"/>
  <c r="M71" i="20"/>
  <c r="E71" i="20"/>
  <c r="S71" i="20"/>
  <c r="K71" i="20"/>
  <c r="C71" i="20"/>
  <c r="D71" i="20"/>
  <c r="L71" i="20"/>
  <c r="R71" i="20"/>
  <c r="J71" i="20"/>
  <c r="B283" i="19"/>
  <c r="B280" i="17"/>
  <c r="Q286" i="13"/>
  <c r="I286" i="13"/>
  <c r="A286" i="13"/>
  <c r="P286" i="13"/>
  <c r="H286" i="13"/>
  <c r="O286" i="13"/>
  <c r="G286" i="13"/>
  <c r="N286" i="13"/>
  <c r="F286" i="13"/>
  <c r="M286" i="13"/>
  <c r="E286" i="13"/>
  <c r="L286" i="13"/>
  <c r="D286" i="13"/>
  <c r="K286" i="13"/>
  <c r="C286" i="13"/>
  <c r="J286" i="13"/>
  <c r="B43" i="19"/>
  <c r="B40" i="17"/>
  <c r="J46" i="13"/>
  <c r="Q46" i="13"/>
  <c r="I46" i="13"/>
  <c r="A46" i="13"/>
  <c r="P46" i="13"/>
  <c r="H46" i="13"/>
  <c r="O46" i="13"/>
  <c r="G46" i="13"/>
  <c r="N46" i="13"/>
  <c r="F46" i="13"/>
  <c r="M46" i="13"/>
  <c r="E46" i="13"/>
  <c r="L46" i="13"/>
  <c r="D46" i="13"/>
  <c r="K46" i="13"/>
  <c r="C46" i="13"/>
  <c r="B211" i="19"/>
  <c r="B208" i="17"/>
  <c r="Q214" i="13"/>
  <c r="I214" i="13"/>
  <c r="A214" i="13"/>
  <c r="P214" i="13"/>
  <c r="H214" i="13"/>
  <c r="O214" i="13"/>
  <c r="G214" i="13"/>
  <c r="N214" i="13"/>
  <c r="F214" i="13"/>
  <c r="M214" i="13"/>
  <c r="E214" i="13"/>
  <c r="L214" i="13"/>
  <c r="D214" i="13"/>
  <c r="K214" i="13"/>
  <c r="C214" i="13"/>
  <c r="J214" i="13"/>
  <c r="B34" i="19"/>
  <c r="B31" i="17"/>
  <c r="K37" i="13"/>
  <c r="C37" i="13"/>
  <c r="J37" i="13"/>
  <c r="Q37" i="13"/>
  <c r="I37" i="13"/>
  <c r="A37" i="13"/>
  <c r="P37" i="13"/>
  <c r="H37" i="13"/>
  <c r="O37" i="13"/>
  <c r="G37" i="13"/>
  <c r="N37" i="13"/>
  <c r="F37" i="13"/>
  <c r="M37" i="13"/>
  <c r="E37" i="13"/>
  <c r="L37" i="13"/>
  <c r="D37" i="13"/>
  <c r="B84" i="19"/>
  <c r="B81" i="17"/>
  <c r="P87" i="13"/>
  <c r="H87" i="13"/>
  <c r="N87" i="13"/>
  <c r="F87" i="13"/>
  <c r="M87" i="13"/>
  <c r="E87" i="13"/>
  <c r="L87" i="13"/>
  <c r="D87" i="13"/>
  <c r="K87" i="13"/>
  <c r="C87" i="13"/>
  <c r="I87" i="13"/>
  <c r="G87" i="13"/>
  <c r="A87" i="13"/>
  <c r="Q87" i="13"/>
  <c r="O87" i="13"/>
  <c r="J87" i="13"/>
  <c r="S153" i="20"/>
  <c r="K153" i="20"/>
  <c r="C153" i="20"/>
  <c r="R153" i="20"/>
  <c r="J153" i="20"/>
  <c r="Q153" i="20"/>
  <c r="I153" i="20"/>
  <c r="A153" i="20"/>
  <c r="O153" i="20"/>
  <c r="G153" i="20"/>
  <c r="F153" i="20"/>
  <c r="E153" i="20"/>
  <c r="D153" i="20"/>
  <c r="P153" i="20"/>
  <c r="N153" i="20"/>
  <c r="L153" i="20"/>
  <c r="M153" i="20"/>
  <c r="H153" i="20"/>
  <c r="B99" i="19"/>
  <c r="B96" i="17"/>
  <c r="Q102" i="13"/>
  <c r="I102" i="13"/>
  <c r="A102" i="13"/>
  <c r="O102" i="13"/>
  <c r="G102" i="13"/>
  <c r="N102" i="13"/>
  <c r="F102" i="13"/>
  <c r="M102" i="13"/>
  <c r="E102" i="13"/>
  <c r="L102" i="13"/>
  <c r="D102" i="13"/>
  <c r="J102" i="13"/>
  <c r="H102" i="13"/>
  <c r="C102" i="13"/>
  <c r="P102" i="13"/>
  <c r="K102" i="13"/>
  <c r="B8" i="19"/>
  <c r="B5" i="17"/>
  <c r="M11" i="13"/>
  <c r="E11" i="13"/>
  <c r="K11" i="13" s="1"/>
  <c r="N11" i="13" s="1"/>
  <c r="O11" i="13" s="1"/>
  <c r="L11" i="13"/>
  <c r="D11" i="13"/>
  <c r="C11" i="13"/>
  <c r="J11" i="13"/>
  <c r="I11" i="13"/>
  <c r="A11" i="13"/>
  <c r="P11" i="13"/>
  <c r="H11" i="13"/>
  <c r="G11" i="13"/>
  <c r="F11" i="13"/>
  <c r="Q11" i="13" s="1"/>
  <c r="B107" i="19"/>
  <c r="B104" i="17"/>
  <c r="Q110" i="13"/>
  <c r="I110" i="13"/>
  <c r="A110" i="13"/>
  <c r="P110" i="13"/>
  <c r="H110" i="13"/>
  <c r="O110" i="13"/>
  <c r="G110" i="13"/>
  <c r="N110" i="13"/>
  <c r="F110" i="13"/>
  <c r="M110" i="13"/>
  <c r="E110" i="13"/>
  <c r="L110" i="13"/>
  <c r="D110" i="13"/>
  <c r="K110" i="13"/>
  <c r="J110" i="13"/>
  <c r="C110" i="13"/>
  <c r="B23" i="19"/>
  <c r="B20" i="17"/>
  <c r="N26" i="13"/>
  <c r="F26" i="13"/>
  <c r="M26" i="13"/>
  <c r="E26" i="13"/>
  <c r="L26" i="13"/>
  <c r="D26" i="13"/>
  <c r="K26" i="13"/>
  <c r="C26" i="13"/>
  <c r="J26" i="13"/>
  <c r="Q26" i="13"/>
  <c r="I26" i="13"/>
  <c r="A26" i="13"/>
  <c r="P26" i="13"/>
  <c r="H26" i="13"/>
  <c r="O26" i="13"/>
  <c r="G26" i="13"/>
  <c r="B243" i="19"/>
  <c r="B240" i="17"/>
  <c r="Q246" i="13"/>
  <c r="I246" i="13"/>
  <c r="A246" i="13"/>
  <c r="P246" i="13"/>
  <c r="H246" i="13"/>
  <c r="O246" i="13"/>
  <c r="G246" i="13"/>
  <c r="N246" i="13"/>
  <c r="F246" i="13"/>
  <c r="M246" i="13"/>
  <c r="E246" i="13"/>
  <c r="L246" i="13"/>
  <c r="D246" i="13"/>
  <c r="K246" i="13"/>
  <c r="C246" i="13"/>
  <c r="J246" i="13"/>
  <c r="B38" i="19"/>
  <c r="B35" i="17"/>
  <c r="O41" i="13"/>
  <c r="G41" i="13"/>
  <c r="N41" i="13"/>
  <c r="F41" i="13"/>
  <c r="M41" i="13"/>
  <c r="E41" i="13"/>
  <c r="L41" i="13"/>
  <c r="D41" i="13"/>
  <c r="K41" i="13"/>
  <c r="C41" i="13"/>
  <c r="J41" i="13"/>
  <c r="Q41" i="13"/>
  <c r="I41" i="13"/>
  <c r="A41" i="13"/>
  <c r="P41" i="13"/>
  <c r="H41" i="13"/>
  <c r="B235" i="19"/>
  <c r="B232" i="17"/>
  <c r="Q238" i="13"/>
  <c r="I238" i="13"/>
  <c r="A238" i="13"/>
  <c r="P238" i="13"/>
  <c r="H238" i="13"/>
  <c r="O238" i="13"/>
  <c r="G238" i="13"/>
  <c r="N238" i="13"/>
  <c r="F238" i="13"/>
  <c r="M238" i="13"/>
  <c r="E238" i="13"/>
  <c r="L238" i="13"/>
  <c r="D238" i="13"/>
  <c r="K238" i="13"/>
  <c r="C238" i="13"/>
  <c r="J238" i="13"/>
  <c r="B45" i="19"/>
  <c r="B42" i="17"/>
  <c r="P48" i="13"/>
  <c r="H48" i="13"/>
  <c r="O48" i="13"/>
  <c r="G48" i="13"/>
  <c r="N48" i="13"/>
  <c r="F48" i="13"/>
  <c r="M48" i="13"/>
  <c r="E48" i="13"/>
  <c r="L48" i="13"/>
  <c r="D48" i="13"/>
  <c r="K48" i="13"/>
  <c r="C48" i="13"/>
  <c r="J48" i="13"/>
  <c r="Q48" i="13"/>
  <c r="I48" i="13"/>
  <c r="A48" i="13"/>
  <c r="B204" i="19"/>
  <c r="B201" i="17"/>
  <c r="P207" i="13"/>
  <c r="H207" i="13"/>
  <c r="O207" i="13"/>
  <c r="G207" i="13"/>
  <c r="N207" i="13"/>
  <c r="F207" i="13"/>
  <c r="M207" i="13"/>
  <c r="E207" i="13"/>
  <c r="L207" i="13"/>
  <c r="D207" i="13"/>
  <c r="K207" i="13"/>
  <c r="C207" i="13"/>
  <c r="J207" i="13"/>
  <c r="A207" i="13"/>
  <c r="Q207" i="13"/>
  <c r="I207" i="13"/>
  <c r="B268" i="19"/>
  <c r="B265" i="17"/>
  <c r="P271" i="13"/>
  <c r="H271" i="13"/>
  <c r="O271" i="13"/>
  <c r="G271" i="13"/>
  <c r="N271" i="13"/>
  <c r="F271" i="13"/>
  <c r="M271" i="13"/>
  <c r="E271" i="13"/>
  <c r="L271" i="13"/>
  <c r="D271" i="13"/>
  <c r="K271" i="13"/>
  <c r="C271" i="13"/>
  <c r="J271" i="13"/>
  <c r="A271" i="13"/>
  <c r="Q271" i="13"/>
  <c r="I271" i="13"/>
  <c r="B93" i="19"/>
  <c r="B90" i="17"/>
  <c r="O96" i="13"/>
  <c r="G96" i="13"/>
  <c r="M96" i="13"/>
  <c r="E96" i="13"/>
  <c r="L96" i="13"/>
  <c r="D96" i="13"/>
  <c r="K96" i="13"/>
  <c r="C96" i="13"/>
  <c r="J96" i="13"/>
  <c r="F96" i="13"/>
  <c r="A96" i="13"/>
  <c r="Q96" i="13"/>
  <c r="P96" i="13"/>
  <c r="N96" i="13"/>
  <c r="I96" i="13"/>
  <c r="H96" i="13"/>
  <c r="B157" i="19"/>
  <c r="B154" i="17"/>
  <c r="O160" i="13"/>
  <c r="G160" i="13"/>
  <c r="N160" i="13"/>
  <c r="F160" i="13"/>
  <c r="M160" i="13"/>
  <c r="E160" i="13"/>
  <c r="L160" i="13"/>
  <c r="D160" i="13"/>
  <c r="K160" i="13"/>
  <c r="C160" i="13"/>
  <c r="J160" i="13"/>
  <c r="Q160" i="13"/>
  <c r="P160" i="13"/>
  <c r="I160" i="13"/>
  <c r="H160" i="13"/>
  <c r="A160" i="13"/>
  <c r="B221" i="19"/>
  <c r="B218" i="17"/>
  <c r="O224" i="13"/>
  <c r="G224" i="13"/>
  <c r="N224" i="13"/>
  <c r="F224" i="13"/>
  <c r="M224" i="13"/>
  <c r="E224" i="13"/>
  <c r="L224" i="13"/>
  <c r="D224" i="13"/>
  <c r="K224" i="13"/>
  <c r="C224" i="13"/>
  <c r="J224" i="13"/>
  <c r="Q224" i="13"/>
  <c r="I224" i="13"/>
  <c r="A224" i="13"/>
  <c r="P224" i="13"/>
  <c r="H224" i="13"/>
  <c r="B285" i="19"/>
  <c r="B282" i="17"/>
  <c r="O288" i="13"/>
  <c r="G288" i="13"/>
  <c r="N288" i="13"/>
  <c r="F288" i="13"/>
  <c r="M288" i="13"/>
  <c r="E288" i="13"/>
  <c r="L288" i="13"/>
  <c r="D288" i="13"/>
  <c r="K288" i="13"/>
  <c r="C288" i="13"/>
  <c r="J288" i="13"/>
  <c r="Q288" i="13"/>
  <c r="I288" i="13"/>
  <c r="A288" i="13"/>
  <c r="P288" i="13"/>
  <c r="H288" i="13"/>
  <c r="B110" i="19"/>
  <c r="B107" i="17"/>
  <c r="N113" i="13"/>
  <c r="F113" i="13"/>
  <c r="M113" i="13"/>
  <c r="E113" i="13"/>
  <c r="L113" i="13"/>
  <c r="D113" i="13"/>
  <c r="K113" i="13"/>
  <c r="C113" i="13"/>
  <c r="J113" i="13"/>
  <c r="Q113" i="13"/>
  <c r="I113" i="13"/>
  <c r="A113" i="13"/>
  <c r="P113" i="13"/>
  <c r="O113" i="13"/>
  <c r="H113" i="13"/>
  <c r="G113" i="13"/>
  <c r="B174" i="19"/>
  <c r="B171" i="17"/>
  <c r="N177" i="13"/>
  <c r="F177" i="13"/>
  <c r="M177" i="13"/>
  <c r="E177" i="13"/>
  <c r="L177" i="13"/>
  <c r="D177" i="13"/>
  <c r="K177" i="13"/>
  <c r="C177" i="13"/>
  <c r="J177" i="13"/>
  <c r="Q177" i="13"/>
  <c r="I177" i="13"/>
  <c r="A177" i="13"/>
  <c r="P177" i="13"/>
  <c r="H177" i="13"/>
  <c r="O177" i="13"/>
  <c r="G177" i="13"/>
  <c r="B238" i="19"/>
  <c r="B235" i="17"/>
  <c r="N241" i="13"/>
  <c r="F241" i="13"/>
  <c r="M241" i="13"/>
  <c r="E241" i="13"/>
  <c r="L241" i="13"/>
  <c r="D241" i="13"/>
  <c r="K241" i="13"/>
  <c r="C241" i="13"/>
  <c r="J241" i="13"/>
  <c r="Q241" i="13"/>
  <c r="I241" i="13"/>
  <c r="A241" i="13"/>
  <c r="P241" i="13"/>
  <c r="H241" i="13"/>
  <c r="O241" i="13"/>
  <c r="G241" i="13"/>
  <c r="B302" i="19"/>
  <c r="B299" i="17"/>
  <c r="N305" i="13"/>
  <c r="F305" i="13"/>
  <c r="M305" i="13"/>
  <c r="E305" i="13"/>
  <c r="L305" i="13"/>
  <c r="D305" i="13"/>
  <c r="K305" i="13"/>
  <c r="C305" i="13"/>
  <c r="J305" i="13"/>
  <c r="Q305" i="13"/>
  <c r="I305" i="13"/>
  <c r="A305" i="13"/>
  <c r="P305" i="13"/>
  <c r="H305" i="13"/>
  <c r="O305" i="13"/>
  <c r="G305" i="13"/>
  <c r="B127" i="19"/>
  <c r="B124" i="17"/>
  <c r="M130" i="13"/>
  <c r="E130" i="13"/>
  <c r="L130" i="13"/>
  <c r="D130" i="13"/>
  <c r="K130" i="13"/>
  <c r="C130" i="13"/>
  <c r="J130" i="13"/>
  <c r="Q130" i="13"/>
  <c r="I130" i="13"/>
  <c r="A130" i="13"/>
  <c r="P130" i="13"/>
  <c r="H130" i="13"/>
  <c r="O130" i="13"/>
  <c r="N130" i="13"/>
  <c r="G130" i="13"/>
  <c r="F130" i="13"/>
  <c r="B191" i="19"/>
  <c r="B188" i="17"/>
  <c r="M194" i="13"/>
  <c r="E194" i="13"/>
  <c r="L194" i="13"/>
  <c r="D194" i="13"/>
  <c r="K194" i="13"/>
  <c r="C194" i="13"/>
  <c r="J194" i="13"/>
  <c r="Q194" i="13"/>
  <c r="I194" i="13"/>
  <c r="A194" i="13"/>
  <c r="P194" i="13"/>
  <c r="H194" i="13"/>
  <c r="O194" i="13"/>
  <c r="G194" i="13"/>
  <c r="N194" i="13"/>
  <c r="F194" i="13"/>
  <c r="B255" i="19"/>
  <c r="B252" i="17"/>
  <c r="M258" i="13"/>
  <c r="E258" i="13"/>
  <c r="L258" i="13"/>
  <c r="D258" i="13"/>
  <c r="K258" i="13"/>
  <c r="C258" i="13"/>
  <c r="J258" i="13"/>
  <c r="Q258" i="13"/>
  <c r="I258" i="13"/>
  <c r="A258" i="13"/>
  <c r="P258" i="13"/>
  <c r="H258" i="13"/>
  <c r="O258" i="13"/>
  <c r="G258" i="13"/>
  <c r="N258" i="13"/>
  <c r="F258" i="13"/>
  <c r="B72" i="19"/>
  <c r="B69" i="17"/>
  <c r="L75" i="13"/>
  <c r="D75" i="13"/>
  <c r="J75" i="13"/>
  <c r="Q75" i="13"/>
  <c r="I75" i="13"/>
  <c r="A75" i="13"/>
  <c r="P75" i="13"/>
  <c r="H75" i="13"/>
  <c r="O75" i="13"/>
  <c r="G75" i="13"/>
  <c r="N75" i="13"/>
  <c r="M75" i="13"/>
  <c r="K75" i="13"/>
  <c r="F75" i="13"/>
  <c r="E75" i="13"/>
  <c r="C75" i="13"/>
  <c r="B136" i="19"/>
  <c r="B133" i="17"/>
  <c r="L139" i="13"/>
  <c r="D139" i="13"/>
  <c r="K139" i="13"/>
  <c r="C139" i="13"/>
  <c r="J139" i="13"/>
  <c r="Q139" i="13"/>
  <c r="I139" i="13"/>
  <c r="A139" i="13"/>
  <c r="P139" i="13"/>
  <c r="H139" i="13"/>
  <c r="O139" i="13"/>
  <c r="G139" i="13"/>
  <c r="E139" i="13"/>
  <c r="N139" i="13"/>
  <c r="M139" i="13"/>
  <c r="F139" i="13"/>
  <c r="B200" i="19"/>
  <c r="B197" i="17"/>
  <c r="L203" i="13"/>
  <c r="D203" i="13"/>
  <c r="K203" i="13"/>
  <c r="C203" i="13"/>
  <c r="J203" i="13"/>
  <c r="Q203" i="13"/>
  <c r="I203" i="13"/>
  <c r="A203" i="13"/>
  <c r="P203" i="13"/>
  <c r="H203" i="13"/>
  <c r="O203" i="13"/>
  <c r="G203" i="13"/>
  <c r="N203" i="13"/>
  <c r="F203" i="13"/>
  <c r="E203" i="13"/>
  <c r="M203" i="13"/>
  <c r="B264" i="19"/>
  <c r="B261" i="17"/>
  <c r="L267" i="13"/>
  <c r="D267" i="13"/>
  <c r="K267" i="13"/>
  <c r="C267" i="13"/>
  <c r="J267" i="13"/>
  <c r="Q267" i="13"/>
  <c r="I267" i="13"/>
  <c r="A267" i="13"/>
  <c r="P267" i="13"/>
  <c r="H267" i="13"/>
  <c r="O267" i="13"/>
  <c r="G267" i="13"/>
  <c r="N267" i="13"/>
  <c r="F267" i="13"/>
  <c r="E267" i="13"/>
  <c r="M267" i="13"/>
  <c r="B121" i="19"/>
  <c r="B118" i="17"/>
  <c r="K124" i="13"/>
  <c r="C124" i="13"/>
  <c r="J124" i="13"/>
  <c r="Q124" i="13"/>
  <c r="I124" i="13"/>
  <c r="A124" i="13"/>
  <c r="P124" i="13"/>
  <c r="H124" i="13"/>
  <c r="O124" i="13"/>
  <c r="G124" i="13"/>
  <c r="N124" i="13"/>
  <c r="F124" i="13"/>
  <c r="D124" i="13"/>
  <c r="M124" i="13"/>
  <c r="L124" i="13"/>
  <c r="E124" i="13"/>
  <c r="B185" i="19"/>
  <c r="B182" i="17"/>
  <c r="K188" i="13"/>
  <c r="C188" i="13"/>
  <c r="J188" i="13"/>
  <c r="Q188" i="13"/>
  <c r="I188" i="13"/>
  <c r="A188" i="13"/>
  <c r="P188" i="13"/>
  <c r="H188" i="13"/>
  <c r="O188" i="13"/>
  <c r="G188" i="13"/>
  <c r="N188" i="13"/>
  <c r="F188" i="13"/>
  <c r="M188" i="13"/>
  <c r="E188" i="13"/>
  <c r="D188" i="13"/>
  <c r="L188" i="13"/>
  <c r="B249" i="19"/>
  <c r="B246" i="17"/>
  <c r="K252" i="13"/>
  <c r="C252" i="13"/>
  <c r="J252" i="13"/>
  <c r="Q252" i="13"/>
  <c r="I252" i="13"/>
  <c r="A252" i="13"/>
  <c r="P252" i="13"/>
  <c r="H252" i="13"/>
  <c r="O252" i="13"/>
  <c r="G252" i="13"/>
  <c r="N252" i="13"/>
  <c r="F252" i="13"/>
  <c r="M252" i="13"/>
  <c r="E252" i="13"/>
  <c r="D252" i="13"/>
  <c r="L252" i="13"/>
  <c r="B66" i="19"/>
  <c r="B63" i="17"/>
  <c r="J69" i="13"/>
  <c r="P69" i="13"/>
  <c r="H69" i="13"/>
  <c r="O69" i="13"/>
  <c r="G69" i="13"/>
  <c r="N69" i="13"/>
  <c r="F69" i="13"/>
  <c r="M69" i="13"/>
  <c r="E69" i="13"/>
  <c r="Q69" i="13"/>
  <c r="L69" i="13"/>
  <c r="K69" i="13"/>
  <c r="I69" i="13"/>
  <c r="D69" i="13"/>
  <c r="C69" i="13"/>
  <c r="A69" i="13"/>
  <c r="B130" i="19"/>
  <c r="B127" i="17"/>
  <c r="J133" i="13"/>
  <c r="Q133" i="13"/>
  <c r="I133" i="13"/>
  <c r="A133" i="13"/>
  <c r="P133" i="13"/>
  <c r="H133" i="13"/>
  <c r="O133" i="13"/>
  <c r="G133" i="13"/>
  <c r="N133" i="13"/>
  <c r="F133" i="13"/>
  <c r="M133" i="13"/>
  <c r="E133" i="13"/>
  <c r="K133" i="13"/>
  <c r="D133" i="13"/>
  <c r="C133" i="13"/>
  <c r="L133" i="13"/>
  <c r="B194" i="19"/>
  <c r="B191" i="17"/>
  <c r="J197" i="13"/>
  <c r="Q197" i="13"/>
  <c r="I197" i="13"/>
  <c r="A197" i="13"/>
  <c r="P197" i="13"/>
  <c r="H197" i="13"/>
  <c r="O197" i="13"/>
  <c r="G197" i="13"/>
  <c r="N197" i="13"/>
  <c r="F197" i="13"/>
  <c r="M197" i="13"/>
  <c r="E197" i="13"/>
  <c r="L197" i="13"/>
  <c r="D197" i="13"/>
  <c r="K197" i="13"/>
  <c r="C197" i="13"/>
  <c r="B258" i="19"/>
  <c r="B255" i="17"/>
  <c r="J261" i="13"/>
  <c r="Q261" i="13"/>
  <c r="I261" i="13"/>
  <c r="A261" i="13"/>
  <c r="P261" i="13"/>
  <c r="H261" i="13"/>
  <c r="O261" i="13"/>
  <c r="G261" i="13"/>
  <c r="N261" i="13"/>
  <c r="F261" i="13"/>
  <c r="M261" i="13"/>
  <c r="E261" i="13"/>
  <c r="L261" i="13"/>
  <c r="D261" i="13"/>
  <c r="K261" i="13"/>
  <c r="C261" i="13"/>
  <c r="B227" i="19"/>
  <c r="B224" i="17"/>
  <c r="Q230" i="13"/>
  <c r="I230" i="13"/>
  <c r="A230" i="13"/>
  <c r="P230" i="13"/>
  <c r="H230" i="13"/>
  <c r="O230" i="13"/>
  <c r="G230" i="13"/>
  <c r="N230" i="13"/>
  <c r="F230" i="13"/>
  <c r="M230" i="13"/>
  <c r="E230" i="13"/>
  <c r="L230" i="13"/>
  <c r="D230" i="13"/>
  <c r="K230" i="13"/>
  <c r="C230" i="13"/>
  <c r="J230" i="13"/>
  <c r="B44" i="19"/>
  <c r="B41" i="17"/>
  <c r="Q47" i="13"/>
  <c r="I47" i="13"/>
  <c r="A47" i="13"/>
  <c r="P47" i="13"/>
  <c r="H47" i="13"/>
  <c r="O47" i="13"/>
  <c r="G47" i="13"/>
  <c r="N47" i="13"/>
  <c r="F47" i="13"/>
  <c r="M47" i="13"/>
  <c r="E47" i="13"/>
  <c r="L47" i="13"/>
  <c r="D47" i="13"/>
  <c r="K47" i="13"/>
  <c r="C47" i="13"/>
  <c r="J47" i="13"/>
  <c r="S291" i="19"/>
  <c r="K291" i="19"/>
  <c r="C291" i="19"/>
  <c r="R291" i="19"/>
  <c r="J291" i="19"/>
  <c r="L291" i="19"/>
  <c r="I291" i="19"/>
  <c r="H291" i="19"/>
  <c r="Q291" i="19"/>
  <c r="G291" i="19"/>
  <c r="P291" i="19"/>
  <c r="F291" i="19"/>
  <c r="N291" i="19"/>
  <c r="D291" i="19"/>
  <c r="O291" i="19"/>
  <c r="M291" i="19"/>
  <c r="E291" i="19"/>
  <c r="A291" i="19"/>
  <c r="H8" i="20" l="1"/>
  <c r="N7" i="13"/>
  <c r="R185" i="19"/>
  <c r="J185" i="19"/>
  <c r="Q185" i="19"/>
  <c r="I185" i="19"/>
  <c r="A185" i="19"/>
  <c r="P185" i="19"/>
  <c r="H185" i="19"/>
  <c r="N185" i="19"/>
  <c r="F185" i="19"/>
  <c r="L185" i="19"/>
  <c r="D185" i="19"/>
  <c r="C185" i="19"/>
  <c r="S185" i="19"/>
  <c r="O185" i="19"/>
  <c r="M185" i="19"/>
  <c r="G185" i="19"/>
  <c r="K185" i="19"/>
  <c r="E185" i="19"/>
  <c r="J246" i="17"/>
  <c r="I246" i="17"/>
  <c r="A246" i="17"/>
  <c r="H246" i="17"/>
  <c r="G246" i="17"/>
  <c r="N246" i="17"/>
  <c r="F246" i="17"/>
  <c r="L246" i="17"/>
  <c r="D246" i="17"/>
  <c r="E246" i="17"/>
  <c r="C246" i="17"/>
  <c r="M246" i="17"/>
  <c r="K246" i="17"/>
  <c r="H197" i="17"/>
  <c r="G197" i="17"/>
  <c r="N197" i="17"/>
  <c r="F197" i="17"/>
  <c r="E197" i="17"/>
  <c r="L197" i="17"/>
  <c r="D197" i="17"/>
  <c r="A197" i="17"/>
  <c r="K197" i="17"/>
  <c r="M197" i="17" s="1"/>
  <c r="I197" i="17"/>
  <c r="J197" i="17"/>
  <c r="C197" i="17"/>
  <c r="N188" i="17"/>
  <c r="F188" i="17"/>
  <c r="E188" i="17"/>
  <c r="L188" i="17"/>
  <c r="D188" i="17"/>
  <c r="K188" i="17"/>
  <c r="M188" i="17" s="1"/>
  <c r="C188" i="17"/>
  <c r="J188" i="17"/>
  <c r="I188" i="17"/>
  <c r="G188" i="17"/>
  <c r="A188" i="17"/>
  <c r="H188" i="17"/>
  <c r="L171" i="17"/>
  <c r="D171" i="17"/>
  <c r="K171" i="17"/>
  <c r="C171" i="17"/>
  <c r="J171" i="17"/>
  <c r="I171" i="17"/>
  <c r="A171" i="17"/>
  <c r="H171" i="17"/>
  <c r="E171" i="17"/>
  <c r="N171" i="17"/>
  <c r="G171" i="17"/>
  <c r="M171" i="17"/>
  <c r="F171" i="17"/>
  <c r="J154" i="17"/>
  <c r="I154" i="17"/>
  <c r="A154" i="17"/>
  <c r="H154" i="17"/>
  <c r="G154" i="17"/>
  <c r="N154" i="17"/>
  <c r="F154" i="17"/>
  <c r="E154" i="17"/>
  <c r="D154" i="17"/>
  <c r="C154" i="17"/>
  <c r="L154" i="17"/>
  <c r="M154" i="17"/>
  <c r="K154" i="17"/>
  <c r="N42" i="17"/>
  <c r="F42" i="17"/>
  <c r="E42" i="17"/>
  <c r="L42" i="17"/>
  <c r="D42" i="17"/>
  <c r="K42" i="17"/>
  <c r="M42" i="17" s="1"/>
  <c r="C42" i="17"/>
  <c r="J42" i="17"/>
  <c r="H42" i="17"/>
  <c r="G42" i="17"/>
  <c r="A42" i="17"/>
  <c r="I42" i="17"/>
  <c r="O258" i="19"/>
  <c r="G258" i="19"/>
  <c r="N258" i="19"/>
  <c r="F258" i="19"/>
  <c r="M258" i="19"/>
  <c r="E258" i="19"/>
  <c r="L258" i="19"/>
  <c r="D258" i="19"/>
  <c r="S258" i="19"/>
  <c r="K258" i="19"/>
  <c r="C258" i="19"/>
  <c r="Q258" i="19"/>
  <c r="I258" i="19"/>
  <c r="A258" i="19"/>
  <c r="R258" i="19"/>
  <c r="J258" i="19"/>
  <c r="P258" i="19"/>
  <c r="H258" i="19"/>
  <c r="R249" i="19"/>
  <c r="J249" i="19"/>
  <c r="Q249" i="19"/>
  <c r="I249" i="19"/>
  <c r="A249" i="19"/>
  <c r="P249" i="19"/>
  <c r="H249" i="19"/>
  <c r="O249" i="19"/>
  <c r="G249" i="19"/>
  <c r="N249" i="19"/>
  <c r="F249" i="19"/>
  <c r="L249" i="19"/>
  <c r="D249" i="19"/>
  <c r="M249" i="19"/>
  <c r="K249" i="19"/>
  <c r="E249" i="19"/>
  <c r="C249" i="19"/>
  <c r="S249" i="19"/>
  <c r="M200" i="19"/>
  <c r="E200" i="19"/>
  <c r="L200" i="19"/>
  <c r="D200" i="19"/>
  <c r="S200" i="19"/>
  <c r="K200" i="19"/>
  <c r="C200" i="19"/>
  <c r="R200" i="19"/>
  <c r="J200" i="19"/>
  <c r="Q200" i="19"/>
  <c r="I200" i="19"/>
  <c r="A200" i="19"/>
  <c r="O200" i="19"/>
  <c r="G200" i="19"/>
  <c r="P200" i="19"/>
  <c r="N200" i="19"/>
  <c r="H200" i="19"/>
  <c r="F200" i="19"/>
  <c r="P191" i="19"/>
  <c r="H191" i="19"/>
  <c r="O191" i="19"/>
  <c r="G191" i="19"/>
  <c r="N191" i="19"/>
  <c r="F191" i="19"/>
  <c r="L191" i="19"/>
  <c r="D191" i="19"/>
  <c r="R191" i="19"/>
  <c r="J191" i="19"/>
  <c r="Q191" i="19"/>
  <c r="M191" i="19"/>
  <c r="K191" i="19"/>
  <c r="I191" i="19"/>
  <c r="E191" i="19"/>
  <c r="A191" i="19"/>
  <c r="C191" i="19"/>
  <c r="S191" i="19"/>
  <c r="S174" i="19"/>
  <c r="K174" i="19"/>
  <c r="C174" i="19"/>
  <c r="R174" i="19"/>
  <c r="J174" i="19"/>
  <c r="Q174" i="19"/>
  <c r="I174" i="19"/>
  <c r="A174" i="19"/>
  <c r="O174" i="19"/>
  <c r="G174" i="19"/>
  <c r="M174" i="19"/>
  <c r="E174" i="19"/>
  <c r="P174" i="19"/>
  <c r="N174" i="19"/>
  <c r="L174" i="19"/>
  <c r="H174" i="19"/>
  <c r="D174" i="19"/>
  <c r="F174" i="19"/>
  <c r="R157" i="19"/>
  <c r="J157" i="19"/>
  <c r="Q157" i="19"/>
  <c r="I157" i="19"/>
  <c r="A157" i="19"/>
  <c r="P157" i="19"/>
  <c r="H157" i="19"/>
  <c r="O157" i="19"/>
  <c r="G157" i="19"/>
  <c r="N157" i="19"/>
  <c r="F157" i="19"/>
  <c r="L157" i="19"/>
  <c r="D157" i="19"/>
  <c r="S157" i="19"/>
  <c r="M157" i="19"/>
  <c r="K157" i="19"/>
  <c r="E157" i="19"/>
  <c r="C157" i="19"/>
  <c r="O45" i="19"/>
  <c r="G45" i="19"/>
  <c r="N45" i="19"/>
  <c r="F45" i="19"/>
  <c r="M45" i="19"/>
  <c r="E45" i="19"/>
  <c r="L45" i="19"/>
  <c r="D45" i="19"/>
  <c r="S45" i="19"/>
  <c r="K45" i="19"/>
  <c r="C45" i="19"/>
  <c r="Q45" i="19"/>
  <c r="I45" i="19"/>
  <c r="A45" i="19"/>
  <c r="R45" i="19"/>
  <c r="J45" i="19"/>
  <c r="P45" i="19"/>
  <c r="H45" i="19"/>
  <c r="Q23" i="19"/>
  <c r="I23" i="19"/>
  <c r="A23" i="19"/>
  <c r="P23" i="19"/>
  <c r="H23" i="19"/>
  <c r="O23" i="19"/>
  <c r="G23" i="19"/>
  <c r="N23" i="19"/>
  <c r="F23" i="19"/>
  <c r="M23" i="19"/>
  <c r="E23" i="19"/>
  <c r="S23" i="19"/>
  <c r="K23" i="19"/>
  <c r="C23" i="19"/>
  <c r="D23" i="19"/>
  <c r="L23" i="19"/>
  <c r="R23" i="19"/>
  <c r="J23" i="19"/>
  <c r="M43" i="19"/>
  <c r="E43" i="19"/>
  <c r="L43" i="19"/>
  <c r="D43" i="19"/>
  <c r="S43" i="19"/>
  <c r="K43" i="19"/>
  <c r="C43" i="19"/>
  <c r="R43" i="19"/>
  <c r="J43" i="19"/>
  <c r="Q43" i="19"/>
  <c r="I43" i="19"/>
  <c r="A43" i="19"/>
  <c r="O43" i="19"/>
  <c r="G43" i="19"/>
  <c r="H43" i="19"/>
  <c r="F43" i="19"/>
  <c r="P43" i="19"/>
  <c r="N43" i="19"/>
  <c r="L229" i="18"/>
  <c r="J229" i="18"/>
  <c r="J23" i="18"/>
  <c r="L23" i="18"/>
  <c r="I45" i="18"/>
  <c r="L541" i="18"/>
  <c r="J541" i="18"/>
  <c r="I415" i="18"/>
  <c r="L734" i="18"/>
  <c r="J734" i="18"/>
  <c r="L757" i="18"/>
  <c r="J757" i="18"/>
  <c r="I551" i="18"/>
  <c r="I970" i="18"/>
  <c r="I10" i="20"/>
  <c r="K10" i="20" s="1"/>
  <c r="K23" i="16"/>
  <c r="L23" i="16" s="1"/>
  <c r="K21" i="16"/>
  <c r="K22" i="16"/>
  <c r="L22" i="16" s="1"/>
  <c r="N13" i="14"/>
  <c r="O13" i="14" s="1"/>
  <c r="K19" i="16"/>
  <c r="L19" i="16" s="1"/>
  <c r="K20" i="16"/>
  <c r="Q305" i="19"/>
  <c r="I305" i="19"/>
  <c r="A305" i="19"/>
  <c r="P305" i="19"/>
  <c r="H305" i="19"/>
  <c r="O305" i="19"/>
  <c r="G305" i="19"/>
  <c r="N305" i="19"/>
  <c r="F305" i="19"/>
  <c r="M305" i="19"/>
  <c r="E305" i="19"/>
  <c r="S305" i="19"/>
  <c r="K305" i="19"/>
  <c r="C305" i="19"/>
  <c r="D305" i="19"/>
  <c r="L305" i="19"/>
  <c r="R305" i="19"/>
  <c r="J305" i="19"/>
  <c r="M256" i="19"/>
  <c r="E256" i="19"/>
  <c r="L256" i="19"/>
  <c r="D256" i="19"/>
  <c r="S256" i="19"/>
  <c r="K256" i="19"/>
  <c r="C256" i="19"/>
  <c r="R256" i="19"/>
  <c r="J256" i="19"/>
  <c r="Q256" i="19"/>
  <c r="I256" i="19"/>
  <c r="A256" i="19"/>
  <c r="O256" i="19"/>
  <c r="G256" i="19"/>
  <c r="H256" i="19"/>
  <c r="F256" i="19"/>
  <c r="P256" i="19"/>
  <c r="N256" i="19"/>
  <c r="P247" i="19"/>
  <c r="H247" i="19"/>
  <c r="O247" i="19"/>
  <c r="G247" i="19"/>
  <c r="N247" i="19"/>
  <c r="F247" i="19"/>
  <c r="M247" i="19"/>
  <c r="E247" i="19"/>
  <c r="L247" i="19"/>
  <c r="D247" i="19"/>
  <c r="R247" i="19"/>
  <c r="J247" i="19"/>
  <c r="S247" i="19"/>
  <c r="Q247" i="19"/>
  <c r="K247" i="19"/>
  <c r="I247" i="19"/>
  <c r="C247" i="19"/>
  <c r="A247" i="19"/>
  <c r="S230" i="19"/>
  <c r="K230" i="19"/>
  <c r="C230" i="19"/>
  <c r="R230" i="19"/>
  <c r="J230" i="19"/>
  <c r="Q230" i="19"/>
  <c r="I230" i="19"/>
  <c r="A230" i="19"/>
  <c r="P230" i="19"/>
  <c r="H230" i="19"/>
  <c r="O230" i="19"/>
  <c r="G230" i="19"/>
  <c r="M230" i="19"/>
  <c r="E230" i="19"/>
  <c r="N230" i="19"/>
  <c r="L230" i="19"/>
  <c r="F230" i="19"/>
  <c r="D230" i="19"/>
  <c r="N213" i="19"/>
  <c r="F213" i="19"/>
  <c r="M213" i="19"/>
  <c r="E213" i="19"/>
  <c r="L213" i="19"/>
  <c r="D213" i="19"/>
  <c r="S213" i="19"/>
  <c r="K213" i="19"/>
  <c r="C213" i="19"/>
  <c r="R213" i="19"/>
  <c r="J213" i="19"/>
  <c r="P213" i="19"/>
  <c r="H213" i="19"/>
  <c r="Q213" i="19"/>
  <c r="O213" i="19"/>
  <c r="I213" i="19"/>
  <c r="A213" i="19"/>
  <c r="G213" i="19"/>
  <c r="Q196" i="19"/>
  <c r="I196" i="19"/>
  <c r="A196" i="19"/>
  <c r="P196" i="19"/>
  <c r="H196" i="19"/>
  <c r="O196" i="19"/>
  <c r="G196" i="19"/>
  <c r="M196" i="19"/>
  <c r="E196" i="19"/>
  <c r="S196" i="19"/>
  <c r="K196" i="19"/>
  <c r="C196" i="19"/>
  <c r="F196" i="19"/>
  <c r="D196" i="19"/>
  <c r="R196" i="19"/>
  <c r="L196" i="19"/>
  <c r="N196" i="19"/>
  <c r="J196" i="19"/>
  <c r="S307" i="19"/>
  <c r="K307" i="19"/>
  <c r="C307" i="19"/>
  <c r="R307" i="19"/>
  <c r="J307" i="19"/>
  <c r="Q307" i="19"/>
  <c r="I307" i="19"/>
  <c r="A307" i="19"/>
  <c r="P307" i="19"/>
  <c r="H307" i="19"/>
  <c r="O307" i="19"/>
  <c r="G307" i="19"/>
  <c r="M307" i="19"/>
  <c r="E307" i="19"/>
  <c r="N307" i="19"/>
  <c r="F307" i="19"/>
  <c r="L307" i="19"/>
  <c r="D307" i="19"/>
  <c r="M124" i="19"/>
  <c r="E124" i="19"/>
  <c r="L124" i="19"/>
  <c r="D124" i="19"/>
  <c r="S124" i="19"/>
  <c r="K124" i="19"/>
  <c r="C124" i="19"/>
  <c r="R124" i="19"/>
  <c r="J124" i="19"/>
  <c r="Q124" i="19"/>
  <c r="I124" i="19"/>
  <c r="A124" i="19"/>
  <c r="O124" i="19"/>
  <c r="G124" i="19"/>
  <c r="H124" i="19"/>
  <c r="F124" i="19"/>
  <c r="P124" i="19"/>
  <c r="N124" i="19"/>
  <c r="L275" i="19"/>
  <c r="D275" i="19"/>
  <c r="S275" i="19"/>
  <c r="K275" i="19"/>
  <c r="C275" i="19"/>
  <c r="R275" i="19"/>
  <c r="J275" i="19"/>
  <c r="Q275" i="19"/>
  <c r="I275" i="19"/>
  <c r="A275" i="19"/>
  <c r="P275" i="19"/>
  <c r="H275" i="19"/>
  <c r="N275" i="19"/>
  <c r="F275" i="19"/>
  <c r="O275" i="19"/>
  <c r="G275" i="19"/>
  <c r="M275" i="19"/>
  <c r="E275" i="19"/>
  <c r="L58" i="18"/>
  <c r="J58" i="18"/>
  <c r="J646" i="18"/>
  <c r="L646" i="18"/>
  <c r="I367" i="18"/>
  <c r="I687" i="18"/>
  <c r="L886" i="18"/>
  <c r="J886" i="18"/>
  <c r="L810" i="18"/>
  <c r="J810" i="18"/>
  <c r="S114" i="19"/>
  <c r="K114" i="19"/>
  <c r="C114" i="19"/>
  <c r="R114" i="19"/>
  <c r="J114" i="19"/>
  <c r="Q114" i="19"/>
  <c r="I114" i="19"/>
  <c r="A114" i="19"/>
  <c r="P114" i="19"/>
  <c r="H114" i="19"/>
  <c r="O114" i="19"/>
  <c r="G114" i="19"/>
  <c r="M114" i="19"/>
  <c r="E114" i="19"/>
  <c r="F114" i="19"/>
  <c r="D114" i="19"/>
  <c r="N114" i="19"/>
  <c r="L114" i="19"/>
  <c r="N105" i="19"/>
  <c r="F105" i="19"/>
  <c r="M105" i="19"/>
  <c r="E105" i="19"/>
  <c r="L105" i="19"/>
  <c r="D105" i="19"/>
  <c r="S105" i="19"/>
  <c r="K105" i="19"/>
  <c r="C105" i="19"/>
  <c r="R105" i="19"/>
  <c r="J105" i="19"/>
  <c r="P105" i="19"/>
  <c r="H105" i="19"/>
  <c r="Q105" i="19"/>
  <c r="O105" i="19"/>
  <c r="I105" i="19"/>
  <c r="G105" i="19"/>
  <c r="A105" i="19"/>
  <c r="O303" i="19"/>
  <c r="G303" i="19"/>
  <c r="N303" i="19"/>
  <c r="F303" i="19"/>
  <c r="M303" i="19"/>
  <c r="E303" i="19"/>
  <c r="L303" i="19"/>
  <c r="D303" i="19"/>
  <c r="S303" i="19"/>
  <c r="K303" i="19"/>
  <c r="C303" i="19"/>
  <c r="Q303" i="19"/>
  <c r="I303" i="19"/>
  <c r="A303" i="19"/>
  <c r="J303" i="19"/>
  <c r="H303" i="19"/>
  <c r="R303" i="19"/>
  <c r="P303" i="19"/>
  <c r="R286" i="19"/>
  <c r="J286" i="19"/>
  <c r="Q286" i="19"/>
  <c r="I286" i="19"/>
  <c r="A286" i="19"/>
  <c r="K286" i="19"/>
  <c r="H286" i="19"/>
  <c r="S286" i="19"/>
  <c r="G286" i="19"/>
  <c r="P286" i="19"/>
  <c r="F286" i="19"/>
  <c r="O286" i="19"/>
  <c r="E286" i="19"/>
  <c r="M286" i="19"/>
  <c r="C286" i="19"/>
  <c r="N286" i="19"/>
  <c r="D286" i="19"/>
  <c r="L286" i="19"/>
  <c r="N269" i="19"/>
  <c r="F269" i="19"/>
  <c r="M269" i="19"/>
  <c r="E269" i="19"/>
  <c r="L269" i="19"/>
  <c r="D269" i="19"/>
  <c r="S269" i="19"/>
  <c r="K269" i="19"/>
  <c r="C269" i="19"/>
  <c r="R269" i="19"/>
  <c r="J269" i="19"/>
  <c r="P269" i="19"/>
  <c r="H269" i="19"/>
  <c r="Q269" i="19"/>
  <c r="O269" i="19"/>
  <c r="I269" i="19"/>
  <c r="G269" i="19"/>
  <c r="A269" i="19"/>
  <c r="Q252" i="19"/>
  <c r="I252" i="19"/>
  <c r="A252" i="19"/>
  <c r="P252" i="19"/>
  <c r="H252" i="19"/>
  <c r="O252" i="19"/>
  <c r="G252" i="19"/>
  <c r="N252" i="19"/>
  <c r="F252" i="19"/>
  <c r="M252" i="19"/>
  <c r="E252" i="19"/>
  <c r="S252" i="19"/>
  <c r="K252" i="19"/>
  <c r="C252" i="19"/>
  <c r="R252" i="19"/>
  <c r="L252" i="19"/>
  <c r="J252" i="19"/>
  <c r="D252" i="19"/>
  <c r="Q39" i="19"/>
  <c r="I39" i="19"/>
  <c r="A39" i="19"/>
  <c r="P39" i="19"/>
  <c r="H39" i="19"/>
  <c r="O39" i="19"/>
  <c r="G39" i="19"/>
  <c r="N39" i="19"/>
  <c r="F39" i="19"/>
  <c r="M39" i="19"/>
  <c r="E39" i="19"/>
  <c r="S39" i="19"/>
  <c r="K39" i="19"/>
  <c r="C39" i="19"/>
  <c r="R39" i="19"/>
  <c r="L39" i="19"/>
  <c r="J39" i="19"/>
  <c r="D39" i="19"/>
  <c r="S17" i="19"/>
  <c r="K17" i="19"/>
  <c r="C17" i="19"/>
  <c r="R17" i="19"/>
  <c r="J17" i="19"/>
  <c r="Q17" i="19"/>
  <c r="I17" i="19"/>
  <c r="A17" i="19"/>
  <c r="P17" i="19"/>
  <c r="H17" i="19"/>
  <c r="O17" i="19"/>
  <c r="G17" i="19"/>
  <c r="M17" i="19"/>
  <c r="E17" i="19"/>
  <c r="N17" i="19"/>
  <c r="L17" i="19"/>
  <c r="F17" i="19"/>
  <c r="D17" i="19"/>
  <c r="I469" i="18"/>
  <c r="L295" i="17"/>
  <c r="D295" i="17"/>
  <c r="K295" i="17"/>
  <c r="C295" i="17"/>
  <c r="J295" i="17"/>
  <c r="I295" i="17"/>
  <c r="A295" i="17"/>
  <c r="H295" i="17"/>
  <c r="N295" i="17"/>
  <c r="F295" i="17"/>
  <c r="M295" i="17"/>
  <c r="G295" i="17"/>
  <c r="E295" i="17"/>
  <c r="J286" i="17"/>
  <c r="I286" i="17"/>
  <c r="A286" i="17"/>
  <c r="H286" i="17"/>
  <c r="G286" i="17"/>
  <c r="N286" i="17"/>
  <c r="F286" i="17"/>
  <c r="L286" i="17"/>
  <c r="D286" i="17"/>
  <c r="K286" i="17"/>
  <c r="M286" i="17" s="1"/>
  <c r="E286" i="17"/>
  <c r="C286" i="17"/>
  <c r="H237" i="17"/>
  <c r="G237" i="17"/>
  <c r="N237" i="17"/>
  <c r="F237" i="17"/>
  <c r="E237" i="17"/>
  <c r="L237" i="17"/>
  <c r="D237" i="17"/>
  <c r="J237" i="17"/>
  <c r="C237" i="17"/>
  <c r="A237" i="17"/>
  <c r="K237" i="17"/>
  <c r="M237" i="17" s="1"/>
  <c r="I237" i="17"/>
  <c r="N228" i="17"/>
  <c r="F228" i="17"/>
  <c r="M228" i="17"/>
  <c r="E228" i="17"/>
  <c r="L228" i="17"/>
  <c r="D228" i="17"/>
  <c r="K228" i="17"/>
  <c r="C228" i="17"/>
  <c r="J228" i="17"/>
  <c r="H228" i="17"/>
  <c r="A228" i="17"/>
  <c r="I228" i="17"/>
  <c r="G228" i="17"/>
  <c r="L211" i="17"/>
  <c r="D211" i="17"/>
  <c r="K211" i="17"/>
  <c r="C211" i="17"/>
  <c r="J211" i="17"/>
  <c r="I211" i="17"/>
  <c r="A211" i="17"/>
  <c r="H211" i="17"/>
  <c r="N211" i="17"/>
  <c r="F211" i="17"/>
  <c r="M211" i="17"/>
  <c r="G211" i="17"/>
  <c r="E211" i="17"/>
  <c r="J194" i="17"/>
  <c r="I194" i="17"/>
  <c r="A194" i="17"/>
  <c r="H194" i="17"/>
  <c r="G194" i="17"/>
  <c r="N194" i="17"/>
  <c r="F194" i="17"/>
  <c r="C194" i="17"/>
  <c r="M194" i="17"/>
  <c r="L194" i="17"/>
  <c r="E194" i="17"/>
  <c r="D194" i="17"/>
  <c r="K194" i="17"/>
  <c r="H177" i="17"/>
  <c r="G177" i="17"/>
  <c r="N177" i="17"/>
  <c r="F177" i="17"/>
  <c r="E177" i="17"/>
  <c r="L177" i="17"/>
  <c r="D177" i="17"/>
  <c r="C177" i="17"/>
  <c r="A177" i="17"/>
  <c r="J177" i="17"/>
  <c r="K177" i="17"/>
  <c r="M177" i="17" s="1"/>
  <c r="I177" i="17"/>
  <c r="J44" i="17"/>
  <c r="I44" i="17"/>
  <c r="A44" i="17"/>
  <c r="H44" i="17"/>
  <c r="G44" i="17"/>
  <c r="N44" i="17"/>
  <c r="F44" i="17"/>
  <c r="L44" i="17"/>
  <c r="D44" i="17"/>
  <c r="K44" i="17"/>
  <c r="M44" i="17" s="1"/>
  <c r="E44" i="17"/>
  <c r="C44" i="17"/>
  <c r="N22" i="17"/>
  <c r="F22" i="17"/>
  <c r="E22" i="17"/>
  <c r="L22" i="17"/>
  <c r="D22" i="17"/>
  <c r="K22" i="17"/>
  <c r="M22" i="17" s="1"/>
  <c r="C22" i="17"/>
  <c r="J22" i="17"/>
  <c r="H22" i="17"/>
  <c r="G22" i="17"/>
  <c r="I22" i="17"/>
  <c r="A22" i="17"/>
  <c r="J430" i="18"/>
  <c r="L430" i="18"/>
  <c r="J51" i="18"/>
  <c r="L51" i="18"/>
  <c r="L157" i="18"/>
  <c r="J157" i="18"/>
  <c r="L933" i="18"/>
  <c r="J933" i="18"/>
  <c r="L941" i="18"/>
  <c r="J941" i="18"/>
  <c r="I1002" i="18"/>
  <c r="L287" i="17"/>
  <c r="D287" i="17"/>
  <c r="K287" i="17"/>
  <c r="C287" i="17"/>
  <c r="J287" i="17"/>
  <c r="I287" i="17"/>
  <c r="A287" i="17"/>
  <c r="H287" i="17"/>
  <c r="N287" i="17"/>
  <c r="F287" i="17"/>
  <c r="G287" i="17"/>
  <c r="E287" i="17"/>
  <c r="M287" i="17"/>
  <c r="J278" i="17"/>
  <c r="I278" i="17"/>
  <c r="A278" i="17"/>
  <c r="H278" i="17"/>
  <c r="G278" i="17"/>
  <c r="N278" i="17"/>
  <c r="F278" i="17"/>
  <c r="L278" i="17"/>
  <c r="D278" i="17"/>
  <c r="E278" i="17"/>
  <c r="C278" i="17"/>
  <c r="K278" i="17"/>
  <c r="M278" i="17" s="1"/>
  <c r="H229" i="17"/>
  <c r="G229" i="17"/>
  <c r="N229" i="17"/>
  <c r="F229" i="17"/>
  <c r="E229" i="17"/>
  <c r="L229" i="17"/>
  <c r="D229" i="17"/>
  <c r="J229" i="17"/>
  <c r="K229" i="17"/>
  <c r="M229" i="17" s="1"/>
  <c r="I229" i="17"/>
  <c r="C229" i="17"/>
  <c r="A229" i="17"/>
  <c r="N220" i="17"/>
  <c r="F220" i="17"/>
  <c r="M220" i="17"/>
  <c r="E220" i="17"/>
  <c r="L220" i="17"/>
  <c r="D220" i="17"/>
  <c r="K220" i="17"/>
  <c r="C220" i="17"/>
  <c r="J220" i="17"/>
  <c r="H220" i="17"/>
  <c r="I220" i="17"/>
  <c r="G220" i="17"/>
  <c r="A220" i="17"/>
  <c r="L203" i="17"/>
  <c r="D203" i="17"/>
  <c r="K203" i="17"/>
  <c r="M203" i="17" s="1"/>
  <c r="C203" i="17"/>
  <c r="J203" i="17"/>
  <c r="I203" i="17"/>
  <c r="A203" i="17"/>
  <c r="H203" i="17"/>
  <c r="N203" i="17"/>
  <c r="E203" i="17"/>
  <c r="G203" i="17"/>
  <c r="F203" i="17"/>
  <c r="J186" i="17"/>
  <c r="I186" i="17"/>
  <c r="A186" i="17"/>
  <c r="H186" i="17"/>
  <c r="G186" i="17"/>
  <c r="N186" i="17"/>
  <c r="F186" i="17"/>
  <c r="E186" i="17"/>
  <c r="D186" i="17"/>
  <c r="C186" i="17"/>
  <c r="L186" i="17"/>
  <c r="K186" i="17"/>
  <c r="M186" i="17" s="1"/>
  <c r="F10" i="17"/>
  <c r="E10" i="17"/>
  <c r="J10" i="17" s="1"/>
  <c r="D10" i="17"/>
  <c r="K10" i="17"/>
  <c r="C10" i="17"/>
  <c r="H10" i="17"/>
  <c r="G10" i="17"/>
  <c r="A10" i="17"/>
  <c r="I10" i="17"/>
  <c r="M52" i="17"/>
  <c r="E52" i="17"/>
  <c r="L52" i="17"/>
  <c r="D52" i="17"/>
  <c r="K52" i="17"/>
  <c r="C52" i="17"/>
  <c r="A52" i="17"/>
  <c r="N52" i="17"/>
  <c r="J52" i="17"/>
  <c r="I52" i="17"/>
  <c r="H52" i="17"/>
  <c r="F52" i="17"/>
  <c r="G52" i="17"/>
  <c r="N30" i="17"/>
  <c r="F30" i="17"/>
  <c r="M30" i="17"/>
  <c r="E30" i="17"/>
  <c r="L30" i="17"/>
  <c r="D30" i="17"/>
  <c r="K30" i="17"/>
  <c r="C30" i="17"/>
  <c r="J30" i="17"/>
  <c r="H30" i="17"/>
  <c r="I30" i="17"/>
  <c r="G30" i="17"/>
  <c r="A30" i="17"/>
  <c r="J94" i="17"/>
  <c r="I94" i="17"/>
  <c r="A94" i="17"/>
  <c r="H94" i="17"/>
  <c r="G94" i="17"/>
  <c r="N94" i="17"/>
  <c r="F94" i="17"/>
  <c r="M94" i="17"/>
  <c r="L94" i="17"/>
  <c r="K94" i="17"/>
  <c r="E94" i="17"/>
  <c r="D94" i="17"/>
  <c r="C94" i="17"/>
  <c r="J83" i="18"/>
  <c r="L83" i="18"/>
  <c r="L112" i="18"/>
  <c r="J112" i="18"/>
  <c r="I387" i="18"/>
  <c r="J713" i="18"/>
  <c r="L713" i="18"/>
  <c r="I910" i="18"/>
  <c r="L291" i="18"/>
  <c r="J291" i="18"/>
  <c r="H105" i="17"/>
  <c r="G105" i="17"/>
  <c r="N105" i="17"/>
  <c r="F105" i="17"/>
  <c r="E105" i="17"/>
  <c r="L105" i="17"/>
  <c r="D105" i="17"/>
  <c r="J105" i="17"/>
  <c r="I105" i="17"/>
  <c r="C105" i="17"/>
  <c r="A105" i="17"/>
  <c r="K105" i="17"/>
  <c r="M105" i="17" s="1"/>
  <c r="L87" i="17"/>
  <c r="D87" i="17"/>
  <c r="K87" i="17"/>
  <c r="C87" i="17"/>
  <c r="J87" i="17"/>
  <c r="I87" i="17"/>
  <c r="A87" i="17"/>
  <c r="H87" i="17"/>
  <c r="F87" i="17"/>
  <c r="E87" i="17"/>
  <c r="M87" i="17"/>
  <c r="N87" i="17"/>
  <c r="G87" i="17"/>
  <c r="H285" i="17"/>
  <c r="G285" i="17"/>
  <c r="N285" i="17"/>
  <c r="F285" i="17"/>
  <c r="E285" i="17"/>
  <c r="L285" i="17"/>
  <c r="D285" i="17"/>
  <c r="J285" i="17"/>
  <c r="C285" i="17"/>
  <c r="A285" i="17"/>
  <c r="K285" i="17"/>
  <c r="M285" i="17" s="1"/>
  <c r="I285" i="17"/>
  <c r="N276" i="17"/>
  <c r="F276" i="17"/>
  <c r="E276" i="17"/>
  <c r="L276" i="17"/>
  <c r="D276" i="17"/>
  <c r="K276" i="17"/>
  <c r="M276" i="17" s="1"/>
  <c r="C276" i="17"/>
  <c r="J276" i="17"/>
  <c r="H276" i="17"/>
  <c r="A276" i="17"/>
  <c r="I276" i="17"/>
  <c r="G276" i="17"/>
  <c r="L259" i="17"/>
  <c r="D259" i="17"/>
  <c r="K259" i="17"/>
  <c r="C259" i="17"/>
  <c r="J259" i="17"/>
  <c r="I259" i="17"/>
  <c r="A259" i="17"/>
  <c r="H259" i="17"/>
  <c r="N259" i="17"/>
  <c r="F259" i="17"/>
  <c r="M259" i="17"/>
  <c r="G259" i="17"/>
  <c r="E259" i="17"/>
  <c r="J242" i="17"/>
  <c r="I242" i="17"/>
  <c r="A242" i="17"/>
  <c r="H242" i="17"/>
  <c r="G242" i="17"/>
  <c r="N242" i="17"/>
  <c r="F242" i="17"/>
  <c r="L242" i="17"/>
  <c r="D242" i="17"/>
  <c r="E242" i="17"/>
  <c r="C242" i="17"/>
  <c r="K242" i="17"/>
  <c r="M242" i="17" s="1"/>
  <c r="H225" i="17"/>
  <c r="G225" i="17"/>
  <c r="N225" i="17"/>
  <c r="F225" i="17"/>
  <c r="E225" i="17"/>
  <c r="L225" i="17"/>
  <c r="D225" i="17"/>
  <c r="J225" i="17"/>
  <c r="K225" i="17"/>
  <c r="M225" i="17" s="1"/>
  <c r="I225" i="17"/>
  <c r="C225" i="17"/>
  <c r="A225" i="17"/>
  <c r="H113" i="17"/>
  <c r="G113" i="17"/>
  <c r="N113" i="17"/>
  <c r="F113" i="17"/>
  <c r="E113" i="17"/>
  <c r="L113" i="17"/>
  <c r="D113" i="17"/>
  <c r="C113" i="17"/>
  <c r="A113" i="17"/>
  <c r="J113" i="17"/>
  <c r="I113" i="17"/>
  <c r="K113" i="17"/>
  <c r="M113" i="17" s="1"/>
  <c r="J16" i="17"/>
  <c r="I16" i="17"/>
  <c r="A16" i="17"/>
  <c r="H16" i="17"/>
  <c r="G16" i="17"/>
  <c r="N16" i="17"/>
  <c r="F16" i="17"/>
  <c r="L16" i="17"/>
  <c r="D16" i="17"/>
  <c r="K16" i="17"/>
  <c r="M16" i="17" s="1"/>
  <c r="E16" i="17"/>
  <c r="C16" i="17"/>
  <c r="L299" i="18"/>
  <c r="J299" i="18"/>
  <c r="J257" i="18"/>
  <c r="L257" i="18"/>
  <c r="L759" i="18"/>
  <c r="J759" i="18"/>
  <c r="L860" i="18"/>
  <c r="J860" i="18"/>
  <c r="I854" i="18"/>
  <c r="L207" i="17"/>
  <c r="D207" i="17"/>
  <c r="K207" i="17"/>
  <c r="C207" i="17"/>
  <c r="J207" i="17"/>
  <c r="I207" i="17"/>
  <c r="A207" i="17"/>
  <c r="H207" i="17"/>
  <c r="N207" i="17"/>
  <c r="F207" i="17"/>
  <c r="G207" i="17"/>
  <c r="E207" i="17"/>
  <c r="M207" i="17"/>
  <c r="J198" i="17"/>
  <c r="I198" i="17"/>
  <c r="A198" i="17"/>
  <c r="H198" i="17"/>
  <c r="G198" i="17"/>
  <c r="N198" i="17"/>
  <c r="F198" i="17"/>
  <c r="K198" i="17"/>
  <c r="E198" i="17"/>
  <c r="D198" i="17"/>
  <c r="C198" i="17"/>
  <c r="M198" i="17"/>
  <c r="L198" i="17"/>
  <c r="H149" i="17"/>
  <c r="G149" i="17"/>
  <c r="N149" i="17"/>
  <c r="F149" i="17"/>
  <c r="M149" i="17"/>
  <c r="E149" i="17"/>
  <c r="L149" i="17"/>
  <c r="D149" i="17"/>
  <c r="K149" i="17"/>
  <c r="J149" i="17"/>
  <c r="I149" i="17"/>
  <c r="C149" i="17"/>
  <c r="A149" i="17"/>
  <c r="N140" i="17"/>
  <c r="F140" i="17"/>
  <c r="M140" i="17"/>
  <c r="E140" i="17"/>
  <c r="L140" i="17"/>
  <c r="D140" i="17"/>
  <c r="K140" i="17"/>
  <c r="C140" i="17"/>
  <c r="J140" i="17"/>
  <c r="I140" i="17"/>
  <c r="H140" i="17"/>
  <c r="G140" i="17"/>
  <c r="A140" i="17"/>
  <c r="L123" i="17"/>
  <c r="D123" i="17"/>
  <c r="K123" i="17"/>
  <c r="M123" i="17" s="1"/>
  <c r="C123" i="17"/>
  <c r="J123" i="17"/>
  <c r="I123" i="17"/>
  <c r="A123" i="17"/>
  <c r="H123" i="17"/>
  <c r="N123" i="17"/>
  <c r="G123" i="17"/>
  <c r="F123" i="17"/>
  <c r="E123" i="17"/>
  <c r="J106" i="17"/>
  <c r="I106" i="17"/>
  <c r="A106" i="17"/>
  <c r="H106" i="17"/>
  <c r="G106" i="17"/>
  <c r="N106" i="17"/>
  <c r="F106" i="17"/>
  <c r="M106" i="17"/>
  <c r="L106" i="17"/>
  <c r="K106" i="17"/>
  <c r="E106" i="17"/>
  <c r="C106" i="17"/>
  <c r="D106" i="17"/>
  <c r="N128" i="17"/>
  <c r="F128" i="17"/>
  <c r="M128" i="17"/>
  <c r="E128" i="17"/>
  <c r="L128" i="17"/>
  <c r="D128" i="17"/>
  <c r="K128" i="17"/>
  <c r="C128" i="17"/>
  <c r="J128" i="17"/>
  <c r="H128" i="17"/>
  <c r="G128" i="17"/>
  <c r="A128" i="17"/>
  <c r="I128" i="17"/>
  <c r="H129" i="17"/>
  <c r="G129" i="17"/>
  <c r="N129" i="17"/>
  <c r="F129" i="17"/>
  <c r="E129" i="17"/>
  <c r="L129" i="17"/>
  <c r="D129" i="17"/>
  <c r="K129" i="17"/>
  <c r="M129" i="17" s="1"/>
  <c r="J129" i="17"/>
  <c r="I129" i="17"/>
  <c r="C129" i="17"/>
  <c r="A129" i="17"/>
  <c r="I467" i="18"/>
  <c r="I535" i="18"/>
  <c r="J848" i="18"/>
  <c r="L848" i="18"/>
  <c r="R36" i="19"/>
  <c r="J36" i="19"/>
  <c r="Q36" i="19"/>
  <c r="I36" i="19"/>
  <c r="A36" i="19"/>
  <c r="P36" i="19"/>
  <c r="H36" i="19"/>
  <c r="O36" i="19"/>
  <c r="G36" i="19"/>
  <c r="N36" i="19"/>
  <c r="F36" i="19"/>
  <c r="L36" i="19"/>
  <c r="D36" i="19"/>
  <c r="M36" i="19"/>
  <c r="K36" i="19"/>
  <c r="E36" i="19"/>
  <c r="C36" i="19"/>
  <c r="S36" i="19"/>
  <c r="S138" i="19"/>
  <c r="K138" i="19"/>
  <c r="C138" i="19"/>
  <c r="R138" i="19"/>
  <c r="J138" i="19"/>
  <c r="Q138" i="19"/>
  <c r="I138" i="19"/>
  <c r="A138" i="19"/>
  <c r="P138" i="19"/>
  <c r="H138" i="19"/>
  <c r="O138" i="19"/>
  <c r="G138" i="19"/>
  <c r="M138" i="19"/>
  <c r="E138" i="19"/>
  <c r="N138" i="19"/>
  <c r="F138" i="19"/>
  <c r="L138" i="19"/>
  <c r="D138" i="19"/>
  <c r="N129" i="19"/>
  <c r="F129" i="19"/>
  <c r="M129" i="19"/>
  <c r="E129" i="19"/>
  <c r="L129" i="19"/>
  <c r="D129" i="19"/>
  <c r="S129" i="19"/>
  <c r="K129" i="19"/>
  <c r="C129" i="19"/>
  <c r="R129" i="19"/>
  <c r="J129" i="19"/>
  <c r="P129" i="19"/>
  <c r="H129" i="19"/>
  <c r="I129" i="19"/>
  <c r="G129" i="19"/>
  <c r="A129" i="19"/>
  <c r="Q129" i="19"/>
  <c r="O129" i="19"/>
  <c r="Q80" i="19"/>
  <c r="I80" i="19"/>
  <c r="A80" i="19"/>
  <c r="P80" i="19"/>
  <c r="H80" i="19"/>
  <c r="O80" i="19"/>
  <c r="G80" i="19"/>
  <c r="N80" i="19"/>
  <c r="F80" i="19"/>
  <c r="M80" i="19"/>
  <c r="E80" i="19"/>
  <c r="S80" i="19"/>
  <c r="K80" i="19"/>
  <c r="C80" i="19"/>
  <c r="L80" i="19"/>
  <c r="J80" i="19"/>
  <c r="D80" i="19"/>
  <c r="R80" i="19"/>
  <c r="L71" i="19"/>
  <c r="D71" i="19"/>
  <c r="S71" i="19"/>
  <c r="K71" i="19"/>
  <c r="C71" i="19"/>
  <c r="R71" i="19"/>
  <c r="J71" i="19"/>
  <c r="Q71" i="19"/>
  <c r="I71" i="19"/>
  <c r="A71" i="19"/>
  <c r="P71" i="19"/>
  <c r="H71" i="19"/>
  <c r="N71" i="19"/>
  <c r="F71" i="19"/>
  <c r="O71" i="19"/>
  <c r="M71" i="19"/>
  <c r="G71" i="19"/>
  <c r="E71" i="19"/>
  <c r="M293" i="19"/>
  <c r="E293" i="19"/>
  <c r="L293" i="19"/>
  <c r="D293" i="19"/>
  <c r="S293" i="19"/>
  <c r="K293" i="19"/>
  <c r="C293" i="19"/>
  <c r="O293" i="19"/>
  <c r="G293" i="19"/>
  <c r="J293" i="19"/>
  <c r="I293" i="19"/>
  <c r="H293" i="19"/>
  <c r="F293" i="19"/>
  <c r="R293" i="19"/>
  <c r="P293" i="19"/>
  <c r="Q293" i="19"/>
  <c r="A293" i="19"/>
  <c r="N293" i="19"/>
  <c r="Q276" i="19"/>
  <c r="I276" i="19"/>
  <c r="A276" i="19"/>
  <c r="P276" i="19"/>
  <c r="H276" i="19"/>
  <c r="O276" i="19"/>
  <c r="G276" i="19"/>
  <c r="N276" i="19"/>
  <c r="F276" i="19"/>
  <c r="M276" i="19"/>
  <c r="E276" i="19"/>
  <c r="S276" i="19"/>
  <c r="K276" i="19"/>
  <c r="C276" i="19"/>
  <c r="L276" i="19"/>
  <c r="J276" i="19"/>
  <c r="D276" i="19"/>
  <c r="R276" i="19"/>
  <c r="L30" i="19"/>
  <c r="D30" i="19"/>
  <c r="S30" i="19"/>
  <c r="K30" i="19"/>
  <c r="C30" i="19"/>
  <c r="R30" i="19"/>
  <c r="J30" i="19"/>
  <c r="Q30" i="19"/>
  <c r="I30" i="19"/>
  <c r="A30" i="19"/>
  <c r="P30" i="19"/>
  <c r="H30" i="19"/>
  <c r="N30" i="19"/>
  <c r="F30" i="19"/>
  <c r="O30" i="19"/>
  <c r="G30" i="19"/>
  <c r="M30" i="19"/>
  <c r="E30" i="19"/>
  <c r="P26" i="19"/>
  <c r="H26" i="19"/>
  <c r="O26" i="19"/>
  <c r="G26" i="19"/>
  <c r="N26" i="19"/>
  <c r="F26" i="19"/>
  <c r="M26" i="19"/>
  <c r="E26" i="19"/>
  <c r="L26" i="19"/>
  <c r="D26" i="19"/>
  <c r="R26" i="19"/>
  <c r="J26" i="19"/>
  <c r="K26" i="19"/>
  <c r="I26" i="19"/>
  <c r="C26" i="19"/>
  <c r="A26" i="19"/>
  <c r="S26" i="19"/>
  <c r="Q26" i="19"/>
  <c r="L205" i="18"/>
  <c r="J205" i="18"/>
  <c r="J113" i="18"/>
  <c r="L113" i="18"/>
  <c r="J494" i="18"/>
  <c r="L494" i="18"/>
  <c r="L517" i="18"/>
  <c r="J517" i="18"/>
  <c r="I287" i="18"/>
  <c r="L763" i="18"/>
  <c r="J763" i="18"/>
  <c r="J489" i="18"/>
  <c r="L489" i="18"/>
  <c r="L733" i="18"/>
  <c r="J733" i="18"/>
  <c r="I806" i="18"/>
  <c r="I40" i="18"/>
  <c r="I858" i="18"/>
  <c r="I547" i="18"/>
  <c r="I133" i="18"/>
  <c r="I280" i="18"/>
  <c r="L191" i="17"/>
  <c r="D191" i="17"/>
  <c r="K191" i="17"/>
  <c r="M191" i="17" s="1"/>
  <c r="C191" i="17"/>
  <c r="J191" i="17"/>
  <c r="I191" i="17"/>
  <c r="A191" i="17"/>
  <c r="H191" i="17"/>
  <c r="N191" i="17"/>
  <c r="F191" i="17"/>
  <c r="G191" i="17"/>
  <c r="E191" i="17"/>
  <c r="J182" i="17"/>
  <c r="I182" i="17"/>
  <c r="A182" i="17"/>
  <c r="H182" i="17"/>
  <c r="G182" i="17"/>
  <c r="N182" i="17"/>
  <c r="F182" i="17"/>
  <c r="L182" i="17"/>
  <c r="K182" i="17"/>
  <c r="M182" i="17" s="1"/>
  <c r="D182" i="17"/>
  <c r="C182" i="17"/>
  <c r="E182" i="17"/>
  <c r="H133" i="17"/>
  <c r="G133" i="17"/>
  <c r="N133" i="17"/>
  <c r="F133" i="17"/>
  <c r="M133" i="17"/>
  <c r="E133" i="17"/>
  <c r="L133" i="17"/>
  <c r="D133" i="17"/>
  <c r="A133" i="17"/>
  <c r="K133" i="17"/>
  <c r="I133" i="17"/>
  <c r="C133" i="17"/>
  <c r="J133" i="17"/>
  <c r="N124" i="17"/>
  <c r="F124" i="17"/>
  <c r="E124" i="17"/>
  <c r="L124" i="17"/>
  <c r="D124" i="17"/>
  <c r="K124" i="17"/>
  <c r="M124" i="17" s="1"/>
  <c r="C124" i="17"/>
  <c r="J124" i="17"/>
  <c r="I124" i="17"/>
  <c r="G124" i="17"/>
  <c r="H124" i="17"/>
  <c r="A124" i="17"/>
  <c r="L107" i="17"/>
  <c r="D107" i="17"/>
  <c r="K107" i="17"/>
  <c r="M107" i="17" s="1"/>
  <c r="C107" i="17"/>
  <c r="J107" i="17"/>
  <c r="I107" i="17"/>
  <c r="A107" i="17"/>
  <c r="H107" i="17"/>
  <c r="E107" i="17"/>
  <c r="N107" i="17"/>
  <c r="G107" i="17"/>
  <c r="F107" i="17"/>
  <c r="J90" i="17"/>
  <c r="I90" i="17"/>
  <c r="A90" i="17"/>
  <c r="H90" i="17"/>
  <c r="G90" i="17"/>
  <c r="N90" i="17"/>
  <c r="F90" i="17"/>
  <c r="E90" i="17"/>
  <c r="D90" i="17"/>
  <c r="C90" i="17"/>
  <c r="L90" i="17"/>
  <c r="K90" i="17"/>
  <c r="M90" i="17"/>
  <c r="N232" i="17"/>
  <c r="F232" i="17"/>
  <c r="E232" i="17"/>
  <c r="L232" i="17"/>
  <c r="D232" i="17"/>
  <c r="K232" i="17"/>
  <c r="M232" i="17" s="1"/>
  <c r="C232" i="17"/>
  <c r="J232" i="17"/>
  <c r="H232" i="17"/>
  <c r="I232" i="17"/>
  <c r="G232" i="17"/>
  <c r="A232" i="17"/>
  <c r="N104" i="17"/>
  <c r="F104" i="17"/>
  <c r="M104" i="17"/>
  <c r="E104" i="17"/>
  <c r="L104" i="17"/>
  <c r="D104" i="17"/>
  <c r="K104" i="17"/>
  <c r="C104" i="17"/>
  <c r="J104" i="17"/>
  <c r="A104" i="17"/>
  <c r="H104" i="17"/>
  <c r="I104" i="17"/>
  <c r="G104" i="17"/>
  <c r="H81" i="17"/>
  <c r="G81" i="17"/>
  <c r="N81" i="17"/>
  <c r="F81" i="17"/>
  <c r="E81" i="17"/>
  <c r="L81" i="17"/>
  <c r="D81" i="17"/>
  <c r="C81" i="17"/>
  <c r="A81" i="17"/>
  <c r="J81" i="17"/>
  <c r="K81" i="17"/>
  <c r="M81" i="17" s="1"/>
  <c r="I81" i="17"/>
  <c r="N280" i="17"/>
  <c r="F280" i="17"/>
  <c r="E280" i="17"/>
  <c r="L280" i="17"/>
  <c r="D280" i="17"/>
  <c r="K280" i="17"/>
  <c r="M280" i="17" s="1"/>
  <c r="C280" i="17"/>
  <c r="J280" i="17"/>
  <c r="H280" i="17"/>
  <c r="I280" i="17"/>
  <c r="G280" i="17"/>
  <c r="A280" i="17"/>
  <c r="L306" i="18"/>
  <c r="J306" i="18"/>
  <c r="L796" i="18"/>
  <c r="J796" i="18"/>
  <c r="L754" i="18"/>
  <c r="J754" i="18"/>
  <c r="J953" i="18"/>
  <c r="L953" i="18"/>
  <c r="L247" i="17"/>
  <c r="D247" i="17"/>
  <c r="K247" i="17"/>
  <c r="C247" i="17"/>
  <c r="J247" i="17"/>
  <c r="I247" i="17"/>
  <c r="A247" i="17"/>
  <c r="H247" i="17"/>
  <c r="N247" i="17"/>
  <c r="F247" i="17"/>
  <c r="M247" i="17"/>
  <c r="G247" i="17"/>
  <c r="E247" i="17"/>
  <c r="J238" i="17"/>
  <c r="I238" i="17"/>
  <c r="A238" i="17"/>
  <c r="H238" i="17"/>
  <c r="G238" i="17"/>
  <c r="N238" i="17"/>
  <c r="F238" i="17"/>
  <c r="L238" i="17"/>
  <c r="D238" i="17"/>
  <c r="K238" i="17"/>
  <c r="M238" i="17" s="1"/>
  <c r="E238" i="17"/>
  <c r="C238" i="17"/>
  <c r="H189" i="17"/>
  <c r="G189" i="17"/>
  <c r="N189" i="17"/>
  <c r="F189" i="17"/>
  <c r="E189" i="17"/>
  <c r="L189" i="17"/>
  <c r="D189" i="17"/>
  <c r="I189" i="17"/>
  <c r="C189" i="17"/>
  <c r="A189" i="17"/>
  <c r="K189" i="17"/>
  <c r="M189" i="17" s="1"/>
  <c r="J189" i="17"/>
  <c r="N180" i="17"/>
  <c r="F180" i="17"/>
  <c r="M180" i="17"/>
  <c r="E180" i="17"/>
  <c r="L180" i="17"/>
  <c r="D180" i="17"/>
  <c r="K180" i="17"/>
  <c r="C180" i="17"/>
  <c r="J180" i="17"/>
  <c r="G180" i="17"/>
  <c r="A180" i="17"/>
  <c r="I180" i="17"/>
  <c r="H180" i="17"/>
  <c r="L163" i="17"/>
  <c r="D163" i="17"/>
  <c r="K163" i="17"/>
  <c r="C163" i="17"/>
  <c r="J163" i="17"/>
  <c r="I163" i="17"/>
  <c r="A163" i="17"/>
  <c r="H163" i="17"/>
  <c r="G163" i="17"/>
  <c r="F163" i="17"/>
  <c r="E163" i="17"/>
  <c r="N163" i="17"/>
  <c r="M163" i="17"/>
  <c r="J146" i="17"/>
  <c r="I146" i="17"/>
  <c r="A146" i="17"/>
  <c r="H146" i="17"/>
  <c r="G146" i="17"/>
  <c r="N146" i="17"/>
  <c r="F146" i="17"/>
  <c r="L146" i="17"/>
  <c r="K146" i="17"/>
  <c r="M146" i="17" s="1"/>
  <c r="E146" i="17"/>
  <c r="D146" i="17"/>
  <c r="C146" i="17"/>
  <c r="I50" i="17"/>
  <c r="A50" i="17"/>
  <c r="H50" i="17"/>
  <c r="G50" i="17"/>
  <c r="D50" i="17"/>
  <c r="N50" i="17"/>
  <c r="C50" i="17"/>
  <c r="L50" i="17"/>
  <c r="K50" i="17"/>
  <c r="M50" i="17" s="1"/>
  <c r="F50" i="17"/>
  <c r="E50" i="17"/>
  <c r="J50" i="17"/>
  <c r="J28" i="17"/>
  <c r="I28" i="17"/>
  <c r="A28" i="17"/>
  <c r="H28" i="17"/>
  <c r="G28" i="17"/>
  <c r="N28" i="17"/>
  <c r="F28" i="17"/>
  <c r="L28" i="17"/>
  <c r="D28" i="17"/>
  <c r="K28" i="17"/>
  <c r="M28" i="17" s="1"/>
  <c r="E28" i="17"/>
  <c r="C28" i="17"/>
  <c r="F6" i="17"/>
  <c r="E6" i="17"/>
  <c r="J6" i="17" s="1"/>
  <c r="D6" i="17"/>
  <c r="K6" i="17"/>
  <c r="N9" i="19" s="1"/>
  <c r="C6" i="17"/>
  <c r="H6" i="17"/>
  <c r="G6" i="17"/>
  <c r="A6" i="17"/>
  <c r="I6" i="17"/>
  <c r="E48" i="17"/>
  <c r="L48" i="17"/>
  <c r="D48" i="17"/>
  <c r="K48" i="17"/>
  <c r="M48" i="17" s="1"/>
  <c r="C48" i="17"/>
  <c r="G48" i="17"/>
  <c r="F48" i="17"/>
  <c r="A48" i="17"/>
  <c r="N48" i="17"/>
  <c r="I48" i="17"/>
  <c r="J48" i="17"/>
  <c r="H48" i="17"/>
  <c r="J47" i="18"/>
  <c r="L47" i="18"/>
  <c r="J431" i="18"/>
  <c r="L431" i="18"/>
  <c r="L917" i="18"/>
  <c r="J917" i="18"/>
  <c r="L935" i="18"/>
  <c r="J935" i="18"/>
  <c r="L303" i="17"/>
  <c r="D303" i="17"/>
  <c r="K303" i="17"/>
  <c r="M303" i="17" s="1"/>
  <c r="C303" i="17"/>
  <c r="J303" i="17"/>
  <c r="I303" i="17"/>
  <c r="A303" i="17"/>
  <c r="H303" i="17"/>
  <c r="G303" i="17"/>
  <c r="N303" i="17"/>
  <c r="F303" i="17"/>
  <c r="E303" i="17"/>
  <c r="J294" i="17"/>
  <c r="I294" i="17"/>
  <c r="A294" i="17"/>
  <c r="H294" i="17"/>
  <c r="G294" i="17"/>
  <c r="N294" i="17"/>
  <c r="F294" i="17"/>
  <c r="L294" i="17"/>
  <c r="D294" i="17"/>
  <c r="E294" i="17"/>
  <c r="C294" i="17"/>
  <c r="K294" i="17"/>
  <c r="M294" i="17" s="1"/>
  <c r="H245" i="17"/>
  <c r="G245" i="17"/>
  <c r="N245" i="17"/>
  <c r="F245" i="17"/>
  <c r="E245" i="17"/>
  <c r="L245" i="17"/>
  <c r="D245" i="17"/>
  <c r="J245" i="17"/>
  <c r="K245" i="17"/>
  <c r="M245" i="17" s="1"/>
  <c r="I245" i="17"/>
  <c r="C245" i="17"/>
  <c r="A245" i="17"/>
  <c r="N236" i="17"/>
  <c r="F236" i="17"/>
  <c r="M236" i="17"/>
  <c r="E236" i="17"/>
  <c r="L236" i="17"/>
  <c r="D236" i="17"/>
  <c r="K236" i="17"/>
  <c r="C236" i="17"/>
  <c r="J236" i="17"/>
  <c r="H236" i="17"/>
  <c r="I236" i="17"/>
  <c r="G236" i="17"/>
  <c r="A236" i="17"/>
  <c r="L219" i="17"/>
  <c r="D219" i="17"/>
  <c r="K219" i="17"/>
  <c r="C219" i="17"/>
  <c r="J219" i="17"/>
  <c r="I219" i="17"/>
  <c r="A219" i="17"/>
  <c r="H219" i="17"/>
  <c r="N219" i="17"/>
  <c r="F219" i="17"/>
  <c r="G219" i="17"/>
  <c r="M219" i="17"/>
  <c r="E219" i="17"/>
  <c r="J202" i="17"/>
  <c r="I202" i="17"/>
  <c r="A202" i="17"/>
  <c r="H202" i="17"/>
  <c r="G202" i="17"/>
  <c r="N202" i="17"/>
  <c r="F202" i="17"/>
  <c r="L202" i="17"/>
  <c r="K202" i="17"/>
  <c r="M202" i="17" s="1"/>
  <c r="E202" i="17"/>
  <c r="C202" i="17"/>
  <c r="D202" i="17"/>
  <c r="H185" i="17"/>
  <c r="G185" i="17"/>
  <c r="N185" i="17"/>
  <c r="F185" i="17"/>
  <c r="M185" i="17"/>
  <c r="E185" i="17"/>
  <c r="L185" i="17"/>
  <c r="D185" i="17"/>
  <c r="A185" i="17"/>
  <c r="K185" i="17"/>
  <c r="J185" i="17"/>
  <c r="C185" i="17"/>
  <c r="I185" i="17"/>
  <c r="N168" i="17"/>
  <c r="F168" i="17"/>
  <c r="E168" i="17"/>
  <c r="L168" i="17"/>
  <c r="D168" i="17"/>
  <c r="K168" i="17"/>
  <c r="M168" i="17" s="1"/>
  <c r="C168" i="17"/>
  <c r="J168" i="17"/>
  <c r="A168" i="17"/>
  <c r="H168" i="17"/>
  <c r="G168" i="17"/>
  <c r="I168" i="17"/>
  <c r="N144" i="17"/>
  <c r="F144" i="17"/>
  <c r="M144" i="17"/>
  <c r="E144" i="17"/>
  <c r="L144" i="17"/>
  <c r="D144" i="17"/>
  <c r="K144" i="17"/>
  <c r="C144" i="17"/>
  <c r="J144" i="17"/>
  <c r="I144" i="17"/>
  <c r="H144" i="17"/>
  <c r="A144" i="17"/>
  <c r="G144" i="17"/>
  <c r="L117" i="18"/>
  <c r="J117" i="18"/>
  <c r="I311" i="18"/>
  <c r="L503" i="18"/>
  <c r="J503" i="18"/>
  <c r="N298" i="19"/>
  <c r="F298" i="19"/>
  <c r="M298" i="19"/>
  <c r="E298" i="19"/>
  <c r="L298" i="19"/>
  <c r="D298" i="19"/>
  <c r="S298" i="19"/>
  <c r="K298" i="19"/>
  <c r="C298" i="19"/>
  <c r="R298" i="19"/>
  <c r="J298" i="19"/>
  <c r="P298" i="19"/>
  <c r="H298" i="19"/>
  <c r="I298" i="19"/>
  <c r="G298" i="19"/>
  <c r="A298" i="19"/>
  <c r="Q298" i="19"/>
  <c r="O298" i="19"/>
  <c r="Q289" i="19"/>
  <c r="I289" i="19"/>
  <c r="A289" i="19"/>
  <c r="P289" i="19"/>
  <c r="H289" i="19"/>
  <c r="R289" i="19"/>
  <c r="F289" i="19"/>
  <c r="O289" i="19"/>
  <c r="E289" i="19"/>
  <c r="N289" i="19"/>
  <c r="D289" i="19"/>
  <c r="M289" i="19"/>
  <c r="C289" i="19"/>
  <c r="L289" i="19"/>
  <c r="J289" i="19"/>
  <c r="S289" i="19"/>
  <c r="K289" i="19"/>
  <c r="G289" i="19"/>
  <c r="M240" i="19"/>
  <c r="E240" i="19"/>
  <c r="L240" i="19"/>
  <c r="D240" i="19"/>
  <c r="S240" i="19"/>
  <c r="K240" i="19"/>
  <c r="C240" i="19"/>
  <c r="R240" i="19"/>
  <c r="J240" i="19"/>
  <c r="Q240" i="19"/>
  <c r="I240" i="19"/>
  <c r="A240" i="19"/>
  <c r="O240" i="19"/>
  <c r="G240" i="19"/>
  <c r="P240" i="19"/>
  <c r="N240" i="19"/>
  <c r="H240" i="19"/>
  <c r="F240" i="19"/>
  <c r="P231" i="19"/>
  <c r="H231" i="19"/>
  <c r="O231" i="19"/>
  <c r="G231" i="19"/>
  <c r="N231" i="19"/>
  <c r="F231" i="19"/>
  <c r="M231" i="19"/>
  <c r="E231" i="19"/>
  <c r="L231" i="19"/>
  <c r="D231" i="19"/>
  <c r="R231" i="19"/>
  <c r="J231" i="19"/>
  <c r="C231" i="19"/>
  <c r="A231" i="19"/>
  <c r="S231" i="19"/>
  <c r="K231" i="19"/>
  <c r="Q231" i="19"/>
  <c r="I231" i="19"/>
  <c r="S214" i="19"/>
  <c r="K214" i="19"/>
  <c r="C214" i="19"/>
  <c r="R214" i="19"/>
  <c r="J214" i="19"/>
  <c r="Q214" i="19"/>
  <c r="I214" i="19"/>
  <c r="A214" i="19"/>
  <c r="P214" i="19"/>
  <c r="H214" i="19"/>
  <c r="O214" i="19"/>
  <c r="G214" i="19"/>
  <c r="M214" i="19"/>
  <c r="E214" i="19"/>
  <c r="F214" i="19"/>
  <c r="D214" i="19"/>
  <c r="N214" i="19"/>
  <c r="L214" i="19"/>
  <c r="N197" i="19"/>
  <c r="F197" i="19"/>
  <c r="M197" i="19"/>
  <c r="E197" i="19"/>
  <c r="L197" i="19"/>
  <c r="D197" i="19"/>
  <c r="S197" i="19"/>
  <c r="K197" i="19"/>
  <c r="R197" i="19"/>
  <c r="J197" i="19"/>
  <c r="P197" i="19"/>
  <c r="H197" i="19"/>
  <c r="I197" i="19"/>
  <c r="G197" i="19"/>
  <c r="C197" i="19"/>
  <c r="A197" i="19"/>
  <c r="Q197" i="19"/>
  <c r="O197" i="19"/>
  <c r="Q180" i="19"/>
  <c r="I180" i="19"/>
  <c r="A180" i="19"/>
  <c r="P180" i="19"/>
  <c r="H180" i="19"/>
  <c r="O180" i="19"/>
  <c r="G180" i="19"/>
  <c r="M180" i="19"/>
  <c r="E180" i="19"/>
  <c r="S180" i="19"/>
  <c r="K180" i="19"/>
  <c r="C180" i="19"/>
  <c r="L180" i="19"/>
  <c r="J180" i="19"/>
  <c r="F180" i="19"/>
  <c r="D180" i="19"/>
  <c r="R180" i="19"/>
  <c r="N180" i="19"/>
  <c r="Q47" i="19"/>
  <c r="I47" i="19"/>
  <c r="A47" i="19"/>
  <c r="P47" i="19"/>
  <c r="H47" i="19"/>
  <c r="O47" i="19"/>
  <c r="G47" i="19"/>
  <c r="N47" i="19"/>
  <c r="F47" i="19"/>
  <c r="M47" i="19"/>
  <c r="E47" i="19"/>
  <c r="S47" i="19"/>
  <c r="K47" i="19"/>
  <c r="C47" i="19"/>
  <c r="R47" i="19"/>
  <c r="L47" i="19"/>
  <c r="D47" i="19"/>
  <c r="J47" i="19"/>
  <c r="S25" i="19"/>
  <c r="K25" i="19"/>
  <c r="C25" i="19"/>
  <c r="R25" i="19"/>
  <c r="J25" i="19"/>
  <c r="Q25" i="19"/>
  <c r="I25" i="19"/>
  <c r="A25" i="19"/>
  <c r="P25" i="19"/>
  <c r="H25" i="19"/>
  <c r="O25" i="19"/>
  <c r="G25" i="19"/>
  <c r="M25" i="19"/>
  <c r="E25" i="19"/>
  <c r="N25" i="19"/>
  <c r="F25" i="19"/>
  <c r="L25" i="19"/>
  <c r="D25" i="19"/>
  <c r="L456" i="18"/>
  <c r="J456" i="18"/>
  <c r="L782" i="18"/>
  <c r="J782" i="18"/>
  <c r="L639" i="18"/>
  <c r="J639" i="18"/>
  <c r="J931" i="18"/>
  <c r="L931" i="18"/>
  <c r="L959" i="18"/>
  <c r="J959" i="18"/>
  <c r="L695" i="18"/>
  <c r="J695" i="18"/>
  <c r="N290" i="19"/>
  <c r="F290" i="19"/>
  <c r="M290" i="19"/>
  <c r="E290" i="19"/>
  <c r="S290" i="19"/>
  <c r="I290" i="19"/>
  <c r="R290" i="19"/>
  <c r="H290" i="19"/>
  <c r="Q290" i="19"/>
  <c r="G290" i="19"/>
  <c r="P290" i="19"/>
  <c r="D290" i="19"/>
  <c r="O290" i="19"/>
  <c r="C290" i="19"/>
  <c r="K290" i="19"/>
  <c r="A290" i="19"/>
  <c r="L290" i="19"/>
  <c r="J290" i="19"/>
  <c r="R281" i="19"/>
  <c r="J281" i="19"/>
  <c r="Q281" i="19"/>
  <c r="I281" i="19"/>
  <c r="A281" i="19"/>
  <c r="P281" i="19"/>
  <c r="H281" i="19"/>
  <c r="O281" i="19"/>
  <c r="G281" i="19"/>
  <c r="N281" i="19"/>
  <c r="F281" i="19"/>
  <c r="L281" i="19"/>
  <c r="D281" i="19"/>
  <c r="M281" i="19"/>
  <c r="K281" i="19"/>
  <c r="E281" i="19"/>
  <c r="C281" i="19"/>
  <c r="S281" i="19"/>
  <c r="M232" i="19"/>
  <c r="E232" i="19"/>
  <c r="L232" i="19"/>
  <c r="D232" i="19"/>
  <c r="S232" i="19"/>
  <c r="K232" i="19"/>
  <c r="C232" i="19"/>
  <c r="R232" i="19"/>
  <c r="J232" i="19"/>
  <c r="Q232" i="19"/>
  <c r="I232" i="19"/>
  <c r="A232" i="19"/>
  <c r="O232" i="19"/>
  <c r="G232" i="19"/>
  <c r="P232" i="19"/>
  <c r="N232" i="19"/>
  <c r="H232" i="19"/>
  <c r="F232" i="19"/>
  <c r="P223" i="19"/>
  <c r="H223" i="19"/>
  <c r="O223" i="19"/>
  <c r="G223" i="19"/>
  <c r="N223" i="19"/>
  <c r="F223" i="19"/>
  <c r="M223" i="19"/>
  <c r="E223" i="19"/>
  <c r="L223" i="19"/>
  <c r="D223" i="19"/>
  <c r="R223" i="19"/>
  <c r="J223" i="19"/>
  <c r="S223" i="19"/>
  <c r="Q223" i="19"/>
  <c r="K223" i="19"/>
  <c r="C223" i="19"/>
  <c r="I223" i="19"/>
  <c r="A223" i="19"/>
  <c r="S206" i="19"/>
  <c r="K206" i="19"/>
  <c r="C206" i="19"/>
  <c r="R206" i="19"/>
  <c r="J206" i="19"/>
  <c r="Q206" i="19"/>
  <c r="I206" i="19"/>
  <c r="A206" i="19"/>
  <c r="P206" i="19"/>
  <c r="H206" i="19"/>
  <c r="O206" i="19"/>
  <c r="G206" i="19"/>
  <c r="M206" i="19"/>
  <c r="E206" i="19"/>
  <c r="N206" i="19"/>
  <c r="F206" i="19"/>
  <c r="L206" i="19"/>
  <c r="D206" i="19"/>
  <c r="N189" i="19"/>
  <c r="F189" i="19"/>
  <c r="M189" i="19"/>
  <c r="E189" i="19"/>
  <c r="L189" i="19"/>
  <c r="D189" i="19"/>
  <c r="R189" i="19"/>
  <c r="J189" i="19"/>
  <c r="P189" i="19"/>
  <c r="H189" i="19"/>
  <c r="K189" i="19"/>
  <c r="I189" i="19"/>
  <c r="G189" i="19"/>
  <c r="C189" i="19"/>
  <c r="A189" i="19"/>
  <c r="Q189" i="19"/>
  <c r="S189" i="19"/>
  <c r="O189" i="19"/>
  <c r="F13" i="19"/>
  <c r="E13" i="19"/>
  <c r="G13" i="19" s="1"/>
  <c r="D13" i="19"/>
  <c r="C13" i="19"/>
  <c r="I13" i="19"/>
  <c r="K13" i="19" s="1"/>
  <c r="L13" i="19" s="1"/>
  <c r="A13" i="19"/>
  <c r="J13" i="19"/>
  <c r="L55" i="19"/>
  <c r="D55" i="19"/>
  <c r="S55" i="19"/>
  <c r="K55" i="19"/>
  <c r="C55" i="19"/>
  <c r="M55" i="19"/>
  <c r="A55" i="19"/>
  <c r="J55" i="19"/>
  <c r="I55" i="19"/>
  <c r="R55" i="19"/>
  <c r="H55" i="19"/>
  <c r="Q55" i="19"/>
  <c r="G55" i="19"/>
  <c r="O55" i="19"/>
  <c r="E55" i="19"/>
  <c r="P55" i="19"/>
  <c r="F55" i="19"/>
  <c r="N55" i="19"/>
  <c r="S33" i="19"/>
  <c r="K33" i="19"/>
  <c r="C33" i="19"/>
  <c r="R33" i="19"/>
  <c r="J33" i="19"/>
  <c r="Q33" i="19"/>
  <c r="I33" i="19"/>
  <c r="A33" i="19"/>
  <c r="P33" i="19"/>
  <c r="H33" i="19"/>
  <c r="O33" i="19"/>
  <c r="G33" i="19"/>
  <c r="M33" i="19"/>
  <c r="E33" i="19"/>
  <c r="F33" i="19"/>
  <c r="D33" i="19"/>
  <c r="N33" i="19"/>
  <c r="L33" i="19"/>
  <c r="N97" i="19"/>
  <c r="F97" i="19"/>
  <c r="M97" i="19"/>
  <c r="E97" i="19"/>
  <c r="L97" i="19"/>
  <c r="D97" i="19"/>
  <c r="S97" i="19"/>
  <c r="K97" i="19"/>
  <c r="C97" i="19"/>
  <c r="R97" i="19"/>
  <c r="J97" i="19"/>
  <c r="P97" i="19"/>
  <c r="H97" i="19"/>
  <c r="I97" i="19"/>
  <c r="G97" i="19"/>
  <c r="A97" i="19"/>
  <c r="Q97" i="19"/>
  <c r="O97" i="19"/>
  <c r="L140" i="18"/>
  <c r="J140" i="18"/>
  <c r="L253" i="18"/>
  <c r="J253" i="18"/>
  <c r="L120" i="18"/>
  <c r="J120" i="18"/>
  <c r="I213" i="18"/>
  <c r="L709" i="18"/>
  <c r="J709" i="18"/>
  <c r="I711" i="18"/>
  <c r="I788" i="18"/>
  <c r="J993" i="18"/>
  <c r="L993" i="18"/>
  <c r="L949" i="18"/>
  <c r="J949" i="18"/>
  <c r="I954" i="18"/>
  <c r="J760" i="18"/>
  <c r="L760" i="18"/>
  <c r="M108" i="19"/>
  <c r="E108" i="19"/>
  <c r="L108" i="19"/>
  <c r="D108" i="19"/>
  <c r="S108" i="19"/>
  <c r="K108" i="19"/>
  <c r="C108" i="19"/>
  <c r="R108" i="19"/>
  <c r="J108" i="19"/>
  <c r="Q108" i="19"/>
  <c r="I108" i="19"/>
  <c r="A108" i="19"/>
  <c r="O108" i="19"/>
  <c r="G108" i="19"/>
  <c r="P108" i="19"/>
  <c r="N108" i="19"/>
  <c r="H108" i="19"/>
  <c r="F108" i="19"/>
  <c r="S90" i="19"/>
  <c r="K90" i="19"/>
  <c r="C90" i="19"/>
  <c r="R90" i="19"/>
  <c r="J90" i="19"/>
  <c r="Q90" i="19"/>
  <c r="I90" i="19"/>
  <c r="A90" i="19"/>
  <c r="P90" i="19"/>
  <c r="H90" i="19"/>
  <c r="O90" i="19"/>
  <c r="G90" i="19"/>
  <c r="M90" i="19"/>
  <c r="E90" i="19"/>
  <c r="N90" i="19"/>
  <c r="L90" i="19"/>
  <c r="F90" i="19"/>
  <c r="D90" i="19"/>
  <c r="L288" i="19"/>
  <c r="D288" i="19"/>
  <c r="S288" i="19"/>
  <c r="K288" i="19"/>
  <c r="C288" i="19"/>
  <c r="O288" i="19"/>
  <c r="E288" i="19"/>
  <c r="N288" i="19"/>
  <c r="M288" i="19"/>
  <c r="A288" i="19"/>
  <c r="J288" i="19"/>
  <c r="I288" i="19"/>
  <c r="Q288" i="19"/>
  <c r="G288" i="19"/>
  <c r="R288" i="19"/>
  <c r="H288" i="19"/>
  <c r="P288" i="19"/>
  <c r="F288" i="19"/>
  <c r="P279" i="19"/>
  <c r="H279" i="19"/>
  <c r="O279" i="19"/>
  <c r="G279" i="19"/>
  <c r="N279" i="19"/>
  <c r="F279" i="19"/>
  <c r="M279" i="19"/>
  <c r="E279" i="19"/>
  <c r="L279" i="19"/>
  <c r="D279" i="19"/>
  <c r="R279" i="19"/>
  <c r="J279" i="19"/>
  <c r="S279" i="19"/>
  <c r="Q279" i="19"/>
  <c r="K279" i="19"/>
  <c r="I279" i="19"/>
  <c r="C279" i="19"/>
  <c r="A279" i="19"/>
  <c r="S262" i="19"/>
  <c r="K262" i="19"/>
  <c r="C262" i="19"/>
  <c r="R262" i="19"/>
  <c r="J262" i="19"/>
  <c r="Q262" i="19"/>
  <c r="I262" i="19"/>
  <c r="A262" i="19"/>
  <c r="P262" i="19"/>
  <c r="H262" i="19"/>
  <c r="O262" i="19"/>
  <c r="G262" i="19"/>
  <c r="M262" i="19"/>
  <c r="E262" i="19"/>
  <c r="N262" i="19"/>
  <c r="L262" i="19"/>
  <c r="F262" i="19"/>
  <c r="D262" i="19"/>
  <c r="N245" i="19"/>
  <c r="F245" i="19"/>
  <c r="M245" i="19"/>
  <c r="E245" i="19"/>
  <c r="L245" i="19"/>
  <c r="D245" i="19"/>
  <c r="S245" i="19"/>
  <c r="K245" i="19"/>
  <c r="C245" i="19"/>
  <c r="R245" i="19"/>
  <c r="J245" i="19"/>
  <c r="P245" i="19"/>
  <c r="H245" i="19"/>
  <c r="Q245" i="19"/>
  <c r="O245" i="19"/>
  <c r="I245" i="19"/>
  <c r="A245" i="19"/>
  <c r="G245" i="19"/>
  <c r="Q228" i="19"/>
  <c r="I228" i="19"/>
  <c r="A228" i="19"/>
  <c r="P228" i="19"/>
  <c r="H228" i="19"/>
  <c r="O228" i="19"/>
  <c r="G228" i="19"/>
  <c r="N228" i="19"/>
  <c r="F228" i="19"/>
  <c r="M228" i="19"/>
  <c r="E228" i="19"/>
  <c r="S228" i="19"/>
  <c r="K228" i="19"/>
  <c r="C228" i="19"/>
  <c r="R228" i="19"/>
  <c r="L228" i="19"/>
  <c r="D228" i="19"/>
  <c r="J228" i="19"/>
  <c r="M116" i="19"/>
  <c r="E116" i="19"/>
  <c r="L116" i="19"/>
  <c r="D116" i="19"/>
  <c r="S116" i="19"/>
  <c r="K116" i="19"/>
  <c r="C116" i="19"/>
  <c r="R116" i="19"/>
  <c r="J116" i="19"/>
  <c r="Q116" i="19"/>
  <c r="I116" i="19"/>
  <c r="A116" i="19"/>
  <c r="O116" i="19"/>
  <c r="G116" i="19"/>
  <c r="P116" i="19"/>
  <c r="H116" i="19"/>
  <c r="N116" i="19"/>
  <c r="F116" i="19"/>
  <c r="M19" i="19"/>
  <c r="E19" i="19"/>
  <c r="L19" i="19"/>
  <c r="D19" i="19"/>
  <c r="S19" i="19"/>
  <c r="K19" i="19"/>
  <c r="C19" i="19"/>
  <c r="R19" i="19"/>
  <c r="J19" i="19"/>
  <c r="Q19" i="19"/>
  <c r="I19" i="19"/>
  <c r="A19" i="19"/>
  <c r="O19" i="19"/>
  <c r="G19" i="19"/>
  <c r="P19" i="19"/>
  <c r="N19" i="19"/>
  <c r="H19" i="19"/>
  <c r="F19" i="19"/>
  <c r="J76" i="18"/>
  <c r="L76" i="18"/>
  <c r="L445" i="18"/>
  <c r="J445" i="18"/>
  <c r="J913" i="18"/>
  <c r="L913" i="18"/>
  <c r="L655" i="18"/>
  <c r="J655" i="18"/>
  <c r="J792" i="18"/>
  <c r="L792" i="18"/>
  <c r="L976" i="18"/>
  <c r="J976" i="18"/>
  <c r="O210" i="19"/>
  <c r="G210" i="19"/>
  <c r="N210" i="19"/>
  <c r="F210" i="19"/>
  <c r="M210" i="19"/>
  <c r="E210" i="19"/>
  <c r="L210" i="19"/>
  <c r="D210" i="19"/>
  <c r="S210" i="19"/>
  <c r="K210" i="19"/>
  <c r="C210" i="19"/>
  <c r="Q210" i="19"/>
  <c r="I210" i="19"/>
  <c r="A210" i="19"/>
  <c r="R210" i="19"/>
  <c r="P210" i="19"/>
  <c r="J210" i="19"/>
  <c r="H210" i="19"/>
  <c r="R201" i="19"/>
  <c r="J201" i="19"/>
  <c r="Q201" i="19"/>
  <c r="I201" i="19"/>
  <c r="A201" i="19"/>
  <c r="P201" i="19"/>
  <c r="H201" i="19"/>
  <c r="O201" i="19"/>
  <c r="G201" i="19"/>
  <c r="N201" i="19"/>
  <c r="F201" i="19"/>
  <c r="L201" i="19"/>
  <c r="D201" i="19"/>
  <c r="S201" i="19"/>
  <c r="M201" i="19"/>
  <c r="E201" i="19"/>
  <c r="K201" i="19"/>
  <c r="C201" i="19"/>
  <c r="Q152" i="19"/>
  <c r="I152" i="19"/>
  <c r="A152" i="19"/>
  <c r="P152" i="19"/>
  <c r="H152" i="19"/>
  <c r="O152" i="19"/>
  <c r="G152" i="19"/>
  <c r="N152" i="19"/>
  <c r="F152" i="19"/>
  <c r="M152" i="19"/>
  <c r="E152" i="19"/>
  <c r="S152" i="19"/>
  <c r="K152" i="19"/>
  <c r="C152" i="19"/>
  <c r="R152" i="19"/>
  <c r="L152" i="19"/>
  <c r="J152" i="19"/>
  <c r="D152" i="19"/>
  <c r="L143" i="19"/>
  <c r="D143" i="19"/>
  <c r="S143" i="19"/>
  <c r="K143" i="19"/>
  <c r="C143" i="19"/>
  <c r="R143" i="19"/>
  <c r="J143" i="19"/>
  <c r="Q143" i="19"/>
  <c r="I143" i="19"/>
  <c r="A143" i="19"/>
  <c r="P143" i="19"/>
  <c r="H143" i="19"/>
  <c r="N143" i="19"/>
  <c r="F143" i="19"/>
  <c r="O143" i="19"/>
  <c r="G143" i="19"/>
  <c r="M143" i="19"/>
  <c r="E143" i="19"/>
  <c r="O126" i="19"/>
  <c r="G126" i="19"/>
  <c r="N126" i="19"/>
  <c r="F126" i="19"/>
  <c r="M126" i="19"/>
  <c r="E126" i="19"/>
  <c r="L126" i="19"/>
  <c r="D126" i="19"/>
  <c r="S126" i="19"/>
  <c r="K126" i="19"/>
  <c r="C126" i="19"/>
  <c r="Q126" i="19"/>
  <c r="I126" i="19"/>
  <c r="A126" i="19"/>
  <c r="R126" i="19"/>
  <c r="J126" i="19"/>
  <c r="P126" i="19"/>
  <c r="H126" i="19"/>
  <c r="R109" i="19"/>
  <c r="J109" i="19"/>
  <c r="Q109" i="19"/>
  <c r="I109" i="19"/>
  <c r="A109" i="19"/>
  <c r="P109" i="19"/>
  <c r="H109" i="19"/>
  <c r="O109" i="19"/>
  <c r="G109" i="19"/>
  <c r="N109" i="19"/>
  <c r="F109" i="19"/>
  <c r="L109" i="19"/>
  <c r="D109" i="19"/>
  <c r="E109" i="19"/>
  <c r="C109" i="19"/>
  <c r="M109" i="19"/>
  <c r="S109" i="19"/>
  <c r="K109" i="19"/>
  <c r="P131" i="19"/>
  <c r="H131" i="19"/>
  <c r="O131" i="19"/>
  <c r="G131" i="19"/>
  <c r="N131" i="19"/>
  <c r="F131" i="19"/>
  <c r="M131" i="19"/>
  <c r="E131" i="19"/>
  <c r="L131" i="19"/>
  <c r="D131" i="19"/>
  <c r="R131" i="19"/>
  <c r="J131" i="19"/>
  <c r="C131" i="19"/>
  <c r="A131" i="19"/>
  <c r="S131" i="19"/>
  <c r="K131" i="19"/>
  <c r="Q131" i="19"/>
  <c r="I131" i="19"/>
  <c r="M132" i="19"/>
  <c r="E132" i="19"/>
  <c r="L132" i="19"/>
  <c r="D132" i="19"/>
  <c r="S132" i="19"/>
  <c r="K132" i="19"/>
  <c r="C132" i="19"/>
  <c r="R132" i="19"/>
  <c r="J132" i="19"/>
  <c r="Q132" i="19"/>
  <c r="I132" i="19"/>
  <c r="A132" i="19"/>
  <c r="O132" i="19"/>
  <c r="G132" i="19"/>
  <c r="P132" i="19"/>
  <c r="N132" i="19"/>
  <c r="H132" i="19"/>
  <c r="F132" i="19"/>
  <c r="L389" i="18"/>
  <c r="J389" i="18"/>
  <c r="L391" i="18"/>
  <c r="J391" i="18"/>
  <c r="L762" i="18"/>
  <c r="J762" i="18"/>
  <c r="I862" i="18"/>
  <c r="H169" i="17"/>
  <c r="G169" i="17"/>
  <c r="N169" i="17"/>
  <c r="F169" i="17"/>
  <c r="E169" i="17"/>
  <c r="L169" i="17"/>
  <c r="D169" i="17"/>
  <c r="J169" i="17"/>
  <c r="I169" i="17"/>
  <c r="C169" i="17"/>
  <c r="A169" i="17"/>
  <c r="K169" i="17"/>
  <c r="M169" i="17" s="1"/>
  <c r="L71" i="17"/>
  <c r="D71" i="17"/>
  <c r="K71" i="17"/>
  <c r="M71" i="17" s="1"/>
  <c r="C71" i="17"/>
  <c r="J71" i="17"/>
  <c r="I71" i="17"/>
  <c r="A71" i="17"/>
  <c r="H71" i="17"/>
  <c r="N71" i="17"/>
  <c r="G71" i="17"/>
  <c r="F71" i="17"/>
  <c r="E71" i="17"/>
  <c r="H269" i="17"/>
  <c r="G269" i="17"/>
  <c r="N269" i="17"/>
  <c r="F269" i="17"/>
  <c r="M269" i="17"/>
  <c r="E269" i="17"/>
  <c r="L269" i="17"/>
  <c r="D269" i="17"/>
  <c r="J269" i="17"/>
  <c r="C269" i="17"/>
  <c r="A269" i="17"/>
  <c r="K269" i="17"/>
  <c r="I269" i="17"/>
  <c r="N260" i="17"/>
  <c r="F260" i="17"/>
  <c r="M260" i="17"/>
  <c r="E260" i="17"/>
  <c r="L260" i="17"/>
  <c r="D260" i="17"/>
  <c r="K260" i="17"/>
  <c r="C260" i="17"/>
  <c r="J260" i="17"/>
  <c r="H260" i="17"/>
  <c r="A260" i="17"/>
  <c r="I260" i="17"/>
  <c r="G260" i="17"/>
  <c r="L243" i="17"/>
  <c r="D243" i="17"/>
  <c r="K243" i="17"/>
  <c r="M243" i="17" s="1"/>
  <c r="C243" i="17"/>
  <c r="J243" i="17"/>
  <c r="I243" i="17"/>
  <c r="A243" i="17"/>
  <c r="H243" i="17"/>
  <c r="N243" i="17"/>
  <c r="F243" i="17"/>
  <c r="G243" i="17"/>
  <c r="E243" i="17"/>
  <c r="J226" i="17"/>
  <c r="I226" i="17"/>
  <c r="A226" i="17"/>
  <c r="H226" i="17"/>
  <c r="G226" i="17"/>
  <c r="N226" i="17"/>
  <c r="F226" i="17"/>
  <c r="L226" i="17"/>
  <c r="D226" i="17"/>
  <c r="E226" i="17"/>
  <c r="C226" i="17"/>
  <c r="K226" i="17"/>
  <c r="M226" i="17" s="1"/>
  <c r="H209" i="17"/>
  <c r="G209" i="17"/>
  <c r="N209" i="17"/>
  <c r="F209" i="17"/>
  <c r="E209" i="17"/>
  <c r="L209" i="17"/>
  <c r="D209" i="17"/>
  <c r="J209" i="17"/>
  <c r="K209" i="17"/>
  <c r="M209" i="17" s="1"/>
  <c r="I209" i="17"/>
  <c r="C209" i="17"/>
  <c r="A209" i="17"/>
  <c r="N176" i="17"/>
  <c r="F176" i="17"/>
  <c r="E176" i="17"/>
  <c r="L176" i="17"/>
  <c r="D176" i="17"/>
  <c r="K176" i="17"/>
  <c r="M176" i="17" s="1"/>
  <c r="C176" i="17"/>
  <c r="J176" i="17"/>
  <c r="I176" i="17"/>
  <c r="H176" i="17"/>
  <c r="A176" i="17"/>
  <c r="G176" i="17"/>
  <c r="H161" i="17"/>
  <c r="G161" i="17"/>
  <c r="N161" i="17"/>
  <c r="F161" i="17"/>
  <c r="M161" i="17"/>
  <c r="E161" i="17"/>
  <c r="L161" i="17"/>
  <c r="D161" i="17"/>
  <c r="K161" i="17"/>
  <c r="J161" i="17"/>
  <c r="I161" i="17"/>
  <c r="C161" i="17"/>
  <c r="A161" i="17"/>
  <c r="L284" i="18"/>
  <c r="J284" i="18"/>
  <c r="L35" i="18"/>
  <c r="J35" i="18"/>
  <c r="J418" i="18"/>
  <c r="L418" i="18"/>
  <c r="J454" i="18"/>
  <c r="L454" i="18"/>
  <c r="I870" i="18"/>
  <c r="J922" i="18"/>
  <c r="L922" i="18"/>
  <c r="L91" i="18"/>
  <c r="J91" i="18"/>
  <c r="I179" i="18"/>
  <c r="I189" i="18"/>
  <c r="I968" i="18"/>
  <c r="I832" i="18"/>
  <c r="I227" i="18"/>
  <c r="I932" i="18"/>
  <c r="I1000" i="18"/>
  <c r="I371" i="18"/>
  <c r="I251" i="18"/>
  <c r="I296" i="18"/>
  <c r="O194" i="19"/>
  <c r="G194" i="19"/>
  <c r="N194" i="19"/>
  <c r="F194" i="19"/>
  <c r="M194" i="19"/>
  <c r="E194" i="19"/>
  <c r="S194" i="19"/>
  <c r="K194" i="19"/>
  <c r="C194" i="19"/>
  <c r="Q194" i="19"/>
  <c r="I194" i="19"/>
  <c r="A194" i="19"/>
  <c r="R194" i="19"/>
  <c r="P194" i="19"/>
  <c r="L194" i="19"/>
  <c r="H194" i="19"/>
  <c r="J194" i="19"/>
  <c r="D194" i="19"/>
  <c r="L127" i="19"/>
  <c r="D127" i="19"/>
  <c r="S127" i="19"/>
  <c r="K127" i="19"/>
  <c r="C127" i="19"/>
  <c r="R127" i="19"/>
  <c r="J127" i="19"/>
  <c r="Q127" i="19"/>
  <c r="I127" i="19"/>
  <c r="A127" i="19"/>
  <c r="P127" i="19"/>
  <c r="H127" i="19"/>
  <c r="N127" i="19"/>
  <c r="F127" i="19"/>
  <c r="O127" i="19"/>
  <c r="M127" i="19"/>
  <c r="G127" i="19"/>
  <c r="E127" i="19"/>
  <c r="O110" i="19"/>
  <c r="G110" i="19"/>
  <c r="N110" i="19"/>
  <c r="F110" i="19"/>
  <c r="M110" i="19"/>
  <c r="E110" i="19"/>
  <c r="L110" i="19"/>
  <c r="D110" i="19"/>
  <c r="S110" i="19"/>
  <c r="K110" i="19"/>
  <c r="C110" i="19"/>
  <c r="Q110" i="19"/>
  <c r="I110" i="19"/>
  <c r="A110" i="19"/>
  <c r="R110" i="19"/>
  <c r="P110" i="19"/>
  <c r="J110" i="19"/>
  <c r="H110" i="19"/>
  <c r="R93" i="19"/>
  <c r="J93" i="19"/>
  <c r="Q93" i="19"/>
  <c r="I93" i="19"/>
  <c r="A93" i="19"/>
  <c r="P93" i="19"/>
  <c r="H93" i="19"/>
  <c r="O93" i="19"/>
  <c r="G93" i="19"/>
  <c r="N93" i="19"/>
  <c r="F93" i="19"/>
  <c r="L93" i="19"/>
  <c r="D93" i="19"/>
  <c r="S93" i="19"/>
  <c r="M93" i="19"/>
  <c r="K93" i="19"/>
  <c r="E93" i="19"/>
  <c r="C93" i="19"/>
  <c r="L235" i="19"/>
  <c r="D235" i="19"/>
  <c r="S235" i="19"/>
  <c r="K235" i="19"/>
  <c r="C235" i="19"/>
  <c r="R235" i="19"/>
  <c r="J235" i="19"/>
  <c r="Q235" i="19"/>
  <c r="I235" i="19"/>
  <c r="A235" i="19"/>
  <c r="P235" i="19"/>
  <c r="H235" i="19"/>
  <c r="N235" i="19"/>
  <c r="F235" i="19"/>
  <c r="O235" i="19"/>
  <c r="M235" i="19"/>
  <c r="G235" i="19"/>
  <c r="E235" i="19"/>
  <c r="P107" i="19"/>
  <c r="H107" i="19"/>
  <c r="O107" i="19"/>
  <c r="G107" i="19"/>
  <c r="N107" i="19"/>
  <c r="F107" i="19"/>
  <c r="M107" i="19"/>
  <c r="E107" i="19"/>
  <c r="L107" i="19"/>
  <c r="D107" i="19"/>
  <c r="R107" i="19"/>
  <c r="J107" i="19"/>
  <c r="K107" i="19"/>
  <c r="I107" i="19"/>
  <c r="C107" i="19"/>
  <c r="A107" i="19"/>
  <c r="S107" i="19"/>
  <c r="Q107" i="19"/>
  <c r="M84" i="19"/>
  <c r="E84" i="19"/>
  <c r="L84" i="19"/>
  <c r="D84" i="19"/>
  <c r="S84" i="19"/>
  <c r="K84" i="19"/>
  <c r="C84" i="19"/>
  <c r="R84" i="19"/>
  <c r="J84" i="19"/>
  <c r="Q84" i="19"/>
  <c r="I84" i="19"/>
  <c r="A84" i="19"/>
  <c r="O84" i="19"/>
  <c r="G84" i="19"/>
  <c r="P84" i="19"/>
  <c r="H84" i="19"/>
  <c r="N84" i="19"/>
  <c r="F84" i="19"/>
  <c r="S283" i="19"/>
  <c r="K283" i="19"/>
  <c r="R283" i="19"/>
  <c r="J283" i="19"/>
  <c r="N283" i="19"/>
  <c r="D283" i="19"/>
  <c r="M283" i="19"/>
  <c r="C283" i="19"/>
  <c r="L283" i="19"/>
  <c r="I283" i="19"/>
  <c r="A283" i="19"/>
  <c r="H283" i="19"/>
  <c r="P283" i="19"/>
  <c r="F283" i="19"/>
  <c r="G283" i="19"/>
  <c r="E283" i="19"/>
  <c r="Q283" i="19"/>
  <c r="O283" i="19"/>
  <c r="L237" i="18"/>
  <c r="J237" i="18"/>
  <c r="L116" i="18"/>
  <c r="J116" i="18"/>
  <c r="L141" i="18"/>
  <c r="J141" i="18"/>
  <c r="L557" i="18"/>
  <c r="J557" i="18"/>
  <c r="I615" i="18"/>
  <c r="L814" i="18"/>
  <c r="J814" i="18"/>
  <c r="L927" i="18"/>
  <c r="J927" i="18"/>
  <c r="O250" i="19"/>
  <c r="G250" i="19"/>
  <c r="N250" i="19"/>
  <c r="F250" i="19"/>
  <c r="M250" i="19"/>
  <c r="E250" i="19"/>
  <c r="L250" i="19"/>
  <c r="D250" i="19"/>
  <c r="S250" i="19"/>
  <c r="K250" i="19"/>
  <c r="C250" i="19"/>
  <c r="Q250" i="19"/>
  <c r="I250" i="19"/>
  <c r="A250" i="19"/>
  <c r="R250" i="19"/>
  <c r="P250" i="19"/>
  <c r="J250" i="19"/>
  <c r="H250" i="19"/>
  <c r="R241" i="19"/>
  <c r="J241" i="19"/>
  <c r="Q241" i="19"/>
  <c r="I241" i="19"/>
  <c r="A241" i="19"/>
  <c r="P241" i="19"/>
  <c r="H241" i="19"/>
  <c r="O241" i="19"/>
  <c r="G241" i="19"/>
  <c r="N241" i="19"/>
  <c r="F241" i="19"/>
  <c r="L241" i="19"/>
  <c r="D241" i="19"/>
  <c r="E241" i="19"/>
  <c r="C241" i="19"/>
  <c r="M241" i="19"/>
  <c r="S241" i="19"/>
  <c r="K241" i="19"/>
  <c r="M192" i="19"/>
  <c r="E192" i="19"/>
  <c r="L192" i="19"/>
  <c r="D192" i="19"/>
  <c r="S192" i="19"/>
  <c r="K192" i="19"/>
  <c r="C192" i="19"/>
  <c r="Q192" i="19"/>
  <c r="I192" i="19"/>
  <c r="A192" i="19"/>
  <c r="O192" i="19"/>
  <c r="G192" i="19"/>
  <c r="R192" i="19"/>
  <c r="P192" i="19"/>
  <c r="N192" i="19"/>
  <c r="J192" i="19"/>
  <c r="H192" i="19"/>
  <c r="F192" i="19"/>
  <c r="P183" i="19"/>
  <c r="H183" i="19"/>
  <c r="O183" i="19"/>
  <c r="G183" i="19"/>
  <c r="N183" i="19"/>
  <c r="F183" i="19"/>
  <c r="L183" i="19"/>
  <c r="D183" i="19"/>
  <c r="R183" i="19"/>
  <c r="J183" i="19"/>
  <c r="S183" i="19"/>
  <c r="Q183" i="19"/>
  <c r="M183" i="19"/>
  <c r="K183" i="19"/>
  <c r="I183" i="19"/>
  <c r="C183" i="19"/>
  <c r="E183" i="19"/>
  <c r="A183" i="19"/>
  <c r="S166" i="19"/>
  <c r="K166" i="19"/>
  <c r="C166" i="19"/>
  <c r="R166" i="19"/>
  <c r="J166" i="19"/>
  <c r="Q166" i="19"/>
  <c r="I166" i="19"/>
  <c r="A166" i="19"/>
  <c r="M166" i="19"/>
  <c r="E166" i="19"/>
  <c r="G166" i="19"/>
  <c r="F166" i="19"/>
  <c r="D166" i="19"/>
  <c r="P166" i="19"/>
  <c r="O166" i="19"/>
  <c r="L166" i="19"/>
  <c r="N166" i="19"/>
  <c r="H166" i="19"/>
  <c r="R149" i="19"/>
  <c r="J149" i="19"/>
  <c r="Q149" i="19"/>
  <c r="I149" i="19"/>
  <c r="A149" i="19"/>
  <c r="P149" i="19"/>
  <c r="H149" i="19"/>
  <c r="O149" i="19"/>
  <c r="G149" i="19"/>
  <c r="N149" i="19"/>
  <c r="F149" i="19"/>
  <c r="L149" i="19"/>
  <c r="D149" i="19"/>
  <c r="M149" i="19"/>
  <c r="K149" i="19"/>
  <c r="E149" i="19"/>
  <c r="C149" i="19"/>
  <c r="S149" i="19"/>
  <c r="R53" i="19"/>
  <c r="J53" i="19"/>
  <c r="Q53" i="19"/>
  <c r="I53" i="19"/>
  <c r="A53" i="19"/>
  <c r="S53" i="19"/>
  <c r="G53" i="19"/>
  <c r="P53" i="19"/>
  <c r="F53" i="19"/>
  <c r="O53" i="19"/>
  <c r="E53" i="19"/>
  <c r="N53" i="19"/>
  <c r="D53" i="19"/>
  <c r="M53" i="19"/>
  <c r="C53" i="19"/>
  <c r="K53" i="19"/>
  <c r="L53" i="19"/>
  <c r="H53" i="19"/>
  <c r="Q31" i="19"/>
  <c r="I31" i="19"/>
  <c r="A31" i="19"/>
  <c r="P31" i="19"/>
  <c r="H31" i="19"/>
  <c r="O31" i="19"/>
  <c r="G31" i="19"/>
  <c r="N31" i="19"/>
  <c r="F31" i="19"/>
  <c r="M31" i="19"/>
  <c r="E31" i="19"/>
  <c r="S31" i="19"/>
  <c r="K31" i="19"/>
  <c r="C31" i="19"/>
  <c r="L31" i="19"/>
  <c r="J31" i="19"/>
  <c r="D31" i="19"/>
  <c r="R31" i="19"/>
  <c r="C9" i="19"/>
  <c r="J9" i="19"/>
  <c r="I9" i="19"/>
  <c r="K9" i="19" s="1"/>
  <c r="L9" i="19" s="1"/>
  <c r="A9" i="19"/>
  <c r="E9" i="19"/>
  <c r="G9" i="19" s="1"/>
  <c r="F9" i="19"/>
  <c r="D9" i="19"/>
  <c r="P51" i="19"/>
  <c r="H51" i="19"/>
  <c r="O51" i="19"/>
  <c r="G51" i="19"/>
  <c r="M51" i="19"/>
  <c r="C51" i="19"/>
  <c r="L51" i="19"/>
  <c r="K51" i="19"/>
  <c r="A51" i="19"/>
  <c r="J51" i="19"/>
  <c r="S51" i="19"/>
  <c r="I51" i="19"/>
  <c r="Q51" i="19"/>
  <c r="E51" i="19"/>
  <c r="R51" i="19"/>
  <c r="N51" i="19"/>
  <c r="F51" i="19"/>
  <c r="D51" i="19"/>
  <c r="L204" i="18"/>
  <c r="J204" i="18"/>
  <c r="L735" i="18"/>
  <c r="J735" i="18"/>
  <c r="J441" i="18"/>
  <c r="L441" i="18"/>
  <c r="L417" i="18"/>
  <c r="J417" i="18"/>
  <c r="L774" i="18"/>
  <c r="J774" i="18"/>
  <c r="J934" i="18"/>
  <c r="L934" i="18"/>
  <c r="I999" i="18"/>
  <c r="N306" i="19"/>
  <c r="F306" i="19"/>
  <c r="M306" i="19"/>
  <c r="E306" i="19"/>
  <c r="L306" i="19"/>
  <c r="D306" i="19"/>
  <c r="S306" i="19"/>
  <c r="K306" i="19"/>
  <c r="C306" i="19"/>
  <c r="R306" i="19"/>
  <c r="J306" i="19"/>
  <c r="P306" i="19"/>
  <c r="H306" i="19"/>
  <c r="Q306" i="19"/>
  <c r="O306" i="19"/>
  <c r="I306" i="19"/>
  <c r="G306" i="19"/>
  <c r="A306" i="19"/>
  <c r="Q297" i="19"/>
  <c r="I297" i="19"/>
  <c r="A297" i="19"/>
  <c r="P297" i="19"/>
  <c r="H297" i="19"/>
  <c r="O297" i="19"/>
  <c r="G297" i="19"/>
  <c r="N297" i="19"/>
  <c r="F297" i="19"/>
  <c r="M297" i="19"/>
  <c r="E297" i="19"/>
  <c r="S297" i="19"/>
  <c r="K297" i="19"/>
  <c r="C297" i="19"/>
  <c r="R297" i="19"/>
  <c r="L297" i="19"/>
  <c r="D297" i="19"/>
  <c r="J297" i="19"/>
  <c r="M248" i="19"/>
  <c r="E248" i="19"/>
  <c r="L248" i="19"/>
  <c r="D248" i="19"/>
  <c r="S248" i="19"/>
  <c r="K248" i="19"/>
  <c r="C248" i="19"/>
  <c r="R248" i="19"/>
  <c r="J248" i="19"/>
  <c r="Q248" i="19"/>
  <c r="I248" i="19"/>
  <c r="A248" i="19"/>
  <c r="O248" i="19"/>
  <c r="G248" i="19"/>
  <c r="P248" i="19"/>
  <c r="H248" i="19"/>
  <c r="N248" i="19"/>
  <c r="F248" i="19"/>
  <c r="P239" i="19"/>
  <c r="H239" i="19"/>
  <c r="O239" i="19"/>
  <c r="G239" i="19"/>
  <c r="N239" i="19"/>
  <c r="F239" i="19"/>
  <c r="M239" i="19"/>
  <c r="E239" i="19"/>
  <c r="L239" i="19"/>
  <c r="D239" i="19"/>
  <c r="R239" i="19"/>
  <c r="J239" i="19"/>
  <c r="K239" i="19"/>
  <c r="I239" i="19"/>
  <c r="C239" i="19"/>
  <c r="A239" i="19"/>
  <c r="S239" i="19"/>
  <c r="Q239" i="19"/>
  <c r="S222" i="19"/>
  <c r="K222" i="19"/>
  <c r="C222" i="19"/>
  <c r="R222" i="19"/>
  <c r="J222" i="19"/>
  <c r="Q222" i="19"/>
  <c r="I222" i="19"/>
  <c r="A222" i="19"/>
  <c r="P222" i="19"/>
  <c r="H222" i="19"/>
  <c r="O222" i="19"/>
  <c r="G222" i="19"/>
  <c r="M222" i="19"/>
  <c r="E222" i="19"/>
  <c r="N222" i="19"/>
  <c r="L222" i="19"/>
  <c r="F222" i="19"/>
  <c r="D222" i="19"/>
  <c r="N205" i="19"/>
  <c r="F205" i="19"/>
  <c r="M205" i="19"/>
  <c r="E205" i="19"/>
  <c r="L205" i="19"/>
  <c r="D205" i="19"/>
  <c r="S205" i="19"/>
  <c r="K205" i="19"/>
  <c r="C205" i="19"/>
  <c r="R205" i="19"/>
  <c r="J205" i="19"/>
  <c r="P205" i="19"/>
  <c r="H205" i="19"/>
  <c r="Q205" i="19"/>
  <c r="O205" i="19"/>
  <c r="I205" i="19"/>
  <c r="G205" i="19"/>
  <c r="A205" i="19"/>
  <c r="Q188" i="19"/>
  <c r="I188" i="19"/>
  <c r="A188" i="19"/>
  <c r="P188" i="19"/>
  <c r="H188" i="19"/>
  <c r="O188" i="19"/>
  <c r="G188" i="19"/>
  <c r="M188" i="19"/>
  <c r="E188" i="19"/>
  <c r="S188" i="19"/>
  <c r="K188" i="19"/>
  <c r="C188" i="19"/>
  <c r="J188" i="19"/>
  <c r="F188" i="19"/>
  <c r="D188" i="19"/>
  <c r="N188" i="19"/>
  <c r="R188" i="19"/>
  <c r="L188" i="19"/>
  <c r="L171" i="19"/>
  <c r="D171" i="19"/>
  <c r="S171" i="19"/>
  <c r="K171" i="19"/>
  <c r="C171" i="19"/>
  <c r="R171" i="19"/>
  <c r="J171" i="19"/>
  <c r="P171" i="19"/>
  <c r="H171" i="19"/>
  <c r="N171" i="19"/>
  <c r="F171" i="19"/>
  <c r="M171" i="19"/>
  <c r="I171" i="19"/>
  <c r="G171" i="19"/>
  <c r="E171" i="19"/>
  <c r="A171" i="19"/>
  <c r="Q171" i="19"/>
  <c r="O171" i="19"/>
  <c r="P147" i="19"/>
  <c r="H147" i="19"/>
  <c r="O147" i="19"/>
  <c r="G147" i="19"/>
  <c r="N147" i="19"/>
  <c r="F147" i="19"/>
  <c r="M147" i="19"/>
  <c r="E147" i="19"/>
  <c r="L147" i="19"/>
  <c r="D147" i="19"/>
  <c r="R147" i="19"/>
  <c r="J147" i="19"/>
  <c r="S147" i="19"/>
  <c r="Q147" i="19"/>
  <c r="K147" i="19"/>
  <c r="I147" i="19"/>
  <c r="C147" i="19"/>
  <c r="A147" i="19"/>
  <c r="L195" i="18"/>
  <c r="J195" i="18"/>
  <c r="L925" i="18"/>
  <c r="J925" i="18"/>
  <c r="L231" i="17"/>
  <c r="D231" i="17"/>
  <c r="K231" i="17"/>
  <c r="C231" i="17"/>
  <c r="J231" i="17"/>
  <c r="I231" i="17"/>
  <c r="A231" i="17"/>
  <c r="H231" i="17"/>
  <c r="N231" i="17"/>
  <c r="F231" i="17"/>
  <c r="M231" i="17"/>
  <c r="G231" i="17"/>
  <c r="E231" i="17"/>
  <c r="J222" i="17"/>
  <c r="I222" i="17"/>
  <c r="A222" i="17"/>
  <c r="H222" i="17"/>
  <c r="G222" i="17"/>
  <c r="N222" i="17"/>
  <c r="F222" i="17"/>
  <c r="L222" i="17"/>
  <c r="D222" i="17"/>
  <c r="M222" i="17"/>
  <c r="K222" i="17"/>
  <c r="E222" i="17"/>
  <c r="C222" i="17"/>
  <c r="H173" i="17"/>
  <c r="G173" i="17"/>
  <c r="N173" i="17"/>
  <c r="F173" i="17"/>
  <c r="M173" i="17"/>
  <c r="E173" i="17"/>
  <c r="L173" i="17"/>
  <c r="D173" i="17"/>
  <c r="K173" i="17"/>
  <c r="J173" i="17"/>
  <c r="I173" i="17"/>
  <c r="C173" i="17"/>
  <c r="A173" i="17"/>
  <c r="N164" i="17"/>
  <c r="F164" i="17"/>
  <c r="E164" i="17"/>
  <c r="L164" i="17"/>
  <c r="D164" i="17"/>
  <c r="K164" i="17"/>
  <c r="M164" i="17" s="1"/>
  <c r="C164" i="17"/>
  <c r="J164" i="17"/>
  <c r="I164" i="17"/>
  <c r="H164" i="17"/>
  <c r="G164" i="17"/>
  <c r="A164" i="17"/>
  <c r="L147" i="17"/>
  <c r="D147" i="17"/>
  <c r="K147" i="17"/>
  <c r="M147" i="17" s="1"/>
  <c r="C147" i="17"/>
  <c r="J147" i="17"/>
  <c r="I147" i="17"/>
  <c r="A147" i="17"/>
  <c r="H147" i="17"/>
  <c r="N147" i="17"/>
  <c r="G147" i="17"/>
  <c r="E147" i="17"/>
  <c r="F147" i="17"/>
  <c r="J130" i="17"/>
  <c r="I130" i="17"/>
  <c r="A130" i="17"/>
  <c r="H130" i="17"/>
  <c r="G130" i="17"/>
  <c r="N130" i="17"/>
  <c r="F130" i="17"/>
  <c r="C130" i="17"/>
  <c r="L130" i="17"/>
  <c r="E130" i="17"/>
  <c r="K130" i="17"/>
  <c r="M130" i="17" s="1"/>
  <c r="D130" i="17"/>
  <c r="J62" i="17"/>
  <c r="I62" i="17"/>
  <c r="A62" i="17"/>
  <c r="H62" i="17"/>
  <c r="G62" i="17"/>
  <c r="N62" i="17"/>
  <c r="F62" i="17"/>
  <c r="M62" i="17"/>
  <c r="L62" i="17"/>
  <c r="K62" i="17"/>
  <c r="E62" i="17"/>
  <c r="D62" i="17"/>
  <c r="C62" i="17"/>
  <c r="L59" i="17"/>
  <c r="D59" i="17"/>
  <c r="K59" i="17"/>
  <c r="M59" i="17" s="1"/>
  <c r="C59" i="17"/>
  <c r="J59" i="17"/>
  <c r="I59" i="17"/>
  <c r="A59" i="17"/>
  <c r="H59" i="17"/>
  <c r="N59" i="17"/>
  <c r="G59" i="17"/>
  <c r="F59" i="17"/>
  <c r="E59" i="17"/>
  <c r="N184" i="17"/>
  <c r="F184" i="17"/>
  <c r="E184" i="17"/>
  <c r="L184" i="17"/>
  <c r="D184" i="17"/>
  <c r="K184" i="17"/>
  <c r="M184" i="17" s="1"/>
  <c r="C184" i="17"/>
  <c r="J184" i="17"/>
  <c r="I184" i="17"/>
  <c r="H184" i="17"/>
  <c r="G184" i="17"/>
  <c r="A184" i="17"/>
  <c r="N200" i="17"/>
  <c r="F200" i="17"/>
  <c r="E200" i="17"/>
  <c r="L200" i="17"/>
  <c r="D200" i="17"/>
  <c r="K200" i="17"/>
  <c r="M200" i="17" s="1"/>
  <c r="C200" i="17"/>
  <c r="J200" i="17"/>
  <c r="A200" i="17"/>
  <c r="H200" i="17"/>
  <c r="G200" i="17"/>
  <c r="I200" i="17"/>
  <c r="J478" i="18"/>
  <c r="L478" i="18"/>
  <c r="L429" i="18"/>
  <c r="J429" i="18"/>
  <c r="J702" i="18"/>
  <c r="L702" i="18"/>
  <c r="J829" i="18"/>
  <c r="L829" i="18"/>
  <c r="J950" i="18"/>
  <c r="L950" i="18"/>
  <c r="L223" i="17"/>
  <c r="D223" i="17"/>
  <c r="K223" i="17"/>
  <c r="M223" i="17" s="1"/>
  <c r="C223" i="17"/>
  <c r="J223" i="17"/>
  <c r="I223" i="17"/>
  <c r="A223" i="17"/>
  <c r="H223" i="17"/>
  <c r="N223" i="17"/>
  <c r="F223" i="17"/>
  <c r="G223" i="17"/>
  <c r="E223" i="17"/>
  <c r="J214" i="17"/>
  <c r="I214" i="17"/>
  <c r="A214" i="17"/>
  <c r="H214" i="17"/>
  <c r="G214" i="17"/>
  <c r="N214" i="17"/>
  <c r="F214" i="17"/>
  <c r="L214" i="17"/>
  <c r="D214" i="17"/>
  <c r="E214" i="17"/>
  <c r="C214" i="17"/>
  <c r="K214" i="17"/>
  <c r="M214" i="17" s="1"/>
  <c r="H165" i="17"/>
  <c r="G165" i="17"/>
  <c r="N165" i="17"/>
  <c r="F165" i="17"/>
  <c r="E165" i="17"/>
  <c r="L165" i="17"/>
  <c r="D165" i="17"/>
  <c r="A165" i="17"/>
  <c r="K165" i="17"/>
  <c r="M165" i="17" s="1"/>
  <c r="I165" i="17"/>
  <c r="J165" i="17"/>
  <c r="C165" i="17"/>
  <c r="N156" i="17"/>
  <c r="F156" i="17"/>
  <c r="M156" i="17"/>
  <c r="E156" i="17"/>
  <c r="L156" i="17"/>
  <c r="D156" i="17"/>
  <c r="K156" i="17"/>
  <c r="C156" i="17"/>
  <c r="J156" i="17"/>
  <c r="I156" i="17"/>
  <c r="G156" i="17"/>
  <c r="A156" i="17"/>
  <c r="H156" i="17"/>
  <c r="L139" i="17"/>
  <c r="D139" i="17"/>
  <c r="K139" i="17"/>
  <c r="C139" i="17"/>
  <c r="J139" i="17"/>
  <c r="I139" i="17"/>
  <c r="A139" i="17"/>
  <c r="H139" i="17"/>
  <c r="E139" i="17"/>
  <c r="N139" i="17"/>
  <c r="G139" i="17"/>
  <c r="F139" i="17"/>
  <c r="M139" i="17"/>
  <c r="J122" i="17"/>
  <c r="I122" i="17"/>
  <c r="A122" i="17"/>
  <c r="H122" i="17"/>
  <c r="G122" i="17"/>
  <c r="N122" i="17"/>
  <c r="F122" i="17"/>
  <c r="E122" i="17"/>
  <c r="D122" i="17"/>
  <c r="C122" i="17"/>
  <c r="L122" i="17"/>
  <c r="M122" i="17"/>
  <c r="K122" i="17"/>
  <c r="J78" i="17"/>
  <c r="I78" i="17"/>
  <c r="A78" i="17"/>
  <c r="H78" i="17"/>
  <c r="G78" i="17"/>
  <c r="N78" i="17"/>
  <c r="F78" i="17"/>
  <c r="D78" i="17"/>
  <c r="C78" i="17"/>
  <c r="M78" i="17"/>
  <c r="K78" i="17"/>
  <c r="E78" i="17"/>
  <c r="L78" i="17"/>
  <c r="N248" i="17"/>
  <c r="F248" i="17"/>
  <c r="E248" i="17"/>
  <c r="L248" i="17"/>
  <c r="D248" i="17"/>
  <c r="K248" i="17"/>
  <c r="M248" i="17" s="1"/>
  <c r="C248" i="17"/>
  <c r="J248" i="17"/>
  <c r="H248" i="17"/>
  <c r="I248" i="17"/>
  <c r="G248" i="17"/>
  <c r="A248" i="17"/>
  <c r="N264" i="17"/>
  <c r="F264" i="17"/>
  <c r="M264" i="17"/>
  <c r="E264" i="17"/>
  <c r="L264" i="17"/>
  <c r="D264" i="17"/>
  <c r="K264" i="17"/>
  <c r="C264" i="17"/>
  <c r="J264" i="17"/>
  <c r="H264" i="17"/>
  <c r="I264" i="17"/>
  <c r="G264" i="17"/>
  <c r="A264" i="17"/>
  <c r="L21" i="16"/>
  <c r="L372" i="18"/>
  <c r="J372" i="18"/>
  <c r="J283" i="18"/>
  <c r="L283" i="18"/>
  <c r="L243" i="18"/>
  <c r="J243" i="18"/>
  <c r="L717" i="18"/>
  <c r="J717" i="18"/>
  <c r="I399" i="18"/>
  <c r="J455" i="18"/>
  <c r="L455" i="18"/>
  <c r="I804" i="18"/>
  <c r="L279" i="17"/>
  <c r="D279" i="17"/>
  <c r="K279" i="17"/>
  <c r="C279" i="17"/>
  <c r="J279" i="17"/>
  <c r="I279" i="17"/>
  <c r="A279" i="17"/>
  <c r="H279" i="17"/>
  <c r="N279" i="17"/>
  <c r="F279" i="17"/>
  <c r="M279" i="17"/>
  <c r="G279" i="17"/>
  <c r="E279" i="17"/>
  <c r="J270" i="17"/>
  <c r="I270" i="17"/>
  <c r="A270" i="17"/>
  <c r="H270" i="17"/>
  <c r="G270" i="17"/>
  <c r="N270" i="17"/>
  <c r="F270" i="17"/>
  <c r="L270" i="17"/>
  <c r="D270" i="17"/>
  <c r="K270" i="17"/>
  <c r="M270" i="17" s="1"/>
  <c r="E270" i="17"/>
  <c r="C270" i="17"/>
  <c r="H221" i="17"/>
  <c r="G221" i="17"/>
  <c r="N221" i="17"/>
  <c r="F221" i="17"/>
  <c r="M221" i="17"/>
  <c r="E221" i="17"/>
  <c r="L221" i="17"/>
  <c r="D221" i="17"/>
  <c r="J221" i="17"/>
  <c r="C221" i="17"/>
  <c r="A221" i="17"/>
  <c r="K221" i="17"/>
  <c r="I221" i="17"/>
  <c r="N212" i="17"/>
  <c r="F212" i="17"/>
  <c r="M212" i="17"/>
  <c r="E212" i="17"/>
  <c r="L212" i="17"/>
  <c r="D212" i="17"/>
  <c r="K212" i="17"/>
  <c r="C212" i="17"/>
  <c r="J212" i="17"/>
  <c r="H212" i="17"/>
  <c r="A212" i="17"/>
  <c r="I212" i="17"/>
  <c r="G212" i="17"/>
  <c r="L195" i="17"/>
  <c r="D195" i="17"/>
  <c r="K195" i="17"/>
  <c r="M195" i="17" s="1"/>
  <c r="C195" i="17"/>
  <c r="J195" i="17"/>
  <c r="I195" i="17"/>
  <c r="A195" i="17"/>
  <c r="H195" i="17"/>
  <c r="G195" i="17"/>
  <c r="F195" i="17"/>
  <c r="E195" i="17"/>
  <c r="N195" i="17"/>
  <c r="J178" i="17"/>
  <c r="I178" i="17"/>
  <c r="A178" i="17"/>
  <c r="H178" i="17"/>
  <c r="G178" i="17"/>
  <c r="N178" i="17"/>
  <c r="F178" i="17"/>
  <c r="L178" i="17"/>
  <c r="K178" i="17"/>
  <c r="M178" i="17" s="1"/>
  <c r="E178" i="17"/>
  <c r="D178" i="17"/>
  <c r="C178" i="17"/>
  <c r="N18" i="17"/>
  <c r="F18" i="17"/>
  <c r="E18" i="17"/>
  <c r="L18" i="17"/>
  <c r="D18" i="17"/>
  <c r="K18" i="17"/>
  <c r="M18" i="17" s="1"/>
  <c r="C18" i="17"/>
  <c r="J18" i="17"/>
  <c r="H18" i="17"/>
  <c r="I18" i="17"/>
  <c r="G18" i="17"/>
  <c r="A18" i="17"/>
  <c r="N60" i="17"/>
  <c r="F60" i="17"/>
  <c r="E60" i="17"/>
  <c r="L60" i="17"/>
  <c r="D60" i="17"/>
  <c r="K60" i="17"/>
  <c r="M60" i="17" s="1"/>
  <c r="C60" i="17"/>
  <c r="J60" i="17"/>
  <c r="I60" i="17"/>
  <c r="G60" i="17"/>
  <c r="A60" i="17"/>
  <c r="H60" i="17"/>
  <c r="N120" i="17"/>
  <c r="F120" i="17"/>
  <c r="E120" i="17"/>
  <c r="L120" i="17"/>
  <c r="D120" i="17"/>
  <c r="K120" i="17"/>
  <c r="M120" i="17" s="1"/>
  <c r="C120" i="17"/>
  <c r="J120" i="17"/>
  <c r="I120" i="17"/>
  <c r="H120" i="17"/>
  <c r="G120" i="17"/>
  <c r="A120" i="17"/>
  <c r="L473" i="18"/>
  <c r="J473" i="18"/>
  <c r="L457" i="18"/>
  <c r="J457" i="18"/>
  <c r="L680" i="18"/>
  <c r="J680" i="18"/>
  <c r="I335" i="18"/>
  <c r="L749" i="18"/>
  <c r="J749" i="18"/>
  <c r="J982" i="18"/>
  <c r="L982" i="18"/>
  <c r="I978" i="18"/>
  <c r="L261" i="18"/>
  <c r="J261" i="18"/>
  <c r="L25" i="17"/>
  <c r="D25" i="17"/>
  <c r="K25" i="17"/>
  <c r="C25" i="17"/>
  <c r="J25" i="17"/>
  <c r="I25" i="17"/>
  <c r="A25" i="17"/>
  <c r="H25" i="17"/>
  <c r="N25" i="17"/>
  <c r="F25" i="17"/>
  <c r="M25" i="17"/>
  <c r="G25" i="17"/>
  <c r="E25" i="17"/>
  <c r="L143" i="17"/>
  <c r="D143" i="17"/>
  <c r="K143" i="17"/>
  <c r="M143" i="17" s="1"/>
  <c r="C143" i="17"/>
  <c r="J143" i="17"/>
  <c r="I143" i="17"/>
  <c r="A143" i="17"/>
  <c r="H143" i="17"/>
  <c r="G143" i="17"/>
  <c r="F143" i="17"/>
  <c r="E143" i="17"/>
  <c r="N143" i="17"/>
  <c r="J134" i="17"/>
  <c r="I134" i="17"/>
  <c r="A134" i="17"/>
  <c r="H134" i="17"/>
  <c r="G134" i="17"/>
  <c r="N134" i="17"/>
  <c r="F134" i="17"/>
  <c r="K134" i="17"/>
  <c r="M134" i="17" s="1"/>
  <c r="E134" i="17"/>
  <c r="D134" i="17"/>
  <c r="C134" i="17"/>
  <c r="L134" i="17"/>
  <c r="H85" i="17"/>
  <c r="G85" i="17"/>
  <c r="N85" i="17"/>
  <c r="F85" i="17"/>
  <c r="M85" i="17"/>
  <c r="E85" i="17"/>
  <c r="L85" i="17"/>
  <c r="D85" i="17"/>
  <c r="K85" i="17"/>
  <c r="J85" i="17"/>
  <c r="I85" i="17"/>
  <c r="C85" i="17"/>
  <c r="A85" i="17"/>
  <c r="N76" i="17"/>
  <c r="F76" i="17"/>
  <c r="M76" i="17"/>
  <c r="E76" i="17"/>
  <c r="L76" i="17"/>
  <c r="D76" i="17"/>
  <c r="K76" i="17"/>
  <c r="C76" i="17"/>
  <c r="J76" i="17"/>
  <c r="I76" i="17"/>
  <c r="H76" i="17"/>
  <c r="G76" i="17"/>
  <c r="A76" i="17"/>
  <c r="J298" i="17"/>
  <c r="I298" i="17"/>
  <c r="A298" i="17"/>
  <c r="H298" i="17"/>
  <c r="G298" i="17"/>
  <c r="N298" i="17"/>
  <c r="F298" i="17"/>
  <c r="L298" i="17"/>
  <c r="D298" i="17"/>
  <c r="K298" i="17"/>
  <c r="M298" i="17" s="1"/>
  <c r="E298" i="17"/>
  <c r="C298" i="17"/>
  <c r="H281" i="17"/>
  <c r="G281" i="17"/>
  <c r="N281" i="17"/>
  <c r="F281" i="17"/>
  <c r="E281" i="17"/>
  <c r="L281" i="17"/>
  <c r="D281" i="17"/>
  <c r="J281" i="17"/>
  <c r="K281" i="17"/>
  <c r="M281" i="17" s="1"/>
  <c r="C281" i="17"/>
  <c r="A281" i="17"/>
  <c r="I281" i="17"/>
  <c r="H19" i="17"/>
  <c r="G19" i="17"/>
  <c r="N19" i="17"/>
  <c r="F19" i="17"/>
  <c r="E19" i="17"/>
  <c r="L19" i="17"/>
  <c r="D19" i="17"/>
  <c r="J19" i="17"/>
  <c r="I19" i="17"/>
  <c r="C19" i="17"/>
  <c r="A19" i="17"/>
  <c r="K19" i="17"/>
  <c r="M19" i="17" s="1"/>
  <c r="G53" i="17"/>
  <c r="N53" i="17"/>
  <c r="F53" i="17"/>
  <c r="M53" i="17"/>
  <c r="E53" i="17"/>
  <c r="L53" i="17"/>
  <c r="A53" i="17"/>
  <c r="K53" i="17"/>
  <c r="J53" i="17"/>
  <c r="I53" i="17"/>
  <c r="H53" i="17"/>
  <c r="C53" i="17"/>
  <c r="D53" i="17"/>
  <c r="J24" i="17"/>
  <c r="I24" i="17"/>
  <c r="A24" i="17"/>
  <c r="H24" i="17"/>
  <c r="G24" i="17"/>
  <c r="N24" i="17"/>
  <c r="F24" i="17"/>
  <c r="L24" i="17"/>
  <c r="D24" i="17"/>
  <c r="C24" i="17"/>
  <c r="K24" i="17"/>
  <c r="E24" i="17"/>
  <c r="M24" i="17"/>
  <c r="L405" i="18"/>
  <c r="J405" i="18"/>
  <c r="I341" i="18"/>
  <c r="L461" i="18"/>
  <c r="J461" i="18"/>
  <c r="I274" i="18"/>
  <c r="I599" i="18"/>
  <c r="J808" i="18"/>
  <c r="L808" i="18"/>
  <c r="Q172" i="19"/>
  <c r="I172" i="19"/>
  <c r="A172" i="19"/>
  <c r="P172" i="19"/>
  <c r="H172" i="19"/>
  <c r="O172" i="19"/>
  <c r="G172" i="19"/>
  <c r="M172" i="19"/>
  <c r="E172" i="19"/>
  <c r="S172" i="19"/>
  <c r="K172" i="19"/>
  <c r="C172" i="19"/>
  <c r="N172" i="19"/>
  <c r="L172" i="19"/>
  <c r="J172" i="19"/>
  <c r="F172" i="19"/>
  <c r="D172" i="19"/>
  <c r="R172" i="19"/>
  <c r="S74" i="19"/>
  <c r="K74" i="19"/>
  <c r="C74" i="19"/>
  <c r="R74" i="19"/>
  <c r="J74" i="19"/>
  <c r="Q74" i="19"/>
  <c r="I74" i="19"/>
  <c r="A74" i="19"/>
  <c r="P74" i="19"/>
  <c r="H74" i="19"/>
  <c r="O74" i="19"/>
  <c r="G74" i="19"/>
  <c r="M74" i="19"/>
  <c r="E74" i="19"/>
  <c r="N74" i="19"/>
  <c r="F74" i="19"/>
  <c r="L74" i="19"/>
  <c r="D74" i="19"/>
  <c r="M272" i="19"/>
  <c r="E272" i="19"/>
  <c r="L272" i="19"/>
  <c r="D272" i="19"/>
  <c r="S272" i="19"/>
  <c r="K272" i="19"/>
  <c r="C272" i="19"/>
  <c r="R272" i="19"/>
  <c r="J272" i="19"/>
  <c r="Q272" i="19"/>
  <c r="I272" i="19"/>
  <c r="A272" i="19"/>
  <c r="O272" i="19"/>
  <c r="G272" i="19"/>
  <c r="P272" i="19"/>
  <c r="N272" i="19"/>
  <c r="H272" i="19"/>
  <c r="F272" i="19"/>
  <c r="P263" i="19"/>
  <c r="H263" i="19"/>
  <c r="O263" i="19"/>
  <c r="G263" i="19"/>
  <c r="N263" i="19"/>
  <c r="F263" i="19"/>
  <c r="M263" i="19"/>
  <c r="E263" i="19"/>
  <c r="L263" i="19"/>
  <c r="D263" i="19"/>
  <c r="R263" i="19"/>
  <c r="J263" i="19"/>
  <c r="C263" i="19"/>
  <c r="A263" i="19"/>
  <c r="S263" i="19"/>
  <c r="K263" i="19"/>
  <c r="Q263" i="19"/>
  <c r="I263" i="19"/>
  <c r="S246" i="19"/>
  <c r="K246" i="19"/>
  <c r="C246" i="19"/>
  <c r="R246" i="19"/>
  <c r="J246" i="19"/>
  <c r="Q246" i="19"/>
  <c r="I246" i="19"/>
  <c r="A246" i="19"/>
  <c r="P246" i="19"/>
  <c r="H246" i="19"/>
  <c r="O246" i="19"/>
  <c r="G246" i="19"/>
  <c r="M246" i="19"/>
  <c r="E246" i="19"/>
  <c r="F246" i="19"/>
  <c r="D246" i="19"/>
  <c r="N246" i="19"/>
  <c r="L246" i="19"/>
  <c r="N229" i="19"/>
  <c r="F229" i="19"/>
  <c r="M229" i="19"/>
  <c r="E229" i="19"/>
  <c r="L229" i="19"/>
  <c r="D229" i="19"/>
  <c r="S229" i="19"/>
  <c r="K229" i="19"/>
  <c r="C229" i="19"/>
  <c r="R229" i="19"/>
  <c r="J229" i="19"/>
  <c r="P229" i="19"/>
  <c r="H229" i="19"/>
  <c r="I229" i="19"/>
  <c r="G229" i="19"/>
  <c r="A229" i="19"/>
  <c r="Q229" i="19"/>
  <c r="O229" i="19"/>
  <c r="Q212" i="19"/>
  <c r="I212" i="19"/>
  <c r="A212" i="19"/>
  <c r="P212" i="19"/>
  <c r="H212" i="19"/>
  <c r="O212" i="19"/>
  <c r="G212" i="19"/>
  <c r="N212" i="19"/>
  <c r="F212" i="19"/>
  <c r="M212" i="19"/>
  <c r="E212" i="19"/>
  <c r="S212" i="19"/>
  <c r="K212" i="19"/>
  <c r="C212" i="19"/>
  <c r="L212" i="19"/>
  <c r="J212" i="19"/>
  <c r="D212" i="19"/>
  <c r="R212" i="19"/>
  <c r="L179" i="19"/>
  <c r="D179" i="19"/>
  <c r="S179" i="19"/>
  <c r="K179" i="19"/>
  <c r="C179" i="19"/>
  <c r="R179" i="19"/>
  <c r="J179" i="19"/>
  <c r="P179" i="19"/>
  <c r="H179" i="19"/>
  <c r="N179" i="19"/>
  <c r="F179" i="19"/>
  <c r="I179" i="19"/>
  <c r="G179" i="19"/>
  <c r="E179" i="19"/>
  <c r="A179" i="19"/>
  <c r="O179" i="19"/>
  <c r="Q179" i="19"/>
  <c r="M179" i="19"/>
  <c r="M164" i="19"/>
  <c r="E164" i="19"/>
  <c r="L164" i="19"/>
  <c r="D164" i="19"/>
  <c r="S164" i="19"/>
  <c r="K164" i="19"/>
  <c r="C164" i="19"/>
  <c r="R164" i="19"/>
  <c r="J164" i="19"/>
  <c r="Q164" i="19"/>
  <c r="I164" i="19"/>
  <c r="A164" i="19"/>
  <c r="O164" i="19"/>
  <c r="G164" i="19"/>
  <c r="P164" i="19"/>
  <c r="N164" i="19"/>
  <c r="H164" i="19"/>
  <c r="F164" i="19"/>
  <c r="L629" i="18"/>
  <c r="J629" i="18"/>
  <c r="I351" i="18"/>
  <c r="L900" i="18"/>
  <c r="J900" i="18"/>
  <c r="I479" i="18"/>
  <c r="L783" i="18"/>
  <c r="J783" i="18"/>
  <c r="J856" i="18"/>
  <c r="L856" i="18"/>
  <c r="I986" i="18"/>
  <c r="I924" i="18"/>
  <c r="I30" i="18"/>
  <c r="I377" i="18"/>
  <c r="I898" i="18"/>
  <c r="I896" i="18"/>
  <c r="I712" i="18"/>
  <c r="I363" i="18"/>
  <c r="I38" i="18"/>
  <c r="H265" i="17"/>
  <c r="G265" i="17"/>
  <c r="N265" i="17"/>
  <c r="F265" i="17"/>
  <c r="M265" i="17"/>
  <c r="E265" i="17"/>
  <c r="L265" i="17"/>
  <c r="D265" i="17"/>
  <c r="J265" i="17"/>
  <c r="K265" i="17"/>
  <c r="C265" i="17"/>
  <c r="I265" i="17"/>
  <c r="A265" i="17"/>
  <c r="H35" i="17"/>
  <c r="G35" i="17"/>
  <c r="N35" i="17"/>
  <c r="F35" i="17"/>
  <c r="E35" i="17"/>
  <c r="L35" i="17"/>
  <c r="D35" i="17"/>
  <c r="J35" i="17"/>
  <c r="I35" i="17"/>
  <c r="C35" i="17"/>
  <c r="A35" i="17"/>
  <c r="K35" i="17"/>
  <c r="M35" i="17" s="1"/>
  <c r="D5" i="17"/>
  <c r="K5" i="17"/>
  <c r="C5" i="17"/>
  <c r="I5" i="17"/>
  <c r="A5" i="17"/>
  <c r="H5" i="17"/>
  <c r="F5" i="17"/>
  <c r="G5" i="17"/>
  <c r="E5" i="17"/>
  <c r="J5" i="17" s="1"/>
  <c r="L349" i="18"/>
  <c r="J349" i="18"/>
  <c r="L88" i="18"/>
  <c r="J88" i="18"/>
  <c r="J729" i="18"/>
  <c r="L729" i="18"/>
  <c r="L370" i="18"/>
  <c r="J370" i="18"/>
  <c r="J736" i="18"/>
  <c r="L736" i="18"/>
  <c r="L884" i="18"/>
  <c r="J884" i="18"/>
  <c r="L868" i="18"/>
  <c r="J868" i="18"/>
  <c r="L878" i="18"/>
  <c r="J878" i="18"/>
  <c r="L991" i="18"/>
  <c r="J991" i="18"/>
  <c r="L746" i="18"/>
  <c r="J746" i="18"/>
  <c r="L183" i="17"/>
  <c r="D183" i="17"/>
  <c r="K183" i="17"/>
  <c r="M183" i="17" s="1"/>
  <c r="C183" i="17"/>
  <c r="J183" i="17"/>
  <c r="I183" i="17"/>
  <c r="A183" i="17"/>
  <c r="H183" i="17"/>
  <c r="F183" i="17"/>
  <c r="E183" i="17"/>
  <c r="N183" i="17"/>
  <c r="G183" i="17"/>
  <c r="J174" i="17"/>
  <c r="I174" i="17"/>
  <c r="A174" i="17"/>
  <c r="H174" i="17"/>
  <c r="G174" i="17"/>
  <c r="N174" i="17"/>
  <c r="F174" i="17"/>
  <c r="D174" i="17"/>
  <c r="C174" i="17"/>
  <c r="K174" i="17"/>
  <c r="M174" i="17" s="1"/>
  <c r="E174" i="17"/>
  <c r="L174" i="17"/>
  <c r="H125" i="17"/>
  <c r="G125" i="17"/>
  <c r="N125" i="17"/>
  <c r="F125" i="17"/>
  <c r="E125" i="17"/>
  <c r="L125" i="17"/>
  <c r="D125" i="17"/>
  <c r="I125" i="17"/>
  <c r="C125" i="17"/>
  <c r="A125" i="17"/>
  <c r="K125" i="17"/>
  <c r="M125" i="17" s="1"/>
  <c r="J125" i="17"/>
  <c r="N116" i="17"/>
  <c r="F116" i="17"/>
  <c r="E116" i="17"/>
  <c r="L116" i="17"/>
  <c r="D116" i="17"/>
  <c r="K116" i="17"/>
  <c r="M116" i="17" s="1"/>
  <c r="C116" i="17"/>
  <c r="J116" i="17"/>
  <c r="G116" i="17"/>
  <c r="A116" i="17"/>
  <c r="I116" i="17"/>
  <c r="H116" i="17"/>
  <c r="L99" i="17"/>
  <c r="D99" i="17"/>
  <c r="K99" i="17"/>
  <c r="C99" i="17"/>
  <c r="J99" i="17"/>
  <c r="I99" i="17"/>
  <c r="A99" i="17"/>
  <c r="H99" i="17"/>
  <c r="G99" i="17"/>
  <c r="F99" i="17"/>
  <c r="E99" i="17"/>
  <c r="N99" i="17"/>
  <c r="M99" i="17"/>
  <c r="J82" i="17"/>
  <c r="I82" i="17"/>
  <c r="A82" i="17"/>
  <c r="H82" i="17"/>
  <c r="G82" i="17"/>
  <c r="N82" i="17"/>
  <c r="F82" i="17"/>
  <c r="L82" i="17"/>
  <c r="K82" i="17"/>
  <c r="E82" i="17"/>
  <c r="D82" i="17"/>
  <c r="C82" i="17"/>
  <c r="M82" i="17"/>
  <c r="N296" i="17"/>
  <c r="F296" i="17"/>
  <c r="E296" i="17"/>
  <c r="L296" i="17"/>
  <c r="D296" i="17"/>
  <c r="K296" i="17"/>
  <c r="M296" i="17" s="1"/>
  <c r="C296" i="17"/>
  <c r="J296" i="17"/>
  <c r="H296" i="17"/>
  <c r="I296" i="17"/>
  <c r="G296" i="17"/>
  <c r="A296" i="17"/>
  <c r="N136" i="17"/>
  <c r="F136" i="17"/>
  <c r="M136" i="17"/>
  <c r="E136" i="17"/>
  <c r="L136" i="17"/>
  <c r="D136" i="17"/>
  <c r="K136" i="17"/>
  <c r="C136" i="17"/>
  <c r="J136" i="17"/>
  <c r="A136" i="17"/>
  <c r="H136" i="17"/>
  <c r="I136" i="17"/>
  <c r="G136" i="17"/>
  <c r="N112" i="17"/>
  <c r="F112" i="17"/>
  <c r="M112" i="17"/>
  <c r="E112" i="17"/>
  <c r="L112" i="17"/>
  <c r="D112" i="17"/>
  <c r="K112" i="17"/>
  <c r="C112" i="17"/>
  <c r="J112" i="17"/>
  <c r="I112" i="17"/>
  <c r="H112" i="17"/>
  <c r="A112" i="17"/>
  <c r="G112" i="17"/>
  <c r="L308" i="18"/>
  <c r="J308" i="18"/>
  <c r="L128" i="18"/>
  <c r="J128" i="18"/>
  <c r="J235" i="18"/>
  <c r="L235" i="18"/>
  <c r="L77" i="18"/>
  <c r="J77" i="18"/>
  <c r="J97" i="18"/>
  <c r="L97" i="18"/>
  <c r="J446" i="18"/>
  <c r="L446" i="18"/>
  <c r="L495" i="18"/>
  <c r="J495" i="18"/>
  <c r="L957" i="18"/>
  <c r="J957" i="18"/>
  <c r="L239" i="17"/>
  <c r="D239" i="17"/>
  <c r="K239" i="17"/>
  <c r="C239" i="17"/>
  <c r="J239" i="17"/>
  <c r="I239" i="17"/>
  <c r="A239" i="17"/>
  <c r="H239" i="17"/>
  <c r="N239" i="17"/>
  <c r="F239" i="17"/>
  <c r="G239" i="17"/>
  <c r="E239" i="17"/>
  <c r="M239" i="17"/>
  <c r="J230" i="17"/>
  <c r="I230" i="17"/>
  <c r="A230" i="17"/>
  <c r="H230" i="17"/>
  <c r="G230" i="17"/>
  <c r="N230" i="17"/>
  <c r="F230" i="17"/>
  <c r="L230" i="17"/>
  <c r="D230" i="17"/>
  <c r="E230" i="17"/>
  <c r="C230" i="17"/>
  <c r="M230" i="17"/>
  <c r="K230" i="17"/>
  <c r="H181" i="17"/>
  <c r="G181" i="17"/>
  <c r="N181" i="17"/>
  <c r="F181" i="17"/>
  <c r="M181" i="17"/>
  <c r="E181" i="17"/>
  <c r="L181" i="17"/>
  <c r="D181" i="17"/>
  <c r="K181" i="17"/>
  <c r="J181" i="17"/>
  <c r="I181" i="17"/>
  <c r="C181" i="17"/>
  <c r="A181" i="17"/>
  <c r="N172" i="17"/>
  <c r="F172" i="17"/>
  <c r="E172" i="17"/>
  <c r="L172" i="17"/>
  <c r="D172" i="17"/>
  <c r="K172" i="17"/>
  <c r="M172" i="17" s="1"/>
  <c r="C172" i="17"/>
  <c r="J172" i="17"/>
  <c r="I172" i="17"/>
  <c r="H172" i="17"/>
  <c r="G172" i="17"/>
  <c r="A172" i="17"/>
  <c r="L155" i="17"/>
  <c r="D155" i="17"/>
  <c r="K155" i="17"/>
  <c r="M155" i="17" s="1"/>
  <c r="C155" i="17"/>
  <c r="J155" i="17"/>
  <c r="I155" i="17"/>
  <c r="A155" i="17"/>
  <c r="H155" i="17"/>
  <c r="N155" i="17"/>
  <c r="G155" i="17"/>
  <c r="F155" i="17"/>
  <c r="E155" i="17"/>
  <c r="J138" i="17"/>
  <c r="I138" i="17"/>
  <c r="A138" i="17"/>
  <c r="H138" i="17"/>
  <c r="G138" i="17"/>
  <c r="N138" i="17"/>
  <c r="F138" i="17"/>
  <c r="M138" i="17"/>
  <c r="L138" i="17"/>
  <c r="K138" i="17"/>
  <c r="E138" i="17"/>
  <c r="C138" i="17"/>
  <c r="D138" i="17"/>
  <c r="J58" i="17"/>
  <c r="I58" i="17"/>
  <c r="A58" i="17"/>
  <c r="H58" i="17"/>
  <c r="G58" i="17"/>
  <c r="N58" i="17"/>
  <c r="F58" i="17"/>
  <c r="E58" i="17"/>
  <c r="D58" i="17"/>
  <c r="C58" i="17"/>
  <c r="L58" i="17"/>
  <c r="K58" i="17"/>
  <c r="M58" i="17" s="1"/>
  <c r="L21" i="17"/>
  <c r="D21" i="17"/>
  <c r="K21" i="17"/>
  <c r="C21" i="17"/>
  <c r="J21" i="17"/>
  <c r="I21" i="17"/>
  <c r="A21" i="17"/>
  <c r="H21" i="17"/>
  <c r="N21" i="17"/>
  <c r="F21" i="17"/>
  <c r="M21" i="17"/>
  <c r="G21" i="17"/>
  <c r="E21" i="17"/>
  <c r="K47" i="17"/>
  <c r="M47" i="17" s="1"/>
  <c r="J47" i="17"/>
  <c r="H47" i="17"/>
  <c r="G47" i="17"/>
  <c r="F47" i="17"/>
  <c r="E47" i="17"/>
  <c r="N47" i="17"/>
  <c r="D47" i="17"/>
  <c r="L47" i="17"/>
  <c r="A47" i="17"/>
  <c r="I47" i="17"/>
  <c r="C47" i="17"/>
  <c r="L355" i="18"/>
  <c r="J355" i="18"/>
  <c r="L491" i="18"/>
  <c r="J491" i="18"/>
  <c r="O234" i="19"/>
  <c r="G234" i="19"/>
  <c r="N234" i="19"/>
  <c r="F234" i="19"/>
  <c r="M234" i="19"/>
  <c r="E234" i="19"/>
  <c r="L234" i="19"/>
  <c r="D234" i="19"/>
  <c r="S234" i="19"/>
  <c r="K234" i="19"/>
  <c r="C234" i="19"/>
  <c r="Q234" i="19"/>
  <c r="I234" i="19"/>
  <c r="A234" i="19"/>
  <c r="J234" i="19"/>
  <c r="H234" i="19"/>
  <c r="R234" i="19"/>
  <c r="P234" i="19"/>
  <c r="R225" i="19"/>
  <c r="J225" i="19"/>
  <c r="Q225" i="19"/>
  <c r="I225" i="19"/>
  <c r="A225" i="19"/>
  <c r="P225" i="19"/>
  <c r="H225" i="19"/>
  <c r="O225" i="19"/>
  <c r="G225" i="19"/>
  <c r="N225" i="19"/>
  <c r="F225" i="19"/>
  <c r="L225" i="19"/>
  <c r="D225" i="19"/>
  <c r="S225" i="19"/>
  <c r="M225" i="19"/>
  <c r="K225" i="19"/>
  <c r="E225" i="19"/>
  <c r="C225" i="19"/>
  <c r="M176" i="19"/>
  <c r="E176" i="19"/>
  <c r="L176" i="19"/>
  <c r="D176" i="19"/>
  <c r="S176" i="19"/>
  <c r="K176" i="19"/>
  <c r="C176" i="19"/>
  <c r="Q176" i="19"/>
  <c r="I176" i="19"/>
  <c r="A176" i="19"/>
  <c r="O176" i="19"/>
  <c r="G176" i="19"/>
  <c r="R176" i="19"/>
  <c r="P176" i="19"/>
  <c r="N176" i="19"/>
  <c r="H176" i="19"/>
  <c r="J176" i="19"/>
  <c r="F176" i="19"/>
  <c r="P167" i="19"/>
  <c r="H167" i="19"/>
  <c r="O167" i="19"/>
  <c r="G167" i="19"/>
  <c r="N167" i="19"/>
  <c r="F167" i="19"/>
  <c r="L167" i="19"/>
  <c r="R167" i="19"/>
  <c r="J167" i="19"/>
  <c r="D167" i="19"/>
  <c r="C167" i="19"/>
  <c r="S167" i="19"/>
  <c r="A167" i="19"/>
  <c r="Q167" i="19"/>
  <c r="M167" i="19"/>
  <c r="I167" i="19"/>
  <c r="K167" i="19"/>
  <c r="E167" i="19"/>
  <c r="O150" i="19"/>
  <c r="G150" i="19"/>
  <c r="N150" i="19"/>
  <c r="F150" i="19"/>
  <c r="M150" i="19"/>
  <c r="E150" i="19"/>
  <c r="L150" i="19"/>
  <c r="D150" i="19"/>
  <c r="S150" i="19"/>
  <c r="K150" i="19"/>
  <c r="C150" i="19"/>
  <c r="Q150" i="19"/>
  <c r="I150" i="19"/>
  <c r="A150" i="19"/>
  <c r="R150" i="19"/>
  <c r="P150" i="19"/>
  <c r="J150" i="19"/>
  <c r="H150" i="19"/>
  <c r="R133" i="19"/>
  <c r="J133" i="19"/>
  <c r="Q133" i="19"/>
  <c r="I133" i="19"/>
  <c r="A133" i="19"/>
  <c r="P133" i="19"/>
  <c r="H133" i="19"/>
  <c r="O133" i="19"/>
  <c r="G133" i="19"/>
  <c r="N133" i="19"/>
  <c r="F133" i="19"/>
  <c r="L133" i="19"/>
  <c r="D133" i="19"/>
  <c r="S133" i="19"/>
  <c r="M133" i="19"/>
  <c r="E133" i="19"/>
  <c r="K133" i="19"/>
  <c r="C133" i="19"/>
  <c r="N65" i="19"/>
  <c r="F65" i="19"/>
  <c r="M65" i="19"/>
  <c r="E65" i="19"/>
  <c r="S65" i="19"/>
  <c r="K65" i="19"/>
  <c r="C65" i="19"/>
  <c r="R65" i="19"/>
  <c r="J65" i="19"/>
  <c r="P65" i="19"/>
  <c r="H65" i="19"/>
  <c r="L65" i="19"/>
  <c r="I65" i="19"/>
  <c r="G65" i="19"/>
  <c r="D65" i="19"/>
  <c r="A65" i="19"/>
  <c r="Q65" i="19"/>
  <c r="O65" i="19"/>
  <c r="O62" i="19"/>
  <c r="G62" i="19"/>
  <c r="N62" i="19"/>
  <c r="F62" i="19"/>
  <c r="Q62" i="19"/>
  <c r="I62" i="19"/>
  <c r="A62" i="19"/>
  <c r="J62" i="19"/>
  <c r="H62" i="19"/>
  <c r="S62" i="19"/>
  <c r="E62" i="19"/>
  <c r="R62" i="19"/>
  <c r="D62" i="19"/>
  <c r="P62" i="19"/>
  <c r="C62" i="19"/>
  <c r="L62" i="19"/>
  <c r="M62" i="19"/>
  <c r="K62" i="19"/>
  <c r="L187" i="19"/>
  <c r="D187" i="19"/>
  <c r="S187" i="19"/>
  <c r="K187" i="19"/>
  <c r="C187" i="19"/>
  <c r="R187" i="19"/>
  <c r="J187" i="19"/>
  <c r="P187" i="19"/>
  <c r="H187" i="19"/>
  <c r="N187" i="19"/>
  <c r="F187" i="19"/>
  <c r="G187" i="19"/>
  <c r="E187" i="19"/>
  <c r="A187" i="19"/>
  <c r="Q187" i="19"/>
  <c r="M187" i="19"/>
  <c r="O187" i="19"/>
  <c r="I187" i="19"/>
  <c r="L203" i="19"/>
  <c r="D203" i="19"/>
  <c r="S203" i="19"/>
  <c r="K203" i="19"/>
  <c r="C203" i="19"/>
  <c r="R203" i="19"/>
  <c r="J203" i="19"/>
  <c r="Q203" i="19"/>
  <c r="I203" i="19"/>
  <c r="A203" i="19"/>
  <c r="P203" i="19"/>
  <c r="H203" i="19"/>
  <c r="N203" i="19"/>
  <c r="F203" i="19"/>
  <c r="O203" i="19"/>
  <c r="M203" i="19"/>
  <c r="G203" i="19"/>
  <c r="E203" i="19"/>
  <c r="L20" i="16"/>
  <c r="L125" i="18"/>
  <c r="J125" i="18"/>
  <c r="L148" i="18"/>
  <c r="J148" i="18"/>
  <c r="L328" i="18"/>
  <c r="J328" i="18"/>
  <c r="L197" i="18"/>
  <c r="J197" i="18"/>
  <c r="L375" i="18"/>
  <c r="J375" i="18"/>
  <c r="L319" i="18"/>
  <c r="J319" i="18"/>
  <c r="J766" i="18"/>
  <c r="L766" i="18"/>
  <c r="J447" i="18"/>
  <c r="L447" i="18"/>
  <c r="L703" i="18"/>
  <c r="J703" i="18"/>
  <c r="L989" i="18"/>
  <c r="J989" i="18"/>
  <c r="L962" i="18"/>
  <c r="J962" i="18"/>
  <c r="I830" i="18"/>
  <c r="O226" i="19"/>
  <c r="G226" i="19"/>
  <c r="N226" i="19"/>
  <c r="F226" i="19"/>
  <c r="M226" i="19"/>
  <c r="E226" i="19"/>
  <c r="L226" i="19"/>
  <c r="D226" i="19"/>
  <c r="S226" i="19"/>
  <c r="K226" i="19"/>
  <c r="C226" i="19"/>
  <c r="Q226" i="19"/>
  <c r="I226" i="19"/>
  <c r="A226" i="19"/>
  <c r="R226" i="19"/>
  <c r="J226" i="19"/>
  <c r="P226" i="19"/>
  <c r="H226" i="19"/>
  <c r="R217" i="19"/>
  <c r="J217" i="19"/>
  <c r="Q217" i="19"/>
  <c r="I217" i="19"/>
  <c r="A217" i="19"/>
  <c r="P217" i="19"/>
  <c r="H217" i="19"/>
  <c r="O217" i="19"/>
  <c r="G217" i="19"/>
  <c r="N217" i="19"/>
  <c r="F217" i="19"/>
  <c r="L217" i="19"/>
  <c r="D217" i="19"/>
  <c r="M217" i="19"/>
  <c r="K217" i="19"/>
  <c r="E217" i="19"/>
  <c r="C217" i="19"/>
  <c r="S217" i="19"/>
  <c r="M168" i="19"/>
  <c r="E168" i="19"/>
  <c r="L168" i="19"/>
  <c r="D168" i="19"/>
  <c r="S168" i="19"/>
  <c r="K168" i="19"/>
  <c r="C168" i="19"/>
  <c r="Q168" i="19"/>
  <c r="I168" i="19"/>
  <c r="A168" i="19"/>
  <c r="O168" i="19"/>
  <c r="G168" i="19"/>
  <c r="F168" i="19"/>
  <c r="R168" i="19"/>
  <c r="P168" i="19"/>
  <c r="J168" i="19"/>
  <c r="N168" i="19"/>
  <c r="H168" i="19"/>
  <c r="L159" i="19"/>
  <c r="D159" i="19"/>
  <c r="S159" i="19"/>
  <c r="K159" i="19"/>
  <c r="C159" i="19"/>
  <c r="R159" i="19"/>
  <c r="J159" i="19"/>
  <c r="Q159" i="19"/>
  <c r="I159" i="19"/>
  <c r="A159" i="19"/>
  <c r="P159" i="19"/>
  <c r="H159" i="19"/>
  <c r="N159" i="19"/>
  <c r="F159" i="19"/>
  <c r="O159" i="19"/>
  <c r="M159" i="19"/>
  <c r="G159" i="19"/>
  <c r="E159" i="19"/>
  <c r="O142" i="19"/>
  <c r="G142" i="19"/>
  <c r="N142" i="19"/>
  <c r="F142" i="19"/>
  <c r="M142" i="19"/>
  <c r="E142" i="19"/>
  <c r="L142" i="19"/>
  <c r="D142" i="19"/>
  <c r="S142" i="19"/>
  <c r="K142" i="19"/>
  <c r="C142" i="19"/>
  <c r="Q142" i="19"/>
  <c r="I142" i="19"/>
  <c r="A142" i="19"/>
  <c r="R142" i="19"/>
  <c r="P142" i="19"/>
  <c r="J142" i="19"/>
  <c r="H142" i="19"/>
  <c r="R125" i="19"/>
  <c r="J125" i="19"/>
  <c r="Q125" i="19"/>
  <c r="I125" i="19"/>
  <c r="A125" i="19"/>
  <c r="P125" i="19"/>
  <c r="H125" i="19"/>
  <c r="O125" i="19"/>
  <c r="G125" i="19"/>
  <c r="N125" i="19"/>
  <c r="F125" i="19"/>
  <c r="L125" i="19"/>
  <c r="D125" i="19"/>
  <c r="S125" i="19"/>
  <c r="M125" i="19"/>
  <c r="K125" i="19"/>
  <c r="E125" i="19"/>
  <c r="C125" i="19"/>
  <c r="N81" i="19"/>
  <c r="F81" i="19"/>
  <c r="M81" i="19"/>
  <c r="E81" i="19"/>
  <c r="L81" i="19"/>
  <c r="D81" i="19"/>
  <c r="S81" i="19"/>
  <c r="K81" i="19"/>
  <c r="C81" i="19"/>
  <c r="R81" i="19"/>
  <c r="J81" i="19"/>
  <c r="P81" i="19"/>
  <c r="H81" i="19"/>
  <c r="Q81" i="19"/>
  <c r="O81" i="19"/>
  <c r="I81" i="19"/>
  <c r="A81" i="19"/>
  <c r="G81" i="19"/>
  <c r="L251" i="19"/>
  <c r="D251" i="19"/>
  <c r="S251" i="19"/>
  <c r="K251" i="19"/>
  <c r="C251" i="19"/>
  <c r="R251" i="19"/>
  <c r="J251" i="19"/>
  <c r="Q251" i="19"/>
  <c r="I251" i="19"/>
  <c r="A251" i="19"/>
  <c r="P251" i="19"/>
  <c r="H251" i="19"/>
  <c r="N251" i="19"/>
  <c r="F251" i="19"/>
  <c r="G251" i="19"/>
  <c r="E251" i="19"/>
  <c r="O251" i="19"/>
  <c r="M251" i="19"/>
  <c r="L267" i="19"/>
  <c r="D267" i="19"/>
  <c r="S267" i="19"/>
  <c r="K267" i="19"/>
  <c r="C267" i="19"/>
  <c r="R267" i="19"/>
  <c r="J267" i="19"/>
  <c r="Q267" i="19"/>
  <c r="I267" i="19"/>
  <c r="A267" i="19"/>
  <c r="P267" i="19"/>
  <c r="H267" i="19"/>
  <c r="N267" i="19"/>
  <c r="F267" i="19"/>
  <c r="O267" i="19"/>
  <c r="M267" i="19"/>
  <c r="G267" i="19"/>
  <c r="E267" i="19"/>
  <c r="L81" i="18"/>
  <c r="J81" i="18"/>
  <c r="J606" i="18"/>
  <c r="L606" i="18"/>
  <c r="L725" i="18"/>
  <c r="J725" i="18"/>
  <c r="L519" i="18"/>
  <c r="J519" i="18"/>
  <c r="O282" i="19"/>
  <c r="G282" i="19"/>
  <c r="N282" i="19"/>
  <c r="F282" i="19"/>
  <c r="M282" i="19"/>
  <c r="E282" i="19"/>
  <c r="L282" i="19"/>
  <c r="D282" i="19"/>
  <c r="S282" i="19"/>
  <c r="K282" i="19"/>
  <c r="C282" i="19"/>
  <c r="Q282" i="19"/>
  <c r="I282" i="19"/>
  <c r="A282" i="19"/>
  <c r="R282" i="19"/>
  <c r="P282" i="19"/>
  <c r="J282" i="19"/>
  <c r="H282" i="19"/>
  <c r="R273" i="19"/>
  <c r="J273" i="19"/>
  <c r="Q273" i="19"/>
  <c r="I273" i="19"/>
  <c r="A273" i="19"/>
  <c r="P273" i="19"/>
  <c r="H273" i="19"/>
  <c r="O273" i="19"/>
  <c r="G273" i="19"/>
  <c r="N273" i="19"/>
  <c r="F273" i="19"/>
  <c r="L273" i="19"/>
  <c r="D273" i="19"/>
  <c r="E273" i="19"/>
  <c r="C273" i="19"/>
  <c r="M273" i="19"/>
  <c r="S273" i="19"/>
  <c r="K273" i="19"/>
  <c r="M224" i="19"/>
  <c r="E224" i="19"/>
  <c r="L224" i="19"/>
  <c r="D224" i="19"/>
  <c r="S224" i="19"/>
  <c r="K224" i="19"/>
  <c r="C224" i="19"/>
  <c r="R224" i="19"/>
  <c r="J224" i="19"/>
  <c r="Q224" i="19"/>
  <c r="I224" i="19"/>
  <c r="A224" i="19"/>
  <c r="O224" i="19"/>
  <c r="G224" i="19"/>
  <c r="H224" i="19"/>
  <c r="F224" i="19"/>
  <c r="P224" i="19"/>
  <c r="N224" i="19"/>
  <c r="P215" i="19"/>
  <c r="H215" i="19"/>
  <c r="O215" i="19"/>
  <c r="G215" i="19"/>
  <c r="N215" i="19"/>
  <c r="F215" i="19"/>
  <c r="M215" i="19"/>
  <c r="E215" i="19"/>
  <c r="L215" i="19"/>
  <c r="D215" i="19"/>
  <c r="R215" i="19"/>
  <c r="J215" i="19"/>
  <c r="S215" i="19"/>
  <c r="Q215" i="19"/>
  <c r="K215" i="19"/>
  <c r="I215" i="19"/>
  <c r="C215" i="19"/>
  <c r="A215" i="19"/>
  <c r="S198" i="19"/>
  <c r="K198" i="19"/>
  <c r="C198" i="19"/>
  <c r="R198" i="19"/>
  <c r="J198" i="19"/>
  <c r="Q198" i="19"/>
  <c r="I198" i="19"/>
  <c r="A198" i="19"/>
  <c r="P198" i="19"/>
  <c r="H198" i="19"/>
  <c r="O198" i="19"/>
  <c r="G198" i="19"/>
  <c r="M198" i="19"/>
  <c r="E198" i="19"/>
  <c r="N198" i="19"/>
  <c r="L198" i="19"/>
  <c r="F198" i="19"/>
  <c r="D198" i="19"/>
  <c r="N181" i="19"/>
  <c r="F181" i="19"/>
  <c r="M181" i="19"/>
  <c r="E181" i="19"/>
  <c r="L181" i="19"/>
  <c r="D181" i="19"/>
  <c r="R181" i="19"/>
  <c r="J181" i="19"/>
  <c r="P181" i="19"/>
  <c r="H181" i="19"/>
  <c r="O181" i="19"/>
  <c r="K181" i="19"/>
  <c r="I181" i="19"/>
  <c r="G181" i="19"/>
  <c r="C181" i="19"/>
  <c r="S181" i="19"/>
  <c r="A181" i="19"/>
  <c r="Q181" i="19"/>
  <c r="O21" i="19"/>
  <c r="G21" i="19"/>
  <c r="N21" i="19"/>
  <c r="F21" i="19"/>
  <c r="M21" i="19"/>
  <c r="E21" i="19"/>
  <c r="L21" i="19"/>
  <c r="D21" i="19"/>
  <c r="S21" i="19"/>
  <c r="K21" i="19"/>
  <c r="C21" i="19"/>
  <c r="Q21" i="19"/>
  <c r="I21" i="19"/>
  <c r="A21" i="19"/>
  <c r="J21" i="19"/>
  <c r="H21" i="19"/>
  <c r="R21" i="19"/>
  <c r="P21" i="19"/>
  <c r="L63" i="19"/>
  <c r="D63" i="19"/>
  <c r="S63" i="19"/>
  <c r="K63" i="19"/>
  <c r="C63" i="19"/>
  <c r="N63" i="19"/>
  <c r="F63" i="19"/>
  <c r="P63" i="19"/>
  <c r="O63" i="19"/>
  <c r="A63" i="19"/>
  <c r="M63" i="19"/>
  <c r="J63" i="19"/>
  <c r="I63" i="19"/>
  <c r="R63" i="19"/>
  <c r="G63" i="19"/>
  <c r="Q63" i="19"/>
  <c r="H63" i="19"/>
  <c r="E63" i="19"/>
  <c r="P123" i="19"/>
  <c r="H123" i="19"/>
  <c r="O123" i="19"/>
  <c r="G123" i="19"/>
  <c r="N123" i="19"/>
  <c r="F123" i="19"/>
  <c r="M123" i="19"/>
  <c r="E123" i="19"/>
  <c r="L123" i="19"/>
  <c r="D123" i="19"/>
  <c r="R123" i="19"/>
  <c r="J123" i="19"/>
  <c r="S123" i="19"/>
  <c r="Q123" i="19"/>
  <c r="K123" i="19"/>
  <c r="C123" i="19"/>
  <c r="I123" i="19"/>
  <c r="A123" i="19"/>
  <c r="J630" i="18"/>
  <c r="L630" i="18"/>
  <c r="L393" i="18"/>
  <c r="J393" i="18"/>
  <c r="L504" i="18"/>
  <c r="J504" i="18"/>
  <c r="J462" i="18"/>
  <c r="L462" i="18"/>
  <c r="L719" i="18"/>
  <c r="J719" i="18"/>
  <c r="J937" i="18"/>
  <c r="L937" i="18"/>
  <c r="J969" i="18"/>
  <c r="L969" i="18"/>
  <c r="L967" i="18"/>
  <c r="J967" i="18"/>
  <c r="L589" i="18"/>
  <c r="J589" i="18"/>
  <c r="R28" i="19"/>
  <c r="J28" i="19"/>
  <c r="Q28" i="19"/>
  <c r="I28" i="19"/>
  <c r="A28" i="19"/>
  <c r="P28" i="19"/>
  <c r="H28" i="19"/>
  <c r="O28" i="19"/>
  <c r="G28" i="19"/>
  <c r="N28" i="19"/>
  <c r="F28" i="19"/>
  <c r="L28" i="19"/>
  <c r="D28" i="19"/>
  <c r="E28" i="19"/>
  <c r="C28" i="19"/>
  <c r="M28" i="19"/>
  <c r="S28" i="19"/>
  <c r="K28" i="19"/>
  <c r="S146" i="19"/>
  <c r="K146" i="19"/>
  <c r="C146" i="19"/>
  <c r="R146" i="19"/>
  <c r="J146" i="19"/>
  <c r="Q146" i="19"/>
  <c r="I146" i="19"/>
  <c r="A146" i="19"/>
  <c r="P146" i="19"/>
  <c r="H146" i="19"/>
  <c r="O146" i="19"/>
  <c r="G146" i="19"/>
  <c r="M146" i="19"/>
  <c r="E146" i="19"/>
  <c r="F146" i="19"/>
  <c r="D146" i="19"/>
  <c r="N146" i="19"/>
  <c r="L146" i="19"/>
  <c r="N137" i="19"/>
  <c r="F137" i="19"/>
  <c r="M137" i="19"/>
  <c r="E137" i="19"/>
  <c r="L137" i="19"/>
  <c r="D137" i="19"/>
  <c r="S137" i="19"/>
  <c r="K137" i="19"/>
  <c r="C137" i="19"/>
  <c r="R137" i="19"/>
  <c r="J137" i="19"/>
  <c r="P137" i="19"/>
  <c r="H137" i="19"/>
  <c r="Q137" i="19"/>
  <c r="O137" i="19"/>
  <c r="I137" i="19"/>
  <c r="G137" i="19"/>
  <c r="A137" i="19"/>
  <c r="Q88" i="19"/>
  <c r="I88" i="19"/>
  <c r="A88" i="19"/>
  <c r="P88" i="19"/>
  <c r="H88" i="19"/>
  <c r="O88" i="19"/>
  <c r="G88" i="19"/>
  <c r="N88" i="19"/>
  <c r="F88" i="19"/>
  <c r="M88" i="19"/>
  <c r="E88" i="19"/>
  <c r="S88" i="19"/>
  <c r="K88" i="19"/>
  <c r="C88" i="19"/>
  <c r="R88" i="19"/>
  <c r="L88" i="19"/>
  <c r="J88" i="19"/>
  <c r="D88" i="19"/>
  <c r="L79" i="19"/>
  <c r="D79" i="19"/>
  <c r="S79" i="19"/>
  <c r="K79" i="19"/>
  <c r="C79" i="19"/>
  <c r="R79" i="19"/>
  <c r="J79" i="19"/>
  <c r="Q79" i="19"/>
  <c r="I79" i="19"/>
  <c r="A79" i="19"/>
  <c r="P79" i="19"/>
  <c r="H79" i="19"/>
  <c r="N79" i="19"/>
  <c r="F79" i="19"/>
  <c r="O79" i="19"/>
  <c r="G79" i="19"/>
  <c r="M79" i="19"/>
  <c r="E79" i="19"/>
  <c r="M301" i="19"/>
  <c r="E301" i="19"/>
  <c r="L301" i="19"/>
  <c r="D301" i="19"/>
  <c r="S301" i="19"/>
  <c r="K301" i="19"/>
  <c r="C301" i="19"/>
  <c r="R301" i="19"/>
  <c r="J301" i="19"/>
  <c r="Q301" i="19"/>
  <c r="I301" i="19"/>
  <c r="A301" i="19"/>
  <c r="O301" i="19"/>
  <c r="G301" i="19"/>
  <c r="P301" i="19"/>
  <c r="N301" i="19"/>
  <c r="H301" i="19"/>
  <c r="F301" i="19"/>
  <c r="P284" i="19"/>
  <c r="H284" i="19"/>
  <c r="O284" i="19"/>
  <c r="G284" i="19"/>
  <c r="Q284" i="19"/>
  <c r="E284" i="19"/>
  <c r="N284" i="19"/>
  <c r="D284" i="19"/>
  <c r="M284" i="19"/>
  <c r="C284" i="19"/>
  <c r="L284" i="19"/>
  <c r="K284" i="19"/>
  <c r="A284" i="19"/>
  <c r="S284" i="19"/>
  <c r="I284" i="19"/>
  <c r="R284" i="19"/>
  <c r="J284" i="19"/>
  <c r="F284" i="19"/>
  <c r="L22" i="19"/>
  <c r="D22" i="19"/>
  <c r="S22" i="19"/>
  <c r="K22" i="19"/>
  <c r="C22" i="19"/>
  <c r="R22" i="19"/>
  <c r="J22" i="19"/>
  <c r="Q22" i="19"/>
  <c r="I22" i="19"/>
  <c r="A22" i="19"/>
  <c r="P22" i="19"/>
  <c r="H22" i="19"/>
  <c r="N22" i="19"/>
  <c r="F22" i="19"/>
  <c r="O22" i="19"/>
  <c r="M22" i="19"/>
  <c r="G22" i="19"/>
  <c r="E22" i="19"/>
  <c r="Q56" i="19"/>
  <c r="I56" i="19"/>
  <c r="A56" i="19"/>
  <c r="P56" i="19"/>
  <c r="H56" i="19"/>
  <c r="N56" i="19"/>
  <c r="D56" i="19"/>
  <c r="M56" i="19"/>
  <c r="C56" i="19"/>
  <c r="L56" i="19"/>
  <c r="K56" i="19"/>
  <c r="J56" i="19"/>
  <c r="R56" i="19"/>
  <c r="F56" i="19"/>
  <c r="S56" i="19"/>
  <c r="O56" i="19"/>
  <c r="G56" i="19"/>
  <c r="E56" i="19"/>
  <c r="M27" i="19"/>
  <c r="E27" i="19"/>
  <c r="L27" i="19"/>
  <c r="D27" i="19"/>
  <c r="S27" i="19"/>
  <c r="K27" i="19"/>
  <c r="C27" i="19"/>
  <c r="R27" i="19"/>
  <c r="J27" i="19"/>
  <c r="Q27" i="19"/>
  <c r="I27" i="19"/>
  <c r="A27" i="19"/>
  <c r="O27" i="19"/>
  <c r="G27" i="19"/>
  <c r="P27" i="19"/>
  <c r="N27" i="19"/>
  <c r="H27" i="19"/>
  <c r="F27" i="19"/>
  <c r="L740" i="18"/>
  <c r="J740" i="18"/>
  <c r="L124" i="18"/>
  <c r="J124" i="18"/>
  <c r="L420" i="18"/>
  <c r="J420" i="18"/>
  <c r="L411" i="18"/>
  <c r="J411" i="18"/>
  <c r="L509" i="18"/>
  <c r="J509" i="18"/>
  <c r="J744" i="18"/>
  <c r="L744" i="18"/>
  <c r="J601" i="18"/>
  <c r="L601" i="18"/>
  <c r="L263" i="17"/>
  <c r="D263" i="17"/>
  <c r="K263" i="17"/>
  <c r="C263" i="17"/>
  <c r="J263" i="17"/>
  <c r="I263" i="17"/>
  <c r="A263" i="17"/>
  <c r="H263" i="17"/>
  <c r="N263" i="17"/>
  <c r="F263" i="17"/>
  <c r="M263" i="17"/>
  <c r="G263" i="17"/>
  <c r="E263" i="17"/>
  <c r="J254" i="17"/>
  <c r="I254" i="17"/>
  <c r="A254" i="17"/>
  <c r="H254" i="17"/>
  <c r="G254" i="17"/>
  <c r="N254" i="17"/>
  <c r="F254" i="17"/>
  <c r="L254" i="17"/>
  <c r="D254" i="17"/>
  <c r="K254" i="17"/>
  <c r="M254" i="17" s="1"/>
  <c r="E254" i="17"/>
  <c r="C254" i="17"/>
  <c r="H205" i="17"/>
  <c r="G205" i="17"/>
  <c r="N205" i="17"/>
  <c r="F205" i="17"/>
  <c r="E205" i="17"/>
  <c r="L205" i="17"/>
  <c r="D205" i="17"/>
  <c r="J205" i="17"/>
  <c r="C205" i="17"/>
  <c r="A205" i="17"/>
  <c r="K205" i="17"/>
  <c r="M205" i="17" s="1"/>
  <c r="I205" i="17"/>
  <c r="N196" i="17"/>
  <c r="F196" i="17"/>
  <c r="M196" i="17"/>
  <c r="E196" i="17"/>
  <c r="L196" i="17"/>
  <c r="D196" i="17"/>
  <c r="K196" i="17"/>
  <c r="C196" i="17"/>
  <c r="J196" i="17"/>
  <c r="I196" i="17"/>
  <c r="H196" i="17"/>
  <c r="G196" i="17"/>
  <c r="A196" i="17"/>
  <c r="L179" i="17"/>
  <c r="D179" i="17"/>
  <c r="K179" i="17"/>
  <c r="C179" i="17"/>
  <c r="J179" i="17"/>
  <c r="I179" i="17"/>
  <c r="A179" i="17"/>
  <c r="H179" i="17"/>
  <c r="N179" i="17"/>
  <c r="M179" i="17"/>
  <c r="G179" i="17"/>
  <c r="E179" i="17"/>
  <c r="F179" i="17"/>
  <c r="J162" i="17"/>
  <c r="I162" i="17"/>
  <c r="A162" i="17"/>
  <c r="H162" i="17"/>
  <c r="G162" i="17"/>
  <c r="N162" i="17"/>
  <c r="F162" i="17"/>
  <c r="C162" i="17"/>
  <c r="M162" i="17"/>
  <c r="L162" i="17"/>
  <c r="E162" i="17"/>
  <c r="D162" i="17"/>
  <c r="K162" i="17"/>
  <c r="N34" i="17"/>
  <c r="F34" i="17"/>
  <c r="M34" i="17"/>
  <c r="E34" i="17"/>
  <c r="L34" i="17"/>
  <c r="D34" i="17"/>
  <c r="K34" i="17"/>
  <c r="C34" i="17"/>
  <c r="J34" i="17"/>
  <c r="H34" i="17"/>
  <c r="I34" i="17"/>
  <c r="G34" i="17"/>
  <c r="A34" i="17"/>
  <c r="J12" i="17"/>
  <c r="I12" i="17"/>
  <c r="A12" i="17"/>
  <c r="H12" i="17"/>
  <c r="G12" i="17"/>
  <c r="N12" i="17"/>
  <c r="F12" i="17"/>
  <c r="L12" i="17"/>
  <c r="D12" i="17"/>
  <c r="K12" i="17"/>
  <c r="E12" i="17"/>
  <c r="C12" i="17"/>
  <c r="M12" i="17"/>
  <c r="J86" i="17"/>
  <c r="I86" i="17"/>
  <c r="A86" i="17"/>
  <c r="H86" i="17"/>
  <c r="G86" i="17"/>
  <c r="N86" i="17"/>
  <c r="F86" i="17"/>
  <c r="M86" i="17"/>
  <c r="L86" i="17"/>
  <c r="K86" i="17"/>
  <c r="D86" i="17"/>
  <c r="E86" i="17"/>
  <c r="C86" i="17"/>
  <c r="J32" i="17"/>
  <c r="I32" i="17"/>
  <c r="A32" i="17"/>
  <c r="H32" i="17"/>
  <c r="G32" i="17"/>
  <c r="N32" i="17"/>
  <c r="F32" i="17"/>
  <c r="L32" i="17"/>
  <c r="D32" i="17"/>
  <c r="K32" i="17"/>
  <c r="M32" i="17" s="1"/>
  <c r="E32" i="17"/>
  <c r="C32" i="17"/>
  <c r="L293" i="18"/>
  <c r="J293" i="18"/>
  <c r="L748" i="18"/>
  <c r="J748" i="18"/>
  <c r="J158" i="18"/>
  <c r="L158" i="18"/>
  <c r="L543" i="18"/>
  <c r="J543" i="18"/>
  <c r="L920" i="18"/>
  <c r="J920" i="18"/>
  <c r="I449" i="18"/>
  <c r="I165" i="18"/>
  <c r="I62" i="18"/>
  <c r="I523" i="18"/>
  <c r="I952" i="18"/>
  <c r="I728" i="18"/>
  <c r="I315" i="18"/>
  <c r="I533" i="18"/>
  <c r="I944" i="18"/>
  <c r="I409" i="18"/>
  <c r="Q136" i="19"/>
  <c r="I136" i="19"/>
  <c r="A136" i="19"/>
  <c r="P136" i="19"/>
  <c r="H136" i="19"/>
  <c r="O136" i="19"/>
  <c r="G136" i="19"/>
  <c r="N136" i="19"/>
  <c r="F136" i="19"/>
  <c r="M136" i="19"/>
  <c r="E136" i="19"/>
  <c r="S136" i="19"/>
  <c r="K136" i="19"/>
  <c r="C136" i="19"/>
  <c r="D136" i="19"/>
  <c r="L136" i="19"/>
  <c r="R136" i="19"/>
  <c r="J136" i="19"/>
  <c r="H31" i="17"/>
  <c r="G31" i="17"/>
  <c r="N31" i="17"/>
  <c r="F31" i="17"/>
  <c r="E31" i="17"/>
  <c r="L31" i="17"/>
  <c r="D31" i="17"/>
  <c r="J31" i="17"/>
  <c r="A31" i="17"/>
  <c r="I31" i="17"/>
  <c r="K31" i="17"/>
  <c r="M31" i="17" s="1"/>
  <c r="C31" i="17"/>
  <c r="R44" i="19"/>
  <c r="J44" i="19"/>
  <c r="Q44" i="19"/>
  <c r="I44" i="19"/>
  <c r="A44" i="19"/>
  <c r="P44" i="19"/>
  <c r="H44" i="19"/>
  <c r="O44" i="19"/>
  <c r="G44" i="19"/>
  <c r="N44" i="19"/>
  <c r="F44" i="19"/>
  <c r="L44" i="19"/>
  <c r="D44" i="19"/>
  <c r="S44" i="19"/>
  <c r="M44" i="19"/>
  <c r="K44" i="19"/>
  <c r="E44" i="19"/>
  <c r="C44" i="19"/>
  <c r="S130" i="19"/>
  <c r="K130" i="19"/>
  <c r="C130" i="19"/>
  <c r="R130" i="19"/>
  <c r="J130" i="19"/>
  <c r="Q130" i="19"/>
  <c r="I130" i="19"/>
  <c r="A130" i="19"/>
  <c r="P130" i="19"/>
  <c r="H130" i="19"/>
  <c r="O130" i="19"/>
  <c r="G130" i="19"/>
  <c r="M130" i="19"/>
  <c r="E130" i="19"/>
  <c r="N130" i="19"/>
  <c r="L130" i="19"/>
  <c r="F130" i="19"/>
  <c r="D130" i="19"/>
  <c r="N121" i="19"/>
  <c r="F121" i="19"/>
  <c r="M121" i="19"/>
  <c r="E121" i="19"/>
  <c r="L121" i="19"/>
  <c r="D121" i="19"/>
  <c r="S121" i="19"/>
  <c r="K121" i="19"/>
  <c r="C121" i="19"/>
  <c r="R121" i="19"/>
  <c r="J121" i="19"/>
  <c r="P121" i="19"/>
  <c r="H121" i="19"/>
  <c r="A121" i="19"/>
  <c r="Q121" i="19"/>
  <c r="I121" i="19"/>
  <c r="O121" i="19"/>
  <c r="G121" i="19"/>
  <c r="Q72" i="19"/>
  <c r="I72" i="19"/>
  <c r="A72" i="19"/>
  <c r="P72" i="19"/>
  <c r="H72" i="19"/>
  <c r="O72" i="19"/>
  <c r="G72" i="19"/>
  <c r="N72" i="19"/>
  <c r="F72" i="19"/>
  <c r="M72" i="19"/>
  <c r="E72" i="19"/>
  <c r="S72" i="19"/>
  <c r="K72" i="19"/>
  <c r="C72" i="19"/>
  <c r="D72" i="19"/>
  <c r="L72" i="19"/>
  <c r="R72" i="19"/>
  <c r="J72" i="19"/>
  <c r="R302" i="19"/>
  <c r="J302" i="19"/>
  <c r="Q302" i="19"/>
  <c r="I302" i="19"/>
  <c r="A302" i="19"/>
  <c r="P302" i="19"/>
  <c r="H302" i="19"/>
  <c r="O302" i="19"/>
  <c r="G302" i="19"/>
  <c r="N302" i="19"/>
  <c r="F302" i="19"/>
  <c r="L302" i="19"/>
  <c r="D302" i="19"/>
  <c r="S302" i="19"/>
  <c r="M302" i="19"/>
  <c r="E302" i="19"/>
  <c r="K302" i="19"/>
  <c r="C302" i="19"/>
  <c r="M285" i="19"/>
  <c r="E285" i="19"/>
  <c r="L285" i="19"/>
  <c r="D285" i="19"/>
  <c r="R285" i="19"/>
  <c r="H285" i="19"/>
  <c r="Q285" i="19"/>
  <c r="G285" i="19"/>
  <c r="P285" i="19"/>
  <c r="F285" i="19"/>
  <c r="O285" i="19"/>
  <c r="C285" i="19"/>
  <c r="N285" i="19"/>
  <c r="J285" i="19"/>
  <c r="K285" i="19"/>
  <c r="I285" i="19"/>
  <c r="A285" i="19"/>
  <c r="S285" i="19"/>
  <c r="Q268" i="19"/>
  <c r="I268" i="19"/>
  <c r="A268" i="19"/>
  <c r="P268" i="19"/>
  <c r="H268" i="19"/>
  <c r="O268" i="19"/>
  <c r="G268" i="19"/>
  <c r="N268" i="19"/>
  <c r="F268" i="19"/>
  <c r="M268" i="19"/>
  <c r="E268" i="19"/>
  <c r="S268" i="19"/>
  <c r="K268" i="19"/>
  <c r="C268" i="19"/>
  <c r="D268" i="19"/>
  <c r="L268" i="19"/>
  <c r="R268" i="19"/>
  <c r="J268" i="19"/>
  <c r="L38" i="19"/>
  <c r="D38" i="19"/>
  <c r="S38" i="19"/>
  <c r="K38" i="19"/>
  <c r="C38" i="19"/>
  <c r="R38" i="19"/>
  <c r="J38" i="19"/>
  <c r="Q38" i="19"/>
  <c r="I38" i="19"/>
  <c r="A38" i="19"/>
  <c r="P38" i="19"/>
  <c r="H38" i="19"/>
  <c r="N38" i="19"/>
  <c r="F38" i="19"/>
  <c r="G38" i="19"/>
  <c r="E38" i="19"/>
  <c r="O38" i="19"/>
  <c r="M38" i="19"/>
  <c r="N8" i="19"/>
  <c r="F8" i="19"/>
  <c r="E8" i="19"/>
  <c r="G8" i="19" s="1"/>
  <c r="D8" i="19"/>
  <c r="C8" i="19"/>
  <c r="J8" i="19"/>
  <c r="A8" i="19"/>
  <c r="I8" i="19"/>
  <c r="K8" i="19" s="1"/>
  <c r="L8" i="19" s="1"/>
  <c r="P34" i="19"/>
  <c r="H34" i="19"/>
  <c r="O34" i="19"/>
  <c r="G34" i="19"/>
  <c r="N34" i="19"/>
  <c r="F34" i="19"/>
  <c r="M34" i="19"/>
  <c r="E34" i="19"/>
  <c r="L34" i="19"/>
  <c r="D34" i="19"/>
  <c r="R34" i="19"/>
  <c r="J34" i="19"/>
  <c r="S34" i="19"/>
  <c r="Q34" i="19"/>
  <c r="K34" i="19"/>
  <c r="I34" i="19"/>
  <c r="C34" i="19"/>
  <c r="A34" i="19"/>
  <c r="J79" i="18"/>
  <c r="L79" i="18"/>
  <c r="J36" i="18"/>
  <c r="L36" i="18"/>
  <c r="L149" i="18"/>
  <c r="J149" i="18"/>
  <c r="I383" i="18"/>
  <c r="L876" i="18"/>
  <c r="J876" i="18"/>
  <c r="L914" i="18"/>
  <c r="J914" i="18"/>
  <c r="I423" i="18"/>
  <c r="I679" i="18"/>
  <c r="J784" i="18"/>
  <c r="L784" i="18"/>
  <c r="L997" i="18"/>
  <c r="J997" i="18"/>
  <c r="L892" i="18"/>
  <c r="J892" i="18"/>
  <c r="O186" i="19"/>
  <c r="G186" i="19"/>
  <c r="N186" i="19"/>
  <c r="F186" i="19"/>
  <c r="M186" i="19"/>
  <c r="E186" i="19"/>
  <c r="S186" i="19"/>
  <c r="K186" i="19"/>
  <c r="C186" i="19"/>
  <c r="Q186" i="19"/>
  <c r="I186" i="19"/>
  <c r="A186" i="19"/>
  <c r="D186" i="19"/>
  <c r="R186" i="19"/>
  <c r="P186" i="19"/>
  <c r="J186" i="19"/>
  <c r="L186" i="19"/>
  <c r="H186" i="19"/>
  <c r="R177" i="19"/>
  <c r="J177" i="19"/>
  <c r="Q177" i="19"/>
  <c r="I177" i="19"/>
  <c r="A177" i="19"/>
  <c r="P177" i="19"/>
  <c r="H177" i="19"/>
  <c r="N177" i="19"/>
  <c r="F177" i="19"/>
  <c r="L177" i="19"/>
  <c r="D177" i="19"/>
  <c r="E177" i="19"/>
  <c r="C177" i="19"/>
  <c r="S177" i="19"/>
  <c r="O177" i="19"/>
  <c r="K177" i="19"/>
  <c r="M177" i="19"/>
  <c r="G177" i="19"/>
  <c r="Q128" i="19"/>
  <c r="I128" i="19"/>
  <c r="A128" i="19"/>
  <c r="P128" i="19"/>
  <c r="H128" i="19"/>
  <c r="O128" i="19"/>
  <c r="G128" i="19"/>
  <c r="N128" i="19"/>
  <c r="F128" i="19"/>
  <c r="M128" i="19"/>
  <c r="E128" i="19"/>
  <c r="S128" i="19"/>
  <c r="K128" i="19"/>
  <c r="C128" i="19"/>
  <c r="R128" i="19"/>
  <c r="L128" i="19"/>
  <c r="D128" i="19"/>
  <c r="J128" i="19"/>
  <c r="L119" i="19"/>
  <c r="D119" i="19"/>
  <c r="S119" i="19"/>
  <c r="K119" i="19"/>
  <c r="C119" i="19"/>
  <c r="R119" i="19"/>
  <c r="J119" i="19"/>
  <c r="Q119" i="19"/>
  <c r="I119" i="19"/>
  <c r="A119" i="19"/>
  <c r="P119" i="19"/>
  <c r="H119" i="19"/>
  <c r="N119" i="19"/>
  <c r="F119" i="19"/>
  <c r="G119" i="19"/>
  <c r="E119" i="19"/>
  <c r="O119" i="19"/>
  <c r="M119" i="19"/>
  <c r="O102" i="19"/>
  <c r="G102" i="19"/>
  <c r="N102" i="19"/>
  <c r="F102" i="19"/>
  <c r="M102" i="19"/>
  <c r="E102" i="19"/>
  <c r="L102" i="19"/>
  <c r="D102" i="19"/>
  <c r="S102" i="19"/>
  <c r="K102" i="19"/>
  <c r="C102" i="19"/>
  <c r="Q102" i="19"/>
  <c r="I102" i="19"/>
  <c r="A102" i="19"/>
  <c r="J102" i="19"/>
  <c r="H102" i="19"/>
  <c r="R102" i="19"/>
  <c r="P102" i="19"/>
  <c r="R85" i="19"/>
  <c r="J85" i="19"/>
  <c r="Q85" i="19"/>
  <c r="I85" i="19"/>
  <c r="A85" i="19"/>
  <c r="P85" i="19"/>
  <c r="H85" i="19"/>
  <c r="O85" i="19"/>
  <c r="G85" i="19"/>
  <c r="N85" i="19"/>
  <c r="F85" i="19"/>
  <c r="L85" i="19"/>
  <c r="D85" i="19"/>
  <c r="M85" i="19"/>
  <c r="K85" i="19"/>
  <c r="E85" i="19"/>
  <c r="C85" i="19"/>
  <c r="S85" i="19"/>
  <c r="S299" i="19"/>
  <c r="K299" i="19"/>
  <c r="C299" i="19"/>
  <c r="R299" i="19"/>
  <c r="J299" i="19"/>
  <c r="Q299" i="19"/>
  <c r="I299" i="19"/>
  <c r="A299" i="19"/>
  <c r="P299" i="19"/>
  <c r="H299" i="19"/>
  <c r="O299" i="19"/>
  <c r="G299" i="19"/>
  <c r="M299" i="19"/>
  <c r="E299" i="19"/>
  <c r="N299" i="19"/>
  <c r="L299" i="19"/>
  <c r="F299" i="19"/>
  <c r="D299" i="19"/>
  <c r="P139" i="19"/>
  <c r="H139" i="19"/>
  <c r="O139" i="19"/>
  <c r="G139" i="19"/>
  <c r="N139" i="19"/>
  <c r="F139" i="19"/>
  <c r="M139" i="19"/>
  <c r="E139" i="19"/>
  <c r="L139" i="19"/>
  <c r="D139" i="19"/>
  <c r="R139" i="19"/>
  <c r="J139" i="19"/>
  <c r="K139" i="19"/>
  <c r="I139" i="19"/>
  <c r="C139" i="19"/>
  <c r="A139" i="19"/>
  <c r="S139" i="19"/>
  <c r="Q139" i="19"/>
  <c r="P115" i="19"/>
  <c r="H115" i="19"/>
  <c r="O115" i="19"/>
  <c r="G115" i="19"/>
  <c r="N115" i="19"/>
  <c r="F115" i="19"/>
  <c r="M115" i="19"/>
  <c r="E115" i="19"/>
  <c r="L115" i="19"/>
  <c r="D115" i="19"/>
  <c r="R115" i="19"/>
  <c r="J115" i="19"/>
  <c r="S115" i="19"/>
  <c r="Q115" i="19"/>
  <c r="K115" i="19"/>
  <c r="I115" i="19"/>
  <c r="C115" i="19"/>
  <c r="A115" i="19"/>
  <c r="L27" i="18"/>
  <c r="J27" i="18"/>
  <c r="J475" i="18"/>
  <c r="L475" i="18"/>
  <c r="L228" i="18"/>
  <c r="J228" i="18"/>
  <c r="L333" i="18"/>
  <c r="J333" i="18"/>
  <c r="L324" i="18"/>
  <c r="J324" i="18"/>
  <c r="J161" i="18"/>
  <c r="L161" i="18"/>
  <c r="J694" i="18"/>
  <c r="L694" i="18"/>
  <c r="I559" i="18"/>
  <c r="I439" i="18"/>
  <c r="O242" i="19"/>
  <c r="G242" i="19"/>
  <c r="N242" i="19"/>
  <c r="F242" i="19"/>
  <c r="M242" i="19"/>
  <c r="E242" i="19"/>
  <c r="L242" i="19"/>
  <c r="D242" i="19"/>
  <c r="S242" i="19"/>
  <c r="K242" i="19"/>
  <c r="C242" i="19"/>
  <c r="Q242" i="19"/>
  <c r="I242" i="19"/>
  <c r="A242" i="19"/>
  <c r="R242" i="19"/>
  <c r="P242" i="19"/>
  <c r="J242" i="19"/>
  <c r="H242" i="19"/>
  <c r="R233" i="19"/>
  <c r="J233" i="19"/>
  <c r="Q233" i="19"/>
  <c r="I233" i="19"/>
  <c r="A233" i="19"/>
  <c r="P233" i="19"/>
  <c r="H233" i="19"/>
  <c r="O233" i="19"/>
  <c r="G233" i="19"/>
  <c r="N233" i="19"/>
  <c r="F233" i="19"/>
  <c r="L233" i="19"/>
  <c r="D233" i="19"/>
  <c r="S233" i="19"/>
  <c r="M233" i="19"/>
  <c r="E233" i="19"/>
  <c r="K233" i="19"/>
  <c r="C233" i="19"/>
  <c r="M184" i="19"/>
  <c r="E184" i="19"/>
  <c r="L184" i="19"/>
  <c r="D184" i="19"/>
  <c r="S184" i="19"/>
  <c r="K184" i="19"/>
  <c r="C184" i="19"/>
  <c r="Q184" i="19"/>
  <c r="I184" i="19"/>
  <c r="A184" i="19"/>
  <c r="O184" i="19"/>
  <c r="G184" i="19"/>
  <c r="R184" i="19"/>
  <c r="P184" i="19"/>
  <c r="N184" i="19"/>
  <c r="J184" i="19"/>
  <c r="F184" i="19"/>
  <c r="H184" i="19"/>
  <c r="P175" i="19"/>
  <c r="H175" i="19"/>
  <c r="O175" i="19"/>
  <c r="G175" i="19"/>
  <c r="N175" i="19"/>
  <c r="F175" i="19"/>
  <c r="L175" i="19"/>
  <c r="D175" i="19"/>
  <c r="R175" i="19"/>
  <c r="J175" i="19"/>
  <c r="A175" i="19"/>
  <c r="S175" i="19"/>
  <c r="Q175" i="19"/>
  <c r="M175" i="19"/>
  <c r="K175" i="19"/>
  <c r="E175" i="19"/>
  <c r="I175" i="19"/>
  <c r="C175" i="19"/>
  <c r="O158" i="19"/>
  <c r="G158" i="19"/>
  <c r="N158" i="19"/>
  <c r="F158" i="19"/>
  <c r="M158" i="19"/>
  <c r="E158" i="19"/>
  <c r="L158" i="19"/>
  <c r="D158" i="19"/>
  <c r="S158" i="19"/>
  <c r="K158" i="19"/>
  <c r="C158" i="19"/>
  <c r="Q158" i="19"/>
  <c r="I158" i="19"/>
  <c r="A158" i="19"/>
  <c r="R158" i="19"/>
  <c r="J158" i="19"/>
  <c r="P158" i="19"/>
  <c r="H158" i="19"/>
  <c r="R141" i="19"/>
  <c r="J141" i="19"/>
  <c r="Q141" i="19"/>
  <c r="I141" i="19"/>
  <c r="A141" i="19"/>
  <c r="P141" i="19"/>
  <c r="H141" i="19"/>
  <c r="O141" i="19"/>
  <c r="G141" i="19"/>
  <c r="N141" i="19"/>
  <c r="F141" i="19"/>
  <c r="L141" i="19"/>
  <c r="D141" i="19"/>
  <c r="E141" i="19"/>
  <c r="C141" i="19"/>
  <c r="M141" i="19"/>
  <c r="S141" i="19"/>
  <c r="K141" i="19"/>
  <c r="R61" i="19"/>
  <c r="J61" i="19"/>
  <c r="Q61" i="19"/>
  <c r="I61" i="19"/>
  <c r="A61" i="19"/>
  <c r="O61" i="19"/>
  <c r="E61" i="19"/>
  <c r="N61" i="19"/>
  <c r="D61" i="19"/>
  <c r="M61" i="19"/>
  <c r="C61" i="19"/>
  <c r="L61" i="19"/>
  <c r="K61" i="19"/>
  <c r="S61" i="19"/>
  <c r="G61" i="19"/>
  <c r="H61" i="19"/>
  <c r="F61" i="19"/>
  <c r="P61" i="19"/>
  <c r="N24" i="19"/>
  <c r="F24" i="19"/>
  <c r="M24" i="19"/>
  <c r="E24" i="19"/>
  <c r="L24" i="19"/>
  <c r="D24" i="19"/>
  <c r="S24" i="19"/>
  <c r="K24" i="19"/>
  <c r="C24" i="19"/>
  <c r="R24" i="19"/>
  <c r="J24" i="19"/>
  <c r="P24" i="19"/>
  <c r="H24" i="19"/>
  <c r="Q24" i="19"/>
  <c r="O24" i="19"/>
  <c r="I24" i="19"/>
  <c r="G24" i="19"/>
  <c r="A24" i="19"/>
  <c r="S50" i="19"/>
  <c r="K50" i="19"/>
  <c r="C50" i="19"/>
  <c r="R50" i="19"/>
  <c r="J50" i="19"/>
  <c r="L50" i="19"/>
  <c r="I50" i="19"/>
  <c r="H50" i="19"/>
  <c r="Q50" i="19"/>
  <c r="G50" i="19"/>
  <c r="P50" i="19"/>
  <c r="F50" i="19"/>
  <c r="N50" i="19"/>
  <c r="D50" i="19"/>
  <c r="E50" i="19"/>
  <c r="A50" i="19"/>
  <c r="O50" i="19"/>
  <c r="M50" i="19"/>
  <c r="L844" i="18"/>
  <c r="J844" i="18"/>
  <c r="J41" i="18"/>
  <c r="L41" i="18"/>
  <c r="L874" i="18"/>
  <c r="J874" i="18"/>
  <c r="L167" i="17"/>
  <c r="D167" i="17"/>
  <c r="K167" i="17"/>
  <c r="M167" i="17" s="1"/>
  <c r="C167" i="17"/>
  <c r="J167" i="17"/>
  <c r="I167" i="17"/>
  <c r="A167" i="17"/>
  <c r="H167" i="17"/>
  <c r="N167" i="17"/>
  <c r="G167" i="17"/>
  <c r="F167" i="17"/>
  <c r="E167" i="17"/>
  <c r="J158" i="17"/>
  <c r="I158" i="17"/>
  <c r="A158" i="17"/>
  <c r="H158" i="17"/>
  <c r="G158" i="17"/>
  <c r="N158" i="17"/>
  <c r="F158" i="17"/>
  <c r="M158" i="17"/>
  <c r="L158" i="17"/>
  <c r="K158" i="17"/>
  <c r="E158" i="17"/>
  <c r="D158" i="17"/>
  <c r="C158" i="17"/>
  <c r="H109" i="17"/>
  <c r="G109" i="17"/>
  <c r="N109" i="17"/>
  <c r="F109" i="17"/>
  <c r="E109" i="17"/>
  <c r="L109" i="17"/>
  <c r="D109" i="17"/>
  <c r="K109" i="17"/>
  <c r="M109" i="17" s="1"/>
  <c r="J109" i="17"/>
  <c r="I109" i="17"/>
  <c r="A109" i="17"/>
  <c r="C109" i="17"/>
  <c r="N100" i="17"/>
  <c r="F100" i="17"/>
  <c r="M100" i="17"/>
  <c r="E100" i="17"/>
  <c r="L100" i="17"/>
  <c r="D100" i="17"/>
  <c r="K100" i="17"/>
  <c r="C100" i="17"/>
  <c r="J100" i="17"/>
  <c r="I100" i="17"/>
  <c r="H100" i="17"/>
  <c r="G100" i="17"/>
  <c r="A100" i="17"/>
  <c r="L83" i="17"/>
  <c r="D83" i="17"/>
  <c r="K83" i="17"/>
  <c r="C83" i="17"/>
  <c r="J83" i="17"/>
  <c r="I83" i="17"/>
  <c r="A83" i="17"/>
  <c r="H83" i="17"/>
  <c r="N83" i="17"/>
  <c r="M83" i="17"/>
  <c r="G83" i="17"/>
  <c r="E83" i="17"/>
  <c r="F83" i="17"/>
  <c r="J66" i="17"/>
  <c r="I66" i="17"/>
  <c r="A66" i="17"/>
  <c r="H66" i="17"/>
  <c r="G66" i="17"/>
  <c r="N66" i="17"/>
  <c r="F66" i="17"/>
  <c r="C66" i="17"/>
  <c r="M66" i="17"/>
  <c r="L66" i="17"/>
  <c r="E66" i="17"/>
  <c r="D66" i="17"/>
  <c r="K66" i="17"/>
  <c r="L29" i="17"/>
  <c r="D29" i="17"/>
  <c r="K29" i="17"/>
  <c r="C29" i="17"/>
  <c r="J29" i="17"/>
  <c r="I29" i="17"/>
  <c r="A29" i="17"/>
  <c r="H29" i="17"/>
  <c r="N29" i="17"/>
  <c r="F29" i="17"/>
  <c r="M29" i="17"/>
  <c r="E29" i="17"/>
  <c r="G29" i="17"/>
  <c r="K55" i="17"/>
  <c r="M55" i="17" s="1"/>
  <c r="C55" i="17"/>
  <c r="J55" i="17"/>
  <c r="I55" i="17"/>
  <c r="A55" i="17"/>
  <c r="L55" i="17"/>
  <c r="H55" i="17"/>
  <c r="G55" i="17"/>
  <c r="F55" i="17"/>
  <c r="E55" i="17"/>
  <c r="N55" i="17"/>
  <c r="D55" i="17"/>
  <c r="J28" i="18"/>
  <c r="L28" i="18"/>
  <c r="L357" i="18"/>
  <c r="J357" i="18"/>
  <c r="J518" i="18"/>
  <c r="L518" i="18"/>
  <c r="L661" i="18"/>
  <c r="J661" i="18"/>
  <c r="J595" i="18"/>
  <c r="L595" i="18"/>
  <c r="D9" i="17"/>
  <c r="K9" i="17"/>
  <c r="N12" i="19" s="1"/>
  <c r="C9" i="17"/>
  <c r="I9" i="17"/>
  <c r="A9" i="17"/>
  <c r="H9" i="17"/>
  <c r="F9" i="17"/>
  <c r="G9" i="17"/>
  <c r="E9" i="17"/>
  <c r="J9" i="17" s="1"/>
  <c r="L159" i="17"/>
  <c r="D159" i="17"/>
  <c r="K159" i="17"/>
  <c r="M159" i="17" s="1"/>
  <c r="C159" i="17"/>
  <c r="J159" i="17"/>
  <c r="I159" i="17"/>
  <c r="A159" i="17"/>
  <c r="H159" i="17"/>
  <c r="N159" i="17"/>
  <c r="F159" i="17"/>
  <c r="G159" i="17"/>
  <c r="E159" i="17"/>
  <c r="J150" i="17"/>
  <c r="I150" i="17"/>
  <c r="A150" i="17"/>
  <c r="H150" i="17"/>
  <c r="G150" i="17"/>
  <c r="N150" i="17"/>
  <c r="F150" i="17"/>
  <c r="M150" i="17"/>
  <c r="L150" i="17"/>
  <c r="K150" i="17"/>
  <c r="D150" i="17"/>
  <c r="C150" i="17"/>
  <c r="E150" i="17"/>
  <c r="H101" i="17"/>
  <c r="G101" i="17"/>
  <c r="N101" i="17"/>
  <c r="F101" i="17"/>
  <c r="E101" i="17"/>
  <c r="L101" i="17"/>
  <c r="D101" i="17"/>
  <c r="A101" i="17"/>
  <c r="K101" i="17"/>
  <c r="M101" i="17" s="1"/>
  <c r="I101" i="17"/>
  <c r="C101" i="17"/>
  <c r="J101" i="17"/>
  <c r="N92" i="17"/>
  <c r="F92" i="17"/>
  <c r="E92" i="17"/>
  <c r="L92" i="17"/>
  <c r="D92" i="17"/>
  <c r="K92" i="17"/>
  <c r="M92" i="17" s="1"/>
  <c r="C92" i="17"/>
  <c r="J92" i="17"/>
  <c r="I92" i="17"/>
  <c r="G92" i="17"/>
  <c r="H92" i="17"/>
  <c r="A92" i="17"/>
  <c r="L75" i="17"/>
  <c r="D75" i="17"/>
  <c r="K75" i="17"/>
  <c r="M75" i="17" s="1"/>
  <c r="C75" i="17"/>
  <c r="J75" i="17"/>
  <c r="I75" i="17"/>
  <c r="A75" i="17"/>
  <c r="H75" i="17"/>
  <c r="E75" i="17"/>
  <c r="N75" i="17"/>
  <c r="G75" i="17"/>
  <c r="F75" i="17"/>
  <c r="H297" i="17"/>
  <c r="G297" i="17"/>
  <c r="N297" i="17"/>
  <c r="F297" i="17"/>
  <c r="E297" i="17"/>
  <c r="L297" i="17"/>
  <c r="D297" i="17"/>
  <c r="J297" i="17"/>
  <c r="K297" i="17"/>
  <c r="M297" i="17" s="1"/>
  <c r="C297" i="17"/>
  <c r="A297" i="17"/>
  <c r="I297" i="17"/>
  <c r="L37" i="17"/>
  <c r="D37" i="17"/>
  <c r="K37" i="17"/>
  <c r="C37" i="17"/>
  <c r="J37" i="17"/>
  <c r="I37" i="17"/>
  <c r="A37" i="17"/>
  <c r="H37" i="17"/>
  <c r="N37" i="17"/>
  <c r="F37" i="17"/>
  <c r="M37" i="17"/>
  <c r="G37" i="17"/>
  <c r="E37" i="17"/>
  <c r="J70" i="17"/>
  <c r="I70" i="17"/>
  <c r="A70" i="17"/>
  <c r="H70" i="17"/>
  <c r="G70" i="17"/>
  <c r="N70" i="17"/>
  <c r="F70" i="17"/>
  <c r="K70" i="17"/>
  <c r="M70" i="17" s="1"/>
  <c r="E70" i="17"/>
  <c r="D70" i="17"/>
  <c r="C70" i="17"/>
  <c r="L70" i="17"/>
  <c r="Q14" i="13"/>
  <c r="L750" i="18"/>
  <c r="J750" i="18"/>
  <c r="L531" i="18"/>
  <c r="J531" i="18"/>
  <c r="I327" i="18"/>
  <c r="I738" i="18"/>
  <c r="I567" i="18"/>
  <c r="L215" i="17"/>
  <c r="D215" i="17"/>
  <c r="K215" i="17"/>
  <c r="M215" i="17" s="1"/>
  <c r="C215" i="17"/>
  <c r="J215" i="17"/>
  <c r="I215" i="17"/>
  <c r="A215" i="17"/>
  <c r="H215" i="17"/>
  <c r="N215" i="17"/>
  <c r="F215" i="17"/>
  <c r="G215" i="17"/>
  <c r="E215" i="17"/>
  <c r="J206" i="17"/>
  <c r="I206" i="17"/>
  <c r="A206" i="17"/>
  <c r="H206" i="17"/>
  <c r="G206" i="17"/>
  <c r="N206" i="17"/>
  <c r="F206" i="17"/>
  <c r="L206" i="17"/>
  <c r="D206" i="17"/>
  <c r="M206" i="17"/>
  <c r="K206" i="17"/>
  <c r="E206" i="17"/>
  <c r="C206" i="17"/>
  <c r="H157" i="17"/>
  <c r="G157" i="17"/>
  <c r="N157" i="17"/>
  <c r="F157" i="17"/>
  <c r="E157" i="17"/>
  <c r="L157" i="17"/>
  <c r="D157" i="17"/>
  <c r="I157" i="17"/>
  <c r="C157" i="17"/>
  <c r="A157" i="17"/>
  <c r="K157" i="17"/>
  <c r="M157" i="17" s="1"/>
  <c r="J157" i="17"/>
  <c r="N148" i="17"/>
  <c r="F148" i="17"/>
  <c r="E148" i="17"/>
  <c r="L148" i="17"/>
  <c r="D148" i="17"/>
  <c r="K148" i="17"/>
  <c r="M148" i="17" s="1"/>
  <c r="C148" i="17"/>
  <c r="J148" i="17"/>
  <c r="G148" i="17"/>
  <c r="A148" i="17"/>
  <c r="I148" i="17"/>
  <c r="H148" i="17"/>
  <c r="L131" i="17"/>
  <c r="D131" i="17"/>
  <c r="K131" i="17"/>
  <c r="C131" i="17"/>
  <c r="J131" i="17"/>
  <c r="I131" i="17"/>
  <c r="A131" i="17"/>
  <c r="H131" i="17"/>
  <c r="G131" i="17"/>
  <c r="F131" i="17"/>
  <c r="E131" i="17"/>
  <c r="N131" i="17"/>
  <c r="M131" i="17"/>
  <c r="J114" i="17"/>
  <c r="I114" i="17"/>
  <c r="A114" i="17"/>
  <c r="H114" i="17"/>
  <c r="G114" i="17"/>
  <c r="N114" i="17"/>
  <c r="F114" i="17"/>
  <c r="L114" i="17"/>
  <c r="K114" i="17"/>
  <c r="E114" i="17"/>
  <c r="D114" i="17"/>
  <c r="C114" i="17"/>
  <c r="M114" i="17"/>
  <c r="N88" i="17"/>
  <c r="F88" i="17"/>
  <c r="E88" i="17"/>
  <c r="L88" i="17"/>
  <c r="D88" i="17"/>
  <c r="K88" i="17"/>
  <c r="M88" i="17" s="1"/>
  <c r="C88" i="17"/>
  <c r="J88" i="17"/>
  <c r="I88" i="17"/>
  <c r="H88" i="17"/>
  <c r="G88" i="17"/>
  <c r="A88" i="17"/>
  <c r="L45" i="17"/>
  <c r="D45" i="17"/>
  <c r="K45" i="17"/>
  <c r="C45" i="17"/>
  <c r="J45" i="17"/>
  <c r="I45" i="17"/>
  <c r="A45" i="17"/>
  <c r="H45" i="17"/>
  <c r="N45" i="17"/>
  <c r="F45" i="17"/>
  <c r="M45" i="17"/>
  <c r="E45" i="17"/>
  <c r="G45" i="17"/>
  <c r="H7" i="17"/>
  <c r="G7" i="17"/>
  <c r="F7" i="17"/>
  <c r="E7" i="17"/>
  <c r="J7" i="17" s="1"/>
  <c r="D7" i="17"/>
  <c r="K7" i="17"/>
  <c r="I7" i="17"/>
  <c r="C7" i="17"/>
  <c r="A7" i="17"/>
  <c r="L17" i="16"/>
  <c r="L285" i="18"/>
  <c r="J285" i="18"/>
  <c r="L381" i="18"/>
  <c r="J381" i="18"/>
  <c r="L54" i="18"/>
  <c r="J54" i="18"/>
  <c r="L53" i="18"/>
  <c r="J53" i="18"/>
  <c r="J670" i="18"/>
  <c r="L670" i="18"/>
  <c r="I298" i="18"/>
  <c r="L440" i="18"/>
  <c r="J440" i="18"/>
  <c r="I463" i="18"/>
  <c r="L802" i="18"/>
  <c r="J802" i="18"/>
  <c r="H137" i="17"/>
  <c r="G137" i="17"/>
  <c r="N137" i="17"/>
  <c r="F137" i="17"/>
  <c r="E137" i="17"/>
  <c r="L137" i="17"/>
  <c r="D137" i="17"/>
  <c r="J137" i="17"/>
  <c r="I137" i="17"/>
  <c r="C137" i="17"/>
  <c r="A137" i="17"/>
  <c r="K137" i="17"/>
  <c r="M137" i="17" s="1"/>
  <c r="L79" i="17"/>
  <c r="D79" i="17"/>
  <c r="K79" i="17"/>
  <c r="C79" i="17"/>
  <c r="J79" i="17"/>
  <c r="I79" i="17"/>
  <c r="A79" i="17"/>
  <c r="H79" i="17"/>
  <c r="M79" i="17"/>
  <c r="G79" i="17"/>
  <c r="F79" i="17"/>
  <c r="E79" i="17"/>
  <c r="N79" i="17"/>
  <c r="H277" i="17"/>
  <c r="G277" i="17"/>
  <c r="N277" i="17"/>
  <c r="F277" i="17"/>
  <c r="M277" i="17"/>
  <c r="E277" i="17"/>
  <c r="L277" i="17"/>
  <c r="D277" i="17"/>
  <c r="J277" i="17"/>
  <c r="K277" i="17"/>
  <c r="I277" i="17"/>
  <c r="C277" i="17"/>
  <c r="A277" i="17"/>
  <c r="N268" i="17"/>
  <c r="F268" i="17"/>
  <c r="E268" i="17"/>
  <c r="L268" i="17"/>
  <c r="D268" i="17"/>
  <c r="K268" i="17"/>
  <c r="M268" i="17" s="1"/>
  <c r="C268" i="17"/>
  <c r="J268" i="17"/>
  <c r="H268" i="17"/>
  <c r="I268" i="17"/>
  <c r="G268" i="17"/>
  <c r="A268" i="17"/>
  <c r="L251" i="17"/>
  <c r="D251" i="17"/>
  <c r="K251" i="17"/>
  <c r="M251" i="17" s="1"/>
  <c r="C251" i="17"/>
  <c r="J251" i="17"/>
  <c r="I251" i="17"/>
  <c r="A251" i="17"/>
  <c r="H251" i="17"/>
  <c r="N251" i="17"/>
  <c r="F251" i="17"/>
  <c r="G251" i="17"/>
  <c r="E251" i="17"/>
  <c r="J234" i="17"/>
  <c r="I234" i="17"/>
  <c r="A234" i="17"/>
  <c r="H234" i="17"/>
  <c r="G234" i="17"/>
  <c r="N234" i="17"/>
  <c r="F234" i="17"/>
  <c r="L234" i="17"/>
  <c r="D234" i="17"/>
  <c r="M234" i="17"/>
  <c r="K234" i="17"/>
  <c r="E234" i="17"/>
  <c r="C234" i="17"/>
  <c r="H217" i="17"/>
  <c r="G217" i="17"/>
  <c r="N217" i="17"/>
  <c r="F217" i="17"/>
  <c r="E217" i="17"/>
  <c r="L217" i="17"/>
  <c r="D217" i="17"/>
  <c r="J217" i="17"/>
  <c r="K217" i="17"/>
  <c r="M217" i="17" s="1"/>
  <c r="C217" i="17"/>
  <c r="A217" i="17"/>
  <c r="I217" i="17"/>
  <c r="H145" i="17"/>
  <c r="G145" i="17"/>
  <c r="N145" i="17"/>
  <c r="F145" i="17"/>
  <c r="E145" i="17"/>
  <c r="L145" i="17"/>
  <c r="D145" i="17"/>
  <c r="C145" i="17"/>
  <c r="A145" i="17"/>
  <c r="J145" i="17"/>
  <c r="I145" i="17"/>
  <c r="K145" i="17"/>
  <c r="M145" i="17" s="1"/>
  <c r="N46" i="17"/>
  <c r="F46" i="17"/>
  <c r="E46" i="17"/>
  <c r="L46" i="17"/>
  <c r="D46" i="17"/>
  <c r="K46" i="17"/>
  <c r="M46" i="17" s="1"/>
  <c r="C46" i="17"/>
  <c r="J46" i="17"/>
  <c r="H46" i="17"/>
  <c r="I46" i="17"/>
  <c r="G46" i="17"/>
  <c r="A46" i="17"/>
  <c r="N152" i="17"/>
  <c r="F152" i="17"/>
  <c r="M152" i="17"/>
  <c r="E152" i="17"/>
  <c r="L152" i="17"/>
  <c r="D152" i="17"/>
  <c r="K152" i="17"/>
  <c r="C152" i="17"/>
  <c r="J152" i="17"/>
  <c r="I152" i="17"/>
  <c r="H152" i="17"/>
  <c r="G152" i="17"/>
  <c r="A152" i="17"/>
  <c r="I317" i="18"/>
  <c r="L181" i="18"/>
  <c r="J181" i="18"/>
  <c r="I85" i="18"/>
  <c r="J721" i="18"/>
  <c r="L721" i="18"/>
  <c r="I322" i="18"/>
  <c r="I427" i="18"/>
  <c r="J665" i="18"/>
  <c r="L665" i="18"/>
  <c r="I770" i="18"/>
  <c r="I663" i="18"/>
  <c r="J880" i="18"/>
  <c r="L880" i="18"/>
  <c r="O266" i="19"/>
  <c r="G266" i="19"/>
  <c r="N266" i="19"/>
  <c r="F266" i="19"/>
  <c r="M266" i="19"/>
  <c r="E266" i="19"/>
  <c r="L266" i="19"/>
  <c r="D266" i="19"/>
  <c r="S266" i="19"/>
  <c r="K266" i="19"/>
  <c r="C266" i="19"/>
  <c r="Q266" i="19"/>
  <c r="I266" i="19"/>
  <c r="A266" i="19"/>
  <c r="J266" i="19"/>
  <c r="H266" i="19"/>
  <c r="R266" i="19"/>
  <c r="P266" i="19"/>
  <c r="R257" i="19"/>
  <c r="J257" i="19"/>
  <c r="Q257" i="19"/>
  <c r="I257" i="19"/>
  <c r="A257" i="19"/>
  <c r="P257" i="19"/>
  <c r="H257" i="19"/>
  <c r="O257" i="19"/>
  <c r="G257" i="19"/>
  <c r="N257" i="19"/>
  <c r="F257" i="19"/>
  <c r="L257" i="19"/>
  <c r="D257" i="19"/>
  <c r="S257" i="19"/>
  <c r="M257" i="19"/>
  <c r="K257" i="19"/>
  <c r="E257" i="19"/>
  <c r="C257" i="19"/>
  <c r="M208" i="19"/>
  <c r="E208" i="19"/>
  <c r="L208" i="19"/>
  <c r="D208" i="19"/>
  <c r="S208" i="19"/>
  <c r="K208" i="19"/>
  <c r="C208" i="19"/>
  <c r="R208" i="19"/>
  <c r="J208" i="19"/>
  <c r="Q208" i="19"/>
  <c r="I208" i="19"/>
  <c r="A208" i="19"/>
  <c r="O208" i="19"/>
  <c r="G208" i="19"/>
  <c r="P208" i="19"/>
  <c r="N208" i="19"/>
  <c r="H208" i="19"/>
  <c r="F208" i="19"/>
  <c r="P199" i="19"/>
  <c r="H199" i="19"/>
  <c r="O199" i="19"/>
  <c r="G199" i="19"/>
  <c r="N199" i="19"/>
  <c r="F199" i="19"/>
  <c r="M199" i="19"/>
  <c r="E199" i="19"/>
  <c r="L199" i="19"/>
  <c r="D199" i="19"/>
  <c r="R199" i="19"/>
  <c r="J199" i="19"/>
  <c r="C199" i="19"/>
  <c r="A199" i="19"/>
  <c r="S199" i="19"/>
  <c r="K199" i="19"/>
  <c r="Q199" i="19"/>
  <c r="I199" i="19"/>
  <c r="S182" i="19"/>
  <c r="K182" i="19"/>
  <c r="C182" i="19"/>
  <c r="R182" i="19"/>
  <c r="J182" i="19"/>
  <c r="Q182" i="19"/>
  <c r="I182" i="19"/>
  <c r="A182" i="19"/>
  <c r="O182" i="19"/>
  <c r="G182" i="19"/>
  <c r="M182" i="19"/>
  <c r="E182" i="19"/>
  <c r="P182" i="19"/>
  <c r="N182" i="19"/>
  <c r="L182" i="19"/>
  <c r="H182" i="19"/>
  <c r="F182" i="19"/>
  <c r="D182" i="19"/>
  <c r="N165" i="19"/>
  <c r="M165" i="19"/>
  <c r="L165" i="19"/>
  <c r="P165" i="19"/>
  <c r="J165" i="19"/>
  <c r="I165" i="19"/>
  <c r="A165" i="19"/>
  <c r="H165" i="19"/>
  <c r="S165" i="19"/>
  <c r="G165" i="19"/>
  <c r="R165" i="19"/>
  <c r="F165" i="19"/>
  <c r="O165" i="19"/>
  <c r="D165" i="19"/>
  <c r="Q165" i="19"/>
  <c r="E165" i="19"/>
  <c r="K165" i="19"/>
  <c r="C165" i="19"/>
  <c r="O37" i="19"/>
  <c r="G37" i="19"/>
  <c r="N37" i="19"/>
  <c r="F37" i="19"/>
  <c r="M37" i="19"/>
  <c r="E37" i="19"/>
  <c r="L37" i="19"/>
  <c r="D37" i="19"/>
  <c r="S37" i="19"/>
  <c r="K37" i="19"/>
  <c r="C37" i="19"/>
  <c r="Q37" i="19"/>
  <c r="I37" i="19"/>
  <c r="A37" i="19"/>
  <c r="R37" i="19"/>
  <c r="P37" i="19"/>
  <c r="J37" i="19"/>
  <c r="H37" i="19"/>
  <c r="Q15" i="19"/>
  <c r="I15" i="19"/>
  <c r="A15" i="19"/>
  <c r="P15" i="19"/>
  <c r="H15" i="19"/>
  <c r="O15" i="19"/>
  <c r="G15" i="19"/>
  <c r="N15" i="19"/>
  <c r="F15" i="19"/>
  <c r="M15" i="19"/>
  <c r="E15" i="19"/>
  <c r="S15" i="19"/>
  <c r="K15" i="19"/>
  <c r="C15" i="19"/>
  <c r="R15" i="19"/>
  <c r="L15" i="19"/>
  <c r="D15" i="19"/>
  <c r="J15" i="19"/>
  <c r="N89" i="19"/>
  <c r="F89" i="19"/>
  <c r="M89" i="19"/>
  <c r="E89" i="19"/>
  <c r="L89" i="19"/>
  <c r="D89" i="19"/>
  <c r="S89" i="19"/>
  <c r="K89" i="19"/>
  <c r="C89" i="19"/>
  <c r="R89" i="19"/>
  <c r="J89" i="19"/>
  <c r="P89" i="19"/>
  <c r="H89" i="19"/>
  <c r="A89" i="19"/>
  <c r="Q89" i="19"/>
  <c r="I89" i="19"/>
  <c r="O89" i="19"/>
  <c r="G89" i="19"/>
  <c r="M35" i="19"/>
  <c r="E35" i="19"/>
  <c r="L35" i="19"/>
  <c r="D35" i="19"/>
  <c r="S35" i="19"/>
  <c r="K35" i="19"/>
  <c r="C35" i="19"/>
  <c r="R35" i="19"/>
  <c r="J35" i="19"/>
  <c r="Q35" i="19"/>
  <c r="I35" i="19"/>
  <c r="A35" i="19"/>
  <c r="O35" i="19"/>
  <c r="G35" i="19"/>
  <c r="P35" i="19"/>
  <c r="H35" i="19"/>
  <c r="N35" i="19"/>
  <c r="F35" i="19"/>
  <c r="L385" i="18"/>
  <c r="J385" i="18"/>
  <c r="L78" i="18"/>
  <c r="J78" i="18"/>
  <c r="J190" i="18"/>
  <c r="L190" i="18"/>
  <c r="I346" i="18"/>
  <c r="J861" i="18"/>
  <c r="L861" i="18"/>
  <c r="I994" i="18"/>
  <c r="L187" i="18"/>
  <c r="J187" i="18"/>
  <c r="I571" i="18"/>
  <c r="I939" i="18"/>
  <c r="I259" i="18"/>
  <c r="N7" i="14"/>
  <c r="I501" i="18"/>
  <c r="I732" i="18"/>
  <c r="I344" i="18"/>
  <c r="L41" i="17"/>
  <c r="D41" i="17"/>
  <c r="K41" i="17"/>
  <c r="C41" i="17"/>
  <c r="J41" i="17"/>
  <c r="I41" i="17"/>
  <c r="A41" i="17"/>
  <c r="H41" i="17"/>
  <c r="N41" i="17"/>
  <c r="F41" i="17"/>
  <c r="M41" i="17"/>
  <c r="G41" i="17"/>
  <c r="E41" i="17"/>
  <c r="J282" i="17"/>
  <c r="I282" i="17"/>
  <c r="A282" i="17"/>
  <c r="H282" i="17"/>
  <c r="G282" i="17"/>
  <c r="N282" i="17"/>
  <c r="F282" i="17"/>
  <c r="L282" i="17"/>
  <c r="D282" i="17"/>
  <c r="K282" i="17"/>
  <c r="M282" i="17" s="1"/>
  <c r="E282" i="17"/>
  <c r="C282" i="17"/>
  <c r="N224" i="17"/>
  <c r="F224" i="17"/>
  <c r="M224" i="17"/>
  <c r="E224" i="17"/>
  <c r="L224" i="17"/>
  <c r="D224" i="17"/>
  <c r="K224" i="17"/>
  <c r="C224" i="17"/>
  <c r="J224" i="17"/>
  <c r="H224" i="17"/>
  <c r="I224" i="17"/>
  <c r="A224" i="17"/>
  <c r="G224" i="17"/>
  <c r="L63" i="17"/>
  <c r="D63" i="17"/>
  <c r="K63" i="17"/>
  <c r="M63" i="17" s="1"/>
  <c r="C63" i="17"/>
  <c r="J63" i="17"/>
  <c r="I63" i="17"/>
  <c r="A63" i="17"/>
  <c r="H63" i="17"/>
  <c r="N63" i="17"/>
  <c r="F63" i="17"/>
  <c r="G63" i="17"/>
  <c r="E63" i="17"/>
  <c r="N252" i="17"/>
  <c r="F252" i="17"/>
  <c r="E252" i="17"/>
  <c r="L252" i="17"/>
  <c r="D252" i="17"/>
  <c r="K252" i="17"/>
  <c r="M252" i="17" s="1"/>
  <c r="C252" i="17"/>
  <c r="J252" i="17"/>
  <c r="H252" i="17"/>
  <c r="I252" i="17"/>
  <c r="G252" i="17"/>
  <c r="A252" i="17"/>
  <c r="L235" i="17"/>
  <c r="D235" i="17"/>
  <c r="K235" i="17"/>
  <c r="C235" i="17"/>
  <c r="J235" i="17"/>
  <c r="I235" i="17"/>
  <c r="A235" i="17"/>
  <c r="H235" i="17"/>
  <c r="N235" i="17"/>
  <c r="F235" i="17"/>
  <c r="G235" i="17"/>
  <c r="E235" i="17"/>
  <c r="M235" i="17"/>
  <c r="J218" i="17"/>
  <c r="I218" i="17"/>
  <c r="A218" i="17"/>
  <c r="H218" i="17"/>
  <c r="G218" i="17"/>
  <c r="N218" i="17"/>
  <c r="F218" i="17"/>
  <c r="L218" i="17"/>
  <c r="D218" i="17"/>
  <c r="M218" i="17"/>
  <c r="K218" i="17"/>
  <c r="E218" i="17"/>
  <c r="C218" i="17"/>
  <c r="H201" i="17"/>
  <c r="G201" i="17"/>
  <c r="N201" i="17"/>
  <c r="F201" i="17"/>
  <c r="E201" i="17"/>
  <c r="L201" i="17"/>
  <c r="D201" i="17"/>
  <c r="J201" i="17"/>
  <c r="I201" i="17"/>
  <c r="C201" i="17"/>
  <c r="A201" i="17"/>
  <c r="K201" i="17"/>
  <c r="M201" i="17" s="1"/>
  <c r="N240" i="17"/>
  <c r="F240" i="17"/>
  <c r="M240" i="17"/>
  <c r="E240" i="17"/>
  <c r="L240" i="17"/>
  <c r="D240" i="17"/>
  <c r="K240" i="17"/>
  <c r="C240" i="17"/>
  <c r="J240" i="17"/>
  <c r="H240" i="17"/>
  <c r="I240" i="17"/>
  <c r="A240" i="17"/>
  <c r="G240" i="17"/>
  <c r="N96" i="17"/>
  <c r="F96" i="17"/>
  <c r="M96" i="17"/>
  <c r="E96" i="17"/>
  <c r="L96" i="17"/>
  <c r="D96" i="17"/>
  <c r="K96" i="17"/>
  <c r="C96" i="17"/>
  <c r="J96" i="17"/>
  <c r="H96" i="17"/>
  <c r="G96" i="17"/>
  <c r="A96" i="17"/>
  <c r="I96" i="17"/>
  <c r="N208" i="17"/>
  <c r="F208" i="17"/>
  <c r="M208" i="17"/>
  <c r="E208" i="17"/>
  <c r="L208" i="17"/>
  <c r="D208" i="17"/>
  <c r="K208" i="17"/>
  <c r="C208" i="17"/>
  <c r="J208" i="17"/>
  <c r="H208" i="17"/>
  <c r="I208" i="17"/>
  <c r="A208" i="17"/>
  <c r="G208" i="17"/>
  <c r="L131" i="18"/>
  <c r="J131" i="18"/>
  <c r="L758" i="18"/>
  <c r="J758" i="18"/>
  <c r="L756" i="18"/>
  <c r="J756" i="18"/>
  <c r="L525" i="18"/>
  <c r="J525" i="18"/>
  <c r="L295" i="18"/>
  <c r="J295" i="18"/>
  <c r="L290" i="18"/>
  <c r="J290" i="18"/>
  <c r="J947" i="18"/>
  <c r="L947" i="18"/>
  <c r="L119" i="17"/>
  <c r="D119" i="17"/>
  <c r="K119" i="17"/>
  <c r="C119" i="17"/>
  <c r="J119" i="17"/>
  <c r="I119" i="17"/>
  <c r="A119" i="17"/>
  <c r="H119" i="17"/>
  <c r="F119" i="17"/>
  <c r="E119" i="17"/>
  <c r="M119" i="17"/>
  <c r="G119" i="17"/>
  <c r="N119" i="17"/>
  <c r="J110" i="17"/>
  <c r="I110" i="17"/>
  <c r="A110" i="17"/>
  <c r="H110" i="17"/>
  <c r="G110" i="17"/>
  <c r="N110" i="17"/>
  <c r="F110" i="17"/>
  <c r="D110" i="17"/>
  <c r="C110" i="17"/>
  <c r="K110" i="17"/>
  <c r="M110" i="17" s="1"/>
  <c r="L110" i="17"/>
  <c r="E110" i="17"/>
  <c r="H61" i="17"/>
  <c r="G61" i="17"/>
  <c r="N61" i="17"/>
  <c r="F61" i="17"/>
  <c r="E61" i="17"/>
  <c r="L61" i="17"/>
  <c r="D61" i="17"/>
  <c r="I61" i="17"/>
  <c r="C61" i="17"/>
  <c r="A61" i="17"/>
  <c r="K61" i="17"/>
  <c r="M61" i="17" s="1"/>
  <c r="J61" i="17"/>
  <c r="L291" i="17"/>
  <c r="D291" i="17"/>
  <c r="K291" i="17"/>
  <c r="C291" i="17"/>
  <c r="J291" i="17"/>
  <c r="I291" i="17"/>
  <c r="A291" i="17"/>
  <c r="H291" i="17"/>
  <c r="N291" i="17"/>
  <c r="F291" i="17"/>
  <c r="M291" i="17"/>
  <c r="G291" i="17"/>
  <c r="E291" i="17"/>
  <c r="J274" i="17"/>
  <c r="I274" i="17"/>
  <c r="A274" i="17"/>
  <c r="H274" i="17"/>
  <c r="G274" i="17"/>
  <c r="N274" i="17"/>
  <c r="F274" i="17"/>
  <c r="L274" i="17"/>
  <c r="D274" i="17"/>
  <c r="E274" i="17"/>
  <c r="K274" i="17"/>
  <c r="M274" i="17" s="1"/>
  <c r="C274" i="17"/>
  <c r="H257" i="17"/>
  <c r="G257" i="17"/>
  <c r="N257" i="17"/>
  <c r="F257" i="17"/>
  <c r="E257" i="17"/>
  <c r="L257" i="17"/>
  <c r="D257" i="17"/>
  <c r="J257" i="17"/>
  <c r="K257" i="17"/>
  <c r="M257" i="17" s="1"/>
  <c r="I257" i="17"/>
  <c r="C257" i="17"/>
  <c r="A257" i="17"/>
  <c r="H43" i="17"/>
  <c r="G43" i="17"/>
  <c r="N43" i="17"/>
  <c r="F43" i="17"/>
  <c r="E43" i="17"/>
  <c r="L43" i="17"/>
  <c r="D43" i="17"/>
  <c r="J43" i="17"/>
  <c r="K43" i="17"/>
  <c r="M43" i="17" s="1"/>
  <c r="I43" i="17"/>
  <c r="A43" i="17"/>
  <c r="C43" i="17"/>
  <c r="L13" i="17"/>
  <c r="D13" i="17"/>
  <c r="K13" i="17"/>
  <c r="C13" i="17"/>
  <c r="J13" i="17"/>
  <c r="I13" i="17"/>
  <c r="A13" i="17"/>
  <c r="H13" i="17"/>
  <c r="N13" i="17"/>
  <c r="F13" i="17"/>
  <c r="M13" i="17"/>
  <c r="E13" i="17"/>
  <c r="G13" i="17"/>
  <c r="H39" i="17"/>
  <c r="G39" i="17"/>
  <c r="N39" i="17"/>
  <c r="F39" i="17"/>
  <c r="E39" i="17"/>
  <c r="L39" i="17"/>
  <c r="D39" i="17"/>
  <c r="J39" i="17"/>
  <c r="K39" i="17"/>
  <c r="M39" i="17" s="1"/>
  <c r="I39" i="17"/>
  <c r="C39" i="17"/>
  <c r="A39" i="17"/>
  <c r="L260" i="18"/>
  <c r="J260" i="18"/>
  <c r="L43" i="18"/>
  <c r="J43" i="18"/>
  <c r="L605" i="18"/>
  <c r="J605" i="18"/>
  <c r="J225" i="18"/>
  <c r="L225" i="18"/>
  <c r="L791" i="18"/>
  <c r="J791" i="18"/>
  <c r="L776" i="18"/>
  <c r="J776" i="18"/>
  <c r="L973" i="18"/>
  <c r="J973" i="18"/>
  <c r="H57" i="17"/>
  <c r="G57" i="17"/>
  <c r="N57" i="17"/>
  <c r="F57" i="17"/>
  <c r="M57" i="17"/>
  <c r="E57" i="17"/>
  <c r="L57" i="17"/>
  <c r="D57" i="17"/>
  <c r="A57" i="17"/>
  <c r="K57" i="17"/>
  <c r="J57" i="17"/>
  <c r="C57" i="17"/>
  <c r="I57" i="17"/>
  <c r="L175" i="17"/>
  <c r="D175" i="17"/>
  <c r="K175" i="17"/>
  <c r="C175" i="17"/>
  <c r="J175" i="17"/>
  <c r="I175" i="17"/>
  <c r="A175" i="17"/>
  <c r="H175" i="17"/>
  <c r="M175" i="17"/>
  <c r="G175" i="17"/>
  <c r="F175" i="17"/>
  <c r="E175" i="17"/>
  <c r="N175" i="17"/>
  <c r="J166" i="17"/>
  <c r="I166" i="17"/>
  <c r="A166" i="17"/>
  <c r="H166" i="17"/>
  <c r="G166" i="17"/>
  <c r="N166" i="17"/>
  <c r="F166" i="17"/>
  <c r="K166" i="17"/>
  <c r="E166" i="17"/>
  <c r="D166" i="17"/>
  <c r="C166" i="17"/>
  <c r="M166" i="17"/>
  <c r="L166" i="17"/>
  <c r="H117" i="17"/>
  <c r="G117" i="17"/>
  <c r="N117" i="17"/>
  <c r="F117" i="17"/>
  <c r="E117" i="17"/>
  <c r="L117" i="17"/>
  <c r="D117" i="17"/>
  <c r="K117" i="17"/>
  <c r="M117" i="17" s="1"/>
  <c r="J117" i="17"/>
  <c r="I117" i="17"/>
  <c r="C117" i="17"/>
  <c r="A117" i="17"/>
  <c r="N108" i="17"/>
  <c r="F108" i="17"/>
  <c r="E108" i="17"/>
  <c r="L108" i="17"/>
  <c r="D108" i="17"/>
  <c r="K108" i="17"/>
  <c r="M108" i="17" s="1"/>
  <c r="C108" i="17"/>
  <c r="J108" i="17"/>
  <c r="I108" i="17"/>
  <c r="H108" i="17"/>
  <c r="G108" i="17"/>
  <c r="A108" i="17"/>
  <c r="L91" i="17"/>
  <c r="D91" i="17"/>
  <c r="K91" i="17"/>
  <c r="C91" i="17"/>
  <c r="J91" i="17"/>
  <c r="I91" i="17"/>
  <c r="A91" i="17"/>
  <c r="H91" i="17"/>
  <c r="N91" i="17"/>
  <c r="M91" i="17"/>
  <c r="G91" i="17"/>
  <c r="F91" i="17"/>
  <c r="E91" i="17"/>
  <c r="J74" i="17"/>
  <c r="I74" i="17"/>
  <c r="A74" i="17"/>
  <c r="H74" i="17"/>
  <c r="G74" i="17"/>
  <c r="N74" i="17"/>
  <c r="F74" i="17"/>
  <c r="M74" i="17"/>
  <c r="L74" i="17"/>
  <c r="K74" i="17"/>
  <c r="E74" i="17"/>
  <c r="C74" i="17"/>
  <c r="D74" i="17"/>
  <c r="K51" i="17"/>
  <c r="C51" i="17"/>
  <c r="J51" i="17"/>
  <c r="I51" i="17"/>
  <c r="A51" i="17"/>
  <c r="D51" i="17"/>
  <c r="N51" i="17"/>
  <c r="M51" i="17"/>
  <c r="L51" i="17"/>
  <c r="H51" i="17"/>
  <c r="F51" i="17"/>
  <c r="E51" i="17"/>
  <c r="G51" i="17"/>
  <c r="H153" i="17"/>
  <c r="G153" i="17"/>
  <c r="N153" i="17"/>
  <c r="F153" i="17"/>
  <c r="M153" i="17"/>
  <c r="E153" i="17"/>
  <c r="L153" i="17"/>
  <c r="D153" i="17"/>
  <c r="A153" i="17"/>
  <c r="K153" i="17"/>
  <c r="J153" i="17"/>
  <c r="C153" i="17"/>
  <c r="I153" i="17"/>
  <c r="N56" i="17"/>
  <c r="E56" i="17"/>
  <c r="L56" i="17"/>
  <c r="D56" i="17"/>
  <c r="K56" i="17"/>
  <c r="M56" i="17" s="1"/>
  <c r="C56" i="17"/>
  <c r="J56" i="17"/>
  <c r="I56" i="17"/>
  <c r="H56" i="17"/>
  <c r="G56" i="17"/>
  <c r="F56" i="17"/>
  <c r="A56" i="17"/>
  <c r="L373" i="18"/>
  <c r="J373" i="18"/>
  <c r="L453" i="18"/>
  <c r="J453" i="18"/>
  <c r="J481" i="18"/>
  <c r="L481" i="18"/>
  <c r="O170" i="19"/>
  <c r="G170" i="19"/>
  <c r="N170" i="19"/>
  <c r="F170" i="19"/>
  <c r="M170" i="19"/>
  <c r="E170" i="19"/>
  <c r="S170" i="19"/>
  <c r="K170" i="19"/>
  <c r="C170" i="19"/>
  <c r="Q170" i="19"/>
  <c r="I170" i="19"/>
  <c r="A170" i="19"/>
  <c r="J170" i="19"/>
  <c r="H170" i="19"/>
  <c r="D170" i="19"/>
  <c r="P170" i="19"/>
  <c r="R170" i="19"/>
  <c r="L170" i="19"/>
  <c r="N161" i="19"/>
  <c r="F161" i="19"/>
  <c r="M161" i="19"/>
  <c r="E161" i="19"/>
  <c r="L161" i="19"/>
  <c r="D161" i="19"/>
  <c r="S161" i="19"/>
  <c r="K161" i="19"/>
  <c r="C161" i="19"/>
  <c r="R161" i="19"/>
  <c r="J161" i="19"/>
  <c r="P161" i="19"/>
  <c r="H161" i="19"/>
  <c r="I161" i="19"/>
  <c r="G161" i="19"/>
  <c r="A161" i="19"/>
  <c r="Q161" i="19"/>
  <c r="O161" i="19"/>
  <c r="Q112" i="19"/>
  <c r="I112" i="19"/>
  <c r="A112" i="19"/>
  <c r="P112" i="19"/>
  <c r="H112" i="19"/>
  <c r="O112" i="19"/>
  <c r="G112" i="19"/>
  <c r="N112" i="19"/>
  <c r="F112" i="19"/>
  <c r="M112" i="19"/>
  <c r="E112" i="19"/>
  <c r="S112" i="19"/>
  <c r="K112" i="19"/>
  <c r="C112" i="19"/>
  <c r="L112" i="19"/>
  <c r="J112" i="19"/>
  <c r="D112" i="19"/>
  <c r="R112" i="19"/>
  <c r="L103" i="19"/>
  <c r="D103" i="19"/>
  <c r="S103" i="19"/>
  <c r="K103" i="19"/>
  <c r="C103" i="19"/>
  <c r="R103" i="19"/>
  <c r="J103" i="19"/>
  <c r="Q103" i="19"/>
  <c r="I103" i="19"/>
  <c r="A103" i="19"/>
  <c r="P103" i="19"/>
  <c r="H103" i="19"/>
  <c r="N103" i="19"/>
  <c r="F103" i="19"/>
  <c r="O103" i="19"/>
  <c r="M103" i="19"/>
  <c r="G103" i="19"/>
  <c r="E103" i="19"/>
  <c r="O86" i="19"/>
  <c r="G86" i="19"/>
  <c r="N86" i="19"/>
  <c r="F86" i="19"/>
  <c r="M86" i="19"/>
  <c r="E86" i="19"/>
  <c r="L86" i="19"/>
  <c r="D86" i="19"/>
  <c r="S86" i="19"/>
  <c r="K86" i="19"/>
  <c r="C86" i="19"/>
  <c r="Q86" i="19"/>
  <c r="I86" i="19"/>
  <c r="A86" i="19"/>
  <c r="R86" i="19"/>
  <c r="P86" i="19"/>
  <c r="J86" i="19"/>
  <c r="H86" i="19"/>
  <c r="R69" i="19"/>
  <c r="J69" i="19"/>
  <c r="Q69" i="19"/>
  <c r="I69" i="19"/>
  <c r="A69" i="19"/>
  <c r="P69" i="19"/>
  <c r="H69" i="19"/>
  <c r="O69" i="19"/>
  <c r="G69" i="19"/>
  <c r="N69" i="19"/>
  <c r="F69" i="19"/>
  <c r="L69" i="19"/>
  <c r="D69" i="19"/>
  <c r="S69" i="19"/>
  <c r="M69" i="19"/>
  <c r="E69" i="19"/>
  <c r="K69" i="19"/>
  <c r="C69" i="19"/>
  <c r="N32" i="19"/>
  <c r="F32" i="19"/>
  <c r="M32" i="19"/>
  <c r="E32" i="19"/>
  <c r="L32" i="19"/>
  <c r="D32" i="19"/>
  <c r="S32" i="19"/>
  <c r="K32" i="19"/>
  <c r="C32" i="19"/>
  <c r="R32" i="19"/>
  <c r="J32" i="19"/>
  <c r="P32" i="19"/>
  <c r="H32" i="19"/>
  <c r="Q32" i="19"/>
  <c r="O32" i="19"/>
  <c r="I32" i="19"/>
  <c r="A32" i="19"/>
  <c r="G32" i="19"/>
  <c r="S58" i="19"/>
  <c r="K58" i="19"/>
  <c r="C58" i="19"/>
  <c r="R58" i="19"/>
  <c r="J58" i="19"/>
  <c r="H58" i="19"/>
  <c r="Q58" i="19"/>
  <c r="G58" i="19"/>
  <c r="P58" i="19"/>
  <c r="F58" i="19"/>
  <c r="O58" i="19"/>
  <c r="E58" i="19"/>
  <c r="N58" i="19"/>
  <c r="D58" i="19"/>
  <c r="L58" i="19"/>
  <c r="M58" i="19"/>
  <c r="I58" i="19"/>
  <c r="A58" i="19"/>
  <c r="L401" i="18"/>
  <c r="J401" i="18"/>
  <c r="L46" i="18"/>
  <c r="J46" i="18"/>
  <c r="L775" i="18"/>
  <c r="J775" i="18"/>
  <c r="J985" i="18"/>
  <c r="L985" i="18"/>
  <c r="J627" i="18"/>
  <c r="L627" i="18"/>
  <c r="L767" i="18"/>
  <c r="J767" i="18"/>
  <c r="J961" i="18"/>
  <c r="L961" i="18"/>
  <c r="L951" i="18"/>
  <c r="J951" i="18"/>
  <c r="J171" i="18"/>
  <c r="L171" i="18"/>
  <c r="J12" i="19"/>
  <c r="I12" i="19"/>
  <c r="K12" i="19" s="1"/>
  <c r="L12" i="19" s="1"/>
  <c r="A12" i="19"/>
  <c r="F12" i="19"/>
  <c r="D12" i="19"/>
  <c r="E12" i="19"/>
  <c r="G12" i="19" s="1"/>
  <c r="C12" i="19"/>
  <c r="S162" i="19"/>
  <c r="K162" i="19"/>
  <c r="C162" i="19"/>
  <c r="R162" i="19"/>
  <c r="J162" i="19"/>
  <c r="Q162" i="19"/>
  <c r="I162" i="19"/>
  <c r="A162" i="19"/>
  <c r="P162" i="19"/>
  <c r="H162" i="19"/>
  <c r="O162" i="19"/>
  <c r="G162" i="19"/>
  <c r="M162" i="19"/>
  <c r="E162" i="19"/>
  <c r="N162" i="19"/>
  <c r="L162" i="19"/>
  <c r="F162" i="19"/>
  <c r="D162" i="19"/>
  <c r="N153" i="19"/>
  <c r="F153" i="19"/>
  <c r="M153" i="19"/>
  <c r="E153" i="19"/>
  <c r="L153" i="19"/>
  <c r="D153" i="19"/>
  <c r="S153" i="19"/>
  <c r="K153" i="19"/>
  <c r="C153" i="19"/>
  <c r="R153" i="19"/>
  <c r="J153" i="19"/>
  <c r="P153" i="19"/>
  <c r="H153" i="19"/>
  <c r="A153" i="19"/>
  <c r="Q153" i="19"/>
  <c r="I153" i="19"/>
  <c r="O153" i="19"/>
  <c r="G153" i="19"/>
  <c r="Q104" i="19"/>
  <c r="I104" i="19"/>
  <c r="A104" i="19"/>
  <c r="P104" i="19"/>
  <c r="H104" i="19"/>
  <c r="O104" i="19"/>
  <c r="G104" i="19"/>
  <c r="N104" i="19"/>
  <c r="F104" i="19"/>
  <c r="M104" i="19"/>
  <c r="E104" i="19"/>
  <c r="S104" i="19"/>
  <c r="K104" i="19"/>
  <c r="C104" i="19"/>
  <c r="D104" i="19"/>
  <c r="L104" i="19"/>
  <c r="R104" i="19"/>
  <c r="J104" i="19"/>
  <c r="L95" i="19"/>
  <c r="D95" i="19"/>
  <c r="S95" i="19"/>
  <c r="K95" i="19"/>
  <c r="C95" i="19"/>
  <c r="R95" i="19"/>
  <c r="J95" i="19"/>
  <c r="Q95" i="19"/>
  <c r="I95" i="19"/>
  <c r="A95" i="19"/>
  <c r="P95" i="19"/>
  <c r="H95" i="19"/>
  <c r="N95" i="19"/>
  <c r="F95" i="19"/>
  <c r="O95" i="19"/>
  <c r="M95" i="19"/>
  <c r="G95" i="19"/>
  <c r="E95" i="19"/>
  <c r="O78" i="19"/>
  <c r="G78" i="19"/>
  <c r="N78" i="19"/>
  <c r="F78" i="19"/>
  <c r="M78" i="19"/>
  <c r="E78" i="19"/>
  <c r="L78" i="19"/>
  <c r="D78" i="19"/>
  <c r="S78" i="19"/>
  <c r="K78" i="19"/>
  <c r="C78" i="19"/>
  <c r="Q78" i="19"/>
  <c r="I78" i="19"/>
  <c r="A78" i="19"/>
  <c r="R78" i="19"/>
  <c r="P78" i="19"/>
  <c r="J78" i="19"/>
  <c r="H78" i="19"/>
  <c r="P300" i="19"/>
  <c r="H300" i="19"/>
  <c r="O300" i="19"/>
  <c r="G300" i="19"/>
  <c r="N300" i="19"/>
  <c r="F300" i="19"/>
  <c r="M300" i="19"/>
  <c r="E300" i="19"/>
  <c r="L300" i="19"/>
  <c r="D300" i="19"/>
  <c r="R300" i="19"/>
  <c r="J300" i="19"/>
  <c r="C300" i="19"/>
  <c r="A300" i="19"/>
  <c r="S300" i="19"/>
  <c r="K300" i="19"/>
  <c r="Q300" i="19"/>
  <c r="I300" i="19"/>
  <c r="N40" i="19"/>
  <c r="F40" i="19"/>
  <c r="M40" i="19"/>
  <c r="E40" i="19"/>
  <c r="L40" i="19"/>
  <c r="D40" i="19"/>
  <c r="S40" i="19"/>
  <c r="K40" i="19"/>
  <c r="C40" i="19"/>
  <c r="R40" i="19"/>
  <c r="J40" i="19"/>
  <c r="P40" i="19"/>
  <c r="H40" i="19"/>
  <c r="A40" i="19"/>
  <c r="Q40" i="19"/>
  <c r="I40" i="19"/>
  <c r="O40" i="19"/>
  <c r="G40" i="19"/>
  <c r="N73" i="19"/>
  <c r="F73" i="19"/>
  <c r="M73" i="19"/>
  <c r="E73" i="19"/>
  <c r="L73" i="19"/>
  <c r="D73" i="19"/>
  <c r="S73" i="19"/>
  <c r="K73" i="19"/>
  <c r="C73" i="19"/>
  <c r="R73" i="19"/>
  <c r="J73" i="19"/>
  <c r="P73" i="19"/>
  <c r="H73" i="19"/>
  <c r="Q73" i="19"/>
  <c r="O73" i="19"/>
  <c r="I73" i="19"/>
  <c r="G73" i="19"/>
  <c r="A73" i="19"/>
  <c r="L549" i="18"/>
  <c r="J549" i="18"/>
  <c r="I365" i="18"/>
  <c r="L583" i="18"/>
  <c r="J583" i="18"/>
  <c r="L965" i="18"/>
  <c r="J965" i="18"/>
  <c r="O218" i="19"/>
  <c r="G218" i="19"/>
  <c r="N218" i="19"/>
  <c r="F218" i="19"/>
  <c r="M218" i="19"/>
  <c r="E218" i="19"/>
  <c r="L218" i="19"/>
  <c r="D218" i="19"/>
  <c r="S218" i="19"/>
  <c r="K218" i="19"/>
  <c r="C218" i="19"/>
  <c r="Q218" i="19"/>
  <c r="I218" i="19"/>
  <c r="A218" i="19"/>
  <c r="R218" i="19"/>
  <c r="P218" i="19"/>
  <c r="J218" i="19"/>
  <c r="H218" i="19"/>
  <c r="R209" i="19"/>
  <c r="J209" i="19"/>
  <c r="Q209" i="19"/>
  <c r="I209" i="19"/>
  <c r="A209" i="19"/>
  <c r="P209" i="19"/>
  <c r="H209" i="19"/>
  <c r="O209" i="19"/>
  <c r="G209" i="19"/>
  <c r="N209" i="19"/>
  <c r="F209" i="19"/>
  <c r="L209" i="19"/>
  <c r="D209" i="19"/>
  <c r="E209" i="19"/>
  <c r="C209" i="19"/>
  <c r="M209" i="19"/>
  <c r="S209" i="19"/>
  <c r="K209" i="19"/>
  <c r="Q160" i="19"/>
  <c r="I160" i="19"/>
  <c r="A160" i="19"/>
  <c r="P160" i="19"/>
  <c r="H160" i="19"/>
  <c r="O160" i="19"/>
  <c r="G160" i="19"/>
  <c r="N160" i="19"/>
  <c r="F160" i="19"/>
  <c r="M160" i="19"/>
  <c r="E160" i="19"/>
  <c r="S160" i="19"/>
  <c r="K160" i="19"/>
  <c r="C160" i="19"/>
  <c r="R160" i="19"/>
  <c r="L160" i="19"/>
  <c r="D160" i="19"/>
  <c r="J160" i="19"/>
  <c r="L151" i="19"/>
  <c r="D151" i="19"/>
  <c r="S151" i="19"/>
  <c r="K151" i="19"/>
  <c r="C151" i="19"/>
  <c r="R151" i="19"/>
  <c r="J151" i="19"/>
  <c r="Q151" i="19"/>
  <c r="I151" i="19"/>
  <c r="A151" i="19"/>
  <c r="P151" i="19"/>
  <c r="H151" i="19"/>
  <c r="N151" i="19"/>
  <c r="F151" i="19"/>
  <c r="G151" i="19"/>
  <c r="E151" i="19"/>
  <c r="O151" i="19"/>
  <c r="M151" i="19"/>
  <c r="O134" i="19"/>
  <c r="G134" i="19"/>
  <c r="N134" i="19"/>
  <c r="F134" i="19"/>
  <c r="M134" i="19"/>
  <c r="E134" i="19"/>
  <c r="L134" i="19"/>
  <c r="D134" i="19"/>
  <c r="S134" i="19"/>
  <c r="K134" i="19"/>
  <c r="C134" i="19"/>
  <c r="Q134" i="19"/>
  <c r="I134" i="19"/>
  <c r="A134" i="19"/>
  <c r="J134" i="19"/>
  <c r="H134" i="19"/>
  <c r="R134" i="19"/>
  <c r="P134" i="19"/>
  <c r="R117" i="19"/>
  <c r="J117" i="19"/>
  <c r="Q117" i="19"/>
  <c r="I117" i="19"/>
  <c r="A117" i="19"/>
  <c r="P117" i="19"/>
  <c r="H117" i="19"/>
  <c r="O117" i="19"/>
  <c r="G117" i="19"/>
  <c r="N117" i="19"/>
  <c r="F117" i="19"/>
  <c r="L117" i="19"/>
  <c r="D117" i="19"/>
  <c r="M117" i="19"/>
  <c r="K117" i="19"/>
  <c r="E117" i="19"/>
  <c r="C117" i="19"/>
  <c r="S117" i="19"/>
  <c r="P91" i="19"/>
  <c r="H91" i="19"/>
  <c r="O91" i="19"/>
  <c r="G91" i="19"/>
  <c r="N91" i="19"/>
  <c r="F91" i="19"/>
  <c r="M91" i="19"/>
  <c r="E91" i="19"/>
  <c r="L91" i="19"/>
  <c r="D91" i="19"/>
  <c r="R91" i="19"/>
  <c r="J91" i="19"/>
  <c r="S91" i="19"/>
  <c r="Q91" i="19"/>
  <c r="K91" i="19"/>
  <c r="C91" i="19"/>
  <c r="I91" i="19"/>
  <c r="A91" i="19"/>
  <c r="N48" i="19"/>
  <c r="F48" i="19"/>
  <c r="M48" i="19"/>
  <c r="E48" i="19"/>
  <c r="L48" i="19"/>
  <c r="D48" i="19"/>
  <c r="S48" i="19"/>
  <c r="K48" i="19"/>
  <c r="C48" i="19"/>
  <c r="R48" i="19"/>
  <c r="J48" i="19"/>
  <c r="P48" i="19"/>
  <c r="H48" i="19"/>
  <c r="I48" i="19"/>
  <c r="G48" i="19"/>
  <c r="A48" i="19"/>
  <c r="Q48" i="19"/>
  <c r="O48" i="19"/>
  <c r="N10" i="19"/>
  <c r="F10" i="19"/>
  <c r="E10" i="19"/>
  <c r="G10" i="19" s="1"/>
  <c r="D10" i="19"/>
  <c r="J10" i="19"/>
  <c r="C10" i="19"/>
  <c r="I10" i="19"/>
  <c r="K10" i="19" s="1"/>
  <c r="L10" i="19" s="1"/>
  <c r="A10" i="19"/>
  <c r="L397" i="18"/>
  <c r="J397" i="18"/>
  <c r="J68" i="18"/>
  <c r="L68" i="18"/>
  <c r="L65" i="18"/>
  <c r="J65" i="18"/>
  <c r="J662" i="18"/>
  <c r="L662" i="18"/>
  <c r="J686" i="18"/>
  <c r="L686" i="18"/>
  <c r="I527" i="18"/>
  <c r="L912" i="18"/>
  <c r="J912" i="18"/>
  <c r="I798" i="18"/>
  <c r="L395" i="18"/>
  <c r="J395" i="18"/>
  <c r="I631" i="18"/>
  <c r="M140" i="19"/>
  <c r="E140" i="19"/>
  <c r="L140" i="19"/>
  <c r="D140" i="19"/>
  <c r="S140" i="19"/>
  <c r="K140" i="19"/>
  <c r="C140" i="19"/>
  <c r="R140" i="19"/>
  <c r="J140" i="19"/>
  <c r="Q140" i="19"/>
  <c r="I140" i="19"/>
  <c r="A140" i="19"/>
  <c r="O140" i="19"/>
  <c r="G140" i="19"/>
  <c r="P140" i="19"/>
  <c r="N140" i="19"/>
  <c r="H140" i="19"/>
  <c r="F140" i="19"/>
  <c r="S82" i="19"/>
  <c r="K82" i="19"/>
  <c r="C82" i="19"/>
  <c r="R82" i="19"/>
  <c r="J82" i="19"/>
  <c r="Q82" i="19"/>
  <c r="I82" i="19"/>
  <c r="A82" i="19"/>
  <c r="P82" i="19"/>
  <c r="H82" i="19"/>
  <c r="O82" i="19"/>
  <c r="G82" i="19"/>
  <c r="M82" i="19"/>
  <c r="E82" i="19"/>
  <c r="F82" i="19"/>
  <c r="D82" i="19"/>
  <c r="N82" i="19"/>
  <c r="L82" i="19"/>
  <c r="M280" i="19"/>
  <c r="E280" i="19"/>
  <c r="L280" i="19"/>
  <c r="D280" i="19"/>
  <c r="S280" i="19"/>
  <c r="K280" i="19"/>
  <c r="C280" i="19"/>
  <c r="R280" i="19"/>
  <c r="J280" i="19"/>
  <c r="Q280" i="19"/>
  <c r="I280" i="19"/>
  <c r="A280" i="19"/>
  <c r="O280" i="19"/>
  <c r="G280" i="19"/>
  <c r="P280" i="19"/>
  <c r="H280" i="19"/>
  <c r="N280" i="19"/>
  <c r="F280" i="19"/>
  <c r="P271" i="19"/>
  <c r="H271" i="19"/>
  <c r="O271" i="19"/>
  <c r="G271" i="19"/>
  <c r="N271" i="19"/>
  <c r="F271" i="19"/>
  <c r="M271" i="19"/>
  <c r="E271" i="19"/>
  <c r="L271" i="19"/>
  <c r="D271" i="19"/>
  <c r="R271" i="19"/>
  <c r="J271" i="19"/>
  <c r="K271" i="19"/>
  <c r="I271" i="19"/>
  <c r="C271" i="19"/>
  <c r="A271" i="19"/>
  <c r="S271" i="19"/>
  <c r="Q271" i="19"/>
  <c r="S254" i="19"/>
  <c r="K254" i="19"/>
  <c r="C254" i="19"/>
  <c r="R254" i="19"/>
  <c r="J254" i="19"/>
  <c r="Q254" i="19"/>
  <c r="I254" i="19"/>
  <c r="A254" i="19"/>
  <c r="P254" i="19"/>
  <c r="H254" i="19"/>
  <c r="O254" i="19"/>
  <c r="G254" i="19"/>
  <c r="M254" i="19"/>
  <c r="E254" i="19"/>
  <c r="N254" i="19"/>
  <c r="L254" i="19"/>
  <c r="F254" i="19"/>
  <c r="D254" i="19"/>
  <c r="N237" i="19"/>
  <c r="F237" i="19"/>
  <c r="M237" i="19"/>
  <c r="E237" i="19"/>
  <c r="L237" i="19"/>
  <c r="D237" i="19"/>
  <c r="S237" i="19"/>
  <c r="K237" i="19"/>
  <c r="C237" i="19"/>
  <c r="R237" i="19"/>
  <c r="J237" i="19"/>
  <c r="P237" i="19"/>
  <c r="H237" i="19"/>
  <c r="Q237" i="19"/>
  <c r="O237" i="19"/>
  <c r="I237" i="19"/>
  <c r="G237" i="19"/>
  <c r="A237" i="19"/>
  <c r="Q220" i="19"/>
  <c r="I220" i="19"/>
  <c r="A220" i="19"/>
  <c r="P220" i="19"/>
  <c r="H220" i="19"/>
  <c r="O220" i="19"/>
  <c r="G220" i="19"/>
  <c r="N220" i="19"/>
  <c r="F220" i="19"/>
  <c r="M220" i="19"/>
  <c r="E220" i="19"/>
  <c r="S220" i="19"/>
  <c r="K220" i="19"/>
  <c r="C220" i="19"/>
  <c r="R220" i="19"/>
  <c r="L220" i="19"/>
  <c r="J220" i="19"/>
  <c r="D220" i="19"/>
  <c r="M148" i="19"/>
  <c r="E148" i="19"/>
  <c r="L148" i="19"/>
  <c r="D148" i="19"/>
  <c r="S148" i="19"/>
  <c r="K148" i="19"/>
  <c r="C148" i="19"/>
  <c r="R148" i="19"/>
  <c r="J148" i="19"/>
  <c r="Q148" i="19"/>
  <c r="I148" i="19"/>
  <c r="A148" i="19"/>
  <c r="O148" i="19"/>
  <c r="G148" i="19"/>
  <c r="P148" i="19"/>
  <c r="H148" i="19"/>
  <c r="N148" i="19"/>
  <c r="F148" i="19"/>
  <c r="S49" i="19"/>
  <c r="K49" i="19"/>
  <c r="C49" i="19"/>
  <c r="R49" i="19"/>
  <c r="J49" i="19"/>
  <c r="Q49" i="19"/>
  <c r="I49" i="19"/>
  <c r="A49" i="19"/>
  <c r="P49" i="19"/>
  <c r="H49" i="19"/>
  <c r="O49" i="19"/>
  <c r="G49" i="19"/>
  <c r="M49" i="19"/>
  <c r="E49" i="19"/>
  <c r="N49" i="19"/>
  <c r="L49" i="19"/>
  <c r="F49" i="19"/>
  <c r="D49" i="19"/>
  <c r="P155" i="19"/>
  <c r="H155" i="19"/>
  <c r="O155" i="19"/>
  <c r="G155" i="19"/>
  <c r="N155" i="19"/>
  <c r="F155" i="19"/>
  <c r="M155" i="19"/>
  <c r="E155" i="19"/>
  <c r="L155" i="19"/>
  <c r="D155" i="19"/>
  <c r="R155" i="19"/>
  <c r="J155" i="19"/>
  <c r="S155" i="19"/>
  <c r="Q155" i="19"/>
  <c r="K155" i="19"/>
  <c r="C155" i="19"/>
  <c r="I155" i="19"/>
  <c r="A155" i="19"/>
  <c r="I485" i="18"/>
  <c r="J930" i="18"/>
  <c r="L930" i="18"/>
  <c r="L199" i="17"/>
  <c r="D199" i="17"/>
  <c r="K199" i="17"/>
  <c r="M199" i="17" s="1"/>
  <c r="C199" i="17"/>
  <c r="J199" i="17"/>
  <c r="I199" i="17"/>
  <c r="A199" i="17"/>
  <c r="H199" i="17"/>
  <c r="N199" i="17"/>
  <c r="G199" i="17"/>
  <c r="F199" i="17"/>
  <c r="E199" i="17"/>
  <c r="J190" i="17"/>
  <c r="I190" i="17"/>
  <c r="A190" i="17"/>
  <c r="H190" i="17"/>
  <c r="G190" i="17"/>
  <c r="N190" i="17"/>
  <c r="F190" i="17"/>
  <c r="L190" i="17"/>
  <c r="K190" i="17"/>
  <c r="M190" i="17" s="1"/>
  <c r="E190" i="17"/>
  <c r="D190" i="17"/>
  <c r="C190" i="17"/>
  <c r="H141" i="17"/>
  <c r="G141" i="17"/>
  <c r="N141" i="17"/>
  <c r="F141" i="17"/>
  <c r="E141" i="17"/>
  <c r="L141" i="17"/>
  <c r="D141" i="17"/>
  <c r="K141" i="17"/>
  <c r="M141" i="17" s="1"/>
  <c r="J141" i="17"/>
  <c r="I141" i="17"/>
  <c r="C141" i="17"/>
  <c r="A141" i="17"/>
  <c r="N132" i="17"/>
  <c r="F132" i="17"/>
  <c r="E132" i="17"/>
  <c r="L132" i="17"/>
  <c r="D132" i="17"/>
  <c r="K132" i="17"/>
  <c r="M132" i="17" s="1"/>
  <c r="C132" i="17"/>
  <c r="J132" i="17"/>
  <c r="I132" i="17"/>
  <c r="H132" i="17"/>
  <c r="G132" i="17"/>
  <c r="A132" i="17"/>
  <c r="L115" i="17"/>
  <c r="D115" i="17"/>
  <c r="K115" i="17"/>
  <c r="C115" i="17"/>
  <c r="J115" i="17"/>
  <c r="I115" i="17"/>
  <c r="A115" i="17"/>
  <c r="H115" i="17"/>
  <c r="N115" i="17"/>
  <c r="M115" i="17"/>
  <c r="G115" i="17"/>
  <c r="E115" i="17"/>
  <c r="F115" i="17"/>
  <c r="J98" i="17"/>
  <c r="I98" i="17"/>
  <c r="A98" i="17"/>
  <c r="H98" i="17"/>
  <c r="G98" i="17"/>
  <c r="N98" i="17"/>
  <c r="F98" i="17"/>
  <c r="C98" i="17"/>
  <c r="M98" i="17"/>
  <c r="L98" i="17"/>
  <c r="E98" i="17"/>
  <c r="K98" i="17"/>
  <c r="D98" i="17"/>
  <c r="N160" i="17"/>
  <c r="F160" i="17"/>
  <c r="M160" i="17"/>
  <c r="E160" i="17"/>
  <c r="L160" i="17"/>
  <c r="D160" i="17"/>
  <c r="K160" i="17"/>
  <c r="C160" i="17"/>
  <c r="J160" i="17"/>
  <c r="H160" i="17"/>
  <c r="G160" i="17"/>
  <c r="A160" i="17"/>
  <c r="I160" i="17"/>
  <c r="H97" i="17"/>
  <c r="G97" i="17"/>
  <c r="N97" i="17"/>
  <c r="F97" i="17"/>
  <c r="M97" i="17"/>
  <c r="E97" i="17"/>
  <c r="L97" i="17"/>
  <c r="D97" i="17"/>
  <c r="K97" i="17"/>
  <c r="J97" i="17"/>
  <c r="I97" i="17"/>
  <c r="C97" i="17"/>
  <c r="A97" i="17"/>
  <c r="I54" i="17"/>
  <c r="A54" i="17"/>
  <c r="H54" i="17"/>
  <c r="G54" i="17"/>
  <c r="L54" i="17"/>
  <c r="K54" i="17"/>
  <c r="M54" i="17" s="1"/>
  <c r="J54" i="17"/>
  <c r="F54" i="17"/>
  <c r="E54" i="17"/>
  <c r="N54" i="17"/>
  <c r="C54" i="17"/>
  <c r="D54" i="17"/>
  <c r="N216" i="17"/>
  <c r="F216" i="17"/>
  <c r="M216" i="17"/>
  <c r="E216" i="17"/>
  <c r="L216" i="17"/>
  <c r="D216" i="17"/>
  <c r="K216" i="17"/>
  <c r="C216" i="17"/>
  <c r="J216" i="17"/>
  <c r="H216" i="17"/>
  <c r="I216" i="17"/>
  <c r="G216" i="17"/>
  <c r="A216" i="17"/>
  <c r="J73" i="18"/>
  <c r="L73" i="18"/>
  <c r="L221" i="18"/>
  <c r="J221" i="18"/>
  <c r="J222" i="18"/>
  <c r="L222" i="18"/>
  <c r="L607" i="18"/>
  <c r="J607" i="18"/>
  <c r="L928" i="18"/>
  <c r="J928" i="18"/>
  <c r="I70" i="18"/>
  <c r="I59" i="18"/>
  <c r="I693" i="18"/>
  <c r="I48" i="18"/>
  <c r="I49" i="18"/>
  <c r="I499" i="18"/>
  <c r="I139" i="18"/>
  <c r="I433" i="18"/>
  <c r="I219" i="18"/>
  <c r="I360" i="18"/>
  <c r="L127" i="17"/>
  <c r="D127" i="17"/>
  <c r="K127" i="17"/>
  <c r="M127" i="17" s="1"/>
  <c r="C127" i="17"/>
  <c r="J127" i="17"/>
  <c r="I127" i="17"/>
  <c r="A127" i="17"/>
  <c r="H127" i="17"/>
  <c r="N127" i="17"/>
  <c r="F127" i="17"/>
  <c r="E127" i="17"/>
  <c r="G127" i="17"/>
  <c r="H69" i="17"/>
  <c r="G69" i="17"/>
  <c r="N69" i="17"/>
  <c r="F69" i="17"/>
  <c r="M69" i="17"/>
  <c r="E69" i="17"/>
  <c r="L69" i="17"/>
  <c r="D69" i="17"/>
  <c r="A69" i="17"/>
  <c r="K69" i="17"/>
  <c r="I69" i="17"/>
  <c r="J69" i="17"/>
  <c r="C69" i="17"/>
  <c r="L299" i="17"/>
  <c r="D299" i="17"/>
  <c r="K299" i="17"/>
  <c r="M299" i="17" s="1"/>
  <c r="C299" i="17"/>
  <c r="J299" i="17"/>
  <c r="I299" i="17"/>
  <c r="A299" i="17"/>
  <c r="H299" i="17"/>
  <c r="N299" i="17"/>
  <c r="F299" i="17"/>
  <c r="G299" i="17"/>
  <c r="E299" i="17"/>
  <c r="H261" i="17"/>
  <c r="G261" i="17"/>
  <c r="N261" i="17"/>
  <c r="F261" i="17"/>
  <c r="M261" i="17"/>
  <c r="E261" i="17"/>
  <c r="L261" i="17"/>
  <c r="D261" i="17"/>
  <c r="J261" i="17"/>
  <c r="K261" i="17"/>
  <c r="I261" i="17"/>
  <c r="C261" i="17"/>
  <c r="A261" i="17"/>
  <c r="L227" i="19"/>
  <c r="D227" i="19"/>
  <c r="S227" i="19"/>
  <c r="K227" i="19"/>
  <c r="C227" i="19"/>
  <c r="R227" i="19"/>
  <c r="J227" i="19"/>
  <c r="Q227" i="19"/>
  <c r="I227" i="19"/>
  <c r="A227" i="19"/>
  <c r="P227" i="19"/>
  <c r="H227" i="19"/>
  <c r="N227" i="19"/>
  <c r="F227" i="19"/>
  <c r="O227" i="19"/>
  <c r="M227" i="19"/>
  <c r="G227" i="19"/>
  <c r="E227" i="19"/>
  <c r="S66" i="19"/>
  <c r="K66" i="19"/>
  <c r="C66" i="19"/>
  <c r="R66" i="19"/>
  <c r="J66" i="19"/>
  <c r="Q66" i="19"/>
  <c r="I66" i="19"/>
  <c r="A66" i="19"/>
  <c r="P66" i="19"/>
  <c r="H66" i="19"/>
  <c r="O66" i="19"/>
  <c r="G66" i="19"/>
  <c r="M66" i="19"/>
  <c r="E66" i="19"/>
  <c r="N66" i="19"/>
  <c r="L66" i="19"/>
  <c r="F66" i="19"/>
  <c r="D66" i="19"/>
  <c r="M264" i="19"/>
  <c r="E264" i="19"/>
  <c r="L264" i="19"/>
  <c r="D264" i="19"/>
  <c r="S264" i="19"/>
  <c r="K264" i="19"/>
  <c r="C264" i="19"/>
  <c r="R264" i="19"/>
  <c r="J264" i="19"/>
  <c r="Q264" i="19"/>
  <c r="I264" i="19"/>
  <c r="A264" i="19"/>
  <c r="O264" i="19"/>
  <c r="G264" i="19"/>
  <c r="P264" i="19"/>
  <c r="N264" i="19"/>
  <c r="H264" i="19"/>
  <c r="F264" i="19"/>
  <c r="P255" i="19"/>
  <c r="H255" i="19"/>
  <c r="O255" i="19"/>
  <c r="G255" i="19"/>
  <c r="N255" i="19"/>
  <c r="F255" i="19"/>
  <c r="M255" i="19"/>
  <c r="E255" i="19"/>
  <c r="L255" i="19"/>
  <c r="D255" i="19"/>
  <c r="R255" i="19"/>
  <c r="J255" i="19"/>
  <c r="S255" i="19"/>
  <c r="Q255" i="19"/>
  <c r="K255" i="19"/>
  <c r="C255" i="19"/>
  <c r="I255" i="19"/>
  <c r="A255" i="19"/>
  <c r="S238" i="19"/>
  <c r="K238" i="19"/>
  <c r="C238" i="19"/>
  <c r="R238" i="19"/>
  <c r="J238" i="19"/>
  <c r="Q238" i="19"/>
  <c r="I238" i="19"/>
  <c r="A238" i="19"/>
  <c r="P238" i="19"/>
  <c r="H238" i="19"/>
  <c r="O238" i="19"/>
  <c r="G238" i="19"/>
  <c r="M238" i="19"/>
  <c r="E238" i="19"/>
  <c r="N238" i="19"/>
  <c r="F238" i="19"/>
  <c r="L238" i="19"/>
  <c r="D238" i="19"/>
  <c r="N221" i="19"/>
  <c r="F221" i="19"/>
  <c r="M221" i="19"/>
  <c r="E221" i="19"/>
  <c r="L221" i="19"/>
  <c r="D221" i="19"/>
  <c r="S221" i="19"/>
  <c r="K221" i="19"/>
  <c r="C221" i="19"/>
  <c r="R221" i="19"/>
  <c r="J221" i="19"/>
  <c r="P221" i="19"/>
  <c r="H221" i="19"/>
  <c r="A221" i="19"/>
  <c r="Q221" i="19"/>
  <c r="I221" i="19"/>
  <c r="O221" i="19"/>
  <c r="G221" i="19"/>
  <c r="Q204" i="19"/>
  <c r="I204" i="19"/>
  <c r="A204" i="19"/>
  <c r="P204" i="19"/>
  <c r="H204" i="19"/>
  <c r="O204" i="19"/>
  <c r="G204" i="19"/>
  <c r="N204" i="19"/>
  <c r="F204" i="19"/>
  <c r="M204" i="19"/>
  <c r="E204" i="19"/>
  <c r="S204" i="19"/>
  <c r="K204" i="19"/>
  <c r="C204" i="19"/>
  <c r="D204" i="19"/>
  <c r="L204" i="19"/>
  <c r="R204" i="19"/>
  <c r="J204" i="19"/>
  <c r="L243" i="19"/>
  <c r="D243" i="19"/>
  <c r="S243" i="19"/>
  <c r="K243" i="19"/>
  <c r="C243" i="19"/>
  <c r="R243" i="19"/>
  <c r="J243" i="19"/>
  <c r="Q243" i="19"/>
  <c r="I243" i="19"/>
  <c r="A243" i="19"/>
  <c r="P243" i="19"/>
  <c r="H243" i="19"/>
  <c r="N243" i="19"/>
  <c r="F243" i="19"/>
  <c r="O243" i="19"/>
  <c r="G243" i="19"/>
  <c r="M243" i="19"/>
  <c r="E243" i="19"/>
  <c r="P99" i="19"/>
  <c r="H99" i="19"/>
  <c r="O99" i="19"/>
  <c r="G99" i="19"/>
  <c r="N99" i="19"/>
  <c r="F99" i="19"/>
  <c r="M99" i="19"/>
  <c r="E99" i="19"/>
  <c r="L99" i="19"/>
  <c r="D99" i="19"/>
  <c r="R99" i="19"/>
  <c r="J99" i="19"/>
  <c r="C99" i="19"/>
  <c r="A99" i="19"/>
  <c r="S99" i="19"/>
  <c r="K99" i="19"/>
  <c r="Q99" i="19"/>
  <c r="I99" i="19"/>
  <c r="L211" i="19"/>
  <c r="D211" i="19"/>
  <c r="S211" i="19"/>
  <c r="K211" i="19"/>
  <c r="C211" i="19"/>
  <c r="R211" i="19"/>
  <c r="J211" i="19"/>
  <c r="Q211" i="19"/>
  <c r="I211" i="19"/>
  <c r="A211" i="19"/>
  <c r="P211" i="19"/>
  <c r="H211" i="19"/>
  <c r="N211" i="19"/>
  <c r="F211" i="19"/>
  <c r="O211" i="19"/>
  <c r="G211" i="19"/>
  <c r="M211" i="19"/>
  <c r="E211" i="19"/>
  <c r="L340" i="18"/>
  <c r="J340" i="18"/>
  <c r="L742" i="18"/>
  <c r="J742" i="18"/>
  <c r="I403" i="18"/>
  <c r="L836" i="18"/>
  <c r="J836" i="18"/>
  <c r="L894" i="18"/>
  <c r="J894" i="18"/>
  <c r="G49" i="17"/>
  <c r="N49" i="17"/>
  <c r="F49" i="17"/>
  <c r="E49" i="17"/>
  <c r="D49" i="17"/>
  <c r="C49" i="17"/>
  <c r="L49" i="17"/>
  <c r="A49" i="17"/>
  <c r="K49" i="17"/>
  <c r="M49" i="17" s="1"/>
  <c r="I49" i="17"/>
  <c r="J49" i="17"/>
  <c r="H49" i="17"/>
  <c r="S122" i="19"/>
  <c r="K122" i="19"/>
  <c r="C122" i="19"/>
  <c r="R122" i="19"/>
  <c r="J122" i="19"/>
  <c r="Q122" i="19"/>
  <c r="I122" i="19"/>
  <c r="A122" i="19"/>
  <c r="P122" i="19"/>
  <c r="H122" i="19"/>
  <c r="O122" i="19"/>
  <c r="G122" i="19"/>
  <c r="M122" i="19"/>
  <c r="E122" i="19"/>
  <c r="N122" i="19"/>
  <c r="L122" i="19"/>
  <c r="F122" i="19"/>
  <c r="D122" i="19"/>
  <c r="N113" i="19"/>
  <c r="F113" i="19"/>
  <c r="M113" i="19"/>
  <c r="E113" i="19"/>
  <c r="L113" i="19"/>
  <c r="D113" i="19"/>
  <c r="S113" i="19"/>
  <c r="K113" i="19"/>
  <c r="C113" i="19"/>
  <c r="R113" i="19"/>
  <c r="J113" i="19"/>
  <c r="P113" i="19"/>
  <c r="H113" i="19"/>
  <c r="Q113" i="19"/>
  <c r="O113" i="19"/>
  <c r="I113" i="19"/>
  <c r="A113" i="19"/>
  <c r="G113" i="19"/>
  <c r="Q64" i="19"/>
  <c r="I64" i="19"/>
  <c r="A64" i="19"/>
  <c r="P64" i="19"/>
  <c r="H64" i="19"/>
  <c r="N64" i="19"/>
  <c r="F64" i="19"/>
  <c r="S64" i="19"/>
  <c r="K64" i="19"/>
  <c r="C64" i="19"/>
  <c r="L64" i="19"/>
  <c r="J64" i="19"/>
  <c r="G64" i="19"/>
  <c r="E64" i="19"/>
  <c r="D64" i="19"/>
  <c r="O64" i="19"/>
  <c r="R64" i="19"/>
  <c r="M64" i="19"/>
  <c r="R294" i="19"/>
  <c r="J294" i="19"/>
  <c r="Q294" i="19"/>
  <c r="I294" i="19"/>
  <c r="A294" i="19"/>
  <c r="P294" i="19"/>
  <c r="H294" i="19"/>
  <c r="L294" i="19"/>
  <c r="D294" i="19"/>
  <c r="G294" i="19"/>
  <c r="F294" i="19"/>
  <c r="E294" i="19"/>
  <c r="S294" i="19"/>
  <c r="C294" i="19"/>
  <c r="O294" i="19"/>
  <c r="M294" i="19"/>
  <c r="N294" i="19"/>
  <c r="K294" i="19"/>
  <c r="N277" i="19"/>
  <c r="F277" i="19"/>
  <c r="M277" i="19"/>
  <c r="E277" i="19"/>
  <c r="L277" i="19"/>
  <c r="D277" i="19"/>
  <c r="S277" i="19"/>
  <c r="K277" i="19"/>
  <c r="C277" i="19"/>
  <c r="R277" i="19"/>
  <c r="J277" i="19"/>
  <c r="P277" i="19"/>
  <c r="H277" i="19"/>
  <c r="Q277" i="19"/>
  <c r="O277" i="19"/>
  <c r="I277" i="19"/>
  <c r="A277" i="19"/>
  <c r="G277" i="19"/>
  <c r="Q260" i="19"/>
  <c r="I260" i="19"/>
  <c r="A260" i="19"/>
  <c r="P260" i="19"/>
  <c r="H260" i="19"/>
  <c r="O260" i="19"/>
  <c r="G260" i="19"/>
  <c r="N260" i="19"/>
  <c r="F260" i="19"/>
  <c r="M260" i="19"/>
  <c r="E260" i="19"/>
  <c r="S260" i="19"/>
  <c r="K260" i="19"/>
  <c r="C260" i="19"/>
  <c r="R260" i="19"/>
  <c r="L260" i="19"/>
  <c r="D260" i="19"/>
  <c r="J260" i="19"/>
  <c r="L46" i="19"/>
  <c r="D46" i="19"/>
  <c r="S46" i="19"/>
  <c r="K46" i="19"/>
  <c r="C46" i="19"/>
  <c r="R46" i="19"/>
  <c r="J46" i="19"/>
  <c r="Q46" i="19"/>
  <c r="I46" i="19"/>
  <c r="A46" i="19"/>
  <c r="P46" i="19"/>
  <c r="H46" i="19"/>
  <c r="N46" i="19"/>
  <c r="F46" i="19"/>
  <c r="O46" i="19"/>
  <c r="M46" i="19"/>
  <c r="G46" i="19"/>
  <c r="E46" i="19"/>
  <c r="N16" i="19"/>
  <c r="F16" i="19"/>
  <c r="M16" i="19"/>
  <c r="E16" i="19"/>
  <c r="L16" i="19"/>
  <c r="D16" i="19"/>
  <c r="S16" i="19"/>
  <c r="K16" i="19"/>
  <c r="C16" i="19"/>
  <c r="R16" i="19"/>
  <c r="J16" i="19"/>
  <c r="P16" i="19"/>
  <c r="H16" i="19"/>
  <c r="I16" i="19"/>
  <c r="G16" i="19"/>
  <c r="A16" i="19"/>
  <c r="Q16" i="19"/>
  <c r="O16" i="19"/>
  <c r="P42" i="19"/>
  <c r="H42" i="19"/>
  <c r="O42" i="19"/>
  <c r="G42" i="19"/>
  <c r="N42" i="19"/>
  <c r="F42" i="19"/>
  <c r="M42" i="19"/>
  <c r="E42" i="19"/>
  <c r="L42" i="19"/>
  <c r="D42" i="19"/>
  <c r="R42" i="19"/>
  <c r="J42" i="19"/>
  <c r="S42" i="19"/>
  <c r="Q42" i="19"/>
  <c r="K42" i="19"/>
  <c r="C42" i="19"/>
  <c r="I42" i="19"/>
  <c r="A42" i="19"/>
  <c r="J60" i="18"/>
  <c r="L60" i="18"/>
  <c r="J752" i="18"/>
  <c r="L752" i="18"/>
  <c r="L701" i="18"/>
  <c r="J701" i="18"/>
  <c r="J510" i="18"/>
  <c r="L510" i="18"/>
  <c r="I303" i="18"/>
  <c r="L812" i="18"/>
  <c r="J812" i="18"/>
  <c r="I623" i="18"/>
  <c r="J958" i="18"/>
  <c r="L958" i="18"/>
  <c r="M60" i="19"/>
  <c r="E60" i="19"/>
  <c r="L60" i="19"/>
  <c r="D60" i="19"/>
  <c r="N60" i="19"/>
  <c r="K60" i="19"/>
  <c r="A60" i="19"/>
  <c r="J60" i="19"/>
  <c r="S60" i="19"/>
  <c r="I60" i="19"/>
  <c r="R60" i="19"/>
  <c r="H60" i="19"/>
  <c r="P60" i="19"/>
  <c r="F60" i="19"/>
  <c r="Q60" i="19"/>
  <c r="O60" i="19"/>
  <c r="G60" i="19"/>
  <c r="C60" i="19"/>
  <c r="O178" i="19"/>
  <c r="G178" i="19"/>
  <c r="N178" i="19"/>
  <c r="F178" i="19"/>
  <c r="M178" i="19"/>
  <c r="E178" i="19"/>
  <c r="S178" i="19"/>
  <c r="K178" i="19"/>
  <c r="C178" i="19"/>
  <c r="Q178" i="19"/>
  <c r="I178" i="19"/>
  <c r="A178" i="19"/>
  <c r="H178" i="19"/>
  <c r="D178" i="19"/>
  <c r="R178" i="19"/>
  <c r="L178" i="19"/>
  <c r="P178" i="19"/>
  <c r="J178" i="19"/>
  <c r="R169" i="19"/>
  <c r="J169" i="19"/>
  <c r="Q169" i="19"/>
  <c r="I169" i="19"/>
  <c r="A169" i="19"/>
  <c r="P169" i="19"/>
  <c r="H169" i="19"/>
  <c r="N169" i="19"/>
  <c r="F169" i="19"/>
  <c r="L169" i="19"/>
  <c r="D169" i="19"/>
  <c r="G169" i="19"/>
  <c r="E169" i="19"/>
  <c r="C169" i="19"/>
  <c r="S169" i="19"/>
  <c r="M169" i="19"/>
  <c r="O169" i="19"/>
  <c r="K169" i="19"/>
  <c r="Q120" i="19"/>
  <c r="I120" i="19"/>
  <c r="A120" i="19"/>
  <c r="P120" i="19"/>
  <c r="H120" i="19"/>
  <c r="O120" i="19"/>
  <c r="G120" i="19"/>
  <c r="N120" i="19"/>
  <c r="F120" i="19"/>
  <c r="M120" i="19"/>
  <c r="E120" i="19"/>
  <c r="S120" i="19"/>
  <c r="K120" i="19"/>
  <c r="C120" i="19"/>
  <c r="R120" i="19"/>
  <c r="L120" i="19"/>
  <c r="J120" i="19"/>
  <c r="D120" i="19"/>
  <c r="L111" i="19"/>
  <c r="D111" i="19"/>
  <c r="S111" i="19"/>
  <c r="K111" i="19"/>
  <c r="C111" i="19"/>
  <c r="R111" i="19"/>
  <c r="J111" i="19"/>
  <c r="Q111" i="19"/>
  <c r="I111" i="19"/>
  <c r="A111" i="19"/>
  <c r="P111" i="19"/>
  <c r="H111" i="19"/>
  <c r="N111" i="19"/>
  <c r="F111" i="19"/>
  <c r="O111" i="19"/>
  <c r="G111" i="19"/>
  <c r="M111" i="19"/>
  <c r="E111" i="19"/>
  <c r="O94" i="19"/>
  <c r="G94" i="19"/>
  <c r="N94" i="19"/>
  <c r="F94" i="19"/>
  <c r="M94" i="19"/>
  <c r="E94" i="19"/>
  <c r="L94" i="19"/>
  <c r="D94" i="19"/>
  <c r="S94" i="19"/>
  <c r="K94" i="19"/>
  <c r="C94" i="19"/>
  <c r="Q94" i="19"/>
  <c r="I94" i="19"/>
  <c r="A94" i="19"/>
  <c r="R94" i="19"/>
  <c r="J94" i="19"/>
  <c r="P94" i="19"/>
  <c r="H94" i="19"/>
  <c r="R77" i="19"/>
  <c r="J77" i="19"/>
  <c r="Q77" i="19"/>
  <c r="I77" i="19"/>
  <c r="A77" i="19"/>
  <c r="P77" i="19"/>
  <c r="H77" i="19"/>
  <c r="O77" i="19"/>
  <c r="G77" i="19"/>
  <c r="N77" i="19"/>
  <c r="F77" i="19"/>
  <c r="L77" i="19"/>
  <c r="D77" i="19"/>
  <c r="E77" i="19"/>
  <c r="C77" i="19"/>
  <c r="M77" i="19"/>
  <c r="S77" i="19"/>
  <c r="K77" i="19"/>
  <c r="O54" i="19"/>
  <c r="G54" i="19"/>
  <c r="N54" i="19"/>
  <c r="F54" i="19"/>
  <c r="J54" i="19"/>
  <c r="S54" i="19"/>
  <c r="I54" i="19"/>
  <c r="R54" i="19"/>
  <c r="H54" i="19"/>
  <c r="Q54" i="19"/>
  <c r="E54" i="19"/>
  <c r="P54" i="19"/>
  <c r="D54" i="19"/>
  <c r="L54" i="19"/>
  <c r="M54" i="19"/>
  <c r="K54" i="19"/>
  <c r="C54" i="19"/>
  <c r="A54" i="19"/>
  <c r="M156" i="19"/>
  <c r="E156" i="19"/>
  <c r="L156" i="19"/>
  <c r="D156" i="19"/>
  <c r="S156" i="19"/>
  <c r="K156" i="19"/>
  <c r="C156" i="19"/>
  <c r="R156" i="19"/>
  <c r="J156" i="19"/>
  <c r="Q156" i="19"/>
  <c r="I156" i="19"/>
  <c r="A156" i="19"/>
  <c r="O156" i="19"/>
  <c r="G156" i="19"/>
  <c r="H156" i="19"/>
  <c r="F156" i="19"/>
  <c r="P156" i="19"/>
  <c r="N156" i="19"/>
  <c r="P59" i="19"/>
  <c r="H59" i="19"/>
  <c r="O59" i="19"/>
  <c r="G59" i="19"/>
  <c r="K59" i="19"/>
  <c r="A59" i="19"/>
  <c r="J59" i="19"/>
  <c r="S59" i="19"/>
  <c r="I59" i="19"/>
  <c r="R59" i="19"/>
  <c r="F59" i="19"/>
  <c r="Q59" i="19"/>
  <c r="E59" i="19"/>
  <c r="M59" i="19"/>
  <c r="C59" i="19"/>
  <c r="D59" i="19"/>
  <c r="N59" i="19"/>
  <c r="L59" i="19"/>
  <c r="L581" i="18"/>
  <c r="J581" i="18"/>
  <c r="L307" i="18"/>
  <c r="J307" i="18"/>
  <c r="N64" i="17"/>
  <c r="F64" i="17"/>
  <c r="M64" i="17"/>
  <c r="E64" i="17"/>
  <c r="L64" i="17"/>
  <c r="D64" i="17"/>
  <c r="K64" i="17"/>
  <c r="C64" i="17"/>
  <c r="J64" i="17"/>
  <c r="H64" i="17"/>
  <c r="G64" i="17"/>
  <c r="A64" i="17"/>
  <c r="I64" i="17"/>
  <c r="L103" i="17"/>
  <c r="D103" i="17"/>
  <c r="K103" i="17"/>
  <c r="M103" i="17" s="1"/>
  <c r="C103" i="17"/>
  <c r="J103" i="17"/>
  <c r="I103" i="17"/>
  <c r="A103" i="17"/>
  <c r="H103" i="17"/>
  <c r="N103" i="17"/>
  <c r="G103" i="17"/>
  <c r="F103" i="17"/>
  <c r="E103" i="17"/>
  <c r="H301" i="17"/>
  <c r="G301" i="17"/>
  <c r="N301" i="17"/>
  <c r="F301" i="17"/>
  <c r="E301" i="17"/>
  <c r="L301" i="17"/>
  <c r="D301" i="17"/>
  <c r="K301" i="17"/>
  <c r="M301" i="17" s="1"/>
  <c r="C301" i="17"/>
  <c r="J301" i="17"/>
  <c r="I301" i="17"/>
  <c r="A301" i="17"/>
  <c r="N292" i="17"/>
  <c r="F292" i="17"/>
  <c r="M292" i="17"/>
  <c r="E292" i="17"/>
  <c r="L292" i="17"/>
  <c r="D292" i="17"/>
  <c r="K292" i="17"/>
  <c r="C292" i="17"/>
  <c r="J292" i="17"/>
  <c r="H292" i="17"/>
  <c r="A292" i="17"/>
  <c r="I292" i="17"/>
  <c r="G292" i="17"/>
  <c r="L275" i="17"/>
  <c r="D275" i="17"/>
  <c r="K275" i="17"/>
  <c r="C275" i="17"/>
  <c r="J275" i="17"/>
  <c r="I275" i="17"/>
  <c r="A275" i="17"/>
  <c r="H275" i="17"/>
  <c r="N275" i="17"/>
  <c r="F275" i="17"/>
  <c r="M275" i="17"/>
  <c r="G275" i="17"/>
  <c r="E275" i="17"/>
  <c r="J258" i="17"/>
  <c r="I258" i="17"/>
  <c r="A258" i="17"/>
  <c r="H258" i="17"/>
  <c r="G258" i="17"/>
  <c r="N258" i="17"/>
  <c r="F258" i="17"/>
  <c r="L258" i="17"/>
  <c r="D258" i="17"/>
  <c r="M258" i="17"/>
  <c r="E258" i="17"/>
  <c r="K258" i="17"/>
  <c r="C258" i="17"/>
  <c r="H241" i="17"/>
  <c r="G241" i="17"/>
  <c r="N241" i="17"/>
  <c r="F241" i="17"/>
  <c r="M241" i="17"/>
  <c r="E241" i="17"/>
  <c r="L241" i="17"/>
  <c r="D241" i="17"/>
  <c r="J241" i="17"/>
  <c r="K241" i="17"/>
  <c r="I241" i="17"/>
  <c r="C241" i="17"/>
  <c r="A241" i="17"/>
  <c r="N192" i="17"/>
  <c r="F192" i="17"/>
  <c r="E192" i="17"/>
  <c r="L192" i="17"/>
  <c r="D192" i="17"/>
  <c r="K192" i="17"/>
  <c r="M192" i="17" s="1"/>
  <c r="C192" i="17"/>
  <c r="J192" i="17"/>
  <c r="H192" i="17"/>
  <c r="G192" i="17"/>
  <c r="A192" i="17"/>
  <c r="I192" i="17"/>
  <c r="H65" i="17"/>
  <c r="G65" i="17"/>
  <c r="N65" i="17"/>
  <c r="F65" i="17"/>
  <c r="M65" i="17"/>
  <c r="E65" i="17"/>
  <c r="L65" i="17"/>
  <c r="D65" i="17"/>
  <c r="K65" i="17"/>
  <c r="J65" i="17"/>
  <c r="I65" i="17"/>
  <c r="C65" i="17"/>
  <c r="A65" i="17"/>
  <c r="I173" i="18"/>
  <c r="L584" i="18"/>
  <c r="J584" i="18"/>
  <c r="L67" i="18"/>
  <c r="J67" i="18"/>
  <c r="L653" i="18"/>
  <c r="J653" i="18"/>
  <c r="J659" i="18"/>
  <c r="L659" i="18"/>
  <c r="I511" i="18"/>
  <c r="L838" i="18"/>
  <c r="J838" i="18"/>
  <c r="L347" i="18"/>
  <c r="J347" i="18"/>
  <c r="H89" i="17"/>
  <c r="G89" i="17"/>
  <c r="N89" i="17"/>
  <c r="F89" i="17"/>
  <c r="E89" i="17"/>
  <c r="L89" i="17"/>
  <c r="D89" i="17"/>
  <c r="A89" i="17"/>
  <c r="K89" i="17"/>
  <c r="M89" i="17" s="1"/>
  <c r="J89" i="17"/>
  <c r="C89" i="17"/>
  <c r="I89" i="17"/>
  <c r="L95" i="17"/>
  <c r="D95" i="17"/>
  <c r="K95" i="17"/>
  <c r="M95" i="17" s="1"/>
  <c r="C95" i="17"/>
  <c r="J95" i="17"/>
  <c r="I95" i="17"/>
  <c r="A95" i="17"/>
  <c r="H95" i="17"/>
  <c r="N95" i="17"/>
  <c r="F95" i="17"/>
  <c r="E95" i="17"/>
  <c r="G95" i="17"/>
  <c r="H293" i="17"/>
  <c r="G293" i="17"/>
  <c r="N293" i="17"/>
  <c r="F293" i="17"/>
  <c r="M293" i="17"/>
  <c r="E293" i="17"/>
  <c r="L293" i="17"/>
  <c r="D293" i="17"/>
  <c r="J293" i="17"/>
  <c r="K293" i="17"/>
  <c r="I293" i="17"/>
  <c r="C293" i="17"/>
  <c r="A293" i="17"/>
  <c r="N284" i="17"/>
  <c r="F284" i="17"/>
  <c r="M284" i="17"/>
  <c r="E284" i="17"/>
  <c r="L284" i="17"/>
  <c r="D284" i="17"/>
  <c r="K284" i="17"/>
  <c r="C284" i="17"/>
  <c r="J284" i="17"/>
  <c r="H284" i="17"/>
  <c r="I284" i="17"/>
  <c r="G284" i="17"/>
  <c r="A284" i="17"/>
  <c r="L267" i="17"/>
  <c r="D267" i="17"/>
  <c r="K267" i="17"/>
  <c r="C267" i="17"/>
  <c r="J267" i="17"/>
  <c r="I267" i="17"/>
  <c r="A267" i="17"/>
  <c r="H267" i="17"/>
  <c r="N267" i="17"/>
  <c r="F267" i="17"/>
  <c r="G267" i="17"/>
  <c r="M267" i="17"/>
  <c r="E267" i="17"/>
  <c r="J250" i="17"/>
  <c r="I250" i="17"/>
  <c r="A250" i="17"/>
  <c r="H250" i="17"/>
  <c r="G250" i="17"/>
  <c r="N250" i="17"/>
  <c r="F250" i="17"/>
  <c r="L250" i="17"/>
  <c r="D250" i="17"/>
  <c r="K250" i="17"/>
  <c r="M250" i="17" s="1"/>
  <c r="E250" i="17"/>
  <c r="C250" i="17"/>
  <c r="H233" i="17"/>
  <c r="G233" i="17"/>
  <c r="N233" i="17"/>
  <c r="F233" i="17"/>
  <c r="E233" i="17"/>
  <c r="L233" i="17"/>
  <c r="D233" i="17"/>
  <c r="J233" i="17"/>
  <c r="K233" i="17"/>
  <c r="M233" i="17" s="1"/>
  <c r="C233" i="17"/>
  <c r="A233" i="17"/>
  <c r="I233" i="17"/>
  <c r="H73" i="17"/>
  <c r="G73" i="17"/>
  <c r="N73" i="17"/>
  <c r="F73" i="17"/>
  <c r="E73" i="17"/>
  <c r="L73" i="17"/>
  <c r="D73" i="17"/>
  <c r="J73" i="17"/>
  <c r="I73" i="17"/>
  <c r="C73" i="17"/>
  <c r="A73" i="17"/>
  <c r="K73" i="17"/>
  <c r="M73" i="17" s="1"/>
  <c r="N256" i="17"/>
  <c r="F256" i="17"/>
  <c r="E256" i="17"/>
  <c r="L256" i="17"/>
  <c r="D256" i="17"/>
  <c r="K256" i="17"/>
  <c r="M256" i="17" s="1"/>
  <c r="C256" i="17"/>
  <c r="J256" i="17"/>
  <c r="H256" i="17"/>
  <c r="I256" i="17"/>
  <c r="A256" i="17"/>
  <c r="G256" i="17"/>
  <c r="I8" i="17"/>
  <c r="A8" i="17"/>
  <c r="H8" i="17"/>
  <c r="G8" i="17"/>
  <c r="F8" i="17"/>
  <c r="D8" i="17"/>
  <c r="C8" i="17"/>
  <c r="K8" i="17"/>
  <c r="E8" i="17"/>
  <c r="J8" i="17" s="1"/>
  <c r="L573" i="18"/>
  <c r="J573" i="18"/>
  <c r="I32" i="18"/>
  <c r="I338" i="18"/>
  <c r="L437" i="18"/>
  <c r="J437" i="18"/>
  <c r="L17" i="17"/>
  <c r="D17" i="17"/>
  <c r="K17" i="17"/>
  <c r="C17" i="17"/>
  <c r="J17" i="17"/>
  <c r="I17" i="17"/>
  <c r="A17" i="17"/>
  <c r="H17" i="17"/>
  <c r="N17" i="17"/>
  <c r="F17" i="17"/>
  <c r="E17" i="17"/>
  <c r="M17" i="17"/>
  <c r="G17" i="17"/>
  <c r="L151" i="17"/>
  <c r="D151" i="17"/>
  <c r="K151" i="17"/>
  <c r="M151" i="17" s="1"/>
  <c r="C151" i="17"/>
  <c r="J151" i="17"/>
  <c r="I151" i="17"/>
  <c r="A151" i="17"/>
  <c r="H151" i="17"/>
  <c r="F151" i="17"/>
  <c r="E151" i="17"/>
  <c r="G151" i="17"/>
  <c r="N151" i="17"/>
  <c r="J142" i="17"/>
  <c r="I142" i="17"/>
  <c r="A142" i="17"/>
  <c r="H142" i="17"/>
  <c r="G142" i="17"/>
  <c r="N142" i="17"/>
  <c r="F142" i="17"/>
  <c r="D142" i="17"/>
  <c r="C142" i="17"/>
  <c r="K142" i="17"/>
  <c r="M142" i="17" s="1"/>
  <c r="L142" i="17"/>
  <c r="E142" i="17"/>
  <c r="H93" i="17"/>
  <c r="G93" i="17"/>
  <c r="N93" i="17"/>
  <c r="F93" i="17"/>
  <c r="M93" i="17"/>
  <c r="E93" i="17"/>
  <c r="L93" i="17"/>
  <c r="D93" i="17"/>
  <c r="I93" i="17"/>
  <c r="C93" i="17"/>
  <c r="A93" i="17"/>
  <c r="K93" i="17"/>
  <c r="J93" i="17"/>
  <c r="N84" i="17"/>
  <c r="F84" i="17"/>
  <c r="M84" i="17"/>
  <c r="E84" i="17"/>
  <c r="L84" i="17"/>
  <c r="D84" i="17"/>
  <c r="K84" i="17"/>
  <c r="C84" i="17"/>
  <c r="J84" i="17"/>
  <c r="G84" i="17"/>
  <c r="A84" i="17"/>
  <c r="I84" i="17"/>
  <c r="H84" i="17"/>
  <c r="L67" i="17"/>
  <c r="D67" i="17"/>
  <c r="K67" i="17"/>
  <c r="C67" i="17"/>
  <c r="J67" i="17"/>
  <c r="I67" i="17"/>
  <c r="A67" i="17"/>
  <c r="H67" i="17"/>
  <c r="G67" i="17"/>
  <c r="F67" i="17"/>
  <c r="E67" i="17"/>
  <c r="N67" i="17"/>
  <c r="M67" i="17"/>
  <c r="H289" i="17"/>
  <c r="G289" i="17"/>
  <c r="N289" i="17"/>
  <c r="F289" i="17"/>
  <c r="E289" i="17"/>
  <c r="L289" i="17"/>
  <c r="D289" i="17"/>
  <c r="J289" i="17"/>
  <c r="K289" i="17"/>
  <c r="M289" i="17" s="1"/>
  <c r="I289" i="17"/>
  <c r="C289" i="17"/>
  <c r="A289" i="17"/>
  <c r="H11" i="17"/>
  <c r="G11" i="17"/>
  <c r="N11" i="17"/>
  <c r="F11" i="17"/>
  <c r="M11" i="17"/>
  <c r="E11" i="17"/>
  <c r="L11" i="17"/>
  <c r="D11" i="17"/>
  <c r="J11" i="17"/>
  <c r="K11" i="17"/>
  <c r="I11" i="17"/>
  <c r="A11" i="17"/>
  <c r="C11" i="17"/>
  <c r="N38" i="17"/>
  <c r="F38" i="17"/>
  <c r="E38" i="17"/>
  <c r="L38" i="17"/>
  <c r="D38" i="17"/>
  <c r="K38" i="17"/>
  <c r="M38" i="17" s="1"/>
  <c r="C38" i="17"/>
  <c r="J38" i="17"/>
  <c r="H38" i="17"/>
  <c r="G38" i="17"/>
  <c r="I38" i="17"/>
  <c r="A38" i="17"/>
  <c r="N80" i="17"/>
  <c r="F80" i="17"/>
  <c r="M80" i="17"/>
  <c r="E80" i="17"/>
  <c r="L80" i="17"/>
  <c r="D80" i="17"/>
  <c r="K80" i="17"/>
  <c r="C80" i="17"/>
  <c r="J80" i="17"/>
  <c r="I80" i="17"/>
  <c r="H80" i="17"/>
  <c r="A80" i="17"/>
  <c r="G80" i="17"/>
  <c r="L413" i="18"/>
  <c r="J413" i="18"/>
  <c r="L212" i="18"/>
  <c r="J212" i="18"/>
  <c r="I64" i="18"/>
  <c r="J129" i="18"/>
  <c r="L129" i="18"/>
  <c r="J1001" i="18"/>
  <c r="L1001" i="18"/>
  <c r="I975" i="18"/>
  <c r="L271" i="17"/>
  <c r="D271" i="17"/>
  <c r="K271" i="17"/>
  <c r="M271" i="17" s="1"/>
  <c r="C271" i="17"/>
  <c r="J271" i="17"/>
  <c r="I271" i="17"/>
  <c r="A271" i="17"/>
  <c r="H271" i="17"/>
  <c r="N271" i="17"/>
  <c r="F271" i="17"/>
  <c r="G271" i="17"/>
  <c r="E271" i="17"/>
  <c r="J262" i="17"/>
  <c r="I262" i="17"/>
  <c r="A262" i="17"/>
  <c r="H262" i="17"/>
  <c r="G262" i="17"/>
  <c r="N262" i="17"/>
  <c r="F262" i="17"/>
  <c r="L262" i="17"/>
  <c r="D262" i="17"/>
  <c r="E262" i="17"/>
  <c r="C262" i="17"/>
  <c r="M262" i="17"/>
  <c r="K262" i="17"/>
  <c r="H213" i="17"/>
  <c r="G213" i="17"/>
  <c r="N213" i="17"/>
  <c r="F213" i="17"/>
  <c r="E213" i="17"/>
  <c r="L213" i="17"/>
  <c r="D213" i="17"/>
  <c r="J213" i="17"/>
  <c r="K213" i="17"/>
  <c r="M213" i="17" s="1"/>
  <c r="I213" i="17"/>
  <c r="C213" i="17"/>
  <c r="A213" i="17"/>
  <c r="N204" i="17"/>
  <c r="F204" i="17"/>
  <c r="E204" i="17"/>
  <c r="L204" i="17"/>
  <c r="D204" i="17"/>
  <c r="K204" i="17"/>
  <c r="M204" i="17" s="1"/>
  <c r="C204" i="17"/>
  <c r="J204" i="17"/>
  <c r="H204" i="17"/>
  <c r="I204" i="17"/>
  <c r="G204" i="17"/>
  <c r="A204" i="17"/>
  <c r="L187" i="17"/>
  <c r="D187" i="17"/>
  <c r="K187" i="17"/>
  <c r="C187" i="17"/>
  <c r="J187" i="17"/>
  <c r="I187" i="17"/>
  <c r="A187" i="17"/>
  <c r="H187" i="17"/>
  <c r="N187" i="17"/>
  <c r="M187" i="17"/>
  <c r="G187" i="17"/>
  <c r="F187" i="17"/>
  <c r="E187" i="17"/>
  <c r="J170" i="17"/>
  <c r="I170" i="17"/>
  <c r="A170" i="17"/>
  <c r="H170" i="17"/>
  <c r="G170" i="17"/>
  <c r="N170" i="17"/>
  <c r="F170" i="17"/>
  <c r="L170" i="17"/>
  <c r="K170" i="17"/>
  <c r="M170" i="17" s="1"/>
  <c r="E170" i="17"/>
  <c r="C170" i="17"/>
  <c r="D170" i="17"/>
  <c r="N26" i="17"/>
  <c r="F26" i="17"/>
  <c r="M26" i="17"/>
  <c r="E26" i="17"/>
  <c r="L26" i="17"/>
  <c r="D26" i="17"/>
  <c r="K26" i="17"/>
  <c r="C26" i="17"/>
  <c r="J26" i="17"/>
  <c r="H26" i="17"/>
  <c r="G26" i="17"/>
  <c r="A26" i="17"/>
  <c r="I26" i="17"/>
  <c r="N72" i="17"/>
  <c r="F72" i="17"/>
  <c r="M72" i="17"/>
  <c r="E72" i="17"/>
  <c r="L72" i="17"/>
  <c r="D72" i="17"/>
  <c r="K72" i="17"/>
  <c r="C72" i="17"/>
  <c r="J72" i="17"/>
  <c r="A72" i="17"/>
  <c r="H72" i="17"/>
  <c r="G72" i="17"/>
  <c r="I72" i="17"/>
  <c r="H15" i="17"/>
  <c r="G15" i="17"/>
  <c r="N15" i="17"/>
  <c r="F15" i="17"/>
  <c r="E15" i="17"/>
  <c r="L15" i="17"/>
  <c r="D15" i="17"/>
  <c r="J15" i="17"/>
  <c r="A15" i="17"/>
  <c r="I15" i="17"/>
  <c r="C15" i="17"/>
  <c r="K15" i="17"/>
  <c r="M15" i="17" s="1"/>
  <c r="L13" i="16"/>
  <c r="L11" i="18"/>
  <c r="J11" i="18"/>
  <c r="I269" i="18"/>
  <c r="I343" i="18"/>
  <c r="J977" i="18"/>
  <c r="L977" i="18"/>
  <c r="I727" i="18"/>
  <c r="O202" i="19"/>
  <c r="G202" i="19"/>
  <c r="N202" i="19"/>
  <c r="F202" i="19"/>
  <c r="M202" i="19"/>
  <c r="E202" i="19"/>
  <c r="L202" i="19"/>
  <c r="D202" i="19"/>
  <c r="S202" i="19"/>
  <c r="K202" i="19"/>
  <c r="C202" i="19"/>
  <c r="Q202" i="19"/>
  <c r="I202" i="19"/>
  <c r="A202" i="19"/>
  <c r="J202" i="19"/>
  <c r="H202" i="19"/>
  <c r="R202" i="19"/>
  <c r="P202" i="19"/>
  <c r="R193" i="19"/>
  <c r="J193" i="19"/>
  <c r="Q193" i="19"/>
  <c r="I193" i="19"/>
  <c r="A193" i="19"/>
  <c r="P193" i="19"/>
  <c r="H193" i="19"/>
  <c r="N193" i="19"/>
  <c r="F193" i="19"/>
  <c r="L193" i="19"/>
  <c r="D193" i="19"/>
  <c r="S193" i="19"/>
  <c r="O193" i="19"/>
  <c r="M193" i="19"/>
  <c r="K193" i="19"/>
  <c r="E193" i="19"/>
  <c r="G193" i="19"/>
  <c r="C193" i="19"/>
  <c r="Q144" i="19"/>
  <c r="I144" i="19"/>
  <c r="A144" i="19"/>
  <c r="P144" i="19"/>
  <c r="H144" i="19"/>
  <c r="O144" i="19"/>
  <c r="G144" i="19"/>
  <c r="N144" i="19"/>
  <c r="F144" i="19"/>
  <c r="M144" i="19"/>
  <c r="E144" i="19"/>
  <c r="S144" i="19"/>
  <c r="K144" i="19"/>
  <c r="C144" i="19"/>
  <c r="L144" i="19"/>
  <c r="J144" i="19"/>
  <c r="D144" i="19"/>
  <c r="R144" i="19"/>
  <c r="L135" i="19"/>
  <c r="D135" i="19"/>
  <c r="S135" i="19"/>
  <c r="K135" i="19"/>
  <c r="C135" i="19"/>
  <c r="R135" i="19"/>
  <c r="J135" i="19"/>
  <c r="Q135" i="19"/>
  <c r="I135" i="19"/>
  <c r="A135" i="19"/>
  <c r="P135" i="19"/>
  <c r="H135" i="19"/>
  <c r="N135" i="19"/>
  <c r="F135" i="19"/>
  <c r="O135" i="19"/>
  <c r="M135" i="19"/>
  <c r="G135" i="19"/>
  <c r="E135" i="19"/>
  <c r="O118" i="19"/>
  <c r="G118" i="19"/>
  <c r="N118" i="19"/>
  <c r="F118" i="19"/>
  <c r="M118" i="19"/>
  <c r="E118" i="19"/>
  <c r="L118" i="19"/>
  <c r="D118" i="19"/>
  <c r="S118" i="19"/>
  <c r="K118" i="19"/>
  <c r="C118" i="19"/>
  <c r="Q118" i="19"/>
  <c r="I118" i="19"/>
  <c r="A118" i="19"/>
  <c r="R118" i="19"/>
  <c r="P118" i="19"/>
  <c r="J118" i="19"/>
  <c r="H118" i="19"/>
  <c r="R101" i="19"/>
  <c r="J101" i="19"/>
  <c r="Q101" i="19"/>
  <c r="I101" i="19"/>
  <c r="A101" i="19"/>
  <c r="P101" i="19"/>
  <c r="H101" i="19"/>
  <c r="O101" i="19"/>
  <c r="G101" i="19"/>
  <c r="N101" i="19"/>
  <c r="F101" i="19"/>
  <c r="L101" i="19"/>
  <c r="D101" i="19"/>
  <c r="S101" i="19"/>
  <c r="M101" i="19"/>
  <c r="E101" i="19"/>
  <c r="K101" i="19"/>
  <c r="C101" i="19"/>
  <c r="P163" i="19"/>
  <c r="H163" i="19"/>
  <c r="O163" i="19"/>
  <c r="G163" i="19"/>
  <c r="N163" i="19"/>
  <c r="F163" i="19"/>
  <c r="M163" i="19"/>
  <c r="E163" i="19"/>
  <c r="L163" i="19"/>
  <c r="D163" i="19"/>
  <c r="R163" i="19"/>
  <c r="J163" i="19"/>
  <c r="C163" i="19"/>
  <c r="A163" i="19"/>
  <c r="S163" i="19"/>
  <c r="K163" i="19"/>
  <c r="Q163" i="19"/>
  <c r="I163" i="19"/>
  <c r="M100" i="19"/>
  <c r="E100" i="19"/>
  <c r="L100" i="19"/>
  <c r="D100" i="19"/>
  <c r="S100" i="19"/>
  <c r="K100" i="19"/>
  <c r="C100" i="19"/>
  <c r="R100" i="19"/>
  <c r="J100" i="19"/>
  <c r="Q100" i="19"/>
  <c r="I100" i="19"/>
  <c r="A100" i="19"/>
  <c r="O100" i="19"/>
  <c r="G100" i="19"/>
  <c r="P100" i="19"/>
  <c r="N100" i="19"/>
  <c r="H100" i="19"/>
  <c r="F100" i="19"/>
  <c r="N57" i="19"/>
  <c r="F57" i="19"/>
  <c r="M57" i="19"/>
  <c r="E57" i="19"/>
  <c r="Q57" i="19"/>
  <c r="G57" i="19"/>
  <c r="P57" i="19"/>
  <c r="D57" i="19"/>
  <c r="O57" i="19"/>
  <c r="C57" i="19"/>
  <c r="L57" i="19"/>
  <c r="K57" i="19"/>
  <c r="A57" i="19"/>
  <c r="S57" i="19"/>
  <c r="I57" i="19"/>
  <c r="J57" i="19"/>
  <c r="R57" i="19"/>
  <c r="H57" i="19"/>
  <c r="L219" i="19"/>
  <c r="D219" i="19"/>
  <c r="S219" i="19"/>
  <c r="K219" i="19"/>
  <c r="C219" i="19"/>
  <c r="R219" i="19"/>
  <c r="J219" i="19"/>
  <c r="Q219" i="19"/>
  <c r="I219" i="19"/>
  <c r="A219" i="19"/>
  <c r="P219" i="19"/>
  <c r="H219" i="19"/>
  <c r="N219" i="19"/>
  <c r="F219" i="19"/>
  <c r="G219" i="19"/>
  <c r="E219" i="19"/>
  <c r="O219" i="19"/>
  <c r="M219" i="19"/>
  <c r="L211" i="18"/>
  <c r="J211" i="18"/>
  <c r="I75" i="18"/>
  <c r="J254" i="18"/>
  <c r="L254" i="18"/>
  <c r="J718" i="18"/>
  <c r="L718" i="18"/>
  <c r="I919" i="18"/>
  <c r="I800" i="18"/>
  <c r="I331" i="18"/>
  <c r="I539" i="18"/>
  <c r="I828" i="18"/>
  <c r="I203" i="18"/>
  <c r="I555" i="18"/>
  <c r="I152" i="18"/>
  <c r="I794" i="18"/>
  <c r="I864" i="18"/>
  <c r="J118" i="17"/>
  <c r="I118" i="17"/>
  <c r="A118" i="17"/>
  <c r="H118" i="17"/>
  <c r="G118" i="17"/>
  <c r="N118" i="17"/>
  <c r="F118" i="17"/>
  <c r="M118" i="17"/>
  <c r="L118" i="17"/>
  <c r="K118" i="17"/>
  <c r="D118" i="17"/>
  <c r="E118" i="17"/>
  <c r="C118" i="17"/>
  <c r="L255" i="17"/>
  <c r="D255" i="17"/>
  <c r="K255" i="17"/>
  <c r="M255" i="17" s="1"/>
  <c r="C255" i="17"/>
  <c r="J255" i="17"/>
  <c r="I255" i="17"/>
  <c r="A255" i="17"/>
  <c r="H255" i="17"/>
  <c r="N255" i="17"/>
  <c r="F255" i="17"/>
  <c r="G255" i="17"/>
  <c r="E255" i="17"/>
  <c r="J20" i="17"/>
  <c r="I20" i="17"/>
  <c r="A20" i="17"/>
  <c r="H20" i="17"/>
  <c r="G20" i="17"/>
  <c r="N20" i="17"/>
  <c r="F20" i="17"/>
  <c r="L20" i="17"/>
  <c r="D20" i="17"/>
  <c r="K20" i="17"/>
  <c r="M20" i="17" s="1"/>
  <c r="C20" i="17"/>
  <c r="E20" i="17"/>
  <c r="J40" i="17"/>
  <c r="I40" i="17"/>
  <c r="A40" i="17"/>
  <c r="H40" i="17"/>
  <c r="G40" i="17"/>
  <c r="N40" i="17"/>
  <c r="F40" i="17"/>
  <c r="L40" i="17"/>
  <c r="D40" i="17"/>
  <c r="C40" i="17"/>
  <c r="K40" i="17"/>
  <c r="M40" i="17" s="1"/>
  <c r="E40" i="17"/>
  <c r="L50" i="18"/>
  <c r="J50" i="18"/>
  <c r="J542" i="18"/>
  <c r="L542" i="18"/>
  <c r="J17" i="18"/>
  <c r="L17" i="18"/>
  <c r="L483" i="18"/>
  <c r="J483" i="18"/>
  <c r="L282" i="18"/>
  <c r="J282" i="18"/>
  <c r="L359" i="18"/>
  <c r="J359" i="18"/>
  <c r="J487" i="18"/>
  <c r="L487" i="18"/>
  <c r="L325" i="18"/>
  <c r="J325" i="18"/>
  <c r="L943" i="18"/>
  <c r="J943" i="18"/>
  <c r="M52" i="19"/>
  <c r="E52" i="19"/>
  <c r="L52" i="19"/>
  <c r="D52" i="19"/>
  <c r="P52" i="19"/>
  <c r="F52" i="19"/>
  <c r="O52" i="19"/>
  <c r="C52" i="19"/>
  <c r="N52" i="19"/>
  <c r="K52" i="19"/>
  <c r="A52" i="19"/>
  <c r="J52" i="19"/>
  <c r="R52" i="19"/>
  <c r="H52" i="19"/>
  <c r="I52" i="19"/>
  <c r="G52" i="19"/>
  <c r="S52" i="19"/>
  <c r="Q52" i="19"/>
  <c r="J302" i="17"/>
  <c r="I302" i="17"/>
  <c r="A302" i="17"/>
  <c r="H302" i="17"/>
  <c r="G302" i="17"/>
  <c r="N302" i="17"/>
  <c r="F302" i="17"/>
  <c r="M302" i="17"/>
  <c r="E302" i="17"/>
  <c r="L302" i="17"/>
  <c r="D302" i="17"/>
  <c r="K302" i="17"/>
  <c r="C302" i="17"/>
  <c r="H253" i="17"/>
  <c r="G253" i="17"/>
  <c r="N253" i="17"/>
  <c r="F253" i="17"/>
  <c r="M253" i="17"/>
  <c r="E253" i="17"/>
  <c r="L253" i="17"/>
  <c r="D253" i="17"/>
  <c r="J253" i="17"/>
  <c r="C253" i="17"/>
  <c r="A253" i="17"/>
  <c r="K253" i="17"/>
  <c r="I253" i="17"/>
  <c r="N244" i="17"/>
  <c r="F244" i="17"/>
  <c r="E244" i="17"/>
  <c r="L244" i="17"/>
  <c r="D244" i="17"/>
  <c r="K244" i="17"/>
  <c r="M244" i="17" s="1"/>
  <c r="C244" i="17"/>
  <c r="J244" i="17"/>
  <c r="H244" i="17"/>
  <c r="A244" i="17"/>
  <c r="I244" i="17"/>
  <c r="G244" i="17"/>
  <c r="L227" i="17"/>
  <c r="D227" i="17"/>
  <c r="K227" i="17"/>
  <c r="C227" i="17"/>
  <c r="J227" i="17"/>
  <c r="I227" i="17"/>
  <c r="A227" i="17"/>
  <c r="H227" i="17"/>
  <c r="N227" i="17"/>
  <c r="F227" i="17"/>
  <c r="M227" i="17"/>
  <c r="G227" i="17"/>
  <c r="E227" i="17"/>
  <c r="J210" i="17"/>
  <c r="I210" i="17"/>
  <c r="A210" i="17"/>
  <c r="H210" i="17"/>
  <c r="G210" i="17"/>
  <c r="N210" i="17"/>
  <c r="F210" i="17"/>
  <c r="L210" i="17"/>
  <c r="D210" i="17"/>
  <c r="E210" i="17"/>
  <c r="K210" i="17"/>
  <c r="M210" i="17" s="1"/>
  <c r="C210" i="17"/>
  <c r="H193" i="17"/>
  <c r="G193" i="17"/>
  <c r="N193" i="17"/>
  <c r="F193" i="17"/>
  <c r="E193" i="17"/>
  <c r="L193" i="17"/>
  <c r="D193" i="17"/>
  <c r="K193" i="17"/>
  <c r="M193" i="17" s="1"/>
  <c r="J193" i="17"/>
  <c r="I193" i="17"/>
  <c r="C193" i="17"/>
  <c r="A193" i="17"/>
  <c r="N304" i="17"/>
  <c r="F304" i="17"/>
  <c r="M304" i="17"/>
  <c r="E304" i="17"/>
  <c r="L304" i="17"/>
  <c r="D304" i="17"/>
  <c r="K304" i="17"/>
  <c r="C304" i="17"/>
  <c r="J304" i="17"/>
  <c r="I304" i="17"/>
  <c r="A304" i="17"/>
  <c r="H304" i="17"/>
  <c r="G304" i="17"/>
  <c r="H121" i="17"/>
  <c r="G121" i="17"/>
  <c r="N121" i="17"/>
  <c r="F121" i="17"/>
  <c r="M121" i="17"/>
  <c r="E121" i="17"/>
  <c r="L121" i="17"/>
  <c r="D121" i="17"/>
  <c r="A121" i="17"/>
  <c r="K121" i="17"/>
  <c r="J121" i="17"/>
  <c r="C121" i="17"/>
  <c r="I121" i="17"/>
  <c r="N272" i="17"/>
  <c r="F272" i="17"/>
  <c r="E272" i="17"/>
  <c r="L272" i="17"/>
  <c r="D272" i="17"/>
  <c r="K272" i="17"/>
  <c r="M272" i="17" s="1"/>
  <c r="C272" i="17"/>
  <c r="J272" i="17"/>
  <c r="H272" i="17"/>
  <c r="I272" i="17"/>
  <c r="A272" i="17"/>
  <c r="G272" i="17"/>
  <c r="J582" i="18"/>
  <c r="L582" i="18"/>
  <c r="J678" i="18"/>
  <c r="L678" i="18"/>
  <c r="L330" i="18"/>
  <c r="J330" i="18"/>
  <c r="J821" i="18"/>
  <c r="L821" i="18"/>
  <c r="L822" i="18"/>
  <c r="J822" i="18"/>
  <c r="L946" i="18"/>
  <c r="J946" i="18"/>
  <c r="L111" i="17"/>
  <c r="D111" i="17"/>
  <c r="K111" i="17"/>
  <c r="C111" i="17"/>
  <c r="J111" i="17"/>
  <c r="I111" i="17"/>
  <c r="A111" i="17"/>
  <c r="H111" i="17"/>
  <c r="M111" i="17"/>
  <c r="G111" i="17"/>
  <c r="F111" i="17"/>
  <c r="E111" i="17"/>
  <c r="N111" i="17"/>
  <c r="J102" i="17"/>
  <c r="I102" i="17"/>
  <c r="A102" i="17"/>
  <c r="H102" i="17"/>
  <c r="G102" i="17"/>
  <c r="N102" i="17"/>
  <c r="F102" i="17"/>
  <c r="K102" i="17"/>
  <c r="E102" i="17"/>
  <c r="D102" i="17"/>
  <c r="C102" i="17"/>
  <c r="M102" i="17"/>
  <c r="L102" i="17"/>
  <c r="N300" i="17"/>
  <c r="F300" i="17"/>
  <c r="E300" i="17"/>
  <c r="L300" i="17"/>
  <c r="D300" i="17"/>
  <c r="K300" i="17"/>
  <c r="M300" i="17" s="1"/>
  <c r="C300" i="17"/>
  <c r="J300" i="17"/>
  <c r="I300" i="17"/>
  <c r="A300" i="17"/>
  <c r="H300" i="17"/>
  <c r="G300" i="17"/>
  <c r="L283" i="17"/>
  <c r="D283" i="17"/>
  <c r="K283" i="17"/>
  <c r="C283" i="17"/>
  <c r="J283" i="17"/>
  <c r="I283" i="17"/>
  <c r="A283" i="17"/>
  <c r="H283" i="17"/>
  <c r="N283" i="17"/>
  <c r="F283" i="17"/>
  <c r="G283" i="17"/>
  <c r="M283" i="17"/>
  <c r="E283" i="17"/>
  <c r="J266" i="17"/>
  <c r="I266" i="17"/>
  <c r="A266" i="17"/>
  <c r="H266" i="17"/>
  <c r="G266" i="17"/>
  <c r="N266" i="17"/>
  <c r="F266" i="17"/>
  <c r="L266" i="17"/>
  <c r="D266" i="17"/>
  <c r="K266" i="17"/>
  <c r="M266" i="17" s="1"/>
  <c r="E266" i="17"/>
  <c r="C266" i="17"/>
  <c r="H249" i="17"/>
  <c r="G249" i="17"/>
  <c r="N249" i="17"/>
  <c r="F249" i="17"/>
  <c r="M249" i="17"/>
  <c r="E249" i="17"/>
  <c r="L249" i="17"/>
  <c r="D249" i="17"/>
  <c r="J249" i="17"/>
  <c r="K249" i="17"/>
  <c r="C249" i="17"/>
  <c r="I249" i="17"/>
  <c r="A249" i="17"/>
  <c r="J36" i="17"/>
  <c r="I36" i="17"/>
  <c r="A36" i="17"/>
  <c r="H36" i="17"/>
  <c r="G36" i="17"/>
  <c r="N36" i="17"/>
  <c r="F36" i="17"/>
  <c r="L36" i="17"/>
  <c r="D36" i="17"/>
  <c r="K36" i="17"/>
  <c r="M36" i="17" s="1"/>
  <c r="C36" i="17"/>
  <c r="E36" i="17"/>
  <c r="N14" i="17"/>
  <c r="F14" i="17"/>
  <c r="M14" i="17"/>
  <c r="E14" i="17"/>
  <c r="L14" i="17"/>
  <c r="D14" i="17"/>
  <c r="K14" i="17"/>
  <c r="C14" i="17"/>
  <c r="J14" i="17"/>
  <c r="H14" i="17"/>
  <c r="I14" i="17"/>
  <c r="G14" i="17"/>
  <c r="A14" i="17"/>
  <c r="L354" i="18"/>
  <c r="J354" i="18"/>
  <c r="L741" i="18"/>
  <c r="J741" i="18"/>
  <c r="P67" i="19"/>
  <c r="H67" i="19"/>
  <c r="O67" i="19"/>
  <c r="G67" i="19"/>
  <c r="N67" i="19"/>
  <c r="F67" i="19"/>
  <c r="M67" i="19"/>
  <c r="E67" i="19"/>
  <c r="L67" i="19"/>
  <c r="D67" i="19"/>
  <c r="R67" i="19"/>
  <c r="J67" i="19"/>
  <c r="C67" i="19"/>
  <c r="A67" i="19"/>
  <c r="S67" i="19"/>
  <c r="K67" i="19"/>
  <c r="Q67" i="19"/>
  <c r="I67" i="19"/>
  <c r="S106" i="19"/>
  <c r="K106" i="19"/>
  <c r="C106" i="19"/>
  <c r="R106" i="19"/>
  <c r="J106" i="19"/>
  <c r="Q106" i="19"/>
  <c r="I106" i="19"/>
  <c r="A106" i="19"/>
  <c r="P106" i="19"/>
  <c r="H106" i="19"/>
  <c r="O106" i="19"/>
  <c r="G106" i="19"/>
  <c r="M106" i="19"/>
  <c r="E106" i="19"/>
  <c r="N106" i="19"/>
  <c r="F106" i="19"/>
  <c r="L106" i="19"/>
  <c r="D106" i="19"/>
  <c r="L304" i="19"/>
  <c r="D304" i="19"/>
  <c r="S304" i="19"/>
  <c r="K304" i="19"/>
  <c r="C304" i="19"/>
  <c r="R304" i="19"/>
  <c r="J304" i="19"/>
  <c r="Q304" i="19"/>
  <c r="I304" i="19"/>
  <c r="A304" i="19"/>
  <c r="P304" i="19"/>
  <c r="H304" i="19"/>
  <c r="N304" i="19"/>
  <c r="F304" i="19"/>
  <c r="O304" i="19"/>
  <c r="M304" i="19"/>
  <c r="G304" i="19"/>
  <c r="E304" i="19"/>
  <c r="O295" i="19"/>
  <c r="G295" i="19"/>
  <c r="N295" i="19"/>
  <c r="F295" i="19"/>
  <c r="M295" i="19"/>
  <c r="E295" i="19"/>
  <c r="L295" i="19"/>
  <c r="D295" i="19"/>
  <c r="S295" i="19"/>
  <c r="Q295" i="19"/>
  <c r="I295" i="19"/>
  <c r="A295" i="19"/>
  <c r="H295" i="19"/>
  <c r="C295" i="19"/>
  <c r="R295" i="19"/>
  <c r="K295" i="19"/>
  <c r="P295" i="19"/>
  <c r="J295" i="19"/>
  <c r="S278" i="19"/>
  <c r="K278" i="19"/>
  <c r="C278" i="19"/>
  <c r="R278" i="19"/>
  <c r="J278" i="19"/>
  <c r="Q278" i="19"/>
  <c r="I278" i="19"/>
  <c r="A278" i="19"/>
  <c r="P278" i="19"/>
  <c r="H278" i="19"/>
  <c r="O278" i="19"/>
  <c r="G278" i="19"/>
  <c r="M278" i="19"/>
  <c r="E278" i="19"/>
  <c r="F278" i="19"/>
  <c r="D278" i="19"/>
  <c r="N278" i="19"/>
  <c r="L278" i="19"/>
  <c r="N261" i="19"/>
  <c r="F261" i="19"/>
  <c r="M261" i="19"/>
  <c r="E261" i="19"/>
  <c r="L261" i="19"/>
  <c r="D261" i="19"/>
  <c r="S261" i="19"/>
  <c r="K261" i="19"/>
  <c r="C261" i="19"/>
  <c r="R261" i="19"/>
  <c r="J261" i="19"/>
  <c r="P261" i="19"/>
  <c r="H261" i="19"/>
  <c r="I261" i="19"/>
  <c r="G261" i="19"/>
  <c r="A261" i="19"/>
  <c r="Q261" i="19"/>
  <c r="O261" i="19"/>
  <c r="Q244" i="19"/>
  <c r="I244" i="19"/>
  <c r="A244" i="19"/>
  <c r="P244" i="19"/>
  <c r="H244" i="19"/>
  <c r="O244" i="19"/>
  <c r="G244" i="19"/>
  <c r="N244" i="19"/>
  <c r="F244" i="19"/>
  <c r="M244" i="19"/>
  <c r="E244" i="19"/>
  <c r="S244" i="19"/>
  <c r="K244" i="19"/>
  <c r="C244" i="19"/>
  <c r="L244" i="19"/>
  <c r="J244" i="19"/>
  <c r="D244" i="19"/>
  <c r="R244" i="19"/>
  <c r="L195" i="19"/>
  <c r="D195" i="19"/>
  <c r="S195" i="19"/>
  <c r="K195" i="19"/>
  <c r="C195" i="19"/>
  <c r="R195" i="19"/>
  <c r="J195" i="19"/>
  <c r="P195" i="19"/>
  <c r="H195" i="19"/>
  <c r="N195" i="19"/>
  <c r="F195" i="19"/>
  <c r="E195" i="19"/>
  <c r="A195" i="19"/>
  <c r="Q195" i="19"/>
  <c r="O195" i="19"/>
  <c r="I195" i="19"/>
  <c r="M195" i="19"/>
  <c r="G195" i="19"/>
  <c r="M68" i="19"/>
  <c r="E68" i="19"/>
  <c r="L68" i="19"/>
  <c r="D68" i="19"/>
  <c r="S68" i="19"/>
  <c r="K68" i="19"/>
  <c r="C68" i="19"/>
  <c r="R68" i="19"/>
  <c r="J68" i="19"/>
  <c r="Q68" i="19"/>
  <c r="I68" i="19"/>
  <c r="A68" i="19"/>
  <c r="O68" i="19"/>
  <c r="G68" i="19"/>
  <c r="P68" i="19"/>
  <c r="N68" i="19"/>
  <c r="H68" i="19"/>
  <c r="F68" i="19"/>
  <c r="L156" i="18"/>
  <c r="J156" i="18"/>
  <c r="L309" i="18"/>
  <c r="J309" i="18"/>
  <c r="L908" i="18"/>
  <c r="J908" i="18"/>
  <c r="L314" i="18"/>
  <c r="J314" i="18"/>
  <c r="L575" i="18"/>
  <c r="J575" i="18"/>
  <c r="J853" i="18"/>
  <c r="L853" i="18"/>
  <c r="L902" i="18"/>
  <c r="J902" i="18"/>
  <c r="M92" i="19"/>
  <c r="E92" i="19"/>
  <c r="L92" i="19"/>
  <c r="D92" i="19"/>
  <c r="S92" i="19"/>
  <c r="K92" i="19"/>
  <c r="C92" i="19"/>
  <c r="R92" i="19"/>
  <c r="J92" i="19"/>
  <c r="Q92" i="19"/>
  <c r="I92" i="19"/>
  <c r="A92" i="19"/>
  <c r="O92" i="19"/>
  <c r="G92" i="19"/>
  <c r="H92" i="19"/>
  <c r="F92" i="19"/>
  <c r="P92" i="19"/>
  <c r="N92" i="19"/>
  <c r="S98" i="19"/>
  <c r="K98" i="19"/>
  <c r="C98" i="19"/>
  <c r="R98" i="19"/>
  <c r="J98" i="19"/>
  <c r="Q98" i="19"/>
  <c r="I98" i="19"/>
  <c r="A98" i="19"/>
  <c r="P98" i="19"/>
  <c r="H98" i="19"/>
  <c r="O98" i="19"/>
  <c r="G98" i="19"/>
  <c r="M98" i="19"/>
  <c r="E98" i="19"/>
  <c r="N98" i="19"/>
  <c r="L98" i="19"/>
  <c r="F98" i="19"/>
  <c r="D98" i="19"/>
  <c r="L296" i="19"/>
  <c r="D296" i="19"/>
  <c r="S296" i="19"/>
  <c r="K296" i="19"/>
  <c r="C296" i="19"/>
  <c r="R296" i="19"/>
  <c r="J296" i="19"/>
  <c r="Q296" i="19"/>
  <c r="I296" i="19"/>
  <c r="A296" i="19"/>
  <c r="P296" i="19"/>
  <c r="H296" i="19"/>
  <c r="N296" i="19"/>
  <c r="F296" i="19"/>
  <c r="O296" i="19"/>
  <c r="M296" i="19"/>
  <c r="G296" i="19"/>
  <c r="E296" i="19"/>
  <c r="O287" i="19"/>
  <c r="G287" i="19"/>
  <c r="N287" i="19"/>
  <c r="F287" i="19"/>
  <c r="L287" i="19"/>
  <c r="K287" i="19"/>
  <c r="A287" i="19"/>
  <c r="J287" i="19"/>
  <c r="S287" i="19"/>
  <c r="I287" i="19"/>
  <c r="R287" i="19"/>
  <c r="H287" i="19"/>
  <c r="P287" i="19"/>
  <c r="D287" i="19"/>
  <c r="Q287" i="19"/>
  <c r="M287" i="19"/>
  <c r="E287" i="19"/>
  <c r="C287" i="19"/>
  <c r="S270" i="19"/>
  <c r="K270" i="19"/>
  <c r="C270" i="19"/>
  <c r="R270" i="19"/>
  <c r="J270" i="19"/>
  <c r="Q270" i="19"/>
  <c r="I270" i="19"/>
  <c r="A270" i="19"/>
  <c r="P270" i="19"/>
  <c r="H270" i="19"/>
  <c r="O270" i="19"/>
  <c r="G270" i="19"/>
  <c r="M270" i="19"/>
  <c r="E270" i="19"/>
  <c r="N270" i="19"/>
  <c r="F270" i="19"/>
  <c r="L270" i="19"/>
  <c r="D270" i="19"/>
  <c r="N253" i="19"/>
  <c r="F253" i="19"/>
  <c r="M253" i="19"/>
  <c r="E253" i="19"/>
  <c r="L253" i="19"/>
  <c r="D253" i="19"/>
  <c r="S253" i="19"/>
  <c r="K253" i="19"/>
  <c r="C253" i="19"/>
  <c r="R253" i="19"/>
  <c r="J253" i="19"/>
  <c r="P253" i="19"/>
  <c r="H253" i="19"/>
  <c r="A253" i="19"/>
  <c r="Q253" i="19"/>
  <c r="I253" i="19"/>
  <c r="O253" i="19"/>
  <c r="G253" i="19"/>
  <c r="Q236" i="19"/>
  <c r="I236" i="19"/>
  <c r="A236" i="19"/>
  <c r="P236" i="19"/>
  <c r="H236" i="19"/>
  <c r="O236" i="19"/>
  <c r="G236" i="19"/>
  <c r="N236" i="19"/>
  <c r="F236" i="19"/>
  <c r="M236" i="19"/>
  <c r="E236" i="19"/>
  <c r="S236" i="19"/>
  <c r="K236" i="19"/>
  <c r="C236" i="19"/>
  <c r="D236" i="19"/>
  <c r="L236" i="19"/>
  <c r="R236" i="19"/>
  <c r="J236" i="19"/>
  <c r="M76" i="19"/>
  <c r="E76" i="19"/>
  <c r="L76" i="19"/>
  <c r="D76" i="19"/>
  <c r="S76" i="19"/>
  <c r="K76" i="19"/>
  <c r="C76" i="19"/>
  <c r="R76" i="19"/>
  <c r="J76" i="19"/>
  <c r="Q76" i="19"/>
  <c r="I76" i="19"/>
  <c r="A76" i="19"/>
  <c r="O76" i="19"/>
  <c r="G76" i="19"/>
  <c r="P76" i="19"/>
  <c r="N76" i="19"/>
  <c r="H76" i="19"/>
  <c r="F76" i="19"/>
  <c r="L259" i="19"/>
  <c r="D259" i="19"/>
  <c r="S259" i="19"/>
  <c r="K259" i="19"/>
  <c r="C259" i="19"/>
  <c r="R259" i="19"/>
  <c r="J259" i="19"/>
  <c r="Q259" i="19"/>
  <c r="I259" i="19"/>
  <c r="A259" i="19"/>
  <c r="P259" i="19"/>
  <c r="H259" i="19"/>
  <c r="N259" i="19"/>
  <c r="F259" i="19"/>
  <c r="O259" i="19"/>
  <c r="M259" i="19"/>
  <c r="G259" i="19"/>
  <c r="E259" i="19"/>
  <c r="E11" i="19"/>
  <c r="G11" i="19" s="1"/>
  <c r="D11" i="19"/>
  <c r="C11" i="19"/>
  <c r="J11" i="19"/>
  <c r="I11" i="19"/>
  <c r="K11" i="19" s="1"/>
  <c r="L11" i="19" s="1"/>
  <c r="A11" i="19"/>
  <c r="F11" i="19"/>
  <c r="L101" i="18"/>
  <c r="J101" i="18"/>
  <c r="L493" i="18"/>
  <c r="J493" i="18"/>
  <c r="L647" i="18"/>
  <c r="J647" i="18"/>
  <c r="I846" i="18"/>
  <c r="L407" i="18"/>
  <c r="J407" i="18"/>
  <c r="R20" i="19"/>
  <c r="J20" i="19"/>
  <c r="Q20" i="19"/>
  <c r="I20" i="19"/>
  <c r="A20" i="19"/>
  <c r="P20" i="19"/>
  <c r="H20" i="19"/>
  <c r="O20" i="19"/>
  <c r="G20" i="19"/>
  <c r="N20" i="19"/>
  <c r="F20" i="19"/>
  <c r="L20" i="19"/>
  <c r="D20" i="19"/>
  <c r="S20" i="19"/>
  <c r="M20" i="19"/>
  <c r="E20" i="19"/>
  <c r="K20" i="19"/>
  <c r="C20" i="19"/>
  <c r="S154" i="19"/>
  <c r="K154" i="19"/>
  <c r="C154" i="19"/>
  <c r="R154" i="19"/>
  <c r="J154" i="19"/>
  <c r="Q154" i="19"/>
  <c r="I154" i="19"/>
  <c r="A154" i="19"/>
  <c r="P154" i="19"/>
  <c r="H154" i="19"/>
  <c r="O154" i="19"/>
  <c r="G154" i="19"/>
  <c r="M154" i="19"/>
  <c r="E154" i="19"/>
  <c r="N154" i="19"/>
  <c r="L154" i="19"/>
  <c r="F154" i="19"/>
  <c r="D154" i="19"/>
  <c r="N145" i="19"/>
  <c r="F145" i="19"/>
  <c r="M145" i="19"/>
  <c r="E145" i="19"/>
  <c r="L145" i="19"/>
  <c r="D145" i="19"/>
  <c r="S145" i="19"/>
  <c r="K145" i="19"/>
  <c r="C145" i="19"/>
  <c r="R145" i="19"/>
  <c r="J145" i="19"/>
  <c r="P145" i="19"/>
  <c r="H145" i="19"/>
  <c r="Q145" i="19"/>
  <c r="O145" i="19"/>
  <c r="I145" i="19"/>
  <c r="A145" i="19"/>
  <c r="G145" i="19"/>
  <c r="Q96" i="19"/>
  <c r="I96" i="19"/>
  <c r="A96" i="19"/>
  <c r="P96" i="19"/>
  <c r="H96" i="19"/>
  <c r="O96" i="19"/>
  <c r="G96" i="19"/>
  <c r="N96" i="19"/>
  <c r="F96" i="19"/>
  <c r="M96" i="19"/>
  <c r="E96" i="19"/>
  <c r="S96" i="19"/>
  <c r="K96" i="19"/>
  <c r="C96" i="19"/>
  <c r="R96" i="19"/>
  <c r="L96" i="19"/>
  <c r="D96" i="19"/>
  <c r="J96" i="19"/>
  <c r="L87" i="19"/>
  <c r="D87" i="19"/>
  <c r="S87" i="19"/>
  <c r="K87" i="19"/>
  <c r="C87" i="19"/>
  <c r="R87" i="19"/>
  <c r="J87" i="19"/>
  <c r="Q87" i="19"/>
  <c r="I87" i="19"/>
  <c r="A87" i="19"/>
  <c r="P87" i="19"/>
  <c r="H87" i="19"/>
  <c r="N87" i="19"/>
  <c r="F87" i="19"/>
  <c r="G87" i="19"/>
  <c r="E87" i="19"/>
  <c r="O87" i="19"/>
  <c r="M87" i="19"/>
  <c r="O70" i="19"/>
  <c r="G70" i="19"/>
  <c r="N70" i="19"/>
  <c r="F70" i="19"/>
  <c r="M70" i="19"/>
  <c r="E70" i="19"/>
  <c r="L70" i="19"/>
  <c r="D70" i="19"/>
  <c r="S70" i="19"/>
  <c r="K70" i="19"/>
  <c r="C70" i="19"/>
  <c r="Q70" i="19"/>
  <c r="I70" i="19"/>
  <c r="A70" i="19"/>
  <c r="J70" i="19"/>
  <c r="H70" i="19"/>
  <c r="R70" i="19"/>
  <c r="P70" i="19"/>
  <c r="P292" i="19"/>
  <c r="H292" i="19"/>
  <c r="O292" i="19"/>
  <c r="G292" i="19"/>
  <c r="R292" i="19"/>
  <c r="J292" i="19"/>
  <c r="N292" i="19"/>
  <c r="C292" i="19"/>
  <c r="M292" i="19"/>
  <c r="L292" i="19"/>
  <c r="A292" i="19"/>
  <c r="K292" i="19"/>
  <c r="I292" i="19"/>
  <c r="S292" i="19"/>
  <c r="E292" i="19"/>
  <c r="F292" i="19"/>
  <c r="D292" i="19"/>
  <c r="Q292" i="19"/>
  <c r="L14" i="19"/>
  <c r="D14" i="19"/>
  <c r="S14" i="19"/>
  <c r="K14" i="19"/>
  <c r="C14" i="19"/>
  <c r="R14" i="19"/>
  <c r="J14" i="19"/>
  <c r="Q14" i="19"/>
  <c r="I14" i="19"/>
  <c r="A14" i="19"/>
  <c r="P14" i="19"/>
  <c r="H14" i="19"/>
  <c r="N14" i="19"/>
  <c r="F14" i="19"/>
  <c r="O14" i="19"/>
  <c r="M14" i="19"/>
  <c r="G14" i="19"/>
  <c r="E14" i="19"/>
  <c r="S41" i="19"/>
  <c r="K41" i="19"/>
  <c r="C41" i="19"/>
  <c r="R41" i="19"/>
  <c r="J41" i="19"/>
  <c r="Q41" i="19"/>
  <c r="I41" i="19"/>
  <c r="A41" i="19"/>
  <c r="P41" i="19"/>
  <c r="H41" i="19"/>
  <c r="O41" i="19"/>
  <c r="G41" i="19"/>
  <c r="M41" i="19"/>
  <c r="E41" i="19"/>
  <c r="N41" i="19"/>
  <c r="L41" i="19"/>
  <c r="F41" i="19"/>
  <c r="D41" i="19"/>
  <c r="P83" i="19"/>
  <c r="H83" i="19"/>
  <c r="O83" i="19"/>
  <c r="G83" i="19"/>
  <c r="N83" i="19"/>
  <c r="F83" i="19"/>
  <c r="M83" i="19"/>
  <c r="E83" i="19"/>
  <c r="L83" i="19"/>
  <c r="D83" i="19"/>
  <c r="R83" i="19"/>
  <c r="J83" i="19"/>
  <c r="S83" i="19"/>
  <c r="Q83" i="19"/>
  <c r="K83" i="19"/>
  <c r="I83" i="19"/>
  <c r="C83" i="19"/>
  <c r="A83" i="19"/>
  <c r="L597" i="18"/>
  <c r="J597" i="18"/>
  <c r="L56" i="18"/>
  <c r="J56" i="18"/>
  <c r="J193" i="18"/>
  <c r="L193" i="18"/>
  <c r="L362" i="18"/>
  <c r="J362" i="18"/>
  <c r="L591" i="18"/>
  <c r="J591" i="18"/>
  <c r="L820" i="18"/>
  <c r="J820" i="18"/>
  <c r="I790" i="18"/>
  <c r="L938" i="18"/>
  <c r="J938" i="18"/>
  <c r="J816" i="18"/>
  <c r="L816" i="18"/>
  <c r="O274" i="19"/>
  <c r="G274" i="19"/>
  <c r="N274" i="19"/>
  <c r="F274" i="19"/>
  <c r="M274" i="19"/>
  <c r="E274" i="19"/>
  <c r="L274" i="19"/>
  <c r="D274" i="19"/>
  <c r="S274" i="19"/>
  <c r="K274" i="19"/>
  <c r="C274" i="19"/>
  <c r="Q274" i="19"/>
  <c r="I274" i="19"/>
  <c r="A274" i="19"/>
  <c r="R274" i="19"/>
  <c r="P274" i="19"/>
  <c r="J274" i="19"/>
  <c r="H274" i="19"/>
  <c r="R265" i="19"/>
  <c r="J265" i="19"/>
  <c r="Q265" i="19"/>
  <c r="I265" i="19"/>
  <c r="A265" i="19"/>
  <c r="P265" i="19"/>
  <c r="H265" i="19"/>
  <c r="O265" i="19"/>
  <c r="G265" i="19"/>
  <c r="N265" i="19"/>
  <c r="F265" i="19"/>
  <c r="L265" i="19"/>
  <c r="D265" i="19"/>
  <c r="S265" i="19"/>
  <c r="M265" i="19"/>
  <c r="E265" i="19"/>
  <c r="K265" i="19"/>
  <c r="C265" i="19"/>
  <c r="M216" i="19"/>
  <c r="E216" i="19"/>
  <c r="L216" i="19"/>
  <c r="D216" i="19"/>
  <c r="S216" i="19"/>
  <c r="K216" i="19"/>
  <c r="C216" i="19"/>
  <c r="R216" i="19"/>
  <c r="J216" i="19"/>
  <c r="Q216" i="19"/>
  <c r="I216" i="19"/>
  <c r="A216" i="19"/>
  <c r="O216" i="19"/>
  <c r="G216" i="19"/>
  <c r="P216" i="19"/>
  <c r="H216" i="19"/>
  <c r="N216" i="19"/>
  <c r="F216" i="19"/>
  <c r="P207" i="19"/>
  <c r="H207" i="19"/>
  <c r="O207" i="19"/>
  <c r="G207" i="19"/>
  <c r="N207" i="19"/>
  <c r="F207" i="19"/>
  <c r="M207" i="19"/>
  <c r="E207" i="19"/>
  <c r="L207" i="19"/>
  <c r="D207" i="19"/>
  <c r="R207" i="19"/>
  <c r="J207" i="19"/>
  <c r="K207" i="19"/>
  <c r="I207" i="19"/>
  <c r="C207" i="19"/>
  <c r="A207" i="19"/>
  <c r="S207" i="19"/>
  <c r="Q207" i="19"/>
  <c r="S190" i="19"/>
  <c r="K190" i="19"/>
  <c r="C190" i="19"/>
  <c r="R190" i="19"/>
  <c r="J190" i="19"/>
  <c r="Q190" i="19"/>
  <c r="I190" i="19"/>
  <c r="A190" i="19"/>
  <c r="O190" i="19"/>
  <c r="G190" i="19"/>
  <c r="M190" i="19"/>
  <c r="E190" i="19"/>
  <c r="N190" i="19"/>
  <c r="L190" i="19"/>
  <c r="H190" i="19"/>
  <c r="F190" i="19"/>
  <c r="D190" i="19"/>
  <c r="P190" i="19"/>
  <c r="N173" i="19"/>
  <c r="F173" i="19"/>
  <c r="M173" i="19"/>
  <c r="E173" i="19"/>
  <c r="L173" i="19"/>
  <c r="D173" i="19"/>
  <c r="R173" i="19"/>
  <c r="J173" i="19"/>
  <c r="P173" i="19"/>
  <c r="H173" i="19"/>
  <c r="Q173" i="19"/>
  <c r="O173" i="19"/>
  <c r="K173" i="19"/>
  <c r="I173" i="19"/>
  <c r="G173" i="19"/>
  <c r="A173" i="19"/>
  <c r="C173" i="19"/>
  <c r="S173" i="19"/>
  <c r="O29" i="19"/>
  <c r="G29" i="19"/>
  <c r="N29" i="19"/>
  <c r="F29" i="19"/>
  <c r="M29" i="19"/>
  <c r="E29" i="19"/>
  <c r="L29" i="19"/>
  <c r="D29" i="19"/>
  <c r="S29" i="19"/>
  <c r="K29" i="19"/>
  <c r="C29" i="19"/>
  <c r="Q29" i="19"/>
  <c r="I29" i="19"/>
  <c r="A29" i="19"/>
  <c r="R29" i="19"/>
  <c r="P29" i="19"/>
  <c r="J29" i="19"/>
  <c r="H29" i="19"/>
  <c r="P75" i="19"/>
  <c r="H75" i="19"/>
  <c r="O75" i="19"/>
  <c r="G75" i="19"/>
  <c r="N75" i="19"/>
  <c r="F75" i="19"/>
  <c r="M75" i="19"/>
  <c r="E75" i="19"/>
  <c r="L75" i="19"/>
  <c r="D75" i="19"/>
  <c r="R75" i="19"/>
  <c r="J75" i="19"/>
  <c r="K75" i="19"/>
  <c r="I75" i="19"/>
  <c r="C75" i="19"/>
  <c r="A75" i="19"/>
  <c r="S75" i="19"/>
  <c r="Q75" i="19"/>
  <c r="P18" i="19"/>
  <c r="H18" i="19"/>
  <c r="O18" i="19"/>
  <c r="G18" i="19"/>
  <c r="N18" i="19"/>
  <c r="F18" i="19"/>
  <c r="M18" i="19"/>
  <c r="E18" i="19"/>
  <c r="L18" i="19"/>
  <c r="D18" i="19"/>
  <c r="R18" i="19"/>
  <c r="J18" i="19"/>
  <c r="C18" i="19"/>
  <c r="A18" i="19"/>
  <c r="S18" i="19"/>
  <c r="K18" i="19"/>
  <c r="Q18" i="19"/>
  <c r="I18" i="19"/>
  <c r="L277" i="18"/>
  <c r="J277" i="18"/>
  <c r="L648" i="18"/>
  <c r="J648" i="18"/>
  <c r="L379" i="18"/>
  <c r="J379" i="18"/>
  <c r="J471" i="18"/>
  <c r="L471" i="18"/>
  <c r="L33" i="17"/>
  <c r="D33" i="17"/>
  <c r="K33" i="17"/>
  <c r="C33" i="17"/>
  <c r="J33" i="17"/>
  <c r="I33" i="17"/>
  <c r="A33" i="17"/>
  <c r="H33" i="17"/>
  <c r="N33" i="17"/>
  <c r="F33" i="17"/>
  <c r="E33" i="17"/>
  <c r="M33" i="17"/>
  <c r="G33" i="17"/>
  <c r="L135" i="17"/>
  <c r="D135" i="17"/>
  <c r="K135" i="17"/>
  <c r="C135" i="17"/>
  <c r="J135" i="17"/>
  <c r="I135" i="17"/>
  <c r="A135" i="17"/>
  <c r="H135" i="17"/>
  <c r="N135" i="17"/>
  <c r="M135" i="17"/>
  <c r="G135" i="17"/>
  <c r="F135" i="17"/>
  <c r="E135" i="17"/>
  <c r="J126" i="17"/>
  <c r="I126" i="17"/>
  <c r="A126" i="17"/>
  <c r="H126" i="17"/>
  <c r="G126" i="17"/>
  <c r="N126" i="17"/>
  <c r="F126" i="17"/>
  <c r="L126" i="17"/>
  <c r="K126" i="17"/>
  <c r="M126" i="17" s="1"/>
  <c r="E126" i="17"/>
  <c r="D126" i="17"/>
  <c r="C126" i="17"/>
  <c r="H77" i="17"/>
  <c r="G77" i="17"/>
  <c r="N77" i="17"/>
  <c r="F77" i="17"/>
  <c r="E77" i="17"/>
  <c r="L77" i="17"/>
  <c r="D77" i="17"/>
  <c r="K77" i="17"/>
  <c r="M77" i="17" s="1"/>
  <c r="J77" i="17"/>
  <c r="I77" i="17"/>
  <c r="A77" i="17"/>
  <c r="C77" i="17"/>
  <c r="N68" i="17"/>
  <c r="F68" i="17"/>
  <c r="M68" i="17"/>
  <c r="E68" i="17"/>
  <c r="L68" i="17"/>
  <c r="D68" i="17"/>
  <c r="K68" i="17"/>
  <c r="C68" i="17"/>
  <c r="J68" i="17"/>
  <c r="I68" i="17"/>
  <c r="H68" i="17"/>
  <c r="G68" i="17"/>
  <c r="A68" i="17"/>
  <c r="J290" i="17"/>
  <c r="I290" i="17"/>
  <c r="A290" i="17"/>
  <c r="H290" i="17"/>
  <c r="G290" i="17"/>
  <c r="N290" i="17"/>
  <c r="F290" i="17"/>
  <c r="L290" i="17"/>
  <c r="D290" i="17"/>
  <c r="E290" i="17"/>
  <c r="C290" i="17"/>
  <c r="K290" i="17"/>
  <c r="M290" i="17" s="1"/>
  <c r="H273" i="17"/>
  <c r="G273" i="17"/>
  <c r="N273" i="17"/>
  <c r="F273" i="17"/>
  <c r="E273" i="17"/>
  <c r="L273" i="17"/>
  <c r="D273" i="17"/>
  <c r="J273" i="17"/>
  <c r="K273" i="17"/>
  <c r="M273" i="17" s="1"/>
  <c r="I273" i="17"/>
  <c r="C273" i="17"/>
  <c r="A273" i="17"/>
  <c r="H27" i="17"/>
  <c r="G27" i="17"/>
  <c r="N27" i="17"/>
  <c r="F27" i="17"/>
  <c r="M27" i="17"/>
  <c r="E27" i="17"/>
  <c r="L27" i="17"/>
  <c r="D27" i="17"/>
  <c r="J27" i="17"/>
  <c r="K27" i="17"/>
  <c r="I27" i="17"/>
  <c r="A27" i="17"/>
  <c r="C27" i="17"/>
  <c r="H23" i="17"/>
  <c r="G23" i="17"/>
  <c r="N23" i="17"/>
  <c r="F23" i="17"/>
  <c r="M23" i="17"/>
  <c r="E23" i="17"/>
  <c r="L23" i="17"/>
  <c r="D23" i="17"/>
  <c r="J23" i="17"/>
  <c r="K23" i="17"/>
  <c r="I23" i="17"/>
  <c r="C23" i="17"/>
  <c r="A23" i="17"/>
  <c r="L123" i="18"/>
  <c r="J123" i="18"/>
  <c r="J99" i="18"/>
  <c r="L99" i="18"/>
  <c r="L93" i="18"/>
  <c r="J93" i="18"/>
  <c r="L565" i="18"/>
  <c r="J565" i="18"/>
  <c r="L472" i="18"/>
  <c r="J472" i="18"/>
  <c r="L443" i="18"/>
  <c r="J443" i="18"/>
  <c r="J942" i="18"/>
  <c r="L942" i="18"/>
  <c r="J786" i="18"/>
  <c r="L786" i="18"/>
  <c r="L671" i="18"/>
  <c r="J671" i="18"/>
  <c r="L984" i="18"/>
  <c r="J984" i="18"/>
  <c r="L983" i="18"/>
  <c r="J983" i="18"/>
  <c r="L451" i="18"/>
  <c r="J451" i="18"/>
  <c r="I163" i="18"/>
  <c r="I245" i="18"/>
  <c r="I216" i="18"/>
  <c r="I995" i="18"/>
  <c r="H9" i="19" l="1"/>
  <c r="S12" i="19"/>
  <c r="H12" i="19"/>
  <c r="H8" i="19"/>
  <c r="H13" i="19"/>
  <c r="L5" i="17"/>
  <c r="M5" i="17" s="1"/>
  <c r="N5" i="17" s="1"/>
  <c r="H12" i="18"/>
  <c r="I12" i="18" s="1"/>
  <c r="M8" i="19"/>
  <c r="O8" i="19" s="1"/>
  <c r="P8" i="19" s="1"/>
  <c r="H19" i="18"/>
  <c r="I19" i="18" s="1"/>
  <c r="H5" i="18"/>
  <c r="I5" i="18" s="1"/>
  <c r="L7" i="17"/>
  <c r="M7" i="17" s="1"/>
  <c r="N7" i="17" s="1"/>
  <c r="Q10" i="19" s="1"/>
  <c r="M10" i="19"/>
  <c r="O10" i="19" s="1"/>
  <c r="P10" i="19" s="1"/>
  <c r="S10" i="19" s="1"/>
  <c r="H7" i="18"/>
  <c r="I7" i="18" s="1"/>
  <c r="H14" i="18"/>
  <c r="I14" i="18" s="1"/>
  <c r="N10" i="17"/>
  <c r="Q13" i="19" s="1"/>
  <c r="S13" i="19" s="1"/>
  <c r="H11" i="19"/>
  <c r="M11" i="19"/>
  <c r="O11" i="19" s="1"/>
  <c r="L8" i="17"/>
  <c r="H15" i="18"/>
  <c r="I15" i="18" s="1"/>
  <c r="H21" i="18"/>
  <c r="I21" i="18" s="1"/>
  <c r="H8" i="18"/>
  <c r="I8" i="18" s="1"/>
  <c r="L9" i="17"/>
  <c r="M9" i="17" s="1"/>
  <c r="N9" i="17" s="1"/>
  <c r="Q12" i="19" s="1"/>
  <c r="M12" i="19"/>
  <c r="O12" i="19" s="1"/>
  <c r="P12" i="19" s="1"/>
  <c r="H22" i="18"/>
  <c r="I22" i="18" s="1"/>
  <c r="H16" i="18"/>
  <c r="I16" i="18" s="1"/>
  <c r="H9" i="18"/>
  <c r="I9" i="18" s="1"/>
  <c r="H13" i="18"/>
  <c r="I13" i="18" s="1"/>
  <c r="H6" i="18"/>
  <c r="I6" i="18" s="1"/>
  <c r="L6" i="17"/>
  <c r="M9" i="19"/>
  <c r="O9" i="19" s="1"/>
  <c r="P9" i="19" s="1"/>
  <c r="H20" i="18"/>
  <c r="I20" i="18" s="1"/>
  <c r="L10" i="17"/>
  <c r="M13" i="19"/>
  <c r="M8" i="17"/>
  <c r="H10" i="19"/>
  <c r="L75" i="18"/>
  <c r="J75" i="18"/>
  <c r="L862" i="18"/>
  <c r="J862" i="18"/>
  <c r="L631" i="18"/>
  <c r="J631" i="18"/>
  <c r="J463" i="18"/>
  <c r="L463" i="18"/>
  <c r="L794" i="18"/>
  <c r="J794" i="18"/>
  <c r="J800" i="18"/>
  <c r="L800" i="18"/>
  <c r="L343" i="18"/>
  <c r="J343" i="18"/>
  <c r="L338" i="18"/>
  <c r="J338" i="18"/>
  <c r="L693" i="18"/>
  <c r="J693" i="18"/>
  <c r="L259" i="18"/>
  <c r="J259" i="18"/>
  <c r="L346" i="18"/>
  <c r="J346" i="18"/>
  <c r="J62" i="18"/>
  <c r="L62" i="18"/>
  <c r="L830" i="18"/>
  <c r="J830" i="18"/>
  <c r="L377" i="18"/>
  <c r="J377" i="18"/>
  <c r="J479" i="18"/>
  <c r="L479" i="18"/>
  <c r="L615" i="18"/>
  <c r="J615" i="18"/>
  <c r="L968" i="18"/>
  <c r="J968" i="18"/>
  <c r="L870" i="18"/>
  <c r="J870" i="18"/>
  <c r="M6" i="17"/>
  <c r="N6" i="17" s="1"/>
  <c r="Q9" i="19" s="1"/>
  <c r="S9" i="19" s="1"/>
  <c r="L858" i="18"/>
  <c r="J858" i="18"/>
  <c r="L854" i="18"/>
  <c r="J854" i="18"/>
  <c r="L687" i="18"/>
  <c r="J687" i="18"/>
  <c r="L551" i="18"/>
  <c r="J551" i="18"/>
  <c r="L45" i="18"/>
  <c r="J45" i="18"/>
  <c r="J896" i="18"/>
  <c r="L896" i="18"/>
  <c r="L133" i="18"/>
  <c r="J133" i="18"/>
  <c r="L64" i="18"/>
  <c r="J64" i="18"/>
  <c r="L360" i="18"/>
  <c r="J360" i="18"/>
  <c r="L59" i="18"/>
  <c r="J59" i="18"/>
  <c r="L485" i="18"/>
  <c r="J485" i="18"/>
  <c r="L798" i="18"/>
  <c r="J798" i="18"/>
  <c r="J939" i="18"/>
  <c r="L939" i="18"/>
  <c r="L317" i="18"/>
  <c r="J317" i="18"/>
  <c r="L298" i="18"/>
  <c r="J298" i="18"/>
  <c r="J439" i="18"/>
  <c r="L439" i="18"/>
  <c r="L679" i="18"/>
  <c r="J679" i="18"/>
  <c r="L409" i="18"/>
  <c r="J409" i="18"/>
  <c r="L165" i="18"/>
  <c r="J165" i="18"/>
  <c r="J30" i="18"/>
  <c r="L30" i="18"/>
  <c r="L399" i="18"/>
  <c r="J399" i="18"/>
  <c r="L296" i="18"/>
  <c r="J296" i="18"/>
  <c r="L189" i="18"/>
  <c r="J189" i="18"/>
  <c r="L311" i="18"/>
  <c r="J311" i="18"/>
  <c r="L40" i="18"/>
  <c r="J40" i="18"/>
  <c r="L287" i="18"/>
  <c r="J287" i="18"/>
  <c r="L910" i="18"/>
  <c r="J910" i="18"/>
  <c r="L367" i="18"/>
  <c r="J367" i="18"/>
  <c r="L10" i="20"/>
  <c r="L331" i="18"/>
  <c r="J331" i="18"/>
  <c r="L48" i="18"/>
  <c r="J48" i="18"/>
  <c r="L547" i="18"/>
  <c r="J547" i="18"/>
  <c r="L467" i="18"/>
  <c r="J467" i="18"/>
  <c r="L970" i="18"/>
  <c r="J970" i="18"/>
  <c r="L919" i="18"/>
  <c r="J919" i="18"/>
  <c r="J995" i="18"/>
  <c r="L995" i="18"/>
  <c r="L555" i="18"/>
  <c r="J555" i="18"/>
  <c r="L975" i="18"/>
  <c r="J975" i="18"/>
  <c r="L511" i="18"/>
  <c r="J511" i="18"/>
  <c r="L219" i="18"/>
  <c r="J219" i="18"/>
  <c r="L70" i="18"/>
  <c r="J70" i="18"/>
  <c r="L571" i="18"/>
  <c r="J571" i="18"/>
  <c r="L427" i="18"/>
  <c r="J427" i="18"/>
  <c r="L567" i="18"/>
  <c r="J567" i="18"/>
  <c r="L559" i="18"/>
  <c r="J559" i="18"/>
  <c r="J423" i="18"/>
  <c r="L423" i="18"/>
  <c r="L944" i="18"/>
  <c r="J944" i="18"/>
  <c r="L449" i="18"/>
  <c r="J449" i="18"/>
  <c r="L924" i="18"/>
  <c r="J924" i="18"/>
  <c r="L599" i="18"/>
  <c r="J599" i="18"/>
  <c r="L335" i="18"/>
  <c r="J335" i="18"/>
  <c r="L251" i="18"/>
  <c r="J251" i="18"/>
  <c r="L788" i="18"/>
  <c r="J788" i="18"/>
  <c r="N13" i="19"/>
  <c r="P13" i="19" s="1"/>
  <c r="L806" i="18"/>
  <c r="J806" i="18"/>
  <c r="M10" i="17"/>
  <c r="L846" i="18"/>
  <c r="J846" i="18"/>
  <c r="L303" i="18"/>
  <c r="J303" i="18"/>
  <c r="L49" i="18"/>
  <c r="J49" i="18"/>
  <c r="L85" i="18"/>
  <c r="J85" i="18"/>
  <c r="L804" i="18"/>
  <c r="J804" i="18"/>
  <c r="L383" i="18"/>
  <c r="J383" i="18"/>
  <c r="J523" i="18"/>
  <c r="L523" i="18"/>
  <c r="L898" i="18"/>
  <c r="J898" i="18"/>
  <c r="L152" i="18"/>
  <c r="J152" i="18"/>
  <c r="L269" i="18"/>
  <c r="J269" i="18"/>
  <c r="L32" i="18"/>
  <c r="J32" i="18"/>
  <c r="L216" i="18"/>
  <c r="J216" i="18"/>
  <c r="L790" i="18"/>
  <c r="J790" i="18"/>
  <c r="L203" i="18"/>
  <c r="J203" i="18"/>
  <c r="N8" i="17"/>
  <c r="Q11" i="19" s="1"/>
  <c r="S11" i="19" s="1"/>
  <c r="L173" i="18"/>
  <c r="J173" i="18"/>
  <c r="L623" i="18"/>
  <c r="J623" i="18"/>
  <c r="L403" i="18"/>
  <c r="J403" i="18"/>
  <c r="L433" i="18"/>
  <c r="J433" i="18"/>
  <c r="L322" i="18"/>
  <c r="J322" i="18"/>
  <c r="L738" i="18"/>
  <c r="J738" i="18"/>
  <c r="L533" i="18"/>
  <c r="J533" i="18"/>
  <c r="L38" i="18"/>
  <c r="J38" i="18"/>
  <c r="L986" i="18"/>
  <c r="J986" i="18"/>
  <c r="L351" i="18"/>
  <c r="J351" i="18"/>
  <c r="L274" i="18"/>
  <c r="J274" i="18"/>
  <c r="L999" i="18"/>
  <c r="J999" i="18"/>
  <c r="L371" i="18"/>
  <c r="J371" i="18"/>
  <c r="L179" i="18"/>
  <c r="J179" i="18"/>
  <c r="L711" i="18"/>
  <c r="J711" i="18"/>
  <c r="L1002" i="18"/>
  <c r="J1002" i="18"/>
  <c r="L469" i="18"/>
  <c r="J469" i="18"/>
  <c r="L539" i="18"/>
  <c r="J539" i="18"/>
  <c r="L952" i="18"/>
  <c r="J952" i="18"/>
  <c r="L227" i="18"/>
  <c r="J227" i="18"/>
  <c r="J832" i="18"/>
  <c r="L832" i="18"/>
  <c r="L245" i="18"/>
  <c r="J245" i="18"/>
  <c r="L828" i="18"/>
  <c r="J828" i="18"/>
  <c r="L139" i="18"/>
  <c r="J139" i="18"/>
  <c r="L527" i="18"/>
  <c r="J527" i="18"/>
  <c r="L344" i="18"/>
  <c r="J344" i="18"/>
  <c r="L327" i="18"/>
  <c r="J327" i="18"/>
  <c r="J315" i="18"/>
  <c r="L315" i="18"/>
  <c r="L363" i="18"/>
  <c r="J363" i="18"/>
  <c r="L1000" i="18"/>
  <c r="J1000" i="18"/>
  <c r="L387" i="18"/>
  <c r="J387" i="18"/>
  <c r="J864" i="18"/>
  <c r="L864" i="18"/>
  <c r="L501" i="18"/>
  <c r="J501" i="18"/>
  <c r="L663" i="18"/>
  <c r="J663" i="18"/>
  <c r="L341" i="18"/>
  <c r="J341" i="18"/>
  <c r="L213" i="18"/>
  <c r="J213" i="18"/>
  <c r="L535" i="18"/>
  <c r="J535" i="18"/>
  <c r="L770" i="18"/>
  <c r="J770" i="18"/>
  <c r="L163" i="18"/>
  <c r="J163" i="18"/>
  <c r="N11" i="19"/>
  <c r="L727" i="18"/>
  <c r="J727" i="18"/>
  <c r="J499" i="18"/>
  <c r="L499" i="18"/>
  <c r="L365" i="18"/>
  <c r="J365" i="18"/>
  <c r="L732" i="18"/>
  <c r="J732" i="18"/>
  <c r="L994" i="18"/>
  <c r="J994" i="18"/>
  <c r="L728" i="18"/>
  <c r="J728" i="18"/>
  <c r="L712" i="18"/>
  <c r="J712" i="18"/>
  <c r="L978" i="18"/>
  <c r="J978" i="18"/>
  <c r="L932" i="18"/>
  <c r="J932" i="18"/>
  <c r="L954" i="18"/>
  <c r="J954" i="18"/>
  <c r="L280" i="18"/>
  <c r="J280" i="18"/>
  <c r="L415" i="18"/>
  <c r="J415" i="18"/>
  <c r="O13" i="19" l="1"/>
  <c r="R13" i="19" s="1"/>
  <c r="L22" i="18"/>
  <c r="M22" i="18" s="1"/>
  <c r="J22" i="18"/>
  <c r="L16" i="18"/>
  <c r="M16" i="18" s="1"/>
  <c r="J16" i="18"/>
  <c r="J20" i="18"/>
  <c r="L20" i="18"/>
  <c r="M20" i="18" s="1"/>
  <c r="R11" i="19"/>
  <c r="L5" i="18"/>
  <c r="M5" i="18" s="1"/>
  <c r="J5" i="18"/>
  <c r="P11" i="19"/>
  <c r="J19" i="18"/>
  <c r="L19" i="18"/>
  <c r="M19" i="18" s="1"/>
  <c r="R12" i="19"/>
  <c r="L8" i="18"/>
  <c r="M8" i="18" s="1"/>
  <c r="J8" i="18"/>
  <c r="R10" i="19"/>
  <c r="L6" i="18"/>
  <c r="M6" i="18" s="1"/>
  <c r="J6" i="18"/>
  <c r="J21" i="18"/>
  <c r="L21" i="18"/>
  <c r="M21" i="18" s="1"/>
  <c r="J12" i="18"/>
  <c r="L12" i="18"/>
  <c r="M12" i="18" s="1"/>
  <c r="P9" i="20" s="1"/>
  <c r="L13" i="18"/>
  <c r="M13" i="18" s="1"/>
  <c r="J13" i="18"/>
  <c r="L15" i="18"/>
  <c r="M15" i="18" s="1"/>
  <c r="J15" i="18"/>
  <c r="L14" i="18"/>
  <c r="M14" i="18" s="1"/>
  <c r="J14" i="18"/>
  <c r="M3" i="17"/>
  <c r="Q8" i="19"/>
  <c r="S8" i="19" s="1"/>
  <c r="R9" i="19"/>
  <c r="J9" i="18"/>
  <c r="L9" i="18"/>
  <c r="M9" i="18" s="1"/>
  <c r="L7" i="18"/>
  <c r="M7" i="18" s="1"/>
  <c r="J7" i="18"/>
  <c r="P10" i="20" l="1"/>
  <c r="Q9" i="20"/>
  <c r="S9" i="20" s="1"/>
  <c r="R9" i="20"/>
  <c r="R8" i="19"/>
  <c r="B4" i="19" s="1"/>
  <c r="L3" i="18"/>
  <c r="P8" i="20"/>
  <c r="Q8" i="20" l="1"/>
  <c r="S8" i="20" s="1"/>
  <c r="R8" i="20"/>
  <c r="Q10" i="20"/>
  <c r="S10" i="20" s="1"/>
  <c r="R10" i="20"/>
  <c r="B4"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BCQT</author>
  </authors>
  <commentList>
    <comment ref="C18" authorId="0" shapeId="0" xr:uid="{00000000-0006-0000-0300-000001000000}">
      <text>
        <r>
          <rPr>
            <sz val="11"/>
            <color theme="1"/>
            <rFont val="Arial"/>
            <family val="2"/>
            <scheme val="minor"/>
          </rPr>
          <t>NHAP_NL: tờ khai nhập NL, đối chiếu với Mẫu 15 cột (6).
XUAT_SP: tờ khai xuất SP, đối chiếu với Mẫu 15a cột (9).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BCQT</author>
  </authors>
  <commentList>
    <comment ref="C4" authorId="0" shapeId="0" xr:uid="{00000000-0006-0000-0900-000001000000}">
      <text>
        <r>
          <rPr>
            <sz val="11"/>
            <color theme="1"/>
            <rFont val="Arial"/>
            <family val="2"/>
            <scheme val="minor"/>
          </rPr>
          <t>Gồm cả NL từ HĐ gia công khác chuyển sang, nhập lại kho khi thuê gia công lại.
KHÔNG gồm hàng đã thông quan nhưng chưa nhập kho.</t>
        </r>
      </text>
    </comment>
    <comment ref="G4" authorId="0" shapeId="0" xr:uid="{00000000-0006-0000-0900-000002000000}">
      <text>
        <r>
          <rPr>
            <sz val="11"/>
            <color theme="1"/>
            <rFont val="Arial"/>
            <family val="2"/>
            <scheme val="minor"/>
          </rPr>
          <t>Bù hao hụt, phế liệu, tiêu hao, chuyển HĐ gia công khác, thiếu hụt, hư hỏng, mất mát do thiên tai…, xuất cho SP tái nhập sửa chữa.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BCQT</author>
  </authors>
  <commentList>
    <comment ref="G4" authorId="0" shapeId="0" xr:uid="{00000000-0006-0000-0A00-000001000000}">
      <text>
        <r>
          <rPr>
            <sz val="11"/>
            <color theme="1"/>
            <rFont val="Arial"/>
            <family val="2"/>
            <scheme val="minor"/>
          </rPr>
          <t>SP xuất kho để XK nhưng chưa đăng ký tờ khai; xuất cho nghiên cứu; hư hỏng, mất mát do thiên tai, hỏa hoạn…</t>
        </r>
      </text>
    </comment>
  </commentList>
</comments>
</file>

<file path=xl/sharedStrings.xml><?xml version="1.0" encoding="utf-8"?>
<sst xmlns="http://schemas.openxmlformats.org/spreadsheetml/2006/main" count="662" uniqueCount="422">
  <si>
    <t>XNKBOT.COM</t>
  </si>
  <si>
    <t>Chatbot hỗ trợ xuất nhập khẩu</t>
  </si>
  <si>
    <t>Bộ mẫu báo cáo quyết toán Mẫu 15/BCQT-NVL/GSQL, 15a/BCQT-SP/GSQL, 16/ĐMTT/GSQL (TT38/2015 sửa đổi bởi TT39/2018, TT121/2025) cho gia công, SXXK, chế xuất – kèm kiểm tra ngược định mức và đối chiếu chênh lệch giữa các bảng.</t>
  </si>
  <si>
    <t>Phát hành MIỄN PHÍ bởi xnkbot.com. Bạn được tự do sử dụng và chia sẻ cho đồng nghiệp – vui lòng giữ nguyên nguồn xnkbot.com.</t>
  </si>
  <si>
    <t>▶ Check mã HS, check thủ tục: vào xnkbot.com</t>
  </si>
  <si>
    <t>https://xnkbot.com</t>
  </si>
  <si>
    <t>Bắt đầu: xem sheet HuongDan, điền các ô nền vàng (ThongTin → DM_NL, DM_SP → BOM → TK_Nhap, TK_Xuat → Kho_NL, Kho_SP → Cau_noi), đọc kết quả ở Mau15, Mau15a, Mau16, các sheet KT_ và DoiChieu_NL, DoiChieu_SP.</t>
  </si>
  <si>
    <t>Nộp qua Hệ thống theo chỉ tiêu mẫu 25, 26, 27 Phụ lục II (giống Mẫu 15, 15a, 16); hạn nộp chậm nhất ngày thứ 90 kể từ ngày kết thúc năm tài chính.</t>
  </si>
  <si>
    <t>HƯỚNG DẪN SỬ DỤNG – BỘ MẪU BÁO CÁO QUYẾT TOÁN (GIA CÔNG / SXXK / CHẾ XUẤT)</t>
  </si>
  <si>
    <t>Mẫu 15/BCQT-NVL/GSQL, 15a/BCQT-SP/GSQL, 16/ĐMTT/GSQL (TT38/2015, sửa đổi bởi TT39/2018 và TT121/2025) + kiểm tra ngược định mức</t>
  </si>
  <si>
    <t>CĂN CỨ (TT121/2025, hiệu lực 01/02/2026)</t>
  </si>
  <si>
    <t>•</t>
  </si>
  <si>
    <t>Hình thức nộp</t>
  </si>
  <si>
    <t>Nộp qua Hệ thống theo chỉ tiêu mẫu số 25, 26, 27 Phụ lục II. Mẫu giấy 15/15a/16 Phụ lục V (sheet Mau15, Mau15a, Mau16) dùng khi Hệ thống gặp sự cố – khi đó phải điền đủ ô người lập, người đại diện.</t>
  </si>
  <si>
    <t>Thời hạn</t>
  </si>
  <si>
    <t>Chậm nhất ngày thứ 90 kể từ ngày kết thúc năm tài chính. Được sửa, bổ sung trong 60 ngày kể từ ngày nộp (trước khi có quyết định kiểm tra).</t>
  </si>
  <si>
    <t>Nguyên tắc lập</t>
  </si>
  <si>
    <t>Nhập – xuất – tồn theo từng mã NL, mã SP đã khai trên tờ khai; theo dõi theo nguồn (nhập khẩu / mua trong nước) và theo loại hình. Mã nội bộ khác mã tờ khai → phải có bảng quy đổi mã tương đương (cột 'Mã nội bộ' ở DM_NL, DM_SP).</t>
  </si>
  <si>
    <t>QUY ƯỚC Ô</t>
  </si>
  <si>
    <t>Ô nền vàng, chữ xanh</t>
  </si>
  <si>
    <t>Ô nhập liệu – chỉ sửa/dán dữ liệu vào các ô này.</t>
  </si>
  <si>
    <t>Ô chữ đen</t>
  </si>
  <si>
    <t>Công thức – không sửa. Toàn bộ Mẫu 15/15a/16 và các sheet KT_ đều tự tính.</t>
  </si>
  <si>
    <t>Cột xám bên phải mẫu</t>
  </si>
  <si>
    <t>Đối chiếu với sổ kho / tờ khai – không thuộc mẫu, nằm ngoài vùng in.</t>
  </si>
  <si>
    <t>Tab vàng / xanh dương / xanh lá</t>
  </si>
  <si>
    <t>Sheet nhập liệu / Mẫu báo cáo / Sheet kiểm tra.</t>
  </si>
  <si>
    <t>CÁC BƯỚC</t>
  </si>
  <si>
    <t>1</t>
  </si>
  <si>
    <t>ThongTin</t>
  </si>
  <si>
    <t>Tên, địa chỉ, MST, chọn loại hình (GC / SXXK / CX), kỳ báo cáo, người lập, người đại diện, ngưỡng kiểm tra. Rà bảng mã loại hình tờ khai cho đúng thực tế DN.</t>
  </si>
  <si>
    <t>2</t>
  </si>
  <si>
    <t>DM_NL, DM_SP</t>
  </si>
  <si>
    <t>Danh mục mã NL (ghi rõ nguồn: Nhập khẩu / Mua trong nước – chỉ NL nhập khẩu lên Mẫu 15) và mã SP. Mã phải thống nhất với tờ khai, sổ kho, BOM.</t>
  </si>
  <si>
    <t>3</t>
  </si>
  <si>
    <t>BOM</t>
  </si>
  <si>
    <t>Mỗi dòng 1 cặp SP – NL, các dòng cùng SP để liền nhau. Cột G = ghi chú cột (9) Mẫu 16: để trống (NL nhập khẩu), X (mua trong nước), KXDDM (vật tư không xây dựng được định mức – để trống ĐMTT), TH (thu hồi từ SP tái nhập), SPTN (sửa chữa, tái chế từ SP tái nhập). Một mã NL dùng 2 nguồn → tách 2 dòng.</t>
  </si>
  <si>
    <t>4</t>
  </si>
  <si>
    <t>TK_Nhap, TK_Xuat</t>
  </si>
  <si>
    <t>Dán danh sách tờ khai (xuất từ ECUS/VNACCS). Chỉ dùng để ĐỐI CHIẾU – số trên mẫu lấy theo sổ kho.</t>
  </si>
  <si>
    <t>5</t>
  </si>
  <si>
    <t>Kho_NL, Kho_SP</t>
  </si>
  <si>
    <t>Số liệu sổ kho theo đúng cột của mẫu. Tồn đầu kỳ = tồn cuối BCQT kỳ trước. Cột Ghi chú = cột (12) của mẫu (số/ngày quyết định miễn thuế, số tờ khai tái nhập, giải trình tiêu hủy…).</t>
  </si>
  <si>
    <t>6</t>
  </si>
  <si>
    <t>Cau_noi</t>
  </si>
  <si>
    <t>Điều chỉnh để kiểm tra ngược: NL nguồn khác tính chung trong ĐMTT nhập khẩu, NL dở dang/tồn chuyền đầu &amp; cuối kỳ, NL dùng cho SP không thuộc báo cáo.</t>
  </si>
  <si>
    <t>7</t>
  </si>
  <si>
    <t>Mau15 / Mau15a / Mau16</t>
  </si>
  <si>
    <t>Đọc kết quả, xem cột xám đối chiếu. Khi in: lọc cột (2) bỏ dòng trống (nút lọc ở dòng số cột); vùng in đặt sẵn khổ A4.</t>
  </si>
  <si>
    <t>8</t>
  </si>
  <si>
    <t>KT_*</t>
  </si>
  <si>
    <t>Xem kết quả kiểm tra ngược. 'Xem xét' = cần giải trình hoặc chỉnh số liệu / định mức.</t>
  </si>
  <si>
    <t>LƯU Ý</t>
  </si>
  <si>
    <t>Đơn vị tính</t>
  </si>
  <si>
    <t>Tất cả số lượng theo ĐVT đã khai trên tờ khai hải quan (thống nhất với ĐVT quản lý tại xưởng).</t>
  </si>
  <si>
    <t>Mẫu 15 cột (6)</t>
  </si>
  <si>
    <t>Là lượng NL nhập kho trong kỳ – gồm cả NL từ HĐ gia công khác chuyển sang, nhập lại kho khi thuê gia công lại; KHÔNG gồm hàng đã thông quan nhưng còn trên đường chưa nhập kho (ghi chú riêng).</t>
  </si>
  <si>
    <t>Mẫu 15a cột (9)</t>
  </si>
  <si>
    <t>Là lượng SP thực tế đã xuất kho để xuất khẩu. SP đã thông quan nhưng chưa xuất kho → ghi số tờ khai tại 'Ghi chú khác'.</t>
  </si>
  <si>
    <t>Tiêu hủy</t>
  </si>
  <si>
    <t>NL, SP tiêu hủy ghi tại cột (8) và giải thích tại cột (12).</t>
  </si>
  <si>
    <t>Gia công</t>
  </si>
  <si>
    <t>Quyết toán theo năm tài chính; nếu cần theo dõi theo hợp đồng, lọc tờ khai/sổ kho theo hợp đồng trước khi dán. Máy móc thiết bị thuê mượn chưa có trong file này.</t>
  </si>
  <si>
    <t>Dung lượng</t>
  </si>
  <si>
    <t>TK_Nhap/TK_Xuat: 1000 dòng; DM/Kho/Cầu nối: 300 dòng; BOM: 1000 dòng. Cần thêm thì chèn dòng bên trong vùng dữ liệu.</t>
  </si>
  <si>
    <t>Dữ liệu mẫu</t>
  </si>
  <si>
    <t>File đang chứa dữ liệu giả (SXXK, kỳ 2025) để minh họa. Xóa các ô vàng rồi dán dữ liệu thật.</t>
  </si>
  <si>
    <t>DoiChieu_NL, DoiChieu_SP</t>
  </si>
  <si>
    <t>Đối chiếu chênh lệch giữa các bảng theo từng mã: tờ khai ↔ Mẫu 15/15a (nhập, xuất khẩu), tồn cuối ↔ kiểm kê, kiểm tra ngược định mức Mẫu 16; kết quả Khớp / Giải trình / Cảnh báo / Lỗi kèm gợi ý giải trình.</t>
  </si>
  <si>
    <t>SƠ ĐỒ KẾT NỐI 3 MẪU BCQT VÀ PHƯƠNG PHÁP KIỂM TRA NGƯỢC ĐỊNH MỨC</t>
  </si>
  <si>
    <t>A. CÁC MỐI NỐI GIỮA 3 MẪU</t>
  </si>
  <si>
    <t>Mẫu 15a cột (6) "Nhập kho từ sản xuất, gia công lại"</t>
  </si>
  <si>
    <t>→ Mẫu 16: là "tổng số lượng sản phẩm thu được" (mẫu số của định mức)</t>
  </si>
  <si>
    <t>KT_DMTT_ChiTiet cột F</t>
  </si>
  <si>
    <t>Mẫu 16 cột (8) × Mẫu 15a cột (6)</t>
  </si>
  <si>
    <t>→ Lượng NL cấu thành toàn bộ SP sản xuất trong kỳ</t>
  </si>
  <si>
    <t>KT_DMTT_ChiTiet cột H = F × G</t>
  </si>
  <si>
    <t>Σ theo mã NL (dòng Mẫu 16 nguồn nhập khẩu)</t>
  </si>
  <si>
    <t>→ Đối chiếu với Mẫu 15 cột (9) "Xuất kho để sản xuất" qua cầu nối dở dang / tồn chuyền / nguồn khác</t>
  </si>
  <si>
    <t>KT_nguoc_theo_NL</t>
  </si>
  <si>
    <t>Mẫu 15a [(8)+(9)+(10)−(7)] × ĐMTT</t>
  </si>
  <si>
    <t>→ Lượng NL cấu thành SP đã xuất kho thuần trong kỳ (trừ SP tái nhập)</t>
  </si>
  <si>
    <t>KT_DMTT_ChiTiet cột J</t>
  </si>
  <si>
    <t>Mẫu 15a [(11) − (5)] × ĐMTT</t>
  </si>
  <si>
    <t>→ NL nằm trong biến động tồn kho thành phẩm</t>
  </si>
  <si>
    <t>KT_DMTT_ChiTiet cột K</t>
  </si>
  <si>
    <t>Mẫu 15 (11) = (5)+(6)−(7)−(8)−(9)−(10)</t>
  </si>
  <si>
    <t>→ Tồn NL cuối kỳ phải khớp sổ kho / kiểm kê</t>
  </si>
  <si>
    <t>Mau15 cột K, đối chiếu cột M–O</t>
  </si>
  <si>
    <t>Mẫu 15a (11) = (5)+(6)+(7)−(8)−(9)−(10)</t>
  </si>
  <si>
    <t>→ Tồn SP cuối kỳ phải khớp kiểm kê</t>
  </si>
  <si>
    <t>Mau15a cột K, đối chiếu cột M–O</t>
  </si>
  <si>
    <t>Mẫu 15 (6) ↔ tờ khai nhập; Mẫu 15a (9) ↔ tờ khai xuất</t>
  </si>
  <si>
    <t>→ Chênh lệch = hàng đã thông quan nhưng chưa nhập/xuất kho (ghi chú) hoặc sai sót</t>
  </si>
  <si>
    <t>Mau15 cột P–Q, Mau15a cột P–Q</t>
  </si>
  <si>
    <t>B. CÔNG THỨC CẦU NỐI (theo từng mã NL, ĐVT tờ khai)</t>
  </si>
  <si>
    <t>(1) Mẫu 15 cột (9)</t>
  </si>
  <si>
    <t>Lượng NL nhập khẩu xuất kho cho sản xuất</t>
  </si>
  <si>
    <t>tham chiếu Mau15</t>
  </si>
  <si>
    <t>(2) + NL nguồn khác tính chung trong ĐMTT nhập khẩu</t>
  </si>
  <si>
    <t>Mã trộn nguồn (nhập kinh doanh, loại hình khác…) mà DN không tách dòng X ở Mẫu 16</t>
  </si>
  <si>
    <t>nhập liệu – Cau_noi cột B</t>
  </si>
  <si>
    <t>(3) + NL trong dở dang &amp; tồn chuyền ĐẦU kỳ</t>
  </si>
  <si>
    <t>Theo kiểm kê cuối kỳ trước</t>
  </si>
  <si>
    <t>nhập liệu – Cau_noi cột C</t>
  </si>
  <si>
    <t>(4) − NL trong dở dang &amp; tồn chuyền CUỐI kỳ</t>
  </si>
  <si>
    <t>Kiểm kê cuối kỳ, quy đổi theo BOM (hướng dẫn Mẫu 16 cột 8: trừ NL dở dang trên dây chuyền)</t>
  </si>
  <si>
    <t>nhập liệu – Cau_noi cột D</t>
  </si>
  <si>
    <t>(5) − NL dùng cho SP không thuộc Mẫu 15a/16</t>
  </si>
  <si>
    <t>SP mẫu, SP loại hình khác…</t>
  </si>
  <si>
    <t>nhập liệu – Cau_noi cột E</t>
  </si>
  <si>
    <t>(6) = (1)+(2)+(3)−(4)−(5)</t>
  </si>
  <si>
    <t>NL thực tế dùng cho SP Mẫu 16 (mục tiêu)</t>
  </si>
  <si>
    <t>công thức</t>
  </si>
  <si>
    <t>(7) Σ SX × ĐMTT</t>
  </si>
  <si>
    <t>Lượng NL theo Mẫu 16 (chỉ dòng nguồn nhập khẩu – cột 9 để trống)</t>
  </si>
  <si>
    <t>(8) = (6) − (7)</t>
  </si>
  <si>
    <t>C. KIỂM TRA NGƯỢC ĐỊNH MỨC THEO TỪNG SẢN PHẨM</t>
  </si>
  <si>
    <t>ĐMTT kiểm tra ngược</t>
  </si>
  <si>
    <t>Bằng ĐMTT Mẫu 16 × (6)/(7) của mã NL tương ứng – tái lập định mức từ Mẫu 15 + Mẫu 15a + cầu nối</t>
  </si>
  <si>
    <t>KT_nguoc_theo_SP cột I</t>
  </si>
  <si>
    <t>So với định mức chuẩn (BOM, gồm hao hụt)</t>
  </si>
  <si>
    <t>KT_nguoc_theo_SP cột J–M</t>
  </si>
  <si>
    <t>Dòng X / KXDDM / TH / SPTN</t>
  </si>
  <si>
    <t>Không kiểm tra ngược qua Mẫu 15 (không phải NL nhập khẩu xuất kho SX, hoặc không có định mức)</t>
  </si>
  <si>
    <t>KT_nguoc_theo_SP cột M</t>
  </si>
  <si>
    <t>Lưu ý</t>
  </si>
  <si>
    <t>NL dùng chung nhiều SP: chênh lệch phân bổ theo tỷ trọng nhu cầu định mức nên tỷ lệ chênh giống nhau cho các SP dùng chung – cần lệnh SX/báo cáo theo SP để kiểm tra riêng từng SP.</t>
  </si>
  <si>
    <t>THÔNG TIN CHUNG &amp; THAM SỐ</t>
  </si>
  <si>
    <t>Tên tổ chức, cá nhân</t>
  </si>
  <si>
    <t>Công ty TNHH ABC Việt Nam (dữ liệu mẫu)</t>
  </si>
  <si>
    <t>Địa chỉ</t>
  </si>
  <si>
    <t>Lô A1, KCN ..., tỉnh ...</t>
  </si>
  <si>
    <t>Mã số thuế</t>
  </si>
  <si>
    <t>0123456789</t>
  </si>
  <si>
    <t>Hải quan tiếp nhận BCQT</t>
  </si>
  <si>
    <t>Chi cục Hải quan khu vực ...</t>
  </si>
  <si>
    <t>Loại hình (GC / SXXK / CX)</t>
  </si>
  <si>
    <t>SXXK</t>
  </si>
  <si>
    <t>Kỳ báo cáo – từ ngày</t>
  </si>
  <si>
    <t>Theo năm tài chính</t>
  </si>
  <si>
    <t>Kỳ báo cáo – đến ngày</t>
  </si>
  <si>
    <t>Ngưỡng Pass kiểm tra ngược theo NL (|tỷ lệ chênh|)</t>
  </si>
  <si>
    <t>Sai số chủ yếu do làm tròn ĐMTT</t>
  </si>
  <si>
    <t>Ngưỡng cảnh báo lệch so với định mức chuẩn (±)</t>
  </si>
  <si>
    <t>Người lập</t>
  </si>
  <si>
    <t>Nguyễn Văn A</t>
  </si>
  <si>
    <t>Người đại diện theo pháp luật</t>
  </si>
  <si>
    <t>Trần Văn B</t>
  </si>
  <si>
    <t>Tên loại hình (tự động)</t>
  </si>
  <si>
    <t>BẢNG MÃ LOẠI HÌNH TỜ KHAI DÙNG ĐỂ ĐỐI CHIẾU (sửa/thêm cho phù hợp DN)</t>
  </si>
  <si>
    <t>Loại hình</t>
  </si>
  <si>
    <t>Mã loại hình TK</t>
  </si>
  <si>
    <t>Nhóm</t>
  </si>
  <si>
    <t>Diễn giải</t>
  </si>
  <si>
    <t>GC</t>
  </si>
  <si>
    <t>E21</t>
  </si>
  <si>
    <t>NHAP_NL</t>
  </si>
  <si>
    <t>Nhập NL, vật tư để gia công cho thương nhân nước ngoài</t>
  </si>
  <si>
    <t>E23</t>
  </si>
  <si>
    <t>Nhập NL gia công từ hợp đồng khác chuyển sang</t>
  </si>
  <si>
    <t>E52</t>
  </si>
  <si>
    <t>XUAT_SP</t>
  </si>
  <si>
    <t>Xuất sản phẩm gia công cho thương nhân nước ngoài</t>
  </si>
  <si>
    <t>E31</t>
  </si>
  <si>
    <t>Nhập NL sản xuất xuất khẩu</t>
  </si>
  <si>
    <t>E62</t>
  </si>
  <si>
    <t>Xuất sản phẩm sản xuất xuất khẩu</t>
  </si>
  <si>
    <t>CX</t>
  </si>
  <si>
    <t>E11</t>
  </si>
  <si>
    <t>Nhập NL của DNCX từ nước ngoài</t>
  </si>
  <si>
    <t>E15</t>
  </si>
  <si>
    <t>Nhập NL của DNCX từ nội địa</t>
  </si>
  <si>
    <t>E42</t>
  </si>
  <si>
    <t>Xuất sản phẩm của DNCX</t>
  </si>
  <si>
    <t>DANH MỤC NGUYÊN LIỆU, VẬT TƯ</t>
  </si>
  <si>
    <t>Mã thống nhất với tờ khai, sổ kho, BOM. Chỉ NL nguồn 'Nhập khẩu' được đưa lên Mẫu 15 (cột G tự đánh số).</t>
  </si>
  <si>
    <t>Mã NL, VT</t>
  </si>
  <si>
    <t>Tên nguyên liệu, vật tư</t>
  </si>
  <si>
    <t>ĐVT (theo tờ khai)</t>
  </si>
  <si>
    <t>Mã HS</t>
  </si>
  <si>
    <t>Nguồn</t>
  </si>
  <si>
    <t>Mã nội bộ (nếu khác)</t>
  </si>
  <si>
    <t>STT trên Mẫu 15</t>
  </si>
  <si>
    <t>VAI01</t>
  </si>
  <si>
    <t>Vải chính 100% polyester</t>
  </si>
  <si>
    <t>MTR</t>
  </si>
  <si>
    <t>54076190</t>
  </si>
  <si>
    <t>Nhập khẩu</t>
  </si>
  <si>
    <t>FAB-001</t>
  </si>
  <si>
    <t>CHI01</t>
  </si>
  <si>
    <t>Chỉ may</t>
  </si>
  <si>
    <t>54011090</t>
  </si>
  <si>
    <t>NUT01</t>
  </si>
  <si>
    <t>Nút nhựa</t>
  </si>
  <si>
    <t>PCE</t>
  </si>
  <si>
    <t>96062100</t>
  </si>
  <si>
    <t>KHOA01</t>
  </si>
  <si>
    <t>Khóa kéo</t>
  </si>
  <si>
    <t>96071900</t>
  </si>
  <si>
    <t>NHAN01</t>
  </si>
  <si>
    <t>Nhãn vải</t>
  </si>
  <si>
    <t>58071000</t>
  </si>
  <si>
    <t>PHAN01</t>
  </si>
  <si>
    <t>Phấn vẽ rập</t>
  </si>
  <si>
    <t>Viên</t>
  </si>
  <si>
    <t>96099010</t>
  </si>
  <si>
    <t>TUI01</t>
  </si>
  <si>
    <t>Túi PE đóng gói</t>
  </si>
  <si>
    <t>39232199</t>
  </si>
  <si>
    <t>Mua trong nước</t>
  </si>
  <si>
    <t>DANH MỤC SẢN PHẨM</t>
  </si>
  <si>
    <t>Chỉ SP thuộc phạm vi báo cáo; SP khác đưa vào Cau_noi cột E</t>
  </si>
  <si>
    <t>Mã SP</t>
  </si>
  <si>
    <t>Tên sản phẩm</t>
  </si>
  <si>
    <t>AO01</t>
  </si>
  <si>
    <t>Áo jacket nam</t>
  </si>
  <si>
    <t>62019300</t>
  </si>
  <si>
    <t>QUAN01</t>
  </si>
  <si>
    <t>Quần dài nam</t>
  </si>
  <si>
    <t>62034300</t>
  </si>
  <si>
    <t>VAY01</t>
  </si>
  <si>
    <t>Váy nữ</t>
  </si>
  <si>
    <t>62045300</t>
  </si>
  <si>
    <t>ĐỊNH MỨC (BOM) &amp; ĐỊNH MỨC THỰC TẾ KHAI BÁO (MẪU 16)</t>
  </si>
  <si>
    <t>Mỗi dòng 1 cặp SP – NL, các dòng cùng SP để liền nhau. Cột G = ghi chú cột (9) Mẫu 16: trống / X / KXDDM / TH / SPTN.</t>
  </si>
  <si>
    <t>Định mức kỹ thuật (chưa hao hụt)</t>
  </si>
  <si>
    <t>Tỷ lệ hao hụt</t>
  </si>
  <si>
    <t>Định mức chuẩn = C×(1+D)</t>
  </si>
  <si>
    <t>ĐMTT khai báo – cột (8) Mẫu 16</t>
  </si>
  <si>
    <t>Ghi chú cột (9) Mẫu 16</t>
  </si>
  <si>
    <t>X</t>
  </si>
  <si>
    <t>KXDDM</t>
  </si>
  <si>
    <t>Vật tư tiêu hao, không xây dựng được định mức</t>
  </si>
  <si>
    <t>TỜ KHAI NHẬP KHẨU NGUYÊN LIỆU, VẬT TƯ</t>
  </si>
  <si>
    <t>Dán từ ECUS/VNACCS – dùng để đối chiếu với sổ kho. Cột H tự xác định tờ khai thuộc loại hình + kỳ báo cáo.</t>
  </si>
  <si>
    <t>Số tờ khai</t>
  </si>
  <si>
    <t>Ngày đăng ký</t>
  </si>
  <si>
    <t>Mã loại hình</t>
  </si>
  <si>
    <t>Mã NL</t>
  </si>
  <si>
    <t>Số lượng (ĐVT tờ khai)</t>
  </si>
  <si>
    <t>Trị giá (USD)</t>
  </si>
  <si>
    <t>Ghi chú</t>
  </si>
  <si>
    <t>Thuộc BCQT (1/0)</t>
  </si>
  <si>
    <t>105000000011</t>
  </si>
  <si>
    <t>105000000022</t>
  </si>
  <si>
    <t>105000000033</t>
  </si>
  <si>
    <t>105000000044</t>
  </si>
  <si>
    <t>105000000055</t>
  </si>
  <si>
    <t>105000000066</t>
  </si>
  <si>
    <t>105000000067</t>
  </si>
  <si>
    <t>104000000077</t>
  </si>
  <si>
    <t>A12</t>
  </si>
  <si>
    <t>Nhập kinh doanh, đưa vào SX → khai ở Cau_noi cột B</t>
  </si>
  <si>
    <t>105000000099</t>
  </si>
  <si>
    <t>Đã thông quan, chưa nhập kho tại 31/12 → ghi chú Mẫu 15</t>
  </si>
  <si>
    <t>105000000088</t>
  </si>
  <si>
    <t>Ngoài kỳ báo cáo → không tính</t>
  </si>
  <si>
    <t>TỜ KHAI XUẤT KHẨU SẢN PHẨM</t>
  </si>
  <si>
    <t>305000000101</t>
  </si>
  <si>
    <t>305000000102</t>
  </si>
  <si>
    <t>305000000103</t>
  </si>
  <si>
    <t>305000000104</t>
  </si>
  <si>
    <t>SỔ KHO NGUYÊN LIỆU, VẬT TƯ NHẬP KHẨU (số liệu cho Mẫu 15)</t>
  </si>
  <si>
    <t>Cột theo đúng Mẫu 15. Tồn đầu kỳ = tồn cuối BCQT kỳ trước. Cột I = cột (12) Mẫu 15.</t>
  </si>
  <si>
    <t>(5) Tồn kho đầu kỳ</t>
  </si>
  <si>
    <t>(6) Nhập kho trong kỳ</t>
  </si>
  <si>
    <t>(7) Tái xuất</t>
  </si>
  <si>
    <t>(8) Chuyển mục đích sử dụng, tiêu thụ nội địa, tiêu hủy</t>
  </si>
  <si>
    <t>(9) Xuất kho để sản xuất</t>
  </si>
  <si>
    <t>(10) Xuất kho khác</t>
  </si>
  <si>
    <t>Tồn cuối theo sổ kho / kiểm kê</t>
  </si>
  <si>
    <t>(12) Ghi chú</t>
  </si>
  <si>
    <t>Tái xuất 500 nút lỗi trả nhà cung cấp</t>
  </si>
  <si>
    <t>Tiêu hủy 100 khóa hỏng – BB giám sát tiêu hủy số ...</t>
  </si>
  <si>
    <t>2.000 nhãn thuộc TK 105000000099 (28/12/2025) chưa nhập kho</t>
  </si>
  <si>
    <t>Vật tư KXDDM</t>
  </si>
  <si>
    <t>SỔ KHO THÀNH PHẨM (số liệu cho Mẫu 15a)</t>
  </si>
  <si>
    <t>Cột theo đúng Mẫu 15a. Cột I = cột (12) Mẫu 15a (ghi số tờ khai tái nhập nếu có cột 7).</t>
  </si>
  <si>
    <t>(6) Nhập kho từ sản xuất, gia công lại…</t>
  </si>
  <si>
    <t>(7) Tái nhập do khách hàng trả lại</t>
  </si>
  <si>
    <t>(8) Thay đổi mục đích sử dụng, chuyển tiêu thụ nội địa, tiêu hủy</t>
  </si>
  <si>
    <t>(9) Xuất kho để xuất khẩu</t>
  </si>
  <si>
    <t>Tồn cuối theo kiểm kê</t>
  </si>
  <si>
    <t>Tái nhập 30 áo – TK 10300000xxxx; tiêu hủy 50 áo lỗi</t>
  </si>
  <si>
    <t>Xuất 5 váy làm mẫu nghiên cứu</t>
  </si>
  <si>
    <t>CẦU NỐI KIỂM TRA NGƯỢC (theo mã NL, ĐVT tờ khai)</t>
  </si>
  <si>
    <t>Chỉ khai mã có phát sinh; mã không khai được hiểu = 0.</t>
  </si>
  <si>
    <t>(2) NL nguồn khác tính chung trong ĐMTT nhập khẩu</t>
  </si>
  <si>
    <t>(3) NL trong dở dang &amp; tồn chuyền ĐẦU kỳ</t>
  </si>
  <si>
    <t>(4) NL trong dở dang &amp; tồn chuyền CUỐI kỳ</t>
  </si>
  <si>
    <t>(5) NL dùng cho SP không thuộc Mẫu 15a/16</t>
  </si>
  <si>
    <t>(2): TK A12 104000000077; (3)/(4): kiểm kê bán thành phẩm quy đổi theo BOM</t>
  </si>
  <si>
    <t>(5): chỉ dùng may hàng mẫu không xuất khẩu</t>
  </si>
  <si>
    <t>Mẫu số 15/BCQT-NVL/GSQL</t>
  </si>
  <si>
    <t>CỘNG HÒA XÃ HỘI CHỦ NGHĨA VIỆT NAM</t>
  </si>
  <si>
    <t>Độc lập - Tự do - Hạnh phúc</t>
  </si>
  <si>
    <t>Khớp sổ kho:</t>
  </si>
  <si>
    <t>STT</t>
  </si>
  <si>
    <t>Mã nguyên liệu, vật tư</t>
  </si>
  <si>
    <t>Lượng NL, VT tồn kho đầu kỳ</t>
  </si>
  <si>
    <t>Lượng NL, VT nhập trong kỳ</t>
  </si>
  <si>
    <t>Lượng nguyên liệu, vật tư nhập khẩu xuất kho trong kỳ</t>
  </si>
  <si>
    <t>Lượng NL, VT nhập khẩu tồn kho cuối kỳ</t>
  </si>
  <si>
    <t>ĐỐI CHIẾU – không thuộc mẫu, không in</t>
  </si>
  <si>
    <t>Tái xuất</t>
  </si>
  <si>
    <t>Chuyển mục đích sử dụng, tiêu thụ nội địa, tiêu hủy</t>
  </si>
  <si>
    <t>Xuất kho để sản xuất</t>
  </si>
  <si>
    <t>Xuất kho khác</t>
  </si>
  <si>
    <t>Tồn theo sổ kho / kiểm kê</t>
  </si>
  <si>
    <t>Chênh lệch (11) − sổ kho</t>
  </si>
  <si>
    <t>Kết quả</t>
  </si>
  <si>
    <t>Lượng trên TK nhập trong kỳ</t>
  </si>
  <si>
    <t>Nhập kho (6) − TK</t>
  </si>
  <si>
    <t>(1)</t>
  </si>
  <si>
    <t>(2)</t>
  </si>
  <si>
    <t>(3)</t>
  </si>
  <si>
    <t>(4)</t>
  </si>
  <si>
    <t>(5)</t>
  </si>
  <si>
    <t>(6)</t>
  </si>
  <si>
    <t>(7)</t>
  </si>
  <si>
    <t>(8)</t>
  </si>
  <si>
    <t>(9)</t>
  </si>
  <si>
    <t>(10)</t>
  </si>
  <si>
    <t>(11)=(5)+(6)-(7)-(8)-(9)-(10)</t>
  </si>
  <si>
    <t>(12)</t>
  </si>
  <si>
    <t>Ghi chú khác:</t>
  </si>
  <si>
    <t>1. Bán thành phẩm, thành phẩm được tạo ra từ nguyên liệu nhập khẩu chưa được thể hiện chi tiết tại biểu mẫu này, tổ chức, cá nhân theo dõi, lưu giữ và giải trình khi cơ quan hải quan kiểm tra tình hình sử dụng, báo cáo quyết toán hoặc khi tính thuế, tiêu thụ nội địa.</t>
  </si>
  <si>
    <t>2. Các ghi chú khác (nếu có).</t>
  </si>
  <si>
    <t>(13) NGƯỜI LẬP</t>
  </si>
  <si>
    <t>(14) NGƯỜI ĐẠI DIỆN THEO PHÁP LUẬT CỦA TỔ CHỨC, CÁ NHÂN</t>
  </si>
  <si>
    <t>(Ký, ghi rõ họ tên)</t>
  </si>
  <si>
    <t>(Ký, đóng dấu, ghi rõ họ tên)</t>
  </si>
  <si>
    <t>Mẫu số 15a/BCQT-SP/GSQL</t>
  </si>
  <si>
    <t>Stt</t>
  </si>
  <si>
    <t>Mã sản phẩm xuất khẩu</t>
  </si>
  <si>
    <t>Tên sản phẩm xuất khẩu</t>
  </si>
  <si>
    <t>Lượng sản phẩm tồn kho đầu kỳ</t>
  </si>
  <si>
    <t>Lượng sản phẩm nhập kho trong kỳ</t>
  </si>
  <si>
    <t>Lượng sản phẩm xuất kho trong kỳ</t>
  </si>
  <si>
    <t>Lượng sản phẩm tồn kho cuối kỳ theo sổ sách theo dõi</t>
  </si>
  <si>
    <t>Từ sản xuất, gia công lại,…</t>
  </si>
  <si>
    <t>Tái nhập do khách hàng trả lại</t>
  </si>
  <si>
    <t>Lượng sản phẩm thay đổi mục đích sử dụng, chuyển tiêu thụ nội địa</t>
  </si>
  <si>
    <t>Lượng sản phẩm xuất khẩu</t>
  </si>
  <si>
    <t>Tồn theo kiểm kê</t>
  </si>
  <si>
    <t>Chênh lệch (11) − kiểm kê</t>
  </si>
  <si>
    <t>Lượng trên TK xuất trong kỳ</t>
  </si>
  <si>
    <t>Xuất kho XK (9) − TK</t>
  </si>
  <si>
    <t>(11)=(5)+(6)+(7)-(8)-(9)-(10)</t>
  </si>
  <si>
    <t>1. Hàng hóa xuất khẩu đã hoàn thành thủ tục hải quan nhưng chưa xuất kho thì ghi rõ số tờ khai hàng hóa xuất khẩu số …. (Ví dụ: Hàng hóa xuất khẩu thuộc tờ khai số …. chưa xuất kho).</t>
  </si>
  <si>
    <t>Mẫu số 16/ĐMTT/GSQL</t>
  </si>
  <si>
    <t>ĐỊNH MỨC THỰC TẾ SẢN XUẤT SẢN PHẨM XUẤT KHẨU</t>
  </si>
  <si>
    <t>Mã sản phẩm xuất khẩu/nhập khẩu</t>
  </si>
  <si>
    <t>Tên sản phẩm xuất khẩu/nhập khẩu</t>
  </si>
  <si>
    <t>Nguyên liệu, vật tư</t>
  </si>
  <si>
    <t>Mã</t>
  </si>
  <si>
    <t>Tên</t>
  </si>
  <si>
    <t>Lượng NL, VT thực tế sử dụng để sản xuất một sản phẩm</t>
  </si>
  <si>
    <t>Cột (9): NL mua trong nước điền "X"; NL nhập khẩu để trống; vật tư không xây dựng được định mức điền "KXDDM"; NL thu hồi từ sản phẩm tái nhập điền "TH"; sửa chữa, tái chế từ sản phẩm tái nhập điền "SPTN".</t>
  </si>
  <si>
    <t>(10) NGƯỜI LẬP</t>
  </si>
  <si>
    <t>(11) NGƯỜI ĐẠI DIỆN THEO PHÁP LUẬT CỦA TỔ CHỨC, CÁ NHÂN</t>
  </si>
  <si>
    <t>KIỂM TRA CHI TIẾT ĐMTT – LƯỢNG NL CẤU THÀNH SẢN PHẨM</t>
  </si>
  <si>
    <t>Mỗi dòng = 1 dòng Mẫu 16 (cùng thứ tự BOM). H phải = J + K (cân đối kho thành phẩm). Cột N = 1: dòng NL nhập khẩu, tính vào kiểm tra ngược theo NL.</t>
  </si>
  <si>
    <t>Tên NL</t>
  </si>
  <si>
    <t>ĐVT NL</t>
  </si>
  <si>
    <t>SL SP nhập kho từ SX (15a cột 6)</t>
  </si>
  <si>
    <t>ĐMTT (Mẫu 16 cột 8)</t>
  </si>
  <si>
    <t>NL cấu thành SP sản xuất = F×G</t>
  </si>
  <si>
    <t>SL SP xuất kho thuần 15a (8)+(9)+(10)−(7)</t>
  </si>
  <si>
    <t>NL cấu thành SP đã xuất = I×G</t>
  </si>
  <si>
    <t>NL trong biến động tồn TP = [15a(11)−(5)]×G</t>
  </si>
  <si>
    <t>Kiểm tra H = J+K</t>
  </si>
  <si>
    <t>Ghi chú Mẫu 16 cột (9)</t>
  </si>
  <si>
    <t>Tính KT ngược (1/0)</t>
  </si>
  <si>
    <t>KIỂM TRA NGƯỢC ĐỊNH MỨC THEO MÃ NGUYÊN LIỆU (NL nhập khẩu trên Mẫu 15)</t>
  </si>
  <si>
    <t>Số mã Pass:</t>
  </si>
  <si>
    <t>ĐVT</t>
  </si>
  <si>
    <t>(1) Mẫu 15 cột (9) xuất kho SX</t>
  </si>
  <si>
    <t>(2) + NL nguồn khác</t>
  </si>
  <si>
    <t>(3) + dở dang/tồn chuyền đầu kỳ</t>
  </si>
  <si>
    <t>(4) − dở dang/tồn chuyền cuối kỳ</t>
  </si>
  <si>
    <t>(5) − NL cho SP ngoài 15a/16</t>
  </si>
  <si>
    <t>Tỷ lệ (8)/(7)</t>
  </si>
  <si>
    <t>KIỂM TRA NGƯỢC ĐỊNH MỨC THEO TỪNG SẢN PHẨM</t>
  </si>
  <si>
    <t>OK / Xem xét:</t>
  </si>
  <si>
    <t>Định mức chuẩn (BOM, gồm hao hụt)</t>
  </si>
  <si>
    <t>ĐMTT Mẫu 16</t>
  </si>
  <si>
    <t>Hệ số (6)/(7) của mã NL</t>
  </si>
  <si>
    <t>ĐMTT kiểm tra ngược = G×H</t>
  </si>
  <si>
    <t>Lệch ĐMTT Mẫu 16 vs KT ngược</t>
  </si>
  <si>
    <t>Lệch ĐMTT Mẫu 16 vs BOM</t>
  </si>
  <si>
    <t>Lệch ĐMTT KT ngược vs BOM</t>
  </si>
  <si>
    <t>ĐỐI CHIẾU CHÊNH LỆCH NGUYÊN LIỆU, VẬT TƯ GIỮA CÁC BẢNG (Tờ khai – Mẫu 15 – Sổ kho – Mẫu 16)</t>
  </si>
  <si>
    <t>Đối chiếu cùng một mã hàng giữa các bảng. Khớp = bằng nhau; Giải trình = chênh lệch hợp lệ, ghi rõ ở cột (12)/Ghi chú khác của mẫu; Cảnh báo = lệch định mức quá ngưỡng; Lỗi = lệch công thức/kiểm kê hoặc thiếu định mức. Cột cuối là gợi ý xử lý.</t>
  </si>
  <si>
    <t>Tổng hợp:</t>
  </si>
  <si>
    <t>Mã hàng</t>
  </si>
  <si>
    <t>Tên hàng</t>
  </si>
  <si>
    <t>Nhập trong kỳ: tờ khai nhập (TK_Nhap) ↔ Mẫu 15 cột (6)</t>
  </si>
  <si>
    <t>Tồn cuối kỳ: Mẫu 15 cột (11) ↔ sổ kho / kiểm kê</t>
  </si>
  <si>
    <t>Kiểm tra ngược định mức: NL thực tế dùng ↔ Σ SX × ĐMTT Mẫu 16</t>
  </si>
  <si>
    <t>Tổng hợp</t>
  </si>
  <si>
    <t>Gợi ý giải trình / xử lý</t>
  </si>
  <si>
    <t>Theo tờ khai (A)</t>
  </si>
  <si>
    <t>Mẫu 15 cột (6) nhập kho (B)</t>
  </si>
  <si>
    <t>Chênh lệch (A − B)</t>
  </si>
  <si>
    <t>Mẫu 15 cột (11) (A)</t>
  </si>
  <si>
    <t>Sổ kho / kiểm kê (B)</t>
  </si>
  <si>
    <t>NL thực tế dùng (6) (A)</t>
  </si>
  <si>
    <t>Σ SX × ĐMTT (7) (B)</t>
  </si>
  <si>
    <t>Lệch %</t>
  </si>
  <si>
    <t>ĐỐI CHIẾU CHÊNH LỆCH SẢN PHẨM GIỮA CÁC BẢNG (Tờ khai – Mẫu 15a – Kiểm kê – Mẫu 16)</t>
  </si>
  <si>
    <t>Xuất khẩu: tờ khai xuất (TK_Xuat) ↔ Mẫu 15a cột (9)</t>
  </si>
  <si>
    <t>Tồn cuối kỳ: Mẫu 15a cột (11) ↔ kiểm kê</t>
  </si>
  <si>
    <t>SP nhập kho phải có định mức Mẫu 16</t>
  </si>
  <si>
    <t>Kiểm tra ngược định mức theo SP</t>
  </si>
  <si>
    <t>Mẫu 15a cột (9) xuất kho (B)</t>
  </si>
  <si>
    <t>Mẫu 15a cột (11) (A)</t>
  </si>
  <si>
    <t>Kiểm kê (B)</t>
  </si>
  <si>
    <t>Mẫu 15a cột (6) nhập kho</t>
  </si>
  <si>
    <t>Số dòng định mức Mẫu 16</t>
  </si>
  <si>
    <t>Số dòng 'Xem xét'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</si>
</sst>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0.0%"/>
    <numFmt numFmtId="166" formatCode="#,##0.######;\-#,##0.######;&quot;-&quot;"/>
    <numFmt numFmtId="167" formatCode="0.00%;\-0.00%;&quot;-&quot;"/>
    <numFmt numFmtId="168" formatCode="#,##0.######"/>
  </numFmts>
  <fonts count="22" x14ac:knownFonts="1">
    <font>
      <sz val="11"/>
      <color theme="1"/>
      <name val="Arial"/>
      <family val="2"/>
      <scheme val="minor"/>
    </font>
    <font>
      <b/>
      <sz val="14"/>
      <name val="Times New Roman"/>
    </font>
    <font>
      <i/>
      <sz val="11"/>
      <color rgb="FF555555"/>
      <name val="Times New Roman"/>
    </font>
    <font>
      <sz val="11"/>
      <name val="Times New Roman"/>
    </font>
    <font>
      <b/>
      <sz val="12"/>
      <color rgb="FF1F4E78"/>
      <name val="Times New Roman"/>
    </font>
    <font>
      <b/>
      <sz val="11"/>
      <name val="Times New Roman"/>
    </font>
    <font>
      <b/>
      <sz val="11"/>
      <color rgb="FF0000FF"/>
      <name val="Times New Roman"/>
    </font>
    <font>
      <sz val="11"/>
      <color rgb="FF0000FF"/>
      <name val="Times New Roman"/>
    </font>
    <font>
      <b/>
      <sz val="11"/>
      <color rgb="FFFFFFFF"/>
      <name val="Times New Roman"/>
    </font>
    <font>
      <b/>
      <u/>
      <sz val="11"/>
      <name val="Times New Roman"/>
    </font>
    <font>
      <i/>
      <sz val="11"/>
      <name val="Times New Roman"/>
    </font>
    <font>
      <b/>
      <i/>
      <sz val="11"/>
      <name val="Times New Roman"/>
    </font>
    <font>
      <b/>
      <sz val="10"/>
      <name val="Times New Roman"/>
    </font>
    <font>
      <b/>
      <u/>
      <sz val="11"/>
      <color rgb="FF0563C1"/>
      <name val="Times New Roman"/>
    </font>
    <font>
      <b/>
      <sz val="26"/>
      <color rgb="FFC00000"/>
      <name val="Times New Roman"/>
    </font>
    <font>
      <b/>
      <sz val="16"/>
      <color rgb="FF1F4E78"/>
      <name val="Times New Roman"/>
    </font>
    <font>
      <sz val="12"/>
      <name val="Times New Roman"/>
    </font>
    <font>
      <b/>
      <sz val="12"/>
      <name val="Times New Roman"/>
    </font>
    <font>
      <b/>
      <u/>
      <sz val="14"/>
      <color rgb="FF0563C1"/>
      <name val="Times New Roman"/>
    </font>
    <font>
      <u/>
      <sz val="12"/>
      <color rgb="FF0563C1"/>
      <name val="Times New Roman"/>
    </font>
    <font>
      <i/>
      <sz val="12"/>
      <name val="Times New Roman"/>
    </font>
    <font>
      <i/>
      <sz val="11"/>
      <color rgb="FF808080"/>
      <name val="Times New Roman"/>
    </font>
  </fonts>
  <fills count="8">
    <fill>
      <patternFill patternType="none"/>
    </fill>
    <fill>
      <patternFill patternType="gray125"/>
    </fill>
    <fill>
      <patternFill patternType="solid">
        <fgColor rgb="FFFFF2CC"/>
      </patternFill>
    </fill>
    <fill>
      <patternFill patternType="solid">
        <fgColor rgb="FF1F4E78"/>
      </patternFill>
    </fill>
    <fill>
      <patternFill patternType="solid">
        <fgColor rgb="FF808080"/>
      </patternFill>
    </fill>
    <fill>
      <patternFill patternType="solid">
        <fgColor rgb="FFF2F2F2"/>
      </patternFill>
    </fill>
    <fill>
      <patternFill patternType="solid">
        <fgColor rgb="FFEDEDED"/>
      </patternFill>
    </fill>
    <fill>
      <patternFill patternType="solid">
        <fgColor rgb="FFFFFFFF"/>
      </patternFill>
    </fill>
  </fills>
  <borders count="5">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68">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3" fillId="0" borderId="0" xfId="0" applyFont="1" applyAlignment="1">
      <alignment vertical="top" wrapText="1"/>
    </xf>
    <xf numFmtId="0" fontId="5" fillId="0" borderId="0" xfId="0" applyFont="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5" fillId="0" borderId="0" xfId="0" applyFont="1"/>
    <xf numFmtId="0" fontId="4" fillId="0" borderId="0" xfId="0" applyFont="1"/>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4" borderId="1" xfId="0" applyFill="1" applyBorder="1"/>
    <xf numFmtId="0" fontId="10" fillId="0" borderId="1" xfId="0" applyFont="1" applyBorder="1" applyAlignment="1">
      <alignment horizontal="center" vertical="center" wrapText="1"/>
    </xf>
    <xf numFmtId="0" fontId="11" fillId="0" borderId="0" xfId="0" applyFont="1"/>
    <xf numFmtId="0" fontId="2" fillId="0" borderId="0" xfId="0" applyFont="1" applyAlignment="1">
      <alignment vertical="top" wrapText="1"/>
    </xf>
    <xf numFmtId="0" fontId="12" fillId="5" borderId="1" xfId="0" applyFont="1" applyFill="1" applyBorder="1" applyAlignment="1">
      <alignment horizontal="center" vertical="center" wrapText="1"/>
    </xf>
    <xf numFmtId="0" fontId="14" fillId="7" borderId="0" xfId="0" applyFont="1" applyFill="1" applyAlignment="1">
      <alignment vertical="center" wrapText="1"/>
    </xf>
    <xf numFmtId="0" fontId="15" fillId="0" borderId="0" xfId="0" applyFont="1" applyAlignment="1">
      <alignment vertical="center" wrapText="1"/>
    </xf>
    <xf numFmtId="0" fontId="0" fillId="0" borderId="0" xfId="0" applyAlignment="1">
      <alignment vertical="center" wrapText="1"/>
    </xf>
    <xf numFmtId="0" fontId="16"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vertical="center" wrapText="1"/>
    </xf>
    <xf numFmtId="0" fontId="19" fillId="0" borderId="0" xfId="0" applyFont="1" applyAlignment="1">
      <alignment vertical="center" wrapText="1"/>
    </xf>
    <xf numFmtId="0" fontId="20" fillId="0" borderId="0" xfId="0" applyFont="1" applyAlignment="1">
      <alignment vertical="center" wrapText="1"/>
    </xf>
    <xf numFmtId="0" fontId="21" fillId="0" borderId="0" xfId="0" applyFont="1" applyAlignment="1">
      <alignment vertical="center" wrapText="1"/>
    </xf>
    <xf numFmtId="0" fontId="13" fillId="0" borderId="0" xfId="0" applyFont="1"/>
    <xf numFmtId="0" fontId="6" fillId="2" borderId="0" xfId="0" applyFont="1" applyFill="1" applyAlignment="1" applyProtection="1">
      <alignment vertical="top" wrapText="1"/>
      <protection locked="0"/>
    </xf>
    <xf numFmtId="0" fontId="2" fillId="0" borderId="0" xfId="0" applyFont="1" applyProtection="1">
      <protection hidden="1"/>
    </xf>
    <xf numFmtId="0" fontId="3" fillId="0" borderId="1" xfId="0" applyFont="1" applyBorder="1" applyAlignment="1" applyProtection="1">
      <alignment vertical="top" wrapText="1"/>
      <protection hidden="1"/>
    </xf>
    <xf numFmtId="0" fontId="7" fillId="2" borderId="1" xfId="0" applyFont="1" applyFill="1" applyBorder="1" applyProtection="1">
      <protection locked="0"/>
    </xf>
    <xf numFmtId="164" fontId="7" fillId="2" borderId="1" xfId="0" applyNumberFormat="1" applyFont="1" applyFill="1" applyBorder="1" applyProtection="1">
      <protection locked="0"/>
    </xf>
    <xf numFmtId="165" fontId="7" fillId="2" borderId="1" xfId="0" applyNumberFormat="1" applyFont="1" applyFill="1" applyBorder="1" applyProtection="1">
      <protection locked="0"/>
    </xf>
    <xf numFmtId="0" fontId="3" fillId="0" borderId="1" xfId="0" applyFont="1" applyBorder="1" applyProtection="1">
      <protection hidden="1"/>
    </xf>
    <xf numFmtId="0" fontId="3" fillId="0" borderId="1" xfId="0" applyFont="1" applyBorder="1" applyAlignment="1" applyProtection="1">
      <alignment horizontal="center" vertical="center"/>
      <protection hidden="1"/>
    </xf>
    <xf numFmtId="166" fontId="7" fillId="2" borderId="1" xfId="0" applyNumberFormat="1" applyFont="1" applyFill="1" applyBorder="1" applyProtection="1">
      <protection locked="0"/>
    </xf>
    <xf numFmtId="167" fontId="7" fillId="2" borderId="1" xfId="0" applyNumberFormat="1" applyFont="1" applyFill="1" applyBorder="1" applyProtection="1">
      <protection locked="0"/>
    </xf>
    <xf numFmtId="166" fontId="3" fillId="0" borderId="1" xfId="0" applyNumberFormat="1" applyFont="1" applyBorder="1" applyProtection="1">
      <protection hidden="1"/>
    </xf>
    <xf numFmtId="0" fontId="7" fillId="2" borderId="1" xfId="0" applyFont="1" applyFill="1" applyBorder="1" applyAlignment="1" applyProtection="1">
      <alignment horizontal="center" vertical="center"/>
      <protection locked="0"/>
    </xf>
    <xf numFmtId="49" fontId="7" fillId="2" borderId="1" xfId="0" applyNumberFormat="1" applyFont="1" applyFill="1" applyBorder="1" applyProtection="1">
      <protection locked="0"/>
    </xf>
    <xf numFmtId="4" fontId="7" fillId="2" borderId="1" xfId="0" applyNumberFormat="1" applyFont="1" applyFill="1" applyBorder="1" applyProtection="1">
      <protection locked="0"/>
    </xf>
    <xf numFmtId="0" fontId="5" fillId="0" borderId="0" xfId="0" applyFont="1" applyProtection="1">
      <protection hidden="1"/>
    </xf>
    <xf numFmtId="166" fontId="3" fillId="6" borderId="1" xfId="0" applyNumberFormat="1" applyFont="1" applyFill="1" applyBorder="1" applyProtection="1">
      <protection hidden="1"/>
    </xf>
    <xf numFmtId="0" fontId="3" fillId="6" borderId="1" xfId="0" applyFont="1" applyFill="1" applyBorder="1" applyProtection="1">
      <protection hidden="1"/>
    </xf>
    <xf numFmtId="167" fontId="3" fillId="0" borderId="1" xfId="0" applyNumberFormat="1" applyFont="1" applyBorder="1" applyProtection="1">
      <protection hidden="1"/>
    </xf>
    <xf numFmtId="0" fontId="3" fillId="0" borderId="1" xfId="0" applyFont="1" applyBorder="1" applyAlignment="1" applyProtection="1">
      <alignment horizontal="left" vertical="center" wrapText="1"/>
      <protection hidden="1"/>
    </xf>
    <xf numFmtId="168" fontId="3" fillId="0" borderId="1" xfId="0" applyNumberFormat="1" applyFont="1" applyBorder="1" applyProtection="1">
      <protection hidden="1"/>
    </xf>
    <xf numFmtId="0" fontId="5" fillId="0" borderId="1" xfId="0" applyFont="1" applyBorder="1" applyAlignment="1" applyProtection="1">
      <alignment horizontal="center" vertical="center"/>
      <protection hidden="1"/>
    </xf>
    <xf numFmtId="10" fontId="3" fillId="0" borderId="1" xfId="0" applyNumberFormat="1" applyFont="1" applyBorder="1" applyAlignment="1" applyProtection="1">
      <alignment horizontal="center" vertical="center"/>
      <protection hidden="1"/>
    </xf>
    <xf numFmtId="1" fontId="3" fillId="0" borderId="1" xfId="0" applyNumberFormat="1" applyFont="1" applyBorder="1" applyAlignment="1" applyProtection="1">
      <alignment horizontal="center" vertical="center"/>
      <protection hidden="1"/>
    </xf>
    <xf numFmtId="0" fontId="5" fillId="0" borderId="0" xfId="0" applyFont="1" applyAlignment="1">
      <alignment horizontal="center" vertical="center"/>
    </xf>
    <xf numFmtId="0" fontId="0" fillId="0" borderId="0" xfId="0"/>
    <xf numFmtId="0" fontId="5" fillId="5" borderId="1" xfId="0" applyFont="1" applyFill="1" applyBorder="1" applyAlignment="1">
      <alignment horizontal="center" vertical="center" wrapText="1"/>
    </xf>
    <xf numFmtId="0" fontId="0" fillId="0" borderId="2" xfId="0" applyBorder="1"/>
    <xf numFmtId="0" fontId="10" fillId="0" borderId="0" xfId="0" applyFont="1" applyAlignment="1">
      <alignment horizontal="center" vertical="center"/>
    </xf>
    <xf numFmtId="0" fontId="5" fillId="0" borderId="0" xfId="0" applyFont="1" applyAlignment="1">
      <alignment horizontal="right"/>
    </xf>
    <xf numFmtId="0" fontId="10" fillId="0" borderId="0" xfId="0" applyFont="1" applyAlignment="1">
      <alignment vertical="top" wrapText="1"/>
    </xf>
    <xf numFmtId="0" fontId="1" fillId="0" borderId="0" xfId="0" applyFont="1" applyAlignment="1" applyProtection="1">
      <alignment horizontal="center" vertical="center" wrapText="1"/>
      <protection hidden="1"/>
    </xf>
    <xf numFmtId="0" fontId="5" fillId="0" borderId="0" xfId="0" applyFont="1" applyAlignment="1" applyProtection="1">
      <alignment horizontal="center" vertical="center"/>
      <protection hidden="1"/>
    </xf>
    <xf numFmtId="0" fontId="0" fillId="0" borderId="3" xfId="0" applyBorder="1"/>
    <xf numFmtId="0" fontId="0" fillId="0" borderId="4" xfId="0" applyBorder="1"/>
    <xf numFmtId="0" fontId="8" fillId="4" borderId="1"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Alignment="1" applyProtection="1">
      <alignment horizontal="center" vertical="center"/>
      <protection hidden="1"/>
    </xf>
    <xf numFmtId="0" fontId="1" fillId="0" borderId="0" xfId="0" applyFont="1" applyAlignment="1">
      <alignment horizontal="center" vertical="center" wrapText="1"/>
    </xf>
    <xf numFmtId="0" fontId="12" fillId="5" borderId="1" xfId="0" applyFont="1" applyFill="1" applyBorder="1" applyAlignment="1">
      <alignment horizontal="center" vertical="center" wrapText="1"/>
    </xf>
  </cellXfs>
  <cellStyles count="1">
    <cellStyle name="Normal" xfId="0" builtinId="0"/>
  </cellStyles>
  <dxfs count="68">
    <dxf>
      <fill>
        <patternFill patternType="solid">
          <fgColor rgb="FFE7E6E6"/>
        </patternFill>
      </fill>
    </dxf>
    <dxf>
      <fill>
        <patternFill patternType="solid">
          <fgColor rgb="FFFFC7CE"/>
        </patternFill>
      </fill>
    </dxf>
    <dxf>
      <fill>
        <patternFill patternType="solid">
          <fgColor rgb="FFFFD699"/>
        </patternFill>
      </fill>
    </dxf>
    <dxf>
      <fill>
        <patternFill patternType="solid">
          <fgColor rgb="FFFFEB9C"/>
        </patternFill>
      </fill>
    </dxf>
    <dxf>
      <fill>
        <patternFill patternType="solid">
          <fgColor rgb="FFC6EFCE"/>
        </patternFill>
      </fill>
    </dxf>
    <dxf>
      <fill>
        <patternFill patternType="solid">
          <fgColor rgb="FFE7E6E6"/>
        </patternFill>
      </fill>
    </dxf>
    <dxf>
      <fill>
        <patternFill patternType="solid">
          <fgColor rgb="FFFFC7CE"/>
        </patternFill>
      </fill>
    </dxf>
    <dxf>
      <fill>
        <patternFill patternType="solid">
          <fgColor rgb="FFFFD699"/>
        </patternFill>
      </fill>
    </dxf>
    <dxf>
      <fill>
        <patternFill patternType="solid">
          <fgColor rgb="FFFFEB9C"/>
        </patternFill>
      </fill>
    </dxf>
    <dxf>
      <fill>
        <patternFill patternType="solid">
          <fgColor rgb="FFC6EFCE"/>
        </patternFill>
      </fill>
    </dxf>
    <dxf>
      <numFmt numFmtId="3" formatCode="#,##0"/>
    </dxf>
    <dxf>
      <fill>
        <patternFill patternType="solid">
          <fgColor rgb="FFE7E6E6"/>
        </patternFill>
      </fill>
    </dxf>
    <dxf>
      <fill>
        <patternFill patternType="solid">
          <fgColor rgb="FFFFC7CE"/>
        </patternFill>
      </fill>
    </dxf>
    <dxf>
      <fill>
        <patternFill patternType="solid">
          <fgColor rgb="FFFFD699"/>
        </patternFill>
      </fill>
    </dxf>
    <dxf>
      <fill>
        <patternFill patternType="solid">
          <fgColor rgb="FFFFEB9C"/>
        </patternFill>
      </fill>
    </dxf>
    <dxf>
      <fill>
        <patternFill patternType="solid">
          <fgColor rgb="FFC6EFCE"/>
        </patternFill>
      </fill>
    </dxf>
    <dxf>
      <numFmt numFmtId="3" formatCode="#,##0"/>
    </dxf>
    <dxf>
      <fill>
        <patternFill patternType="solid">
          <fgColor rgb="FFE7E6E6"/>
        </patternFill>
      </fill>
    </dxf>
    <dxf>
      <fill>
        <patternFill patternType="solid">
          <fgColor rgb="FFFFC7CE"/>
        </patternFill>
      </fill>
    </dxf>
    <dxf>
      <fill>
        <patternFill patternType="solid">
          <fgColor rgb="FFFFD699"/>
        </patternFill>
      </fill>
    </dxf>
    <dxf>
      <fill>
        <patternFill patternType="solid">
          <fgColor rgb="FFFFEB9C"/>
        </patternFill>
      </fill>
    </dxf>
    <dxf>
      <fill>
        <patternFill patternType="solid">
          <fgColor rgb="FFC6EFCE"/>
        </patternFill>
      </fill>
    </dxf>
    <dxf>
      <numFmt numFmtId="3" formatCode="#,##0"/>
    </dxf>
    <dxf>
      <fill>
        <patternFill patternType="solid">
          <fgColor rgb="FFE7E6E6"/>
        </patternFill>
      </fill>
    </dxf>
    <dxf>
      <fill>
        <patternFill patternType="solid">
          <fgColor rgb="FFFFC7CE"/>
        </patternFill>
      </fill>
    </dxf>
    <dxf>
      <fill>
        <patternFill patternType="solid">
          <fgColor rgb="FFFFD699"/>
        </patternFill>
      </fill>
    </dxf>
    <dxf>
      <fill>
        <patternFill patternType="solid">
          <fgColor rgb="FFFFEB9C"/>
        </patternFill>
      </fill>
    </dxf>
    <dxf>
      <fill>
        <patternFill patternType="solid">
          <fgColor rgb="FFC6EFCE"/>
        </patternFill>
      </fill>
    </dxf>
    <dxf>
      <numFmt numFmtId="3" formatCode="#,##0"/>
    </dxf>
    <dxf>
      <fill>
        <patternFill patternType="solid">
          <fgColor rgb="FFE7E6E6"/>
        </patternFill>
      </fill>
    </dxf>
    <dxf>
      <fill>
        <patternFill patternType="solid">
          <fgColor rgb="FFFFC7CE"/>
        </patternFill>
      </fill>
    </dxf>
    <dxf>
      <fill>
        <patternFill patternType="solid">
          <fgColor rgb="FFFFD699"/>
        </patternFill>
      </fill>
    </dxf>
    <dxf>
      <fill>
        <patternFill patternType="solid">
          <fgColor rgb="FFFFEB9C"/>
        </patternFill>
      </fill>
    </dxf>
    <dxf>
      <fill>
        <patternFill patternType="solid">
          <fgColor rgb="FFC6EFCE"/>
        </patternFill>
      </fill>
    </dxf>
    <dxf>
      <numFmt numFmtId="3" formatCode="#,##0"/>
    </dxf>
    <dxf>
      <fill>
        <patternFill patternType="solid">
          <fgColor rgb="FFE7E6E6"/>
        </patternFill>
      </fill>
    </dxf>
    <dxf>
      <fill>
        <patternFill patternType="solid">
          <fgColor rgb="FFFFC7CE"/>
        </patternFill>
      </fill>
    </dxf>
    <dxf>
      <fill>
        <patternFill patternType="solid">
          <fgColor rgb="FFFFD699"/>
        </patternFill>
      </fill>
    </dxf>
    <dxf>
      <fill>
        <patternFill patternType="solid">
          <fgColor rgb="FFFFEB9C"/>
        </patternFill>
      </fill>
    </dxf>
    <dxf>
      <fill>
        <patternFill patternType="solid">
          <fgColor rgb="FFC6EFCE"/>
        </patternFill>
      </fill>
    </dxf>
    <dxf>
      <numFmt numFmtId="3" formatCode="#,##0"/>
    </dxf>
    <dxf>
      <fill>
        <patternFill patternType="solid">
          <fgColor rgb="FFFFC7CE"/>
        </patternFill>
      </fill>
    </dxf>
    <dxf>
      <fill>
        <patternFill patternType="solid">
          <fgColor rgb="FFFFC7CE"/>
        </patternFill>
      </fill>
    </dxf>
    <dxf>
      <fill>
        <patternFill patternType="solid">
          <fgColor rgb="FFC6EFCE"/>
        </patternFill>
      </fill>
    </dxf>
    <dxf>
      <fill>
        <patternFill patternType="solid">
          <fgColor rgb="FFC6EFCE"/>
        </patternFill>
      </fill>
    </dxf>
    <dxf>
      <fill>
        <patternFill patternType="solid">
          <fgColor rgb="FFC6EFCE"/>
        </patternFill>
      </fill>
    </dxf>
    <dxf>
      <fill>
        <patternFill patternType="solid">
          <fgColor rgb="FFFFC7CE"/>
        </patternFill>
      </fill>
    </dxf>
    <dxf>
      <fill>
        <patternFill patternType="solid">
          <fgColor rgb="FFFFC7CE"/>
        </patternFill>
      </fill>
    </dxf>
    <dxf>
      <fill>
        <patternFill patternType="solid">
          <fgColor rgb="FFC6EFCE"/>
        </patternFill>
      </fill>
    </dxf>
    <dxf>
      <fill>
        <patternFill patternType="solid">
          <fgColor rgb="FFC6EFCE"/>
        </patternFill>
      </fill>
    </dxf>
    <dxf>
      <fill>
        <patternFill patternType="solid">
          <fgColor rgb="FFC6EFCE"/>
        </patternFill>
      </fill>
    </dxf>
    <dxf>
      <fill>
        <patternFill patternType="solid">
          <fgColor rgb="FFFFC7CE"/>
        </patternFill>
      </fill>
    </dxf>
    <dxf>
      <fill>
        <patternFill patternType="solid">
          <fgColor rgb="FFFFC7CE"/>
        </patternFill>
      </fill>
    </dxf>
    <dxf>
      <fill>
        <patternFill patternType="solid">
          <fgColor rgb="FFC6EFCE"/>
        </patternFill>
      </fill>
    </dxf>
    <dxf>
      <fill>
        <patternFill patternType="solid">
          <fgColor rgb="FFC6EFCE"/>
        </patternFill>
      </fill>
    </dxf>
    <dxf>
      <fill>
        <patternFill patternType="solid">
          <fgColor rgb="FFC6EFCE"/>
        </patternFill>
      </fill>
    </dxf>
    <dxf>
      <fill>
        <patternFill patternType="solid">
          <fgColor rgb="FFE7E6F7"/>
        </patternFill>
      </fill>
    </dxf>
    <dxf>
      <fill>
        <patternFill patternType="solid">
          <fgColor rgb="FFFFC7CE"/>
        </patternFill>
      </fill>
    </dxf>
    <dxf>
      <fill>
        <patternFill patternType="solid">
          <fgColor rgb="FFFFC7CE"/>
        </patternFill>
      </fill>
    </dxf>
    <dxf>
      <fill>
        <patternFill patternType="solid">
          <fgColor rgb="FFC6EFCE"/>
        </patternFill>
      </fill>
    </dxf>
    <dxf>
      <fill>
        <patternFill patternType="solid">
          <fgColor rgb="FFC6EFCE"/>
        </patternFill>
      </fill>
    </dxf>
    <dxf>
      <fill>
        <patternFill patternType="solid">
          <fgColor rgb="FFC6EFCE"/>
        </patternFill>
      </fill>
    </dxf>
    <dxf>
      <fill>
        <patternFill patternType="solid">
          <fgColor rgb="FFE7E6F7"/>
        </patternFill>
      </fill>
    </dxf>
    <dxf>
      <fill>
        <patternFill patternType="solid">
          <fgColor rgb="FFFFC7CE"/>
        </patternFill>
      </fill>
    </dxf>
    <dxf>
      <fill>
        <patternFill patternType="solid">
          <fgColor rgb="FFFFC7CE"/>
        </patternFill>
      </fill>
    </dxf>
    <dxf>
      <fill>
        <patternFill patternType="solid">
          <fgColor rgb="FFC6EFCE"/>
        </patternFill>
      </fill>
    </dxf>
    <dxf>
      <fill>
        <patternFill patternType="solid">
          <fgColor rgb="FFC6EFCE"/>
        </patternFill>
      </fill>
    </dxf>
    <dxf>
      <fill>
        <patternFill patternType="solid">
          <f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xnkbot.com/" TargetMode="External"/><Relationship Id="rId1" Type="http://schemas.openxmlformats.org/officeDocument/2006/relationships/hyperlink" Target="https://xnkbot.com/" TargetMode="External"/></Relationships>
</file>

<file path=xl/worksheets/_rels/sheet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vmlDrawing" Target="../drawings/vmlDrawing1.vml"/><Relationship Id="rId1" Type="http://schemas.openxmlformats.org/officeDocument/2006/relationships/hyperlink" Target="https://xnkbot.com/"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vmlDrawing" Target="../drawings/vmlDrawing2.vml"/><Relationship Id="rId1" Type="http://schemas.openxmlformats.org/officeDocument/2006/relationships/hyperlink" Target="https://xnkbot.com/" TargetMode="External"/><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vmlDrawing" Target="../drawings/vmlDrawing3.vml"/><Relationship Id="rId1" Type="http://schemas.openxmlformats.org/officeDocument/2006/relationships/hyperlink" Target="https://xnkbot.com/" TargetMode="External"/><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_rels/sheet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xnkbo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B2:B13"/>
  <sheetViews>
    <sheetView showGridLines="0" workbookViewId="0"/>
  </sheetViews>
  <sheetFormatPr defaultRowHeight="14.4" x14ac:dyDescent="0.25"/>
  <cols>
    <col min="1" max="1" width="4" customWidth="1"/>
    <col min="2" max="2" width="110" customWidth="1"/>
  </cols>
  <sheetData>
    <row r="2" spans="2:2" ht="41.95" customHeight="1" x14ac:dyDescent="0.25">
      <c r="B2" s="19" t="s">
        <v>0</v>
      </c>
    </row>
    <row r="3" spans="2:2" ht="22.1" customHeight="1" x14ac:dyDescent="0.25">
      <c r="B3" s="20" t="s">
        <v>1</v>
      </c>
    </row>
    <row r="4" spans="2:2" ht="22.1" customHeight="1" x14ac:dyDescent="0.25">
      <c r="B4" s="21"/>
    </row>
    <row r="5" spans="2:2" ht="36" customHeight="1" x14ac:dyDescent="0.25">
      <c r="B5" s="22" t="s">
        <v>2</v>
      </c>
    </row>
    <row r="6" spans="2:2" ht="22.1" customHeight="1" x14ac:dyDescent="0.25">
      <c r="B6" s="21"/>
    </row>
    <row r="7" spans="2:2" ht="36" customHeight="1" x14ac:dyDescent="0.25">
      <c r="B7" s="23" t="s">
        <v>3</v>
      </c>
    </row>
    <row r="8" spans="2:2" ht="22.1" customHeight="1" x14ac:dyDescent="0.25">
      <c r="B8" s="21"/>
    </row>
    <row r="9" spans="2:2" ht="22.1" customHeight="1" x14ac:dyDescent="0.25">
      <c r="B9" s="24" t="s">
        <v>4</v>
      </c>
    </row>
    <row r="10" spans="2:2" ht="22.1" customHeight="1" x14ac:dyDescent="0.25">
      <c r="B10" s="25" t="s">
        <v>5</v>
      </c>
    </row>
    <row r="11" spans="2:2" ht="22.1" customHeight="1" x14ac:dyDescent="0.25">
      <c r="B11" s="21"/>
    </row>
    <row r="12" spans="2:2" ht="36" customHeight="1" x14ac:dyDescent="0.25">
      <c r="B12" s="26" t="s">
        <v>6</v>
      </c>
    </row>
    <row r="13" spans="2:2" ht="36" customHeight="1" x14ac:dyDescent="0.25">
      <c r="B13" s="27" t="s">
        <v>7</v>
      </c>
    </row>
  </sheetData>
  <sheetProtection password="D0B3" sheet="1"/>
  <hyperlinks>
    <hyperlink ref="B9" r:id="rId1" xr:uid="{00000000-0004-0000-0000-000000000000}"/>
    <hyperlink ref="B10" r:id="rId2" xr:uid="{00000000-0004-0000-0000-000001000000}"/>
  </hyperlinks>
  <pageMargins left="0.75" right="0.75" top="1" bottom="1" header="0.5" footer="0.5"/>
  <headerFooter>
    <oddFooter>&amp;LPhát hành miễn phí bởi xnkbot.com</oddFooter>
  </headerFooter>
  <pictur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4E78"/>
  </sheetPr>
  <dimension ref="A1:C34"/>
  <sheetViews>
    <sheetView showGridLines="0" workbookViewId="0"/>
  </sheetViews>
  <sheetFormatPr defaultRowHeight="14.4" x14ac:dyDescent="0.25"/>
  <cols>
    <col min="1" max="1" width="6" customWidth="1"/>
    <col min="2" max="2" width="30" customWidth="1"/>
    <col min="3" max="3" width="120" customWidth="1"/>
  </cols>
  <sheetData>
    <row r="1" spans="1:3" ht="17.55" x14ac:dyDescent="0.3">
      <c r="A1" s="1" t="s">
        <v>8</v>
      </c>
    </row>
    <row r="2" spans="1:3" x14ac:dyDescent="0.25">
      <c r="A2" s="2" t="s">
        <v>9</v>
      </c>
    </row>
    <row r="3" spans="1:3" x14ac:dyDescent="0.25">
      <c r="A3" s="28" t="s">
        <v>4</v>
      </c>
    </row>
    <row r="4" spans="1:3" ht="31.3" x14ac:dyDescent="0.25">
      <c r="A4" s="3"/>
      <c r="B4" s="4" t="s">
        <v>10</v>
      </c>
      <c r="C4" s="5"/>
    </row>
    <row r="5" spans="1:3" ht="28.8" x14ac:dyDescent="0.25">
      <c r="A5" s="3" t="s">
        <v>11</v>
      </c>
      <c r="B5" s="6" t="s">
        <v>12</v>
      </c>
      <c r="C5" s="5" t="s">
        <v>13</v>
      </c>
    </row>
    <row r="6" spans="1:3" x14ac:dyDescent="0.25">
      <c r="A6" s="3" t="s">
        <v>11</v>
      </c>
      <c r="B6" s="6" t="s">
        <v>14</v>
      </c>
      <c r="C6" s="5" t="s">
        <v>15</v>
      </c>
    </row>
    <row r="7" spans="1:3" ht="28.8" x14ac:dyDescent="0.25">
      <c r="A7" s="3" t="s">
        <v>11</v>
      </c>
      <c r="B7" s="6" t="s">
        <v>16</v>
      </c>
      <c r="C7" s="5" t="s">
        <v>17</v>
      </c>
    </row>
    <row r="8" spans="1:3" ht="15.65" x14ac:dyDescent="0.25">
      <c r="A8" s="3"/>
      <c r="B8" s="4"/>
      <c r="C8" s="5"/>
    </row>
    <row r="9" spans="1:3" ht="15.65" x14ac:dyDescent="0.25">
      <c r="A9" s="3"/>
      <c r="B9" s="4" t="s">
        <v>18</v>
      </c>
      <c r="C9" s="5"/>
    </row>
    <row r="10" spans="1:3" x14ac:dyDescent="0.25">
      <c r="A10" s="3"/>
      <c r="B10" s="29" t="s">
        <v>19</v>
      </c>
      <c r="C10" s="5" t="s">
        <v>20</v>
      </c>
    </row>
    <row r="11" spans="1:3" x14ac:dyDescent="0.25">
      <c r="A11" s="3"/>
      <c r="B11" s="6" t="s">
        <v>21</v>
      </c>
      <c r="C11" s="5" t="s">
        <v>22</v>
      </c>
    </row>
    <row r="12" spans="1:3" x14ac:dyDescent="0.25">
      <c r="A12" s="3"/>
      <c r="B12" s="6" t="s">
        <v>23</v>
      </c>
      <c r="C12" s="5" t="s">
        <v>24</v>
      </c>
    </row>
    <row r="13" spans="1:3" x14ac:dyDescent="0.25">
      <c r="A13" s="3"/>
      <c r="B13" s="6" t="s">
        <v>25</v>
      </c>
      <c r="C13" s="5" t="s">
        <v>26</v>
      </c>
    </row>
    <row r="14" spans="1:3" ht="15.65" x14ac:dyDescent="0.25">
      <c r="A14" s="3"/>
      <c r="B14" s="4"/>
      <c r="C14" s="5"/>
    </row>
    <row r="15" spans="1:3" ht="15.65" x14ac:dyDescent="0.25">
      <c r="A15" s="3"/>
      <c r="B15" s="4" t="s">
        <v>27</v>
      </c>
      <c r="C15" s="5"/>
    </row>
    <row r="16" spans="1:3" ht="28.8" x14ac:dyDescent="0.25">
      <c r="A16" s="3" t="s">
        <v>28</v>
      </c>
      <c r="B16" s="6" t="s">
        <v>29</v>
      </c>
      <c r="C16" s="5" t="s">
        <v>30</v>
      </c>
    </row>
    <row r="17" spans="1:3" x14ac:dyDescent="0.25">
      <c r="A17" s="3" t="s">
        <v>31</v>
      </c>
      <c r="B17" s="6" t="s">
        <v>32</v>
      </c>
      <c r="C17" s="5" t="s">
        <v>33</v>
      </c>
    </row>
    <row r="18" spans="1:3" ht="43.2" x14ac:dyDescent="0.25">
      <c r="A18" s="3" t="s">
        <v>34</v>
      </c>
      <c r="B18" s="6" t="s">
        <v>35</v>
      </c>
      <c r="C18" s="5" t="s">
        <v>36</v>
      </c>
    </row>
    <row r="19" spans="1:3" x14ac:dyDescent="0.25">
      <c r="A19" s="3" t="s">
        <v>37</v>
      </c>
      <c r="B19" s="6" t="s">
        <v>38</v>
      </c>
      <c r="C19" s="5" t="s">
        <v>39</v>
      </c>
    </row>
    <row r="20" spans="1:3" ht="28.8" x14ac:dyDescent="0.25">
      <c r="A20" s="3" t="s">
        <v>40</v>
      </c>
      <c r="B20" s="6" t="s">
        <v>41</v>
      </c>
      <c r="C20" s="5" t="s">
        <v>42</v>
      </c>
    </row>
    <row r="21" spans="1:3" ht="28.8" x14ac:dyDescent="0.25">
      <c r="A21" s="3" t="s">
        <v>43</v>
      </c>
      <c r="B21" s="6" t="s">
        <v>44</v>
      </c>
      <c r="C21" s="5" t="s">
        <v>45</v>
      </c>
    </row>
    <row r="22" spans="1:3" x14ac:dyDescent="0.25">
      <c r="A22" s="3" t="s">
        <v>46</v>
      </c>
      <c r="B22" s="6" t="s">
        <v>47</v>
      </c>
      <c r="C22" s="5" t="s">
        <v>48</v>
      </c>
    </row>
    <row r="23" spans="1:3" x14ac:dyDescent="0.25">
      <c r="A23" s="3" t="s">
        <v>49</v>
      </c>
      <c r="B23" s="6" t="s">
        <v>50</v>
      </c>
      <c r="C23" s="5" t="s">
        <v>51</v>
      </c>
    </row>
    <row r="24" spans="1:3" ht="15.65" x14ac:dyDescent="0.25">
      <c r="A24" s="3"/>
      <c r="B24" s="4"/>
      <c r="C24" s="5"/>
    </row>
    <row r="25" spans="1:3" ht="15.65" x14ac:dyDescent="0.25">
      <c r="A25" s="3"/>
      <c r="B25" s="4" t="s">
        <v>52</v>
      </c>
      <c r="C25" s="5"/>
    </row>
    <row r="26" spans="1:3" x14ac:dyDescent="0.25">
      <c r="A26" s="3" t="s">
        <v>11</v>
      </c>
      <c r="B26" s="6" t="s">
        <v>53</v>
      </c>
      <c r="C26" s="5" t="s">
        <v>54</v>
      </c>
    </row>
    <row r="27" spans="1:3" ht="28.8" x14ac:dyDescent="0.25">
      <c r="A27" s="3" t="s">
        <v>11</v>
      </c>
      <c r="B27" s="6" t="s">
        <v>55</v>
      </c>
      <c r="C27" s="5" t="s">
        <v>56</v>
      </c>
    </row>
    <row r="28" spans="1:3" x14ac:dyDescent="0.25">
      <c r="A28" s="3" t="s">
        <v>11</v>
      </c>
      <c r="B28" s="6" t="s">
        <v>57</v>
      </c>
      <c r="C28" s="5" t="s">
        <v>58</v>
      </c>
    </row>
    <row r="29" spans="1:3" x14ac:dyDescent="0.25">
      <c r="A29" s="3" t="s">
        <v>11</v>
      </c>
      <c r="B29" s="6" t="s">
        <v>59</v>
      </c>
      <c r="C29" s="5" t="s">
        <v>60</v>
      </c>
    </row>
    <row r="30" spans="1:3" ht="28.8" x14ac:dyDescent="0.25">
      <c r="A30" s="3" t="s">
        <v>11</v>
      </c>
      <c r="B30" s="6" t="s">
        <v>61</v>
      </c>
      <c r="C30" s="5" t="s">
        <v>62</v>
      </c>
    </row>
    <row r="31" spans="1:3" x14ac:dyDescent="0.25">
      <c r="A31" s="3" t="s">
        <v>11</v>
      </c>
      <c r="B31" s="6" t="s">
        <v>63</v>
      </c>
      <c r="C31" s="5" t="s">
        <v>64</v>
      </c>
    </row>
    <row r="32" spans="1:3" x14ac:dyDescent="0.25">
      <c r="A32" s="3" t="s">
        <v>11</v>
      </c>
      <c r="B32" s="6" t="s">
        <v>65</v>
      </c>
      <c r="C32" s="5" t="s">
        <v>66</v>
      </c>
    </row>
    <row r="34" spans="1:3" ht="28.8" x14ac:dyDescent="0.25">
      <c r="A34" s="3" t="s">
        <v>11</v>
      </c>
      <c r="B34" s="9" t="s">
        <v>67</v>
      </c>
      <c r="C34" s="5" t="s">
        <v>68</v>
      </c>
    </row>
  </sheetData>
  <sheetProtection password="D0B3" sheet="1" objects="1" scenarios="1" formatColumns="0" formatRows="0" autoFilter="0"/>
  <hyperlinks>
    <hyperlink ref="A3" r:id="rId1" xr:uid="{00000000-0004-0000-01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4E78"/>
  </sheetPr>
  <dimension ref="A1:C28"/>
  <sheetViews>
    <sheetView showGridLines="0" workbookViewId="0"/>
  </sheetViews>
  <sheetFormatPr defaultRowHeight="14.4" x14ac:dyDescent="0.25"/>
  <cols>
    <col min="1" max="1" width="50" customWidth="1"/>
    <col min="2" max="2" width="80" customWidth="1"/>
    <col min="3" max="3" width="48" customWidth="1"/>
  </cols>
  <sheetData>
    <row r="1" spans="1:3" ht="17.55" x14ac:dyDescent="0.3">
      <c r="A1" s="1" t="s">
        <v>69</v>
      </c>
    </row>
    <row r="2" spans="1:3" x14ac:dyDescent="0.25">
      <c r="A2" s="30" t="str">
        <f>ThongTin!$C$4&amp;" – loại hình "&amp;ThongTin!$C$15&amp;" – kỳ "&amp;TEXT(ThongTin!$C$9,"dd/mm/yyyy")&amp;"–"&amp;TEXT(ThongTin!$C$10,"dd/mm/yyyy")&amp;". Mọi số trên các sheet kiểm tra là công thức tham chiếu trực tiếp vào 3 sheet mẫu."</f>
        <v>Công ty TNHH ABC Việt Nam (dữ liệu mẫu) – loại hình sản xuất xuất khẩu – kỳ 01/01/2025–31/12/2025. Mọi số trên các sheet kiểm tra là công thức tham chiếu trực tiếp vào 3 sheet mẫu.</v>
      </c>
    </row>
    <row r="3" spans="1:3" x14ac:dyDescent="0.25">
      <c r="A3" s="28" t="s">
        <v>4</v>
      </c>
    </row>
    <row r="4" spans="1:3" ht="15.65" x14ac:dyDescent="0.25">
      <c r="A4" s="7" t="s">
        <v>70</v>
      </c>
      <c r="B4" s="8"/>
      <c r="C4" s="8"/>
    </row>
    <row r="5" spans="1:3" x14ac:dyDescent="0.25">
      <c r="A5" s="8" t="s">
        <v>71</v>
      </c>
      <c r="B5" s="8" t="s">
        <v>72</v>
      </c>
      <c r="C5" s="8" t="s">
        <v>73</v>
      </c>
    </row>
    <row r="6" spans="1:3" x14ac:dyDescent="0.25">
      <c r="A6" s="8" t="s">
        <v>74</v>
      </c>
      <c r="B6" s="8" t="s">
        <v>75</v>
      </c>
      <c r="C6" s="8" t="s">
        <v>76</v>
      </c>
    </row>
    <row r="7" spans="1:3" x14ac:dyDescent="0.25">
      <c r="A7" s="8" t="s">
        <v>77</v>
      </c>
      <c r="B7" s="8" t="s">
        <v>78</v>
      </c>
      <c r="C7" s="8" t="s">
        <v>79</v>
      </c>
    </row>
    <row r="8" spans="1:3" x14ac:dyDescent="0.25">
      <c r="A8" s="8" t="s">
        <v>80</v>
      </c>
      <c r="B8" s="8" t="s">
        <v>81</v>
      </c>
      <c r="C8" s="8" t="s">
        <v>82</v>
      </c>
    </row>
    <row r="9" spans="1:3" x14ac:dyDescent="0.25">
      <c r="A9" s="8" t="s">
        <v>83</v>
      </c>
      <c r="B9" s="8" t="s">
        <v>84</v>
      </c>
      <c r="C9" s="8" t="s">
        <v>85</v>
      </c>
    </row>
    <row r="10" spans="1:3" x14ac:dyDescent="0.25">
      <c r="A10" s="8" t="s">
        <v>86</v>
      </c>
      <c r="B10" s="8" t="s">
        <v>87</v>
      </c>
      <c r="C10" s="8" t="s">
        <v>88</v>
      </c>
    </row>
    <row r="11" spans="1:3" x14ac:dyDescent="0.25">
      <c r="A11" s="8" t="s">
        <v>89</v>
      </c>
      <c r="B11" s="8" t="s">
        <v>90</v>
      </c>
      <c r="C11" s="8" t="s">
        <v>91</v>
      </c>
    </row>
    <row r="12" spans="1:3" x14ac:dyDescent="0.25">
      <c r="A12" s="8" t="s">
        <v>92</v>
      </c>
      <c r="B12" s="8" t="s">
        <v>93</v>
      </c>
      <c r="C12" s="8" t="s">
        <v>94</v>
      </c>
    </row>
    <row r="13" spans="1:3" x14ac:dyDescent="0.25">
      <c r="A13" s="5"/>
      <c r="B13" s="5"/>
      <c r="C13" s="5"/>
    </row>
    <row r="14" spans="1:3" ht="31.3" x14ac:dyDescent="0.25">
      <c r="A14" s="7" t="s">
        <v>95</v>
      </c>
      <c r="B14" s="8"/>
      <c r="C14" s="8"/>
    </row>
    <row r="15" spans="1:3" x14ac:dyDescent="0.25">
      <c r="A15" s="8" t="s">
        <v>96</v>
      </c>
      <c r="B15" s="8" t="s">
        <v>97</v>
      </c>
      <c r="C15" s="8" t="s">
        <v>98</v>
      </c>
    </row>
    <row r="16" spans="1:3" x14ac:dyDescent="0.25">
      <c r="A16" s="8" t="s">
        <v>99</v>
      </c>
      <c r="B16" s="8" t="s">
        <v>100</v>
      </c>
      <c r="C16" s="8" t="s">
        <v>101</v>
      </c>
    </row>
    <row r="17" spans="1:3" x14ac:dyDescent="0.25">
      <c r="A17" s="8" t="s">
        <v>102</v>
      </c>
      <c r="B17" s="8" t="s">
        <v>103</v>
      </c>
      <c r="C17" s="8" t="s">
        <v>104</v>
      </c>
    </row>
    <row r="18" spans="1:3" x14ac:dyDescent="0.25">
      <c r="A18" s="8" t="s">
        <v>105</v>
      </c>
      <c r="B18" s="8" t="s">
        <v>106</v>
      </c>
      <c r="C18" s="8" t="s">
        <v>107</v>
      </c>
    </row>
    <row r="19" spans="1:3" x14ac:dyDescent="0.25">
      <c r="A19" s="8" t="s">
        <v>108</v>
      </c>
      <c r="B19" s="8" t="s">
        <v>109</v>
      </c>
      <c r="C19" s="8" t="s">
        <v>110</v>
      </c>
    </row>
    <row r="20" spans="1:3" x14ac:dyDescent="0.25">
      <c r="A20" s="8" t="s">
        <v>111</v>
      </c>
      <c r="B20" s="8" t="s">
        <v>112</v>
      </c>
      <c r="C20" s="8" t="s">
        <v>113</v>
      </c>
    </row>
    <row r="21" spans="1:3" x14ac:dyDescent="0.25">
      <c r="A21" s="8" t="s">
        <v>114</v>
      </c>
      <c r="B21" s="8" t="s">
        <v>115</v>
      </c>
      <c r="C21" s="8" t="s">
        <v>113</v>
      </c>
    </row>
    <row r="22" spans="1:3" x14ac:dyDescent="0.25">
      <c r="A22" s="8" t="s">
        <v>116</v>
      </c>
      <c r="B22" s="31" t="str">
        <f>"Chênh lệch kiểm tra ngược; ngưỡng Pass |tỷ lệ| ≤ "&amp;TEXT(ThongTin!$C$11,"0.0%")</f>
        <v>Chênh lệch kiểm tra ngược; ngưỡng Pass |tỷ lệ| ≤ 0.5%</v>
      </c>
      <c r="C22" s="8" t="s">
        <v>113</v>
      </c>
    </row>
    <row r="23" spans="1:3" x14ac:dyDescent="0.25">
      <c r="A23" s="5"/>
      <c r="B23" s="5"/>
      <c r="C23" s="5"/>
    </row>
    <row r="24" spans="1:3" ht="31.3" x14ac:dyDescent="0.25">
      <c r="A24" s="7" t="s">
        <v>117</v>
      </c>
      <c r="B24" s="8"/>
      <c r="C24" s="8"/>
    </row>
    <row r="25" spans="1:3" x14ac:dyDescent="0.25">
      <c r="A25" s="8" t="s">
        <v>118</v>
      </c>
      <c r="B25" s="8" t="s">
        <v>119</v>
      </c>
      <c r="C25" s="8" t="s">
        <v>120</v>
      </c>
    </row>
    <row r="26" spans="1:3" x14ac:dyDescent="0.25">
      <c r="A26" s="8" t="s">
        <v>121</v>
      </c>
      <c r="B26" s="31" t="str">
        <f>"Ngưỡng cảnh báo ±"&amp;TEXT(ThongTin!$C$12,"0%")&amp;"; ngoài ngưỡng → Xem xét (giải trình: thử khuôn, NG, ĐVT…)"</f>
        <v>Ngưỡng cảnh báo ±5%; ngoài ngưỡng → Xem xét (giải trình: thử khuôn, NG, ĐVT…)</v>
      </c>
      <c r="C26" s="8" t="s">
        <v>122</v>
      </c>
    </row>
    <row r="27" spans="1:3" x14ac:dyDescent="0.25">
      <c r="A27" s="8" t="s">
        <v>123</v>
      </c>
      <c r="B27" s="8" t="s">
        <v>124</v>
      </c>
      <c r="C27" s="8" t="s">
        <v>125</v>
      </c>
    </row>
    <row r="28" spans="1:3" ht="28.8" x14ac:dyDescent="0.25">
      <c r="A28" s="8" t="s">
        <v>126</v>
      </c>
      <c r="B28" s="8" t="s">
        <v>127</v>
      </c>
      <c r="C28" s="8"/>
    </row>
  </sheetData>
  <sheetProtection password="D0B3" sheet="1" objects="1" scenarios="1" formatColumns="0" formatRows="0" autoFilter="0"/>
  <hyperlinks>
    <hyperlink ref="A3" r:id="rId1" xr:uid="{00000000-0004-0000-02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D48"/>
  <sheetViews>
    <sheetView showGridLines="0" workbookViewId="0"/>
  </sheetViews>
  <sheetFormatPr defaultRowHeight="14.4" x14ac:dyDescent="0.25"/>
  <cols>
    <col min="1" max="1" width="14" customWidth="1"/>
    <col min="2" max="2" width="46" customWidth="1"/>
    <col min="3" max="3" width="44" customWidth="1"/>
    <col min="4" max="4" width="60" customWidth="1"/>
  </cols>
  <sheetData>
    <row r="1" spans="1:4" ht="17.55" x14ac:dyDescent="0.3">
      <c r="A1" s="1" t="s">
        <v>128</v>
      </c>
    </row>
    <row r="3" spans="1:4" x14ac:dyDescent="0.25">
      <c r="A3" s="28" t="s">
        <v>4</v>
      </c>
    </row>
    <row r="4" spans="1:4" x14ac:dyDescent="0.25">
      <c r="B4" s="9" t="s">
        <v>129</v>
      </c>
      <c r="C4" s="32" t="s">
        <v>130</v>
      </c>
    </row>
    <row r="5" spans="1:4" x14ac:dyDescent="0.25">
      <c r="B5" s="9" t="s">
        <v>131</v>
      </c>
      <c r="C5" s="32" t="s">
        <v>132</v>
      </c>
    </row>
    <row r="6" spans="1:4" x14ac:dyDescent="0.25">
      <c r="B6" s="9" t="s">
        <v>133</v>
      </c>
      <c r="C6" s="32" t="s">
        <v>134</v>
      </c>
    </row>
    <row r="7" spans="1:4" x14ac:dyDescent="0.25">
      <c r="B7" s="9" t="s">
        <v>135</v>
      </c>
      <c r="C7" s="32" t="s">
        <v>136</v>
      </c>
    </row>
    <row r="8" spans="1:4" x14ac:dyDescent="0.25">
      <c r="B8" s="9" t="s">
        <v>137</v>
      </c>
      <c r="C8" s="32" t="s">
        <v>138</v>
      </c>
    </row>
    <row r="9" spans="1:4" x14ac:dyDescent="0.25">
      <c r="B9" s="9" t="s">
        <v>139</v>
      </c>
      <c r="C9" s="33">
        <v>45658</v>
      </c>
      <c r="D9" s="2" t="s">
        <v>140</v>
      </c>
    </row>
    <row r="10" spans="1:4" x14ac:dyDescent="0.25">
      <c r="B10" s="9" t="s">
        <v>141</v>
      </c>
      <c r="C10" s="33">
        <v>46022</v>
      </c>
      <c r="D10" s="30" t="str">
        <f>"Hạn nộp BCQT (ngày thứ 90): "&amp;TEXT(C10+90,"dd/mm/yyyy")</f>
        <v>Hạn nộp BCQT (ngày thứ 90): 31/03/2026</v>
      </c>
    </row>
    <row r="11" spans="1:4" x14ac:dyDescent="0.25">
      <c r="B11" s="9" t="s">
        <v>142</v>
      </c>
      <c r="C11" s="34">
        <v>5.0000000000000001E-3</v>
      </c>
      <c r="D11" s="2" t="s">
        <v>143</v>
      </c>
    </row>
    <row r="12" spans="1:4" x14ac:dyDescent="0.25">
      <c r="B12" s="9" t="s">
        <v>144</v>
      </c>
      <c r="C12" s="34">
        <v>0.05</v>
      </c>
    </row>
    <row r="13" spans="1:4" x14ac:dyDescent="0.25">
      <c r="B13" s="9" t="s">
        <v>145</v>
      </c>
      <c r="C13" s="32" t="s">
        <v>146</v>
      </c>
    </row>
    <row r="14" spans="1:4" x14ac:dyDescent="0.25">
      <c r="B14" s="9" t="s">
        <v>147</v>
      </c>
      <c r="C14" s="32" t="s">
        <v>148</v>
      </c>
    </row>
    <row r="15" spans="1:4" x14ac:dyDescent="0.25">
      <c r="B15" s="9" t="s">
        <v>149</v>
      </c>
      <c r="C15" s="35" t="str">
        <f>IF(C8="GC","gia công",IF(C8="SXXK","sản xuất xuất khẩu",IF(C8="CX","chế xuất","(chọn GC/SXXK/CX)")))</f>
        <v>sản xuất xuất khẩu</v>
      </c>
    </row>
    <row r="17" spans="1:4" ht="15.65" x14ac:dyDescent="0.3">
      <c r="A17" s="10" t="s">
        <v>150</v>
      </c>
    </row>
    <row r="18" spans="1:4" ht="48.05" customHeight="1" x14ac:dyDescent="0.25">
      <c r="A18" s="11" t="s">
        <v>151</v>
      </c>
      <c r="B18" s="11" t="s">
        <v>152</v>
      </c>
      <c r="C18" s="11" t="s">
        <v>153</v>
      </c>
      <c r="D18" s="11" t="s">
        <v>154</v>
      </c>
    </row>
    <row r="19" spans="1:4" x14ac:dyDescent="0.25">
      <c r="A19" s="32" t="s">
        <v>155</v>
      </c>
      <c r="B19" s="32" t="s">
        <v>156</v>
      </c>
      <c r="C19" s="32" t="s">
        <v>157</v>
      </c>
      <c r="D19" s="32" t="s">
        <v>158</v>
      </c>
    </row>
    <row r="20" spans="1:4" x14ac:dyDescent="0.25">
      <c r="A20" s="32" t="s">
        <v>155</v>
      </c>
      <c r="B20" s="32" t="s">
        <v>159</v>
      </c>
      <c r="C20" s="32" t="s">
        <v>157</v>
      </c>
      <c r="D20" s="32" t="s">
        <v>160</v>
      </c>
    </row>
    <row r="21" spans="1:4" x14ac:dyDescent="0.25">
      <c r="A21" s="32" t="s">
        <v>155</v>
      </c>
      <c r="B21" s="32" t="s">
        <v>161</v>
      </c>
      <c r="C21" s="32" t="s">
        <v>162</v>
      </c>
      <c r="D21" s="32" t="s">
        <v>163</v>
      </c>
    </row>
    <row r="22" spans="1:4" x14ac:dyDescent="0.25">
      <c r="A22" s="32" t="s">
        <v>138</v>
      </c>
      <c r="B22" s="32" t="s">
        <v>164</v>
      </c>
      <c r="C22" s="32" t="s">
        <v>157</v>
      </c>
      <c r="D22" s="32" t="s">
        <v>165</v>
      </c>
    </row>
    <row r="23" spans="1:4" x14ac:dyDescent="0.25">
      <c r="A23" s="32" t="s">
        <v>138</v>
      </c>
      <c r="B23" s="32" t="s">
        <v>166</v>
      </c>
      <c r="C23" s="32" t="s">
        <v>162</v>
      </c>
      <c r="D23" s="32" t="s">
        <v>167</v>
      </c>
    </row>
    <row r="24" spans="1:4" x14ac:dyDescent="0.25">
      <c r="A24" s="32" t="s">
        <v>168</v>
      </c>
      <c r="B24" s="32" t="s">
        <v>169</v>
      </c>
      <c r="C24" s="32" t="s">
        <v>157</v>
      </c>
      <c r="D24" s="32" t="s">
        <v>170</v>
      </c>
    </row>
    <row r="25" spans="1:4" x14ac:dyDescent="0.25">
      <c r="A25" s="32" t="s">
        <v>168</v>
      </c>
      <c r="B25" s="32" t="s">
        <v>171</v>
      </c>
      <c r="C25" s="32" t="s">
        <v>157</v>
      </c>
      <c r="D25" s="32" t="s">
        <v>172</v>
      </c>
    </row>
    <row r="26" spans="1:4" x14ac:dyDescent="0.25">
      <c r="A26" s="32" t="s">
        <v>168</v>
      </c>
      <c r="B26" s="32" t="s">
        <v>173</v>
      </c>
      <c r="C26" s="32" t="s">
        <v>162</v>
      </c>
      <c r="D26" s="32" t="s">
        <v>174</v>
      </c>
    </row>
    <row r="27" spans="1:4" x14ac:dyDescent="0.25">
      <c r="A27" s="32"/>
      <c r="B27" s="32"/>
      <c r="C27" s="32"/>
      <c r="D27" s="32"/>
    </row>
    <row r="28" spans="1:4" x14ac:dyDescent="0.25">
      <c r="A28" s="32"/>
      <c r="B28" s="32"/>
      <c r="C28" s="32"/>
      <c r="D28" s="32"/>
    </row>
    <row r="29" spans="1:4" x14ac:dyDescent="0.25">
      <c r="A29" s="32"/>
      <c r="B29" s="32"/>
      <c r="C29" s="32"/>
      <c r="D29" s="32"/>
    </row>
    <row r="30" spans="1:4" x14ac:dyDescent="0.25">
      <c r="A30" s="32"/>
      <c r="B30" s="32"/>
      <c r="C30" s="32"/>
      <c r="D30" s="32"/>
    </row>
    <row r="31" spans="1:4" x14ac:dyDescent="0.25">
      <c r="A31" s="32"/>
      <c r="B31" s="32"/>
      <c r="C31" s="32"/>
      <c r="D31" s="32"/>
    </row>
    <row r="32" spans="1:4" x14ac:dyDescent="0.25">
      <c r="A32" s="32"/>
      <c r="B32" s="32"/>
      <c r="C32" s="32"/>
      <c r="D32" s="32"/>
    </row>
    <row r="33" spans="1:4" x14ac:dyDescent="0.25">
      <c r="A33" s="32"/>
      <c r="B33" s="32"/>
      <c r="C33" s="32"/>
      <c r="D33" s="32"/>
    </row>
    <row r="34" spans="1:4" x14ac:dyDescent="0.25">
      <c r="A34" s="32"/>
      <c r="B34" s="32"/>
      <c r="C34" s="32"/>
      <c r="D34" s="32"/>
    </row>
    <row r="35" spans="1:4" x14ac:dyDescent="0.25">
      <c r="A35" s="32"/>
      <c r="B35" s="32"/>
      <c r="C35" s="32"/>
      <c r="D35" s="32"/>
    </row>
    <row r="36" spans="1:4" x14ac:dyDescent="0.25">
      <c r="A36" s="32"/>
      <c r="B36" s="32"/>
      <c r="C36" s="32"/>
      <c r="D36" s="32"/>
    </row>
    <row r="37" spans="1:4" x14ac:dyDescent="0.25">
      <c r="A37" s="32"/>
      <c r="B37" s="32"/>
      <c r="C37" s="32"/>
      <c r="D37" s="32"/>
    </row>
    <row r="38" spans="1:4" x14ac:dyDescent="0.25">
      <c r="A38" s="32"/>
      <c r="B38" s="32"/>
      <c r="C38" s="32"/>
      <c r="D38" s="32"/>
    </row>
    <row r="39" spans="1:4" x14ac:dyDescent="0.25">
      <c r="A39" s="32"/>
      <c r="B39" s="32"/>
      <c r="C39" s="32"/>
      <c r="D39" s="32"/>
    </row>
    <row r="40" spans="1:4" x14ac:dyDescent="0.25">
      <c r="A40" s="32"/>
      <c r="B40" s="32"/>
      <c r="C40" s="32"/>
      <c r="D40" s="32"/>
    </row>
    <row r="41" spans="1:4" x14ac:dyDescent="0.25">
      <c r="A41" s="32"/>
      <c r="B41" s="32"/>
      <c r="C41" s="32"/>
      <c r="D41" s="32"/>
    </row>
    <row r="42" spans="1:4" x14ac:dyDescent="0.25">
      <c r="A42" s="32"/>
      <c r="B42" s="32"/>
      <c r="C42" s="32"/>
      <c r="D42" s="32"/>
    </row>
    <row r="43" spans="1:4" x14ac:dyDescent="0.25">
      <c r="A43" s="32"/>
      <c r="B43" s="32"/>
      <c r="C43" s="32"/>
      <c r="D43" s="32"/>
    </row>
    <row r="44" spans="1:4" x14ac:dyDescent="0.25">
      <c r="A44" s="32"/>
      <c r="B44" s="32"/>
      <c r="C44" s="32"/>
      <c r="D44" s="32"/>
    </row>
    <row r="45" spans="1:4" x14ac:dyDescent="0.25">
      <c r="A45" s="32"/>
      <c r="B45" s="32"/>
      <c r="C45" s="32"/>
      <c r="D45" s="32"/>
    </row>
    <row r="46" spans="1:4" x14ac:dyDescent="0.25">
      <c r="A46" s="32"/>
      <c r="B46" s="32"/>
      <c r="C46" s="32"/>
      <c r="D46" s="32"/>
    </row>
    <row r="47" spans="1:4" x14ac:dyDescent="0.25">
      <c r="A47" s="32"/>
      <c r="B47" s="32"/>
      <c r="C47" s="32"/>
      <c r="D47" s="32"/>
    </row>
    <row r="48" spans="1:4" x14ac:dyDescent="0.25">
      <c r="A48" s="32"/>
      <c r="B48" s="32"/>
      <c r="C48" s="32"/>
      <c r="D48" s="32"/>
    </row>
  </sheetData>
  <sheetProtection password="D0B3" sheet="1" objects="1" scenarios="1" formatColumns="0" formatRows="0" autoFilter="0"/>
  <dataValidations count="2">
    <dataValidation type="list" sqref="C8" xr:uid="{00000000-0002-0000-0300-000000000000}">
      <formula1>"GC,SXXK,CX"</formula1>
    </dataValidation>
    <dataValidation type="list" allowBlank="1" sqref="C19:C48" xr:uid="{00000000-0002-0000-0300-000001000000}">
      <formula1>"NHAP_NL,XUAT_SP"</formula1>
    </dataValidation>
  </dataValidations>
  <hyperlinks>
    <hyperlink ref="A3" r:id="rId1" xr:uid="{00000000-0004-0000-03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legacyDrawing r:id="rId2"/>
  <pictur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304"/>
  <sheetViews>
    <sheetView showGridLines="0" workbookViewId="0">
      <pane ySplit="4" topLeftCell="A5" activePane="bottomLeft" state="frozen"/>
      <selection pane="bottomLeft" activeCell="D10" sqref="D10"/>
    </sheetView>
  </sheetViews>
  <sheetFormatPr defaultRowHeight="14.4" x14ac:dyDescent="0.25"/>
  <cols>
    <col min="1" max="1" width="16" customWidth="1"/>
    <col min="2" max="2" width="40" customWidth="1"/>
    <col min="3" max="4" width="14" customWidth="1"/>
    <col min="5" max="6" width="18" customWidth="1"/>
    <col min="7" max="7" width="12" customWidth="1"/>
  </cols>
  <sheetData>
    <row r="1" spans="1:7" ht="17.55" x14ac:dyDescent="0.3">
      <c r="A1" s="1" t="s">
        <v>175</v>
      </c>
    </row>
    <row r="2" spans="1:7" x14ac:dyDescent="0.25">
      <c r="A2" s="2" t="s">
        <v>176</v>
      </c>
    </row>
    <row r="3" spans="1:7" x14ac:dyDescent="0.25">
      <c r="A3" s="28" t="s">
        <v>4</v>
      </c>
    </row>
    <row r="4" spans="1:7" ht="48.05" customHeight="1" x14ac:dyDescent="0.25">
      <c r="A4" s="11" t="s">
        <v>177</v>
      </c>
      <c r="B4" s="11" t="s">
        <v>178</v>
      </c>
      <c r="C4" s="11" t="s">
        <v>179</v>
      </c>
      <c r="D4" s="11" t="s">
        <v>180</v>
      </c>
      <c r="E4" s="11" t="s">
        <v>181</v>
      </c>
      <c r="F4" s="11" t="s">
        <v>182</v>
      </c>
      <c r="G4" s="12" t="s">
        <v>183</v>
      </c>
    </row>
    <row r="5" spans="1:7" x14ac:dyDescent="0.25">
      <c r="A5" s="32" t="s">
        <v>184</v>
      </c>
      <c r="B5" s="32" t="s">
        <v>185</v>
      </c>
      <c r="C5" s="32" t="s">
        <v>186</v>
      </c>
      <c r="D5" s="32" t="s">
        <v>187</v>
      </c>
      <c r="E5" s="32" t="s">
        <v>188</v>
      </c>
      <c r="F5" s="32" t="s">
        <v>189</v>
      </c>
      <c r="G5" s="36">
        <f>IF(OR(A5="",E5="Mua trong nước"),"",COUNTIFS($A$5:A5,"?*",$E$5:E5,"&lt;&gt;Mua trong nước"))</f>
        <v>1</v>
      </c>
    </row>
    <row r="6" spans="1:7" x14ac:dyDescent="0.25">
      <c r="A6" s="32" t="s">
        <v>190</v>
      </c>
      <c r="B6" s="32" t="s">
        <v>191</v>
      </c>
      <c r="C6" s="32" t="s">
        <v>186</v>
      </c>
      <c r="D6" s="32" t="s">
        <v>192</v>
      </c>
      <c r="E6" s="32" t="s">
        <v>188</v>
      </c>
      <c r="F6" s="32"/>
      <c r="G6" s="36">
        <f>IF(OR(A6="",E6="Mua trong nước"),"",COUNTIFS($A$5:A6,"?*",$E$5:E6,"&lt;&gt;Mua trong nước"))</f>
        <v>2</v>
      </c>
    </row>
    <row r="7" spans="1:7" x14ac:dyDescent="0.25">
      <c r="A7" s="32" t="s">
        <v>193</v>
      </c>
      <c r="B7" s="32" t="s">
        <v>194</v>
      </c>
      <c r="C7" s="32" t="s">
        <v>195</v>
      </c>
      <c r="D7" s="32" t="s">
        <v>196</v>
      </c>
      <c r="E7" s="32" t="s">
        <v>188</v>
      </c>
      <c r="F7" s="32"/>
      <c r="G7" s="36">
        <f>IF(OR(A7="",E7="Mua trong nước"),"",COUNTIFS($A$5:A7,"?*",$E$5:E7,"&lt;&gt;Mua trong nước"))</f>
        <v>3</v>
      </c>
    </row>
    <row r="8" spans="1:7" x14ac:dyDescent="0.25">
      <c r="A8" s="32" t="s">
        <v>197</v>
      </c>
      <c r="B8" s="32" t="s">
        <v>198</v>
      </c>
      <c r="C8" s="32" t="s">
        <v>195</v>
      </c>
      <c r="D8" s="32" t="s">
        <v>199</v>
      </c>
      <c r="E8" s="32" t="s">
        <v>188</v>
      </c>
      <c r="F8" s="32"/>
      <c r="G8" s="36">
        <f>IF(OR(A8="",E8="Mua trong nước"),"",COUNTIFS($A$5:A8,"?*",$E$5:E8,"&lt;&gt;Mua trong nước"))</f>
        <v>4</v>
      </c>
    </row>
    <row r="9" spans="1:7" x14ac:dyDescent="0.25">
      <c r="A9" s="32" t="s">
        <v>200</v>
      </c>
      <c r="B9" s="32" t="s">
        <v>201</v>
      </c>
      <c r="C9" s="32" t="s">
        <v>195</v>
      </c>
      <c r="D9" s="32" t="s">
        <v>202</v>
      </c>
      <c r="E9" s="32" t="s">
        <v>188</v>
      </c>
      <c r="F9" s="32"/>
      <c r="G9" s="36">
        <f>IF(OR(A9="",E9="Mua trong nước"),"",COUNTIFS($A$5:A9,"?*",$E$5:E9,"&lt;&gt;Mua trong nước"))</f>
        <v>5</v>
      </c>
    </row>
    <row r="10" spans="1:7" x14ac:dyDescent="0.25">
      <c r="A10" s="32" t="s">
        <v>203</v>
      </c>
      <c r="B10" s="32" t="s">
        <v>204</v>
      </c>
      <c r="C10" s="32" t="s">
        <v>205</v>
      </c>
      <c r="D10" s="32" t="s">
        <v>206</v>
      </c>
      <c r="E10" s="32" t="s">
        <v>188</v>
      </c>
      <c r="F10" s="32"/>
      <c r="G10" s="36">
        <f>IF(OR(A10="",E10="Mua trong nước"),"",COUNTIFS($A$5:A10,"?*",$E$5:E10,"&lt;&gt;Mua trong nước"))</f>
        <v>6</v>
      </c>
    </row>
    <row r="11" spans="1:7" x14ac:dyDescent="0.25">
      <c r="A11" s="32" t="s">
        <v>207</v>
      </c>
      <c r="B11" s="32" t="s">
        <v>208</v>
      </c>
      <c r="C11" s="32" t="s">
        <v>195</v>
      </c>
      <c r="D11" s="32" t="s">
        <v>209</v>
      </c>
      <c r="E11" s="32" t="s">
        <v>210</v>
      </c>
      <c r="F11" s="32"/>
      <c r="G11" s="36" t="str">
        <f>IF(OR(A11="",E11="Mua trong nước"),"",COUNTIFS($A$5:A11,"?*",$E$5:E11,"&lt;&gt;Mua trong nước"))</f>
        <v/>
      </c>
    </row>
    <row r="12" spans="1:7" x14ac:dyDescent="0.25">
      <c r="A12" s="32"/>
      <c r="B12" s="32"/>
      <c r="C12" s="32"/>
      <c r="D12" s="32"/>
      <c r="E12" s="32"/>
      <c r="F12" s="32"/>
      <c r="G12" s="36" t="str">
        <f>IF(OR(A12="",E12="Mua trong nước"),"",COUNTIFS($A$5:A12,"?*",$E$5:E12,"&lt;&gt;Mua trong nước"))</f>
        <v/>
      </c>
    </row>
    <row r="13" spans="1:7" x14ac:dyDescent="0.25">
      <c r="A13" s="32"/>
      <c r="B13" s="32"/>
      <c r="C13" s="32"/>
      <c r="D13" s="32"/>
      <c r="E13" s="32"/>
      <c r="F13" s="32"/>
      <c r="G13" s="36" t="str">
        <f>IF(OR(A13="",E13="Mua trong nước"),"",COUNTIFS($A$5:A13,"?*",$E$5:E13,"&lt;&gt;Mua trong nước"))</f>
        <v/>
      </c>
    </row>
    <row r="14" spans="1:7" x14ac:dyDescent="0.25">
      <c r="A14" s="32"/>
      <c r="B14" s="32"/>
      <c r="C14" s="32"/>
      <c r="D14" s="32"/>
      <c r="E14" s="32"/>
      <c r="F14" s="32"/>
      <c r="G14" s="36" t="str">
        <f>IF(OR(A14="",E14="Mua trong nước"),"",COUNTIFS($A$5:A14,"?*",$E$5:E14,"&lt;&gt;Mua trong nước"))</f>
        <v/>
      </c>
    </row>
    <row r="15" spans="1:7" x14ac:dyDescent="0.25">
      <c r="A15" s="32"/>
      <c r="B15" s="32"/>
      <c r="C15" s="32"/>
      <c r="D15" s="32"/>
      <c r="E15" s="32"/>
      <c r="F15" s="32"/>
      <c r="G15" s="36" t="str">
        <f>IF(OR(A15="",E15="Mua trong nước"),"",COUNTIFS($A$5:A15,"?*",$E$5:E15,"&lt;&gt;Mua trong nước"))</f>
        <v/>
      </c>
    </row>
    <row r="16" spans="1:7" x14ac:dyDescent="0.25">
      <c r="A16" s="32"/>
      <c r="B16" s="32"/>
      <c r="C16" s="32"/>
      <c r="D16" s="32"/>
      <c r="E16" s="32"/>
      <c r="F16" s="32"/>
      <c r="G16" s="36" t="str">
        <f>IF(OR(A16="",E16="Mua trong nước"),"",COUNTIFS($A$5:A16,"?*",$E$5:E16,"&lt;&gt;Mua trong nước"))</f>
        <v/>
      </c>
    </row>
    <row r="17" spans="1:7" x14ac:dyDescent="0.25">
      <c r="A17" s="32"/>
      <c r="B17" s="32"/>
      <c r="C17" s="32"/>
      <c r="D17" s="32"/>
      <c r="E17" s="32"/>
      <c r="F17" s="32"/>
      <c r="G17" s="36" t="str">
        <f>IF(OR(A17="",E17="Mua trong nước"),"",COUNTIFS($A$5:A17,"?*",$E$5:E17,"&lt;&gt;Mua trong nước"))</f>
        <v/>
      </c>
    </row>
    <row r="18" spans="1:7" x14ac:dyDescent="0.25">
      <c r="A18" s="32"/>
      <c r="B18" s="32"/>
      <c r="C18" s="32"/>
      <c r="D18" s="32"/>
      <c r="E18" s="32"/>
      <c r="F18" s="32"/>
      <c r="G18" s="36" t="str">
        <f>IF(OR(A18="",E18="Mua trong nước"),"",COUNTIFS($A$5:A18,"?*",$E$5:E18,"&lt;&gt;Mua trong nước"))</f>
        <v/>
      </c>
    </row>
    <row r="19" spans="1:7" x14ac:dyDescent="0.25">
      <c r="A19" s="32"/>
      <c r="B19" s="32"/>
      <c r="C19" s="32"/>
      <c r="D19" s="32"/>
      <c r="E19" s="32"/>
      <c r="F19" s="32"/>
      <c r="G19" s="36" t="str">
        <f>IF(OR(A19="",E19="Mua trong nước"),"",COUNTIFS($A$5:A19,"?*",$E$5:E19,"&lt;&gt;Mua trong nước"))</f>
        <v/>
      </c>
    </row>
    <row r="20" spans="1:7" x14ac:dyDescent="0.25">
      <c r="A20" s="32"/>
      <c r="B20" s="32"/>
      <c r="C20" s="32"/>
      <c r="D20" s="32"/>
      <c r="E20" s="32"/>
      <c r="F20" s="32"/>
      <c r="G20" s="36" t="str">
        <f>IF(OR(A20="",E20="Mua trong nước"),"",COUNTIFS($A$5:A20,"?*",$E$5:E20,"&lt;&gt;Mua trong nước"))</f>
        <v/>
      </c>
    </row>
    <row r="21" spans="1:7" x14ac:dyDescent="0.25">
      <c r="A21" s="32"/>
      <c r="B21" s="32"/>
      <c r="C21" s="32"/>
      <c r="D21" s="32"/>
      <c r="E21" s="32"/>
      <c r="F21" s="32"/>
      <c r="G21" s="36" t="str">
        <f>IF(OR(A21="",E21="Mua trong nước"),"",COUNTIFS($A$5:A21,"?*",$E$5:E21,"&lt;&gt;Mua trong nước"))</f>
        <v/>
      </c>
    </row>
    <row r="22" spans="1:7" x14ac:dyDescent="0.25">
      <c r="A22" s="32"/>
      <c r="B22" s="32"/>
      <c r="C22" s="32"/>
      <c r="D22" s="32"/>
      <c r="E22" s="32"/>
      <c r="F22" s="32"/>
      <c r="G22" s="36" t="str">
        <f>IF(OR(A22="",E22="Mua trong nước"),"",COUNTIFS($A$5:A22,"?*",$E$5:E22,"&lt;&gt;Mua trong nước"))</f>
        <v/>
      </c>
    </row>
    <row r="23" spans="1:7" x14ac:dyDescent="0.25">
      <c r="A23" s="32"/>
      <c r="B23" s="32"/>
      <c r="C23" s="32"/>
      <c r="D23" s="32"/>
      <c r="E23" s="32"/>
      <c r="F23" s="32"/>
      <c r="G23" s="36" t="str">
        <f>IF(OR(A23="",E23="Mua trong nước"),"",COUNTIFS($A$5:A23,"?*",$E$5:E23,"&lt;&gt;Mua trong nước"))</f>
        <v/>
      </c>
    </row>
    <row r="24" spans="1:7" x14ac:dyDescent="0.25">
      <c r="A24" s="32"/>
      <c r="B24" s="32"/>
      <c r="C24" s="32"/>
      <c r="D24" s="32"/>
      <c r="E24" s="32"/>
      <c r="F24" s="32"/>
      <c r="G24" s="36" t="str">
        <f>IF(OR(A24="",E24="Mua trong nước"),"",COUNTIFS($A$5:A24,"?*",$E$5:E24,"&lt;&gt;Mua trong nước"))</f>
        <v/>
      </c>
    </row>
    <row r="25" spans="1:7" x14ac:dyDescent="0.25">
      <c r="A25" s="32"/>
      <c r="B25" s="32"/>
      <c r="C25" s="32"/>
      <c r="D25" s="32"/>
      <c r="E25" s="32"/>
      <c r="F25" s="32"/>
      <c r="G25" s="36" t="str">
        <f>IF(OR(A25="",E25="Mua trong nước"),"",COUNTIFS($A$5:A25,"?*",$E$5:E25,"&lt;&gt;Mua trong nước"))</f>
        <v/>
      </c>
    </row>
    <row r="26" spans="1:7" x14ac:dyDescent="0.25">
      <c r="A26" s="32"/>
      <c r="B26" s="32"/>
      <c r="C26" s="32"/>
      <c r="D26" s="32"/>
      <c r="E26" s="32"/>
      <c r="F26" s="32"/>
      <c r="G26" s="36" t="str">
        <f>IF(OR(A26="",E26="Mua trong nước"),"",COUNTIFS($A$5:A26,"?*",$E$5:E26,"&lt;&gt;Mua trong nước"))</f>
        <v/>
      </c>
    </row>
    <row r="27" spans="1:7" x14ac:dyDescent="0.25">
      <c r="A27" s="32"/>
      <c r="B27" s="32"/>
      <c r="C27" s="32"/>
      <c r="D27" s="32"/>
      <c r="E27" s="32"/>
      <c r="F27" s="32"/>
      <c r="G27" s="36" t="str">
        <f>IF(OR(A27="",E27="Mua trong nước"),"",COUNTIFS($A$5:A27,"?*",$E$5:E27,"&lt;&gt;Mua trong nước"))</f>
        <v/>
      </c>
    </row>
    <row r="28" spans="1:7" x14ac:dyDescent="0.25">
      <c r="A28" s="32"/>
      <c r="B28" s="32"/>
      <c r="C28" s="32"/>
      <c r="D28" s="32"/>
      <c r="E28" s="32"/>
      <c r="F28" s="32"/>
      <c r="G28" s="36" t="str">
        <f>IF(OR(A28="",E28="Mua trong nước"),"",COUNTIFS($A$5:A28,"?*",$E$5:E28,"&lt;&gt;Mua trong nước"))</f>
        <v/>
      </c>
    </row>
    <row r="29" spans="1:7" x14ac:dyDescent="0.25">
      <c r="A29" s="32"/>
      <c r="B29" s="32"/>
      <c r="C29" s="32"/>
      <c r="D29" s="32"/>
      <c r="E29" s="32"/>
      <c r="F29" s="32"/>
      <c r="G29" s="36" t="str">
        <f>IF(OR(A29="",E29="Mua trong nước"),"",COUNTIFS($A$5:A29,"?*",$E$5:E29,"&lt;&gt;Mua trong nước"))</f>
        <v/>
      </c>
    </row>
    <row r="30" spans="1:7" x14ac:dyDescent="0.25">
      <c r="A30" s="32"/>
      <c r="B30" s="32"/>
      <c r="C30" s="32"/>
      <c r="D30" s="32"/>
      <c r="E30" s="32"/>
      <c r="F30" s="32"/>
      <c r="G30" s="36" t="str">
        <f>IF(OR(A30="",E30="Mua trong nước"),"",COUNTIFS($A$5:A30,"?*",$E$5:E30,"&lt;&gt;Mua trong nước"))</f>
        <v/>
      </c>
    </row>
    <row r="31" spans="1:7" x14ac:dyDescent="0.25">
      <c r="A31" s="32"/>
      <c r="B31" s="32"/>
      <c r="C31" s="32"/>
      <c r="D31" s="32"/>
      <c r="E31" s="32"/>
      <c r="F31" s="32"/>
      <c r="G31" s="36" t="str">
        <f>IF(OR(A31="",E31="Mua trong nước"),"",COUNTIFS($A$5:A31,"?*",$E$5:E31,"&lt;&gt;Mua trong nước"))</f>
        <v/>
      </c>
    </row>
    <row r="32" spans="1:7" x14ac:dyDescent="0.25">
      <c r="A32" s="32"/>
      <c r="B32" s="32"/>
      <c r="C32" s="32"/>
      <c r="D32" s="32"/>
      <c r="E32" s="32"/>
      <c r="F32" s="32"/>
      <c r="G32" s="36" t="str">
        <f>IF(OR(A32="",E32="Mua trong nước"),"",COUNTIFS($A$5:A32,"?*",$E$5:E32,"&lt;&gt;Mua trong nước"))</f>
        <v/>
      </c>
    </row>
    <row r="33" spans="1:7" x14ac:dyDescent="0.25">
      <c r="A33" s="32"/>
      <c r="B33" s="32"/>
      <c r="C33" s="32"/>
      <c r="D33" s="32"/>
      <c r="E33" s="32"/>
      <c r="F33" s="32"/>
      <c r="G33" s="36" t="str">
        <f>IF(OR(A33="",E33="Mua trong nước"),"",COUNTIFS($A$5:A33,"?*",$E$5:E33,"&lt;&gt;Mua trong nước"))</f>
        <v/>
      </c>
    </row>
    <row r="34" spans="1:7" x14ac:dyDescent="0.25">
      <c r="A34" s="32"/>
      <c r="B34" s="32"/>
      <c r="C34" s="32"/>
      <c r="D34" s="32"/>
      <c r="E34" s="32"/>
      <c r="F34" s="32"/>
      <c r="G34" s="36" t="str">
        <f>IF(OR(A34="",E34="Mua trong nước"),"",COUNTIFS($A$5:A34,"?*",$E$5:E34,"&lt;&gt;Mua trong nước"))</f>
        <v/>
      </c>
    </row>
    <row r="35" spans="1:7" x14ac:dyDescent="0.25">
      <c r="A35" s="32"/>
      <c r="B35" s="32"/>
      <c r="C35" s="32"/>
      <c r="D35" s="32"/>
      <c r="E35" s="32"/>
      <c r="F35" s="32"/>
      <c r="G35" s="36" t="str">
        <f>IF(OR(A35="",E35="Mua trong nước"),"",COUNTIFS($A$5:A35,"?*",$E$5:E35,"&lt;&gt;Mua trong nước"))</f>
        <v/>
      </c>
    </row>
    <row r="36" spans="1:7" x14ac:dyDescent="0.25">
      <c r="A36" s="32"/>
      <c r="B36" s="32"/>
      <c r="C36" s="32"/>
      <c r="D36" s="32"/>
      <c r="E36" s="32"/>
      <c r="F36" s="32"/>
      <c r="G36" s="36" t="str">
        <f>IF(OR(A36="",E36="Mua trong nước"),"",COUNTIFS($A$5:A36,"?*",$E$5:E36,"&lt;&gt;Mua trong nước"))</f>
        <v/>
      </c>
    </row>
    <row r="37" spans="1:7" x14ac:dyDescent="0.25">
      <c r="A37" s="32"/>
      <c r="B37" s="32"/>
      <c r="C37" s="32"/>
      <c r="D37" s="32"/>
      <c r="E37" s="32"/>
      <c r="F37" s="32"/>
      <c r="G37" s="36" t="str">
        <f>IF(OR(A37="",E37="Mua trong nước"),"",COUNTIFS($A$5:A37,"?*",$E$5:E37,"&lt;&gt;Mua trong nước"))</f>
        <v/>
      </c>
    </row>
    <row r="38" spans="1:7" x14ac:dyDescent="0.25">
      <c r="A38" s="32"/>
      <c r="B38" s="32"/>
      <c r="C38" s="32"/>
      <c r="D38" s="32"/>
      <c r="E38" s="32"/>
      <c r="F38" s="32"/>
      <c r="G38" s="36" t="str">
        <f>IF(OR(A38="",E38="Mua trong nước"),"",COUNTIFS($A$5:A38,"?*",$E$5:E38,"&lt;&gt;Mua trong nước"))</f>
        <v/>
      </c>
    </row>
    <row r="39" spans="1:7" x14ac:dyDescent="0.25">
      <c r="A39" s="32"/>
      <c r="B39" s="32"/>
      <c r="C39" s="32"/>
      <c r="D39" s="32"/>
      <c r="E39" s="32"/>
      <c r="F39" s="32"/>
      <c r="G39" s="36" t="str">
        <f>IF(OR(A39="",E39="Mua trong nước"),"",COUNTIFS($A$5:A39,"?*",$E$5:E39,"&lt;&gt;Mua trong nước"))</f>
        <v/>
      </c>
    </row>
    <row r="40" spans="1:7" x14ac:dyDescent="0.25">
      <c r="A40" s="32"/>
      <c r="B40" s="32"/>
      <c r="C40" s="32"/>
      <c r="D40" s="32"/>
      <c r="E40" s="32"/>
      <c r="F40" s="32"/>
      <c r="G40" s="36" t="str">
        <f>IF(OR(A40="",E40="Mua trong nước"),"",COUNTIFS($A$5:A40,"?*",$E$5:E40,"&lt;&gt;Mua trong nước"))</f>
        <v/>
      </c>
    </row>
    <row r="41" spans="1:7" x14ac:dyDescent="0.25">
      <c r="A41" s="32"/>
      <c r="B41" s="32"/>
      <c r="C41" s="32"/>
      <c r="D41" s="32"/>
      <c r="E41" s="32"/>
      <c r="F41" s="32"/>
      <c r="G41" s="36" t="str">
        <f>IF(OR(A41="",E41="Mua trong nước"),"",COUNTIFS($A$5:A41,"?*",$E$5:E41,"&lt;&gt;Mua trong nước"))</f>
        <v/>
      </c>
    </row>
    <row r="42" spans="1:7" x14ac:dyDescent="0.25">
      <c r="A42" s="32"/>
      <c r="B42" s="32"/>
      <c r="C42" s="32"/>
      <c r="D42" s="32"/>
      <c r="E42" s="32"/>
      <c r="F42" s="32"/>
      <c r="G42" s="36" t="str">
        <f>IF(OR(A42="",E42="Mua trong nước"),"",COUNTIFS($A$5:A42,"?*",$E$5:E42,"&lt;&gt;Mua trong nước"))</f>
        <v/>
      </c>
    </row>
    <row r="43" spans="1:7" x14ac:dyDescent="0.25">
      <c r="A43" s="32"/>
      <c r="B43" s="32"/>
      <c r="C43" s="32"/>
      <c r="D43" s="32"/>
      <c r="E43" s="32"/>
      <c r="F43" s="32"/>
      <c r="G43" s="36" t="str">
        <f>IF(OR(A43="",E43="Mua trong nước"),"",COUNTIFS($A$5:A43,"?*",$E$5:E43,"&lt;&gt;Mua trong nước"))</f>
        <v/>
      </c>
    </row>
    <row r="44" spans="1:7" x14ac:dyDescent="0.25">
      <c r="A44" s="32"/>
      <c r="B44" s="32"/>
      <c r="C44" s="32"/>
      <c r="D44" s="32"/>
      <c r="E44" s="32"/>
      <c r="F44" s="32"/>
      <c r="G44" s="36" t="str">
        <f>IF(OR(A44="",E44="Mua trong nước"),"",COUNTIFS($A$5:A44,"?*",$E$5:E44,"&lt;&gt;Mua trong nước"))</f>
        <v/>
      </c>
    </row>
    <row r="45" spans="1:7" x14ac:dyDescent="0.25">
      <c r="A45" s="32"/>
      <c r="B45" s="32"/>
      <c r="C45" s="32"/>
      <c r="D45" s="32"/>
      <c r="E45" s="32"/>
      <c r="F45" s="32"/>
      <c r="G45" s="36" t="str">
        <f>IF(OR(A45="",E45="Mua trong nước"),"",COUNTIFS($A$5:A45,"?*",$E$5:E45,"&lt;&gt;Mua trong nước"))</f>
        <v/>
      </c>
    </row>
    <row r="46" spans="1:7" x14ac:dyDescent="0.25">
      <c r="A46" s="32"/>
      <c r="B46" s="32"/>
      <c r="C46" s="32"/>
      <c r="D46" s="32"/>
      <c r="E46" s="32"/>
      <c r="F46" s="32"/>
      <c r="G46" s="36" t="str">
        <f>IF(OR(A46="",E46="Mua trong nước"),"",COUNTIFS($A$5:A46,"?*",$E$5:E46,"&lt;&gt;Mua trong nước"))</f>
        <v/>
      </c>
    </row>
    <row r="47" spans="1:7" x14ac:dyDescent="0.25">
      <c r="A47" s="32"/>
      <c r="B47" s="32"/>
      <c r="C47" s="32"/>
      <c r="D47" s="32"/>
      <c r="E47" s="32"/>
      <c r="F47" s="32"/>
      <c r="G47" s="36" t="str">
        <f>IF(OR(A47="",E47="Mua trong nước"),"",COUNTIFS($A$5:A47,"?*",$E$5:E47,"&lt;&gt;Mua trong nước"))</f>
        <v/>
      </c>
    </row>
    <row r="48" spans="1:7" x14ac:dyDescent="0.25">
      <c r="A48" s="32"/>
      <c r="B48" s="32"/>
      <c r="C48" s="32"/>
      <c r="D48" s="32"/>
      <c r="E48" s="32"/>
      <c r="F48" s="32"/>
      <c r="G48" s="36" t="str">
        <f>IF(OR(A48="",E48="Mua trong nước"),"",COUNTIFS($A$5:A48,"?*",$E$5:E48,"&lt;&gt;Mua trong nước"))</f>
        <v/>
      </c>
    </row>
    <row r="49" spans="1:7" x14ac:dyDescent="0.25">
      <c r="A49" s="32"/>
      <c r="B49" s="32"/>
      <c r="C49" s="32"/>
      <c r="D49" s="32"/>
      <c r="E49" s="32"/>
      <c r="F49" s="32"/>
      <c r="G49" s="36" t="str">
        <f>IF(OR(A49="",E49="Mua trong nước"),"",COUNTIFS($A$5:A49,"?*",$E$5:E49,"&lt;&gt;Mua trong nước"))</f>
        <v/>
      </c>
    </row>
    <row r="50" spans="1:7" x14ac:dyDescent="0.25">
      <c r="A50" s="32"/>
      <c r="B50" s="32"/>
      <c r="C50" s="32"/>
      <c r="D50" s="32"/>
      <c r="E50" s="32"/>
      <c r="F50" s="32"/>
      <c r="G50" s="36" t="str">
        <f>IF(OR(A50="",E50="Mua trong nước"),"",COUNTIFS($A$5:A50,"?*",$E$5:E50,"&lt;&gt;Mua trong nước"))</f>
        <v/>
      </c>
    </row>
    <row r="51" spans="1:7" x14ac:dyDescent="0.25">
      <c r="A51" s="32"/>
      <c r="B51" s="32"/>
      <c r="C51" s="32"/>
      <c r="D51" s="32"/>
      <c r="E51" s="32"/>
      <c r="F51" s="32"/>
      <c r="G51" s="36" t="str">
        <f>IF(OR(A51="",E51="Mua trong nước"),"",COUNTIFS($A$5:A51,"?*",$E$5:E51,"&lt;&gt;Mua trong nước"))</f>
        <v/>
      </c>
    </row>
    <row r="52" spans="1:7" x14ac:dyDescent="0.25">
      <c r="A52" s="32"/>
      <c r="B52" s="32"/>
      <c r="C52" s="32"/>
      <c r="D52" s="32"/>
      <c r="E52" s="32"/>
      <c r="F52" s="32"/>
      <c r="G52" s="36" t="str">
        <f>IF(OR(A52="",E52="Mua trong nước"),"",COUNTIFS($A$5:A52,"?*",$E$5:E52,"&lt;&gt;Mua trong nước"))</f>
        <v/>
      </c>
    </row>
    <row r="53" spans="1:7" x14ac:dyDescent="0.25">
      <c r="A53" s="32"/>
      <c r="B53" s="32"/>
      <c r="C53" s="32"/>
      <c r="D53" s="32"/>
      <c r="E53" s="32"/>
      <c r="F53" s="32"/>
      <c r="G53" s="36" t="str">
        <f>IF(OR(A53="",E53="Mua trong nước"),"",COUNTIFS($A$5:A53,"?*",$E$5:E53,"&lt;&gt;Mua trong nước"))</f>
        <v/>
      </c>
    </row>
    <row r="54" spans="1:7" x14ac:dyDescent="0.25">
      <c r="A54" s="32"/>
      <c r="B54" s="32"/>
      <c r="C54" s="32"/>
      <c r="D54" s="32"/>
      <c r="E54" s="32"/>
      <c r="F54" s="32"/>
      <c r="G54" s="36" t="str">
        <f>IF(OR(A54="",E54="Mua trong nước"),"",COUNTIFS($A$5:A54,"?*",$E$5:E54,"&lt;&gt;Mua trong nước"))</f>
        <v/>
      </c>
    </row>
    <row r="55" spans="1:7" x14ac:dyDescent="0.25">
      <c r="A55" s="32"/>
      <c r="B55" s="32"/>
      <c r="C55" s="32"/>
      <c r="D55" s="32"/>
      <c r="E55" s="32"/>
      <c r="F55" s="32"/>
      <c r="G55" s="36" t="str">
        <f>IF(OR(A55="",E55="Mua trong nước"),"",COUNTIFS($A$5:A55,"?*",$E$5:E55,"&lt;&gt;Mua trong nước"))</f>
        <v/>
      </c>
    </row>
    <row r="56" spans="1:7" x14ac:dyDescent="0.25">
      <c r="A56" s="32"/>
      <c r="B56" s="32"/>
      <c r="C56" s="32"/>
      <c r="D56" s="32"/>
      <c r="E56" s="32"/>
      <c r="F56" s="32"/>
      <c r="G56" s="36" t="str">
        <f>IF(OR(A56="",E56="Mua trong nước"),"",COUNTIFS($A$5:A56,"?*",$E$5:E56,"&lt;&gt;Mua trong nước"))</f>
        <v/>
      </c>
    </row>
    <row r="57" spans="1:7" x14ac:dyDescent="0.25">
      <c r="A57" s="32"/>
      <c r="B57" s="32"/>
      <c r="C57" s="32"/>
      <c r="D57" s="32"/>
      <c r="E57" s="32"/>
      <c r="F57" s="32"/>
      <c r="G57" s="36" t="str">
        <f>IF(OR(A57="",E57="Mua trong nước"),"",COUNTIFS($A$5:A57,"?*",$E$5:E57,"&lt;&gt;Mua trong nước"))</f>
        <v/>
      </c>
    </row>
    <row r="58" spans="1:7" x14ac:dyDescent="0.25">
      <c r="A58" s="32"/>
      <c r="B58" s="32"/>
      <c r="C58" s="32"/>
      <c r="D58" s="32"/>
      <c r="E58" s="32"/>
      <c r="F58" s="32"/>
      <c r="G58" s="36" t="str">
        <f>IF(OR(A58="",E58="Mua trong nước"),"",COUNTIFS($A$5:A58,"?*",$E$5:E58,"&lt;&gt;Mua trong nước"))</f>
        <v/>
      </c>
    </row>
    <row r="59" spans="1:7" x14ac:dyDescent="0.25">
      <c r="A59" s="32"/>
      <c r="B59" s="32"/>
      <c r="C59" s="32"/>
      <c r="D59" s="32"/>
      <c r="E59" s="32"/>
      <c r="F59" s="32"/>
      <c r="G59" s="36" t="str">
        <f>IF(OR(A59="",E59="Mua trong nước"),"",COUNTIFS($A$5:A59,"?*",$E$5:E59,"&lt;&gt;Mua trong nước"))</f>
        <v/>
      </c>
    </row>
    <row r="60" spans="1:7" x14ac:dyDescent="0.25">
      <c r="A60" s="32"/>
      <c r="B60" s="32"/>
      <c r="C60" s="32"/>
      <c r="D60" s="32"/>
      <c r="E60" s="32"/>
      <c r="F60" s="32"/>
      <c r="G60" s="36" t="str">
        <f>IF(OR(A60="",E60="Mua trong nước"),"",COUNTIFS($A$5:A60,"?*",$E$5:E60,"&lt;&gt;Mua trong nước"))</f>
        <v/>
      </c>
    </row>
    <row r="61" spans="1:7" x14ac:dyDescent="0.25">
      <c r="A61" s="32"/>
      <c r="B61" s="32"/>
      <c r="C61" s="32"/>
      <c r="D61" s="32"/>
      <c r="E61" s="32"/>
      <c r="F61" s="32"/>
      <c r="G61" s="36" t="str">
        <f>IF(OR(A61="",E61="Mua trong nước"),"",COUNTIFS($A$5:A61,"?*",$E$5:E61,"&lt;&gt;Mua trong nước"))</f>
        <v/>
      </c>
    </row>
    <row r="62" spans="1:7" x14ac:dyDescent="0.25">
      <c r="A62" s="32"/>
      <c r="B62" s="32"/>
      <c r="C62" s="32"/>
      <c r="D62" s="32"/>
      <c r="E62" s="32"/>
      <c r="F62" s="32"/>
      <c r="G62" s="36" t="str">
        <f>IF(OR(A62="",E62="Mua trong nước"),"",COUNTIFS($A$5:A62,"?*",$E$5:E62,"&lt;&gt;Mua trong nước"))</f>
        <v/>
      </c>
    </row>
    <row r="63" spans="1:7" x14ac:dyDescent="0.25">
      <c r="A63" s="32"/>
      <c r="B63" s="32"/>
      <c r="C63" s="32"/>
      <c r="D63" s="32"/>
      <c r="E63" s="32"/>
      <c r="F63" s="32"/>
      <c r="G63" s="36" t="str">
        <f>IF(OR(A63="",E63="Mua trong nước"),"",COUNTIFS($A$5:A63,"?*",$E$5:E63,"&lt;&gt;Mua trong nước"))</f>
        <v/>
      </c>
    </row>
    <row r="64" spans="1:7" x14ac:dyDescent="0.25">
      <c r="A64" s="32"/>
      <c r="B64" s="32"/>
      <c r="C64" s="32"/>
      <c r="D64" s="32"/>
      <c r="E64" s="32"/>
      <c r="F64" s="32"/>
      <c r="G64" s="36" t="str">
        <f>IF(OR(A64="",E64="Mua trong nước"),"",COUNTIFS($A$5:A64,"?*",$E$5:E64,"&lt;&gt;Mua trong nước"))</f>
        <v/>
      </c>
    </row>
    <row r="65" spans="1:7" x14ac:dyDescent="0.25">
      <c r="A65" s="32"/>
      <c r="B65" s="32"/>
      <c r="C65" s="32"/>
      <c r="D65" s="32"/>
      <c r="E65" s="32"/>
      <c r="F65" s="32"/>
      <c r="G65" s="36" t="str">
        <f>IF(OR(A65="",E65="Mua trong nước"),"",COUNTIFS($A$5:A65,"?*",$E$5:E65,"&lt;&gt;Mua trong nước"))</f>
        <v/>
      </c>
    </row>
    <row r="66" spans="1:7" x14ac:dyDescent="0.25">
      <c r="A66" s="32"/>
      <c r="B66" s="32"/>
      <c r="C66" s="32"/>
      <c r="D66" s="32"/>
      <c r="E66" s="32"/>
      <c r="F66" s="32"/>
      <c r="G66" s="36" t="str">
        <f>IF(OR(A66="",E66="Mua trong nước"),"",COUNTIFS($A$5:A66,"?*",$E$5:E66,"&lt;&gt;Mua trong nước"))</f>
        <v/>
      </c>
    </row>
    <row r="67" spans="1:7" x14ac:dyDescent="0.25">
      <c r="A67" s="32"/>
      <c r="B67" s="32"/>
      <c r="C67" s="32"/>
      <c r="D67" s="32"/>
      <c r="E67" s="32"/>
      <c r="F67" s="32"/>
      <c r="G67" s="36" t="str">
        <f>IF(OR(A67="",E67="Mua trong nước"),"",COUNTIFS($A$5:A67,"?*",$E$5:E67,"&lt;&gt;Mua trong nước"))</f>
        <v/>
      </c>
    </row>
    <row r="68" spans="1:7" x14ac:dyDescent="0.25">
      <c r="A68" s="32"/>
      <c r="B68" s="32"/>
      <c r="C68" s="32"/>
      <c r="D68" s="32"/>
      <c r="E68" s="32"/>
      <c r="F68" s="32"/>
      <c r="G68" s="36" t="str">
        <f>IF(OR(A68="",E68="Mua trong nước"),"",COUNTIFS($A$5:A68,"?*",$E$5:E68,"&lt;&gt;Mua trong nước"))</f>
        <v/>
      </c>
    </row>
    <row r="69" spans="1:7" x14ac:dyDescent="0.25">
      <c r="A69" s="32"/>
      <c r="B69" s="32"/>
      <c r="C69" s="32"/>
      <c r="D69" s="32"/>
      <c r="E69" s="32"/>
      <c r="F69" s="32"/>
      <c r="G69" s="36" t="str">
        <f>IF(OR(A69="",E69="Mua trong nước"),"",COUNTIFS($A$5:A69,"?*",$E$5:E69,"&lt;&gt;Mua trong nước"))</f>
        <v/>
      </c>
    </row>
    <row r="70" spans="1:7" x14ac:dyDescent="0.25">
      <c r="A70" s="32"/>
      <c r="B70" s="32"/>
      <c r="C70" s="32"/>
      <c r="D70" s="32"/>
      <c r="E70" s="32"/>
      <c r="F70" s="32"/>
      <c r="G70" s="36" t="str">
        <f>IF(OR(A70="",E70="Mua trong nước"),"",COUNTIFS($A$5:A70,"?*",$E$5:E70,"&lt;&gt;Mua trong nước"))</f>
        <v/>
      </c>
    </row>
    <row r="71" spans="1:7" x14ac:dyDescent="0.25">
      <c r="A71" s="32"/>
      <c r="B71" s="32"/>
      <c r="C71" s="32"/>
      <c r="D71" s="32"/>
      <c r="E71" s="32"/>
      <c r="F71" s="32"/>
      <c r="G71" s="36" t="str">
        <f>IF(OR(A71="",E71="Mua trong nước"),"",COUNTIFS($A$5:A71,"?*",$E$5:E71,"&lt;&gt;Mua trong nước"))</f>
        <v/>
      </c>
    </row>
    <row r="72" spans="1:7" x14ac:dyDescent="0.25">
      <c r="A72" s="32"/>
      <c r="B72" s="32"/>
      <c r="C72" s="32"/>
      <c r="D72" s="32"/>
      <c r="E72" s="32"/>
      <c r="F72" s="32"/>
      <c r="G72" s="36" t="str">
        <f>IF(OR(A72="",E72="Mua trong nước"),"",COUNTIFS($A$5:A72,"?*",$E$5:E72,"&lt;&gt;Mua trong nước"))</f>
        <v/>
      </c>
    </row>
    <row r="73" spans="1:7" x14ac:dyDescent="0.25">
      <c r="A73" s="32"/>
      <c r="B73" s="32"/>
      <c r="C73" s="32"/>
      <c r="D73" s="32"/>
      <c r="E73" s="32"/>
      <c r="F73" s="32"/>
      <c r="G73" s="36" t="str">
        <f>IF(OR(A73="",E73="Mua trong nước"),"",COUNTIFS($A$5:A73,"?*",$E$5:E73,"&lt;&gt;Mua trong nước"))</f>
        <v/>
      </c>
    </row>
    <row r="74" spans="1:7" x14ac:dyDescent="0.25">
      <c r="A74" s="32"/>
      <c r="B74" s="32"/>
      <c r="C74" s="32"/>
      <c r="D74" s="32"/>
      <c r="E74" s="32"/>
      <c r="F74" s="32"/>
      <c r="G74" s="36" t="str">
        <f>IF(OR(A74="",E74="Mua trong nước"),"",COUNTIFS($A$5:A74,"?*",$E$5:E74,"&lt;&gt;Mua trong nước"))</f>
        <v/>
      </c>
    </row>
    <row r="75" spans="1:7" x14ac:dyDescent="0.25">
      <c r="A75" s="32"/>
      <c r="B75" s="32"/>
      <c r="C75" s="32"/>
      <c r="D75" s="32"/>
      <c r="E75" s="32"/>
      <c r="F75" s="32"/>
      <c r="G75" s="36" t="str">
        <f>IF(OR(A75="",E75="Mua trong nước"),"",COUNTIFS($A$5:A75,"?*",$E$5:E75,"&lt;&gt;Mua trong nước"))</f>
        <v/>
      </c>
    </row>
    <row r="76" spans="1:7" x14ac:dyDescent="0.25">
      <c r="A76" s="32"/>
      <c r="B76" s="32"/>
      <c r="C76" s="32"/>
      <c r="D76" s="32"/>
      <c r="E76" s="32"/>
      <c r="F76" s="32"/>
      <c r="G76" s="36" t="str">
        <f>IF(OR(A76="",E76="Mua trong nước"),"",COUNTIFS($A$5:A76,"?*",$E$5:E76,"&lt;&gt;Mua trong nước"))</f>
        <v/>
      </c>
    </row>
    <row r="77" spans="1:7" x14ac:dyDescent="0.25">
      <c r="A77" s="32"/>
      <c r="B77" s="32"/>
      <c r="C77" s="32"/>
      <c r="D77" s="32"/>
      <c r="E77" s="32"/>
      <c r="F77" s="32"/>
      <c r="G77" s="36" t="str">
        <f>IF(OR(A77="",E77="Mua trong nước"),"",COUNTIFS($A$5:A77,"?*",$E$5:E77,"&lt;&gt;Mua trong nước"))</f>
        <v/>
      </c>
    </row>
    <row r="78" spans="1:7" x14ac:dyDescent="0.25">
      <c r="A78" s="32"/>
      <c r="B78" s="32"/>
      <c r="C78" s="32"/>
      <c r="D78" s="32"/>
      <c r="E78" s="32"/>
      <c r="F78" s="32"/>
      <c r="G78" s="36" t="str">
        <f>IF(OR(A78="",E78="Mua trong nước"),"",COUNTIFS($A$5:A78,"?*",$E$5:E78,"&lt;&gt;Mua trong nước"))</f>
        <v/>
      </c>
    </row>
    <row r="79" spans="1:7" x14ac:dyDescent="0.25">
      <c r="A79" s="32"/>
      <c r="B79" s="32"/>
      <c r="C79" s="32"/>
      <c r="D79" s="32"/>
      <c r="E79" s="32"/>
      <c r="F79" s="32"/>
      <c r="G79" s="36" t="str">
        <f>IF(OR(A79="",E79="Mua trong nước"),"",COUNTIFS($A$5:A79,"?*",$E$5:E79,"&lt;&gt;Mua trong nước"))</f>
        <v/>
      </c>
    </row>
    <row r="80" spans="1:7" x14ac:dyDescent="0.25">
      <c r="A80" s="32"/>
      <c r="B80" s="32"/>
      <c r="C80" s="32"/>
      <c r="D80" s="32"/>
      <c r="E80" s="32"/>
      <c r="F80" s="32"/>
      <c r="G80" s="36" t="str">
        <f>IF(OR(A80="",E80="Mua trong nước"),"",COUNTIFS($A$5:A80,"?*",$E$5:E80,"&lt;&gt;Mua trong nước"))</f>
        <v/>
      </c>
    </row>
    <row r="81" spans="1:7" x14ac:dyDescent="0.25">
      <c r="A81" s="32"/>
      <c r="B81" s="32"/>
      <c r="C81" s="32"/>
      <c r="D81" s="32"/>
      <c r="E81" s="32"/>
      <c r="F81" s="32"/>
      <c r="G81" s="36" t="str">
        <f>IF(OR(A81="",E81="Mua trong nước"),"",COUNTIFS($A$5:A81,"?*",$E$5:E81,"&lt;&gt;Mua trong nước"))</f>
        <v/>
      </c>
    </row>
    <row r="82" spans="1:7" x14ac:dyDescent="0.25">
      <c r="A82" s="32"/>
      <c r="B82" s="32"/>
      <c r="C82" s="32"/>
      <c r="D82" s="32"/>
      <c r="E82" s="32"/>
      <c r="F82" s="32"/>
      <c r="G82" s="36" t="str">
        <f>IF(OR(A82="",E82="Mua trong nước"),"",COUNTIFS($A$5:A82,"?*",$E$5:E82,"&lt;&gt;Mua trong nước"))</f>
        <v/>
      </c>
    </row>
    <row r="83" spans="1:7" x14ac:dyDescent="0.25">
      <c r="A83" s="32"/>
      <c r="B83" s="32"/>
      <c r="C83" s="32"/>
      <c r="D83" s="32"/>
      <c r="E83" s="32"/>
      <c r="F83" s="32"/>
      <c r="G83" s="36" t="str">
        <f>IF(OR(A83="",E83="Mua trong nước"),"",COUNTIFS($A$5:A83,"?*",$E$5:E83,"&lt;&gt;Mua trong nước"))</f>
        <v/>
      </c>
    </row>
    <row r="84" spans="1:7" x14ac:dyDescent="0.25">
      <c r="A84" s="32"/>
      <c r="B84" s="32"/>
      <c r="C84" s="32"/>
      <c r="D84" s="32"/>
      <c r="E84" s="32"/>
      <c r="F84" s="32"/>
      <c r="G84" s="36" t="str">
        <f>IF(OR(A84="",E84="Mua trong nước"),"",COUNTIFS($A$5:A84,"?*",$E$5:E84,"&lt;&gt;Mua trong nước"))</f>
        <v/>
      </c>
    </row>
    <row r="85" spans="1:7" x14ac:dyDescent="0.25">
      <c r="A85" s="32"/>
      <c r="B85" s="32"/>
      <c r="C85" s="32"/>
      <c r="D85" s="32"/>
      <c r="E85" s="32"/>
      <c r="F85" s="32"/>
      <c r="G85" s="36" t="str">
        <f>IF(OR(A85="",E85="Mua trong nước"),"",COUNTIFS($A$5:A85,"?*",$E$5:E85,"&lt;&gt;Mua trong nước"))</f>
        <v/>
      </c>
    </row>
    <row r="86" spans="1:7" x14ac:dyDescent="0.25">
      <c r="A86" s="32"/>
      <c r="B86" s="32"/>
      <c r="C86" s="32"/>
      <c r="D86" s="32"/>
      <c r="E86" s="32"/>
      <c r="F86" s="32"/>
      <c r="G86" s="36" t="str">
        <f>IF(OR(A86="",E86="Mua trong nước"),"",COUNTIFS($A$5:A86,"?*",$E$5:E86,"&lt;&gt;Mua trong nước"))</f>
        <v/>
      </c>
    </row>
    <row r="87" spans="1:7" x14ac:dyDescent="0.25">
      <c r="A87" s="32"/>
      <c r="B87" s="32"/>
      <c r="C87" s="32"/>
      <c r="D87" s="32"/>
      <c r="E87" s="32"/>
      <c r="F87" s="32"/>
      <c r="G87" s="36" t="str">
        <f>IF(OR(A87="",E87="Mua trong nước"),"",COUNTIFS($A$5:A87,"?*",$E$5:E87,"&lt;&gt;Mua trong nước"))</f>
        <v/>
      </c>
    </row>
    <row r="88" spans="1:7" x14ac:dyDescent="0.25">
      <c r="A88" s="32"/>
      <c r="B88" s="32"/>
      <c r="C88" s="32"/>
      <c r="D88" s="32"/>
      <c r="E88" s="32"/>
      <c r="F88" s="32"/>
      <c r="G88" s="36" t="str">
        <f>IF(OR(A88="",E88="Mua trong nước"),"",COUNTIFS($A$5:A88,"?*",$E$5:E88,"&lt;&gt;Mua trong nước"))</f>
        <v/>
      </c>
    </row>
    <row r="89" spans="1:7" x14ac:dyDescent="0.25">
      <c r="A89" s="32"/>
      <c r="B89" s="32"/>
      <c r="C89" s="32"/>
      <c r="D89" s="32"/>
      <c r="E89" s="32"/>
      <c r="F89" s="32"/>
      <c r="G89" s="36" t="str">
        <f>IF(OR(A89="",E89="Mua trong nước"),"",COUNTIFS($A$5:A89,"?*",$E$5:E89,"&lt;&gt;Mua trong nước"))</f>
        <v/>
      </c>
    </row>
    <row r="90" spans="1:7" x14ac:dyDescent="0.25">
      <c r="A90" s="32"/>
      <c r="B90" s="32"/>
      <c r="C90" s="32"/>
      <c r="D90" s="32"/>
      <c r="E90" s="32"/>
      <c r="F90" s="32"/>
      <c r="G90" s="36" t="str">
        <f>IF(OR(A90="",E90="Mua trong nước"),"",COUNTIFS($A$5:A90,"?*",$E$5:E90,"&lt;&gt;Mua trong nước"))</f>
        <v/>
      </c>
    </row>
    <row r="91" spans="1:7" x14ac:dyDescent="0.25">
      <c r="A91" s="32"/>
      <c r="B91" s="32"/>
      <c r="C91" s="32"/>
      <c r="D91" s="32"/>
      <c r="E91" s="32"/>
      <c r="F91" s="32"/>
      <c r="G91" s="36" t="str">
        <f>IF(OR(A91="",E91="Mua trong nước"),"",COUNTIFS($A$5:A91,"?*",$E$5:E91,"&lt;&gt;Mua trong nước"))</f>
        <v/>
      </c>
    </row>
    <row r="92" spans="1:7" x14ac:dyDescent="0.25">
      <c r="A92" s="32"/>
      <c r="B92" s="32"/>
      <c r="C92" s="32"/>
      <c r="D92" s="32"/>
      <c r="E92" s="32"/>
      <c r="F92" s="32"/>
      <c r="G92" s="36" t="str">
        <f>IF(OR(A92="",E92="Mua trong nước"),"",COUNTIFS($A$5:A92,"?*",$E$5:E92,"&lt;&gt;Mua trong nước"))</f>
        <v/>
      </c>
    </row>
    <row r="93" spans="1:7" x14ac:dyDescent="0.25">
      <c r="A93" s="32"/>
      <c r="B93" s="32"/>
      <c r="C93" s="32"/>
      <c r="D93" s="32"/>
      <c r="E93" s="32"/>
      <c r="F93" s="32"/>
      <c r="G93" s="36" t="str">
        <f>IF(OR(A93="",E93="Mua trong nước"),"",COUNTIFS($A$5:A93,"?*",$E$5:E93,"&lt;&gt;Mua trong nước"))</f>
        <v/>
      </c>
    </row>
    <row r="94" spans="1:7" x14ac:dyDescent="0.25">
      <c r="A94" s="32"/>
      <c r="B94" s="32"/>
      <c r="C94" s="32"/>
      <c r="D94" s="32"/>
      <c r="E94" s="32"/>
      <c r="F94" s="32"/>
      <c r="G94" s="36" t="str">
        <f>IF(OR(A94="",E94="Mua trong nước"),"",COUNTIFS($A$5:A94,"?*",$E$5:E94,"&lt;&gt;Mua trong nước"))</f>
        <v/>
      </c>
    </row>
    <row r="95" spans="1:7" x14ac:dyDescent="0.25">
      <c r="A95" s="32"/>
      <c r="B95" s="32"/>
      <c r="C95" s="32"/>
      <c r="D95" s="32"/>
      <c r="E95" s="32"/>
      <c r="F95" s="32"/>
      <c r="G95" s="36" t="str">
        <f>IF(OR(A95="",E95="Mua trong nước"),"",COUNTIFS($A$5:A95,"?*",$E$5:E95,"&lt;&gt;Mua trong nước"))</f>
        <v/>
      </c>
    </row>
    <row r="96" spans="1:7" x14ac:dyDescent="0.25">
      <c r="A96" s="32"/>
      <c r="B96" s="32"/>
      <c r="C96" s="32"/>
      <c r="D96" s="32"/>
      <c r="E96" s="32"/>
      <c r="F96" s="32"/>
      <c r="G96" s="36" t="str">
        <f>IF(OR(A96="",E96="Mua trong nước"),"",COUNTIFS($A$5:A96,"?*",$E$5:E96,"&lt;&gt;Mua trong nước"))</f>
        <v/>
      </c>
    </row>
    <row r="97" spans="1:7" x14ac:dyDescent="0.25">
      <c r="A97" s="32"/>
      <c r="B97" s="32"/>
      <c r="C97" s="32"/>
      <c r="D97" s="32"/>
      <c r="E97" s="32"/>
      <c r="F97" s="32"/>
      <c r="G97" s="36" t="str">
        <f>IF(OR(A97="",E97="Mua trong nước"),"",COUNTIFS($A$5:A97,"?*",$E$5:E97,"&lt;&gt;Mua trong nước"))</f>
        <v/>
      </c>
    </row>
    <row r="98" spans="1:7" x14ac:dyDescent="0.25">
      <c r="A98" s="32"/>
      <c r="B98" s="32"/>
      <c r="C98" s="32"/>
      <c r="D98" s="32"/>
      <c r="E98" s="32"/>
      <c r="F98" s="32"/>
      <c r="G98" s="36" t="str">
        <f>IF(OR(A98="",E98="Mua trong nước"),"",COUNTIFS($A$5:A98,"?*",$E$5:E98,"&lt;&gt;Mua trong nước"))</f>
        <v/>
      </c>
    </row>
    <row r="99" spans="1:7" x14ac:dyDescent="0.25">
      <c r="A99" s="32"/>
      <c r="B99" s="32"/>
      <c r="C99" s="32"/>
      <c r="D99" s="32"/>
      <c r="E99" s="32"/>
      <c r="F99" s="32"/>
      <c r="G99" s="36" t="str">
        <f>IF(OR(A99="",E99="Mua trong nước"),"",COUNTIFS($A$5:A99,"?*",$E$5:E99,"&lt;&gt;Mua trong nước"))</f>
        <v/>
      </c>
    </row>
    <row r="100" spans="1:7" x14ac:dyDescent="0.25">
      <c r="A100" s="32"/>
      <c r="B100" s="32"/>
      <c r="C100" s="32"/>
      <c r="D100" s="32"/>
      <c r="E100" s="32"/>
      <c r="F100" s="32"/>
      <c r="G100" s="36" t="str">
        <f>IF(OR(A100="",E100="Mua trong nước"),"",COUNTIFS($A$5:A100,"?*",$E$5:E100,"&lt;&gt;Mua trong nước"))</f>
        <v/>
      </c>
    </row>
    <row r="101" spans="1:7" x14ac:dyDescent="0.25">
      <c r="A101" s="32"/>
      <c r="B101" s="32"/>
      <c r="C101" s="32"/>
      <c r="D101" s="32"/>
      <c r="E101" s="32"/>
      <c r="F101" s="32"/>
      <c r="G101" s="36" t="str">
        <f>IF(OR(A101="",E101="Mua trong nước"),"",COUNTIFS($A$5:A101,"?*",$E$5:E101,"&lt;&gt;Mua trong nước"))</f>
        <v/>
      </c>
    </row>
    <row r="102" spans="1:7" x14ac:dyDescent="0.25">
      <c r="A102" s="32"/>
      <c r="B102" s="32"/>
      <c r="C102" s="32"/>
      <c r="D102" s="32"/>
      <c r="E102" s="32"/>
      <c r="F102" s="32"/>
      <c r="G102" s="36" t="str">
        <f>IF(OR(A102="",E102="Mua trong nước"),"",COUNTIFS($A$5:A102,"?*",$E$5:E102,"&lt;&gt;Mua trong nước"))</f>
        <v/>
      </c>
    </row>
    <row r="103" spans="1:7" x14ac:dyDescent="0.25">
      <c r="A103" s="32"/>
      <c r="B103" s="32"/>
      <c r="C103" s="32"/>
      <c r="D103" s="32"/>
      <c r="E103" s="32"/>
      <c r="F103" s="32"/>
      <c r="G103" s="36" t="str">
        <f>IF(OR(A103="",E103="Mua trong nước"),"",COUNTIFS($A$5:A103,"?*",$E$5:E103,"&lt;&gt;Mua trong nước"))</f>
        <v/>
      </c>
    </row>
    <row r="104" spans="1:7" x14ac:dyDescent="0.25">
      <c r="A104" s="32"/>
      <c r="B104" s="32"/>
      <c r="C104" s="32"/>
      <c r="D104" s="32"/>
      <c r="E104" s="32"/>
      <c r="F104" s="32"/>
      <c r="G104" s="36" t="str">
        <f>IF(OR(A104="",E104="Mua trong nước"),"",COUNTIFS($A$5:A104,"?*",$E$5:E104,"&lt;&gt;Mua trong nước"))</f>
        <v/>
      </c>
    </row>
    <row r="105" spans="1:7" x14ac:dyDescent="0.25">
      <c r="A105" s="32"/>
      <c r="B105" s="32"/>
      <c r="C105" s="32"/>
      <c r="D105" s="32"/>
      <c r="E105" s="32"/>
      <c r="F105" s="32"/>
      <c r="G105" s="36" t="str">
        <f>IF(OR(A105="",E105="Mua trong nước"),"",COUNTIFS($A$5:A105,"?*",$E$5:E105,"&lt;&gt;Mua trong nước"))</f>
        <v/>
      </c>
    </row>
    <row r="106" spans="1:7" x14ac:dyDescent="0.25">
      <c r="A106" s="32"/>
      <c r="B106" s="32"/>
      <c r="C106" s="32"/>
      <c r="D106" s="32"/>
      <c r="E106" s="32"/>
      <c r="F106" s="32"/>
      <c r="G106" s="36" t="str">
        <f>IF(OR(A106="",E106="Mua trong nước"),"",COUNTIFS($A$5:A106,"?*",$E$5:E106,"&lt;&gt;Mua trong nước"))</f>
        <v/>
      </c>
    </row>
    <row r="107" spans="1:7" x14ac:dyDescent="0.25">
      <c r="A107" s="32"/>
      <c r="B107" s="32"/>
      <c r="C107" s="32"/>
      <c r="D107" s="32"/>
      <c r="E107" s="32"/>
      <c r="F107" s="32"/>
      <c r="G107" s="36" t="str">
        <f>IF(OR(A107="",E107="Mua trong nước"),"",COUNTIFS($A$5:A107,"?*",$E$5:E107,"&lt;&gt;Mua trong nước"))</f>
        <v/>
      </c>
    </row>
    <row r="108" spans="1:7" x14ac:dyDescent="0.25">
      <c r="A108" s="32"/>
      <c r="B108" s="32"/>
      <c r="C108" s="32"/>
      <c r="D108" s="32"/>
      <c r="E108" s="32"/>
      <c r="F108" s="32"/>
      <c r="G108" s="36" t="str">
        <f>IF(OR(A108="",E108="Mua trong nước"),"",COUNTIFS($A$5:A108,"?*",$E$5:E108,"&lt;&gt;Mua trong nước"))</f>
        <v/>
      </c>
    </row>
    <row r="109" spans="1:7" x14ac:dyDescent="0.25">
      <c r="A109" s="32"/>
      <c r="B109" s="32"/>
      <c r="C109" s="32"/>
      <c r="D109" s="32"/>
      <c r="E109" s="32"/>
      <c r="F109" s="32"/>
      <c r="G109" s="36" t="str">
        <f>IF(OR(A109="",E109="Mua trong nước"),"",COUNTIFS($A$5:A109,"?*",$E$5:E109,"&lt;&gt;Mua trong nước"))</f>
        <v/>
      </c>
    </row>
    <row r="110" spans="1:7" x14ac:dyDescent="0.25">
      <c r="A110" s="32"/>
      <c r="B110" s="32"/>
      <c r="C110" s="32"/>
      <c r="D110" s="32"/>
      <c r="E110" s="32"/>
      <c r="F110" s="32"/>
      <c r="G110" s="36" t="str">
        <f>IF(OR(A110="",E110="Mua trong nước"),"",COUNTIFS($A$5:A110,"?*",$E$5:E110,"&lt;&gt;Mua trong nước"))</f>
        <v/>
      </c>
    </row>
    <row r="111" spans="1:7" x14ac:dyDescent="0.25">
      <c r="A111" s="32"/>
      <c r="B111" s="32"/>
      <c r="C111" s="32"/>
      <c r="D111" s="32"/>
      <c r="E111" s="32"/>
      <c r="F111" s="32"/>
      <c r="G111" s="36" t="str">
        <f>IF(OR(A111="",E111="Mua trong nước"),"",COUNTIFS($A$5:A111,"?*",$E$5:E111,"&lt;&gt;Mua trong nước"))</f>
        <v/>
      </c>
    </row>
    <row r="112" spans="1:7" x14ac:dyDescent="0.25">
      <c r="A112" s="32"/>
      <c r="B112" s="32"/>
      <c r="C112" s="32"/>
      <c r="D112" s="32"/>
      <c r="E112" s="32"/>
      <c r="F112" s="32"/>
      <c r="G112" s="36" t="str">
        <f>IF(OR(A112="",E112="Mua trong nước"),"",COUNTIFS($A$5:A112,"?*",$E$5:E112,"&lt;&gt;Mua trong nước"))</f>
        <v/>
      </c>
    </row>
    <row r="113" spans="1:7" x14ac:dyDescent="0.25">
      <c r="A113" s="32"/>
      <c r="B113" s="32"/>
      <c r="C113" s="32"/>
      <c r="D113" s="32"/>
      <c r="E113" s="32"/>
      <c r="F113" s="32"/>
      <c r="G113" s="36" t="str">
        <f>IF(OR(A113="",E113="Mua trong nước"),"",COUNTIFS($A$5:A113,"?*",$E$5:E113,"&lt;&gt;Mua trong nước"))</f>
        <v/>
      </c>
    </row>
    <row r="114" spans="1:7" x14ac:dyDescent="0.25">
      <c r="A114" s="32"/>
      <c r="B114" s="32"/>
      <c r="C114" s="32"/>
      <c r="D114" s="32"/>
      <c r="E114" s="32"/>
      <c r="F114" s="32"/>
      <c r="G114" s="36" t="str">
        <f>IF(OR(A114="",E114="Mua trong nước"),"",COUNTIFS($A$5:A114,"?*",$E$5:E114,"&lt;&gt;Mua trong nước"))</f>
        <v/>
      </c>
    </row>
    <row r="115" spans="1:7" x14ac:dyDescent="0.25">
      <c r="A115" s="32"/>
      <c r="B115" s="32"/>
      <c r="C115" s="32"/>
      <c r="D115" s="32"/>
      <c r="E115" s="32"/>
      <c r="F115" s="32"/>
      <c r="G115" s="36" t="str">
        <f>IF(OR(A115="",E115="Mua trong nước"),"",COUNTIFS($A$5:A115,"?*",$E$5:E115,"&lt;&gt;Mua trong nước"))</f>
        <v/>
      </c>
    </row>
    <row r="116" spans="1:7" x14ac:dyDescent="0.25">
      <c r="A116" s="32"/>
      <c r="B116" s="32"/>
      <c r="C116" s="32"/>
      <c r="D116" s="32"/>
      <c r="E116" s="32"/>
      <c r="F116" s="32"/>
      <c r="G116" s="36" t="str">
        <f>IF(OR(A116="",E116="Mua trong nước"),"",COUNTIFS($A$5:A116,"?*",$E$5:E116,"&lt;&gt;Mua trong nước"))</f>
        <v/>
      </c>
    </row>
    <row r="117" spans="1:7" x14ac:dyDescent="0.25">
      <c r="A117" s="32"/>
      <c r="B117" s="32"/>
      <c r="C117" s="32"/>
      <c r="D117" s="32"/>
      <c r="E117" s="32"/>
      <c r="F117" s="32"/>
      <c r="G117" s="36" t="str">
        <f>IF(OR(A117="",E117="Mua trong nước"),"",COUNTIFS($A$5:A117,"?*",$E$5:E117,"&lt;&gt;Mua trong nước"))</f>
        <v/>
      </c>
    </row>
    <row r="118" spans="1:7" x14ac:dyDescent="0.25">
      <c r="A118" s="32"/>
      <c r="B118" s="32"/>
      <c r="C118" s="32"/>
      <c r="D118" s="32"/>
      <c r="E118" s="32"/>
      <c r="F118" s="32"/>
      <c r="G118" s="36" t="str">
        <f>IF(OR(A118="",E118="Mua trong nước"),"",COUNTIFS($A$5:A118,"?*",$E$5:E118,"&lt;&gt;Mua trong nước"))</f>
        <v/>
      </c>
    </row>
    <row r="119" spans="1:7" x14ac:dyDescent="0.25">
      <c r="A119" s="32"/>
      <c r="B119" s="32"/>
      <c r="C119" s="32"/>
      <c r="D119" s="32"/>
      <c r="E119" s="32"/>
      <c r="F119" s="32"/>
      <c r="G119" s="36" t="str">
        <f>IF(OR(A119="",E119="Mua trong nước"),"",COUNTIFS($A$5:A119,"?*",$E$5:E119,"&lt;&gt;Mua trong nước"))</f>
        <v/>
      </c>
    </row>
    <row r="120" spans="1:7" x14ac:dyDescent="0.25">
      <c r="A120" s="32"/>
      <c r="B120" s="32"/>
      <c r="C120" s="32"/>
      <c r="D120" s="32"/>
      <c r="E120" s="32"/>
      <c r="F120" s="32"/>
      <c r="G120" s="36" t="str">
        <f>IF(OR(A120="",E120="Mua trong nước"),"",COUNTIFS($A$5:A120,"?*",$E$5:E120,"&lt;&gt;Mua trong nước"))</f>
        <v/>
      </c>
    </row>
    <row r="121" spans="1:7" x14ac:dyDescent="0.25">
      <c r="A121" s="32"/>
      <c r="B121" s="32"/>
      <c r="C121" s="32"/>
      <c r="D121" s="32"/>
      <c r="E121" s="32"/>
      <c r="F121" s="32"/>
      <c r="G121" s="36" t="str">
        <f>IF(OR(A121="",E121="Mua trong nước"),"",COUNTIFS($A$5:A121,"?*",$E$5:E121,"&lt;&gt;Mua trong nước"))</f>
        <v/>
      </c>
    </row>
    <row r="122" spans="1:7" x14ac:dyDescent="0.25">
      <c r="A122" s="32"/>
      <c r="B122" s="32"/>
      <c r="C122" s="32"/>
      <c r="D122" s="32"/>
      <c r="E122" s="32"/>
      <c r="F122" s="32"/>
      <c r="G122" s="36" t="str">
        <f>IF(OR(A122="",E122="Mua trong nước"),"",COUNTIFS($A$5:A122,"?*",$E$5:E122,"&lt;&gt;Mua trong nước"))</f>
        <v/>
      </c>
    </row>
    <row r="123" spans="1:7" x14ac:dyDescent="0.25">
      <c r="A123" s="32"/>
      <c r="B123" s="32"/>
      <c r="C123" s="32"/>
      <c r="D123" s="32"/>
      <c r="E123" s="32"/>
      <c r="F123" s="32"/>
      <c r="G123" s="36" t="str">
        <f>IF(OR(A123="",E123="Mua trong nước"),"",COUNTIFS($A$5:A123,"?*",$E$5:E123,"&lt;&gt;Mua trong nước"))</f>
        <v/>
      </c>
    </row>
    <row r="124" spans="1:7" x14ac:dyDescent="0.25">
      <c r="A124" s="32"/>
      <c r="B124" s="32"/>
      <c r="C124" s="32"/>
      <c r="D124" s="32"/>
      <c r="E124" s="32"/>
      <c r="F124" s="32"/>
      <c r="G124" s="36" t="str">
        <f>IF(OR(A124="",E124="Mua trong nước"),"",COUNTIFS($A$5:A124,"?*",$E$5:E124,"&lt;&gt;Mua trong nước"))</f>
        <v/>
      </c>
    </row>
    <row r="125" spans="1:7" x14ac:dyDescent="0.25">
      <c r="A125" s="32"/>
      <c r="B125" s="32"/>
      <c r="C125" s="32"/>
      <c r="D125" s="32"/>
      <c r="E125" s="32"/>
      <c r="F125" s="32"/>
      <c r="G125" s="36" t="str">
        <f>IF(OR(A125="",E125="Mua trong nước"),"",COUNTIFS($A$5:A125,"?*",$E$5:E125,"&lt;&gt;Mua trong nước"))</f>
        <v/>
      </c>
    </row>
    <row r="126" spans="1:7" x14ac:dyDescent="0.25">
      <c r="A126" s="32"/>
      <c r="B126" s="32"/>
      <c r="C126" s="32"/>
      <c r="D126" s="32"/>
      <c r="E126" s="32"/>
      <c r="F126" s="32"/>
      <c r="G126" s="36" t="str">
        <f>IF(OR(A126="",E126="Mua trong nước"),"",COUNTIFS($A$5:A126,"?*",$E$5:E126,"&lt;&gt;Mua trong nước"))</f>
        <v/>
      </c>
    </row>
    <row r="127" spans="1:7" x14ac:dyDescent="0.25">
      <c r="A127" s="32"/>
      <c r="B127" s="32"/>
      <c r="C127" s="32"/>
      <c r="D127" s="32"/>
      <c r="E127" s="32"/>
      <c r="F127" s="32"/>
      <c r="G127" s="36" t="str">
        <f>IF(OR(A127="",E127="Mua trong nước"),"",COUNTIFS($A$5:A127,"?*",$E$5:E127,"&lt;&gt;Mua trong nước"))</f>
        <v/>
      </c>
    </row>
    <row r="128" spans="1:7" x14ac:dyDescent="0.25">
      <c r="A128" s="32"/>
      <c r="B128" s="32"/>
      <c r="C128" s="32"/>
      <c r="D128" s="32"/>
      <c r="E128" s="32"/>
      <c r="F128" s="32"/>
      <c r="G128" s="36" t="str">
        <f>IF(OR(A128="",E128="Mua trong nước"),"",COUNTIFS($A$5:A128,"?*",$E$5:E128,"&lt;&gt;Mua trong nước"))</f>
        <v/>
      </c>
    </row>
    <row r="129" spans="1:7" x14ac:dyDescent="0.25">
      <c r="A129" s="32"/>
      <c r="B129" s="32"/>
      <c r="C129" s="32"/>
      <c r="D129" s="32"/>
      <c r="E129" s="32"/>
      <c r="F129" s="32"/>
      <c r="G129" s="36" t="str">
        <f>IF(OR(A129="",E129="Mua trong nước"),"",COUNTIFS($A$5:A129,"?*",$E$5:E129,"&lt;&gt;Mua trong nước"))</f>
        <v/>
      </c>
    </row>
    <row r="130" spans="1:7" x14ac:dyDescent="0.25">
      <c r="A130" s="32"/>
      <c r="B130" s="32"/>
      <c r="C130" s="32"/>
      <c r="D130" s="32"/>
      <c r="E130" s="32"/>
      <c r="F130" s="32"/>
      <c r="G130" s="36" t="str">
        <f>IF(OR(A130="",E130="Mua trong nước"),"",COUNTIFS($A$5:A130,"?*",$E$5:E130,"&lt;&gt;Mua trong nước"))</f>
        <v/>
      </c>
    </row>
    <row r="131" spans="1:7" x14ac:dyDescent="0.25">
      <c r="A131" s="32"/>
      <c r="B131" s="32"/>
      <c r="C131" s="32"/>
      <c r="D131" s="32"/>
      <c r="E131" s="32"/>
      <c r="F131" s="32"/>
      <c r="G131" s="36" t="str">
        <f>IF(OR(A131="",E131="Mua trong nước"),"",COUNTIFS($A$5:A131,"?*",$E$5:E131,"&lt;&gt;Mua trong nước"))</f>
        <v/>
      </c>
    </row>
    <row r="132" spans="1:7" x14ac:dyDescent="0.25">
      <c r="A132" s="32"/>
      <c r="B132" s="32"/>
      <c r="C132" s="32"/>
      <c r="D132" s="32"/>
      <c r="E132" s="32"/>
      <c r="F132" s="32"/>
      <c r="G132" s="36" t="str">
        <f>IF(OR(A132="",E132="Mua trong nước"),"",COUNTIFS($A$5:A132,"?*",$E$5:E132,"&lt;&gt;Mua trong nước"))</f>
        <v/>
      </c>
    </row>
    <row r="133" spans="1:7" x14ac:dyDescent="0.25">
      <c r="A133" s="32"/>
      <c r="B133" s="32"/>
      <c r="C133" s="32"/>
      <c r="D133" s="32"/>
      <c r="E133" s="32"/>
      <c r="F133" s="32"/>
      <c r="G133" s="36" t="str">
        <f>IF(OR(A133="",E133="Mua trong nước"),"",COUNTIFS($A$5:A133,"?*",$E$5:E133,"&lt;&gt;Mua trong nước"))</f>
        <v/>
      </c>
    </row>
    <row r="134" spans="1:7" x14ac:dyDescent="0.25">
      <c r="A134" s="32"/>
      <c r="B134" s="32"/>
      <c r="C134" s="32"/>
      <c r="D134" s="32"/>
      <c r="E134" s="32"/>
      <c r="F134" s="32"/>
      <c r="G134" s="36" t="str">
        <f>IF(OR(A134="",E134="Mua trong nước"),"",COUNTIFS($A$5:A134,"?*",$E$5:E134,"&lt;&gt;Mua trong nước"))</f>
        <v/>
      </c>
    </row>
    <row r="135" spans="1:7" x14ac:dyDescent="0.25">
      <c r="A135" s="32"/>
      <c r="B135" s="32"/>
      <c r="C135" s="32"/>
      <c r="D135" s="32"/>
      <c r="E135" s="32"/>
      <c r="F135" s="32"/>
      <c r="G135" s="36" t="str">
        <f>IF(OR(A135="",E135="Mua trong nước"),"",COUNTIFS($A$5:A135,"?*",$E$5:E135,"&lt;&gt;Mua trong nước"))</f>
        <v/>
      </c>
    </row>
    <row r="136" spans="1:7" x14ac:dyDescent="0.25">
      <c r="A136" s="32"/>
      <c r="B136" s="32"/>
      <c r="C136" s="32"/>
      <c r="D136" s="32"/>
      <c r="E136" s="32"/>
      <c r="F136" s="32"/>
      <c r="G136" s="36" t="str">
        <f>IF(OR(A136="",E136="Mua trong nước"),"",COUNTIFS($A$5:A136,"?*",$E$5:E136,"&lt;&gt;Mua trong nước"))</f>
        <v/>
      </c>
    </row>
    <row r="137" spans="1:7" x14ac:dyDescent="0.25">
      <c r="A137" s="32"/>
      <c r="B137" s="32"/>
      <c r="C137" s="32"/>
      <c r="D137" s="32"/>
      <c r="E137" s="32"/>
      <c r="F137" s="32"/>
      <c r="G137" s="36" t="str">
        <f>IF(OR(A137="",E137="Mua trong nước"),"",COUNTIFS($A$5:A137,"?*",$E$5:E137,"&lt;&gt;Mua trong nước"))</f>
        <v/>
      </c>
    </row>
    <row r="138" spans="1:7" x14ac:dyDescent="0.25">
      <c r="A138" s="32"/>
      <c r="B138" s="32"/>
      <c r="C138" s="32"/>
      <c r="D138" s="32"/>
      <c r="E138" s="32"/>
      <c r="F138" s="32"/>
      <c r="G138" s="36" t="str">
        <f>IF(OR(A138="",E138="Mua trong nước"),"",COUNTIFS($A$5:A138,"?*",$E$5:E138,"&lt;&gt;Mua trong nước"))</f>
        <v/>
      </c>
    </row>
    <row r="139" spans="1:7" x14ac:dyDescent="0.25">
      <c r="A139" s="32"/>
      <c r="B139" s="32"/>
      <c r="C139" s="32"/>
      <c r="D139" s="32"/>
      <c r="E139" s="32"/>
      <c r="F139" s="32"/>
      <c r="G139" s="36" t="str">
        <f>IF(OR(A139="",E139="Mua trong nước"),"",COUNTIFS($A$5:A139,"?*",$E$5:E139,"&lt;&gt;Mua trong nước"))</f>
        <v/>
      </c>
    </row>
    <row r="140" spans="1:7" x14ac:dyDescent="0.25">
      <c r="A140" s="32"/>
      <c r="B140" s="32"/>
      <c r="C140" s="32"/>
      <c r="D140" s="32"/>
      <c r="E140" s="32"/>
      <c r="F140" s="32"/>
      <c r="G140" s="36" t="str">
        <f>IF(OR(A140="",E140="Mua trong nước"),"",COUNTIFS($A$5:A140,"?*",$E$5:E140,"&lt;&gt;Mua trong nước"))</f>
        <v/>
      </c>
    </row>
    <row r="141" spans="1:7" x14ac:dyDescent="0.25">
      <c r="A141" s="32"/>
      <c r="B141" s="32"/>
      <c r="C141" s="32"/>
      <c r="D141" s="32"/>
      <c r="E141" s="32"/>
      <c r="F141" s="32"/>
      <c r="G141" s="36" t="str">
        <f>IF(OR(A141="",E141="Mua trong nước"),"",COUNTIFS($A$5:A141,"?*",$E$5:E141,"&lt;&gt;Mua trong nước"))</f>
        <v/>
      </c>
    </row>
    <row r="142" spans="1:7" x14ac:dyDescent="0.25">
      <c r="A142" s="32"/>
      <c r="B142" s="32"/>
      <c r="C142" s="32"/>
      <c r="D142" s="32"/>
      <c r="E142" s="32"/>
      <c r="F142" s="32"/>
      <c r="G142" s="36" t="str">
        <f>IF(OR(A142="",E142="Mua trong nước"),"",COUNTIFS($A$5:A142,"?*",$E$5:E142,"&lt;&gt;Mua trong nước"))</f>
        <v/>
      </c>
    </row>
    <row r="143" spans="1:7" x14ac:dyDescent="0.25">
      <c r="A143" s="32"/>
      <c r="B143" s="32"/>
      <c r="C143" s="32"/>
      <c r="D143" s="32"/>
      <c r="E143" s="32"/>
      <c r="F143" s="32"/>
      <c r="G143" s="36" t="str">
        <f>IF(OR(A143="",E143="Mua trong nước"),"",COUNTIFS($A$5:A143,"?*",$E$5:E143,"&lt;&gt;Mua trong nước"))</f>
        <v/>
      </c>
    </row>
    <row r="144" spans="1:7" x14ac:dyDescent="0.25">
      <c r="A144" s="32"/>
      <c r="B144" s="32"/>
      <c r="C144" s="32"/>
      <c r="D144" s="32"/>
      <c r="E144" s="32"/>
      <c r="F144" s="32"/>
      <c r="G144" s="36" t="str">
        <f>IF(OR(A144="",E144="Mua trong nước"),"",COUNTIFS($A$5:A144,"?*",$E$5:E144,"&lt;&gt;Mua trong nước"))</f>
        <v/>
      </c>
    </row>
    <row r="145" spans="1:7" x14ac:dyDescent="0.25">
      <c r="A145" s="32"/>
      <c r="B145" s="32"/>
      <c r="C145" s="32"/>
      <c r="D145" s="32"/>
      <c r="E145" s="32"/>
      <c r="F145" s="32"/>
      <c r="G145" s="36" t="str">
        <f>IF(OR(A145="",E145="Mua trong nước"),"",COUNTIFS($A$5:A145,"?*",$E$5:E145,"&lt;&gt;Mua trong nước"))</f>
        <v/>
      </c>
    </row>
    <row r="146" spans="1:7" x14ac:dyDescent="0.25">
      <c r="A146" s="32"/>
      <c r="B146" s="32"/>
      <c r="C146" s="32"/>
      <c r="D146" s="32"/>
      <c r="E146" s="32"/>
      <c r="F146" s="32"/>
      <c r="G146" s="36" t="str">
        <f>IF(OR(A146="",E146="Mua trong nước"),"",COUNTIFS($A$5:A146,"?*",$E$5:E146,"&lt;&gt;Mua trong nước"))</f>
        <v/>
      </c>
    </row>
    <row r="147" spans="1:7" x14ac:dyDescent="0.25">
      <c r="A147" s="32"/>
      <c r="B147" s="32"/>
      <c r="C147" s="32"/>
      <c r="D147" s="32"/>
      <c r="E147" s="32"/>
      <c r="F147" s="32"/>
      <c r="G147" s="36" t="str">
        <f>IF(OR(A147="",E147="Mua trong nước"),"",COUNTIFS($A$5:A147,"?*",$E$5:E147,"&lt;&gt;Mua trong nước"))</f>
        <v/>
      </c>
    </row>
    <row r="148" spans="1:7" x14ac:dyDescent="0.25">
      <c r="A148" s="32"/>
      <c r="B148" s="32"/>
      <c r="C148" s="32"/>
      <c r="D148" s="32"/>
      <c r="E148" s="32"/>
      <c r="F148" s="32"/>
      <c r="G148" s="36" t="str">
        <f>IF(OR(A148="",E148="Mua trong nước"),"",COUNTIFS($A$5:A148,"?*",$E$5:E148,"&lt;&gt;Mua trong nước"))</f>
        <v/>
      </c>
    </row>
    <row r="149" spans="1:7" x14ac:dyDescent="0.25">
      <c r="A149" s="32"/>
      <c r="B149" s="32"/>
      <c r="C149" s="32"/>
      <c r="D149" s="32"/>
      <c r="E149" s="32"/>
      <c r="F149" s="32"/>
      <c r="G149" s="36" t="str">
        <f>IF(OR(A149="",E149="Mua trong nước"),"",COUNTIFS($A$5:A149,"?*",$E$5:E149,"&lt;&gt;Mua trong nước"))</f>
        <v/>
      </c>
    </row>
    <row r="150" spans="1:7" x14ac:dyDescent="0.25">
      <c r="A150" s="32"/>
      <c r="B150" s="32"/>
      <c r="C150" s="32"/>
      <c r="D150" s="32"/>
      <c r="E150" s="32"/>
      <c r="F150" s="32"/>
      <c r="G150" s="36" t="str">
        <f>IF(OR(A150="",E150="Mua trong nước"),"",COUNTIFS($A$5:A150,"?*",$E$5:E150,"&lt;&gt;Mua trong nước"))</f>
        <v/>
      </c>
    </row>
    <row r="151" spans="1:7" x14ac:dyDescent="0.25">
      <c r="A151" s="32"/>
      <c r="B151" s="32"/>
      <c r="C151" s="32"/>
      <c r="D151" s="32"/>
      <c r="E151" s="32"/>
      <c r="F151" s="32"/>
      <c r="G151" s="36" t="str">
        <f>IF(OR(A151="",E151="Mua trong nước"),"",COUNTIFS($A$5:A151,"?*",$E$5:E151,"&lt;&gt;Mua trong nước"))</f>
        <v/>
      </c>
    </row>
    <row r="152" spans="1:7" x14ac:dyDescent="0.25">
      <c r="A152" s="32"/>
      <c r="B152" s="32"/>
      <c r="C152" s="32"/>
      <c r="D152" s="32"/>
      <c r="E152" s="32"/>
      <c r="F152" s="32"/>
      <c r="G152" s="36" t="str">
        <f>IF(OR(A152="",E152="Mua trong nước"),"",COUNTIFS($A$5:A152,"?*",$E$5:E152,"&lt;&gt;Mua trong nước"))</f>
        <v/>
      </c>
    </row>
    <row r="153" spans="1:7" x14ac:dyDescent="0.25">
      <c r="A153" s="32"/>
      <c r="B153" s="32"/>
      <c r="C153" s="32"/>
      <c r="D153" s="32"/>
      <c r="E153" s="32"/>
      <c r="F153" s="32"/>
      <c r="G153" s="36" t="str">
        <f>IF(OR(A153="",E153="Mua trong nước"),"",COUNTIFS($A$5:A153,"?*",$E$5:E153,"&lt;&gt;Mua trong nước"))</f>
        <v/>
      </c>
    </row>
    <row r="154" spans="1:7" x14ac:dyDescent="0.25">
      <c r="A154" s="32"/>
      <c r="B154" s="32"/>
      <c r="C154" s="32"/>
      <c r="D154" s="32"/>
      <c r="E154" s="32"/>
      <c r="F154" s="32"/>
      <c r="G154" s="36" t="str">
        <f>IF(OR(A154="",E154="Mua trong nước"),"",COUNTIFS($A$5:A154,"?*",$E$5:E154,"&lt;&gt;Mua trong nước"))</f>
        <v/>
      </c>
    </row>
    <row r="155" spans="1:7" x14ac:dyDescent="0.25">
      <c r="A155" s="32"/>
      <c r="B155" s="32"/>
      <c r="C155" s="32"/>
      <c r="D155" s="32"/>
      <c r="E155" s="32"/>
      <c r="F155" s="32"/>
      <c r="G155" s="36" t="str">
        <f>IF(OR(A155="",E155="Mua trong nước"),"",COUNTIFS($A$5:A155,"?*",$E$5:E155,"&lt;&gt;Mua trong nước"))</f>
        <v/>
      </c>
    </row>
    <row r="156" spans="1:7" x14ac:dyDescent="0.25">
      <c r="A156" s="32"/>
      <c r="B156" s="32"/>
      <c r="C156" s="32"/>
      <c r="D156" s="32"/>
      <c r="E156" s="32"/>
      <c r="F156" s="32"/>
      <c r="G156" s="36" t="str">
        <f>IF(OR(A156="",E156="Mua trong nước"),"",COUNTIFS($A$5:A156,"?*",$E$5:E156,"&lt;&gt;Mua trong nước"))</f>
        <v/>
      </c>
    </row>
    <row r="157" spans="1:7" x14ac:dyDescent="0.25">
      <c r="A157" s="32"/>
      <c r="B157" s="32"/>
      <c r="C157" s="32"/>
      <c r="D157" s="32"/>
      <c r="E157" s="32"/>
      <c r="F157" s="32"/>
      <c r="G157" s="36" t="str">
        <f>IF(OR(A157="",E157="Mua trong nước"),"",COUNTIFS($A$5:A157,"?*",$E$5:E157,"&lt;&gt;Mua trong nước"))</f>
        <v/>
      </c>
    </row>
    <row r="158" spans="1:7" x14ac:dyDescent="0.25">
      <c r="A158" s="32"/>
      <c r="B158" s="32"/>
      <c r="C158" s="32"/>
      <c r="D158" s="32"/>
      <c r="E158" s="32"/>
      <c r="F158" s="32"/>
      <c r="G158" s="36" t="str">
        <f>IF(OR(A158="",E158="Mua trong nước"),"",COUNTIFS($A$5:A158,"?*",$E$5:E158,"&lt;&gt;Mua trong nước"))</f>
        <v/>
      </c>
    </row>
    <row r="159" spans="1:7" x14ac:dyDescent="0.25">
      <c r="A159" s="32"/>
      <c r="B159" s="32"/>
      <c r="C159" s="32"/>
      <c r="D159" s="32"/>
      <c r="E159" s="32"/>
      <c r="F159" s="32"/>
      <c r="G159" s="36" t="str">
        <f>IF(OR(A159="",E159="Mua trong nước"),"",COUNTIFS($A$5:A159,"?*",$E$5:E159,"&lt;&gt;Mua trong nước"))</f>
        <v/>
      </c>
    </row>
    <row r="160" spans="1:7" x14ac:dyDescent="0.25">
      <c r="A160" s="32"/>
      <c r="B160" s="32"/>
      <c r="C160" s="32"/>
      <c r="D160" s="32"/>
      <c r="E160" s="32"/>
      <c r="F160" s="32"/>
      <c r="G160" s="36" t="str">
        <f>IF(OR(A160="",E160="Mua trong nước"),"",COUNTIFS($A$5:A160,"?*",$E$5:E160,"&lt;&gt;Mua trong nước"))</f>
        <v/>
      </c>
    </row>
    <row r="161" spans="1:7" x14ac:dyDescent="0.25">
      <c r="A161" s="32"/>
      <c r="B161" s="32"/>
      <c r="C161" s="32"/>
      <c r="D161" s="32"/>
      <c r="E161" s="32"/>
      <c r="F161" s="32"/>
      <c r="G161" s="36" t="str">
        <f>IF(OR(A161="",E161="Mua trong nước"),"",COUNTIFS($A$5:A161,"?*",$E$5:E161,"&lt;&gt;Mua trong nước"))</f>
        <v/>
      </c>
    </row>
    <row r="162" spans="1:7" x14ac:dyDescent="0.25">
      <c r="A162" s="32"/>
      <c r="B162" s="32"/>
      <c r="C162" s="32"/>
      <c r="D162" s="32"/>
      <c r="E162" s="32"/>
      <c r="F162" s="32"/>
      <c r="G162" s="36" t="str">
        <f>IF(OR(A162="",E162="Mua trong nước"),"",COUNTIFS($A$5:A162,"?*",$E$5:E162,"&lt;&gt;Mua trong nước"))</f>
        <v/>
      </c>
    </row>
    <row r="163" spans="1:7" x14ac:dyDescent="0.25">
      <c r="A163" s="32"/>
      <c r="B163" s="32"/>
      <c r="C163" s="32"/>
      <c r="D163" s="32"/>
      <c r="E163" s="32"/>
      <c r="F163" s="32"/>
      <c r="G163" s="36" t="str">
        <f>IF(OR(A163="",E163="Mua trong nước"),"",COUNTIFS($A$5:A163,"?*",$E$5:E163,"&lt;&gt;Mua trong nước"))</f>
        <v/>
      </c>
    </row>
    <row r="164" spans="1:7" x14ac:dyDescent="0.25">
      <c r="A164" s="32"/>
      <c r="B164" s="32"/>
      <c r="C164" s="32"/>
      <c r="D164" s="32"/>
      <c r="E164" s="32"/>
      <c r="F164" s="32"/>
      <c r="G164" s="36" t="str">
        <f>IF(OR(A164="",E164="Mua trong nước"),"",COUNTIFS($A$5:A164,"?*",$E$5:E164,"&lt;&gt;Mua trong nước"))</f>
        <v/>
      </c>
    </row>
    <row r="165" spans="1:7" x14ac:dyDescent="0.25">
      <c r="A165" s="32"/>
      <c r="B165" s="32"/>
      <c r="C165" s="32"/>
      <c r="D165" s="32"/>
      <c r="E165" s="32"/>
      <c r="F165" s="32"/>
      <c r="G165" s="36" t="str">
        <f>IF(OR(A165="",E165="Mua trong nước"),"",COUNTIFS($A$5:A165,"?*",$E$5:E165,"&lt;&gt;Mua trong nước"))</f>
        <v/>
      </c>
    </row>
    <row r="166" spans="1:7" x14ac:dyDescent="0.25">
      <c r="A166" s="32"/>
      <c r="B166" s="32"/>
      <c r="C166" s="32"/>
      <c r="D166" s="32"/>
      <c r="E166" s="32"/>
      <c r="F166" s="32"/>
      <c r="G166" s="36" t="str">
        <f>IF(OR(A166="",E166="Mua trong nước"),"",COUNTIFS($A$5:A166,"?*",$E$5:E166,"&lt;&gt;Mua trong nước"))</f>
        <v/>
      </c>
    </row>
    <row r="167" spans="1:7" x14ac:dyDescent="0.25">
      <c r="A167" s="32"/>
      <c r="B167" s="32"/>
      <c r="C167" s="32"/>
      <c r="D167" s="32"/>
      <c r="E167" s="32"/>
      <c r="F167" s="32"/>
      <c r="G167" s="36" t="str">
        <f>IF(OR(A167="",E167="Mua trong nước"),"",COUNTIFS($A$5:A167,"?*",$E$5:E167,"&lt;&gt;Mua trong nước"))</f>
        <v/>
      </c>
    </row>
    <row r="168" spans="1:7" x14ac:dyDescent="0.25">
      <c r="A168" s="32"/>
      <c r="B168" s="32"/>
      <c r="C168" s="32"/>
      <c r="D168" s="32"/>
      <c r="E168" s="32"/>
      <c r="F168" s="32"/>
      <c r="G168" s="36" t="str">
        <f>IF(OR(A168="",E168="Mua trong nước"),"",COUNTIFS($A$5:A168,"?*",$E$5:E168,"&lt;&gt;Mua trong nước"))</f>
        <v/>
      </c>
    </row>
    <row r="169" spans="1:7" x14ac:dyDescent="0.25">
      <c r="A169" s="32"/>
      <c r="B169" s="32"/>
      <c r="C169" s="32"/>
      <c r="D169" s="32"/>
      <c r="E169" s="32"/>
      <c r="F169" s="32"/>
      <c r="G169" s="36" t="str">
        <f>IF(OR(A169="",E169="Mua trong nước"),"",COUNTIFS($A$5:A169,"?*",$E$5:E169,"&lt;&gt;Mua trong nước"))</f>
        <v/>
      </c>
    </row>
    <row r="170" spans="1:7" x14ac:dyDescent="0.25">
      <c r="A170" s="32"/>
      <c r="B170" s="32"/>
      <c r="C170" s="32"/>
      <c r="D170" s="32"/>
      <c r="E170" s="32"/>
      <c r="F170" s="32"/>
      <c r="G170" s="36" t="str">
        <f>IF(OR(A170="",E170="Mua trong nước"),"",COUNTIFS($A$5:A170,"?*",$E$5:E170,"&lt;&gt;Mua trong nước"))</f>
        <v/>
      </c>
    </row>
    <row r="171" spans="1:7" x14ac:dyDescent="0.25">
      <c r="A171" s="32"/>
      <c r="B171" s="32"/>
      <c r="C171" s="32"/>
      <c r="D171" s="32"/>
      <c r="E171" s="32"/>
      <c r="F171" s="32"/>
      <c r="G171" s="36" t="str">
        <f>IF(OR(A171="",E171="Mua trong nước"),"",COUNTIFS($A$5:A171,"?*",$E$5:E171,"&lt;&gt;Mua trong nước"))</f>
        <v/>
      </c>
    </row>
    <row r="172" spans="1:7" x14ac:dyDescent="0.25">
      <c r="A172" s="32"/>
      <c r="B172" s="32"/>
      <c r="C172" s="32"/>
      <c r="D172" s="32"/>
      <c r="E172" s="32"/>
      <c r="F172" s="32"/>
      <c r="G172" s="36" t="str">
        <f>IF(OR(A172="",E172="Mua trong nước"),"",COUNTIFS($A$5:A172,"?*",$E$5:E172,"&lt;&gt;Mua trong nước"))</f>
        <v/>
      </c>
    </row>
    <row r="173" spans="1:7" x14ac:dyDescent="0.25">
      <c r="A173" s="32"/>
      <c r="B173" s="32"/>
      <c r="C173" s="32"/>
      <c r="D173" s="32"/>
      <c r="E173" s="32"/>
      <c r="F173" s="32"/>
      <c r="G173" s="36" t="str">
        <f>IF(OR(A173="",E173="Mua trong nước"),"",COUNTIFS($A$5:A173,"?*",$E$5:E173,"&lt;&gt;Mua trong nước"))</f>
        <v/>
      </c>
    </row>
    <row r="174" spans="1:7" x14ac:dyDescent="0.25">
      <c r="A174" s="32"/>
      <c r="B174" s="32"/>
      <c r="C174" s="32"/>
      <c r="D174" s="32"/>
      <c r="E174" s="32"/>
      <c r="F174" s="32"/>
      <c r="G174" s="36" t="str">
        <f>IF(OR(A174="",E174="Mua trong nước"),"",COUNTIFS($A$5:A174,"?*",$E$5:E174,"&lt;&gt;Mua trong nước"))</f>
        <v/>
      </c>
    </row>
    <row r="175" spans="1:7" x14ac:dyDescent="0.25">
      <c r="A175" s="32"/>
      <c r="B175" s="32"/>
      <c r="C175" s="32"/>
      <c r="D175" s="32"/>
      <c r="E175" s="32"/>
      <c r="F175" s="32"/>
      <c r="G175" s="36" t="str">
        <f>IF(OR(A175="",E175="Mua trong nước"),"",COUNTIFS($A$5:A175,"?*",$E$5:E175,"&lt;&gt;Mua trong nước"))</f>
        <v/>
      </c>
    </row>
    <row r="176" spans="1:7" x14ac:dyDescent="0.25">
      <c r="A176" s="32"/>
      <c r="B176" s="32"/>
      <c r="C176" s="32"/>
      <c r="D176" s="32"/>
      <c r="E176" s="32"/>
      <c r="F176" s="32"/>
      <c r="G176" s="36" t="str">
        <f>IF(OR(A176="",E176="Mua trong nước"),"",COUNTIFS($A$5:A176,"?*",$E$5:E176,"&lt;&gt;Mua trong nước"))</f>
        <v/>
      </c>
    </row>
    <row r="177" spans="1:7" x14ac:dyDescent="0.25">
      <c r="A177" s="32"/>
      <c r="B177" s="32"/>
      <c r="C177" s="32"/>
      <c r="D177" s="32"/>
      <c r="E177" s="32"/>
      <c r="F177" s="32"/>
      <c r="G177" s="36" t="str">
        <f>IF(OR(A177="",E177="Mua trong nước"),"",COUNTIFS($A$5:A177,"?*",$E$5:E177,"&lt;&gt;Mua trong nước"))</f>
        <v/>
      </c>
    </row>
    <row r="178" spans="1:7" x14ac:dyDescent="0.25">
      <c r="A178" s="32"/>
      <c r="B178" s="32"/>
      <c r="C178" s="32"/>
      <c r="D178" s="32"/>
      <c r="E178" s="32"/>
      <c r="F178" s="32"/>
      <c r="G178" s="36" t="str">
        <f>IF(OR(A178="",E178="Mua trong nước"),"",COUNTIFS($A$5:A178,"?*",$E$5:E178,"&lt;&gt;Mua trong nước"))</f>
        <v/>
      </c>
    </row>
    <row r="179" spans="1:7" x14ac:dyDescent="0.25">
      <c r="A179" s="32"/>
      <c r="B179" s="32"/>
      <c r="C179" s="32"/>
      <c r="D179" s="32"/>
      <c r="E179" s="32"/>
      <c r="F179" s="32"/>
      <c r="G179" s="36" t="str">
        <f>IF(OR(A179="",E179="Mua trong nước"),"",COUNTIFS($A$5:A179,"?*",$E$5:E179,"&lt;&gt;Mua trong nước"))</f>
        <v/>
      </c>
    </row>
    <row r="180" spans="1:7" x14ac:dyDescent="0.25">
      <c r="A180" s="32"/>
      <c r="B180" s="32"/>
      <c r="C180" s="32"/>
      <c r="D180" s="32"/>
      <c r="E180" s="32"/>
      <c r="F180" s="32"/>
      <c r="G180" s="36" t="str">
        <f>IF(OR(A180="",E180="Mua trong nước"),"",COUNTIFS($A$5:A180,"?*",$E$5:E180,"&lt;&gt;Mua trong nước"))</f>
        <v/>
      </c>
    </row>
    <row r="181" spans="1:7" x14ac:dyDescent="0.25">
      <c r="A181" s="32"/>
      <c r="B181" s="32"/>
      <c r="C181" s="32"/>
      <c r="D181" s="32"/>
      <c r="E181" s="32"/>
      <c r="F181" s="32"/>
      <c r="G181" s="36" t="str">
        <f>IF(OR(A181="",E181="Mua trong nước"),"",COUNTIFS($A$5:A181,"?*",$E$5:E181,"&lt;&gt;Mua trong nước"))</f>
        <v/>
      </c>
    </row>
    <row r="182" spans="1:7" x14ac:dyDescent="0.25">
      <c r="A182" s="32"/>
      <c r="B182" s="32"/>
      <c r="C182" s="32"/>
      <c r="D182" s="32"/>
      <c r="E182" s="32"/>
      <c r="F182" s="32"/>
      <c r="G182" s="36" t="str">
        <f>IF(OR(A182="",E182="Mua trong nước"),"",COUNTIFS($A$5:A182,"?*",$E$5:E182,"&lt;&gt;Mua trong nước"))</f>
        <v/>
      </c>
    </row>
    <row r="183" spans="1:7" x14ac:dyDescent="0.25">
      <c r="A183" s="32"/>
      <c r="B183" s="32"/>
      <c r="C183" s="32"/>
      <c r="D183" s="32"/>
      <c r="E183" s="32"/>
      <c r="F183" s="32"/>
      <c r="G183" s="36" t="str">
        <f>IF(OR(A183="",E183="Mua trong nước"),"",COUNTIFS($A$5:A183,"?*",$E$5:E183,"&lt;&gt;Mua trong nước"))</f>
        <v/>
      </c>
    </row>
    <row r="184" spans="1:7" x14ac:dyDescent="0.25">
      <c r="A184" s="32"/>
      <c r="B184" s="32"/>
      <c r="C184" s="32"/>
      <c r="D184" s="32"/>
      <c r="E184" s="32"/>
      <c r="F184" s="32"/>
      <c r="G184" s="36" t="str">
        <f>IF(OR(A184="",E184="Mua trong nước"),"",COUNTIFS($A$5:A184,"?*",$E$5:E184,"&lt;&gt;Mua trong nước"))</f>
        <v/>
      </c>
    </row>
    <row r="185" spans="1:7" x14ac:dyDescent="0.25">
      <c r="A185" s="32"/>
      <c r="B185" s="32"/>
      <c r="C185" s="32"/>
      <c r="D185" s="32"/>
      <c r="E185" s="32"/>
      <c r="F185" s="32"/>
      <c r="G185" s="36" t="str">
        <f>IF(OR(A185="",E185="Mua trong nước"),"",COUNTIFS($A$5:A185,"?*",$E$5:E185,"&lt;&gt;Mua trong nước"))</f>
        <v/>
      </c>
    </row>
    <row r="186" spans="1:7" x14ac:dyDescent="0.25">
      <c r="A186" s="32"/>
      <c r="B186" s="32"/>
      <c r="C186" s="32"/>
      <c r="D186" s="32"/>
      <c r="E186" s="32"/>
      <c r="F186" s="32"/>
      <c r="G186" s="36" t="str">
        <f>IF(OR(A186="",E186="Mua trong nước"),"",COUNTIFS($A$5:A186,"?*",$E$5:E186,"&lt;&gt;Mua trong nước"))</f>
        <v/>
      </c>
    </row>
    <row r="187" spans="1:7" x14ac:dyDescent="0.25">
      <c r="A187" s="32"/>
      <c r="B187" s="32"/>
      <c r="C187" s="32"/>
      <c r="D187" s="32"/>
      <c r="E187" s="32"/>
      <c r="F187" s="32"/>
      <c r="G187" s="36" t="str">
        <f>IF(OR(A187="",E187="Mua trong nước"),"",COUNTIFS($A$5:A187,"?*",$E$5:E187,"&lt;&gt;Mua trong nước"))</f>
        <v/>
      </c>
    </row>
    <row r="188" spans="1:7" x14ac:dyDescent="0.25">
      <c r="A188" s="32"/>
      <c r="B188" s="32"/>
      <c r="C188" s="32"/>
      <c r="D188" s="32"/>
      <c r="E188" s="32"/>
      <c r="F188" s="32"/>
      <c r="G188" s="36" t="str">
        <f>IF(OR(A188="",E188="Mua trong nước"),"",COUNTIFS($A$5:A188,"?*",$E$5:E188,"&lt;&gt;Mua trong nước"))</f>
        <v/>
      </c>
    </row>
    <row r="189" spans="1:7" x14ac:dyDescent="0.25">
      <c r="A189" s="32"/>
      <c r="B189" s="32"/>
      <c r="C189" s="32"/>
      <c r="D189" s="32"/>
      <c r="E189" s="32"/>
      <c r="F189" s="32"/>
      <c r="G189" s="36" t="str">
        <f>IF(OR(A189="",E189="Mua trong nước"),"",COUNTIFS($A$5:A189,"?*",$E$5:E189,"&lt;&gt;Mua trong nước"))</f>
        <v/>
      </c>
    </row>
    <row r="190" spans="1:7" x14ac:dyDescent="0.25">
      <c r="A190" s="32"/>
      <c r="B190" s="32"/>
      <c r="C190" s="32"/>
      <c r="D190" s="32"/>
      <c r="E190" s="32"/>
      <c r="F190" s="32"/>
      <c r="G190" s="36" t="str">
        <f>IF(OR(A190="",E190="Mua trong nước"),"",COUNTIFS($A$5:A190,"?*",$E$5:E190,"&lt;&gt;Mua trong nước"))</f>
        <v/>
      </c>
    </row>
    <row r="191" spans="1:7" x14ac:dyDescent="0.25">
      <c r="A191" s="32"/>
      <c r="B191" s="32"/>
      <c r="C191" s="32"/>
      <c r="D191" s="32"/>
      <c r="E191" s="32"/>
      <c r="F191" s="32"/>
      <c r="G191" s="36" t="str">
        <f>IF(OR(A191="",E191="Mua trong nước"),"",COUNTIFS($A$5:A191,"?*",$E$5:E191,"&lt;&gt;Mua trong nước"))</f>
        <v/>
      </c>
    </row>
    <row r="192" spans="1:7" x14ac:dyDescent="0.25">
      <c r="A192" s="32"/>
      <c r="B192" s="32"/>
      <c r="C192" s="32"/>
      <c r="D192" s="32"/>
      <c r="E192" s="32"/>
      <c r="F192" s="32"/>
      <c r="G192" s="36" t="str">
        <f>IF(OR(A192="",E192="Mua trong nước"),"",COUNTIFS($A$5:A192,"?*",$E$5:E192,"&lt;&gt;Mua trong nước"))</f>
        <v/>
      </c>
    </row>
    <row r="193" spans="1:7" x14ac:dyDescent="0.25">
      <c r="A193" s="32"/>
      <c r="B193" s="32"/>
      <c r="C193" s="32"/>
      <c r="D193" s="32"/>
      <c r="E193" s="32"/>
      <c r="F193" s="32"/>
      <c r="G193" s="36" t="str">
        <f>IF(OR(A193="",E193="Mua trong nước"),"",COUNTIFS($A$5:A193,"?*",$E$5:E193,"&lt;&gt;Mua trong nước"))</f>
        <v/>
      </c>
    </row>
    <row r="194" spans="1:7" x14ac:dyDescent="0.25">
      <c r="A194" s="32"/>
      <c r="B194" s="32"/>
      <c r="C194" s="32"/>
      <c r="D194" s="32"/>
      <c r="E194" s="32"/>
      <c r="F194" s="32"/>
      <c r="G194" s="36" t="str">
        <f>IF(OR(A194="",E194="Mua trong nước"),"",COUNTIFS($A$5:A194,"?*",$E$5:E194,"&lt;&gt;Mua trong nước"))</f>
        <v/>
      </c>
    </row>
    <row r="195" spans="1:7" x14ac:dyDescent="0.25">
      <c r="A195" s="32"/>
      <c r="B195" s="32"/>
      <c r="C195" s="32"/>
      <c r="D195" s="32"/>
      <c r="E195" s="32"/>
      <c r="F195" s="32"/>
      <c r="G195" s="36" t="str">
        <f>IF(OR(A195="",E195="Mua trong nước"),"",COUNTIFS($A$5:A195,"?*",$E$5:E195,"&lt;&gt;Mua trong nước"))</f>
        <v/>
      </c>
    </row>
    <row r="196" spans="1:7" x14ac:dyDescent="0.25">
      <c r="A196" s="32"/>
      <c r="B196" s="32"/>
      <c r="C196" s="32"/>
      <c r="D196" s="32"/>
      <c r="E196" s="32"/>
      <c r="F196" s="32"/>
      <c r="G196" s="36" t="str">
        <f>IF(OR(A196="",E196="Mua trong nước"),"",COUNTIFS($A$5:A196,"?*",$E$5:E196,"&lt;&gt;Mua trong nước"))</f>
        <v/>
      </c>
    </row>
    <row r="197" spans="1:7" x14ac:dyDescent="0.25">
      <c r="A197" s="32"/>
      <c r="B197" s="32"/>
      <c r="C197" s="32"/>
      <c r="D197" s="32"/>
      <c r="E197" s="32"/>
      <c r="F197" s="32"/>
      <c r="G197" s="36" t="str">
        <f>IF(OR(A197="",E197="Mua trong nước"),"",COUNTIFS($A$5:A197,"?*",$E$5:E197,"&lt;&gt;Mua trong nước"))</f>
        <v/>
      </c>
    </row>
    <row r="198" spans="1:7" x14ac:dyDescent="0.25">
      <c r="A198" s="32"/>
      <c r="B198" s="32"/>
      <c r="C198" s="32"/>
      <c r="D198" s="32"/>
      <c r="E198" s="32"/>
      <c r="F198" s="32"/>
      <c r="G198" s="36" t="str">
        <f>IF(OR(A198="",E198="Mua trong nước"),"",COUNTIFS($A$5:A198,"?*",$E$5:E198,"&lt;&gt;Mua trong nước"))</f>
        <v/>
      </c>
    </row>
    <row r="199" spans="1:7" x14ac:dyDescent="0.25">
      <c r="A199" s="32"/>
      <c r="B199" s="32"/>
      <c r="C199" s="32"/>
      <c r="D199" s="32"/>
      <c r="E199" s="32"/>
      <c r="F199" s="32"/>
      <c r="G199" s="36" t="str">
        <f>IF(OR(A199="",E199="Mua trong nước"),"",COUNTIFS($A$5:A199,"?*",$E$5:E199,"&lt;&gt;Mua trong nước"))</f>
        <v/>
      </c>
    </row>
    <row r="200" spans="1:7" x14ac:dyDescent="0.25">
      <c r="A200" s="32"/>
      <c r="B200" s="32"/>
      <c r="C200" s="32"/>
      <c r="D200" s="32"/>
      <c r="E200" s="32"/>
      <c r="F200" s="32"/>
      <c r="G200" s="36" t="str">
        <f>IF(OR(A200="",E200="Mua trong nước"),"",COUNTIFS($A$5:A200,"?*",$E$5:E200,"&lt;&gt;Mua trong nước"))</f>
        <v/>
      </c>
    </row>
    <row r="201" spans="1:7" x14ac:dyDescent="0.25">
      <c r="A201" s="32"/>
      <c r="B201" s="32"/>
      <c r="C201" s="32"/>
      <c r="D201" s="32"/>
      <c r="E201" s="32"/>
      <c r="F201" s="32"/>
      <c r="G201" s="36" t="str">
        <f>IF(OR(A201="",E201="Mua trong nước"),"",COUNTIFS($A$5:A201,"?*",$E$5:E201,"&lt;&gt;Mua trong nước"))</f>
        <v/>
      </c>
    </row>
    <row r="202" spans="1:7" x14ac:dyDescent="0.25">
      <c r="A202" s="32"/>
      <c r="B202" s="32"/>
      <c r="C202" s="32"/>
      <c r="D202" s="32"/>
      <c r="E202" s="32"/>
      <c r="F202" s="32"/>
      <c r="G202" s="36" t="str">
        <f>IF(OR(A202="",E202="Mua trong nước"),"",COUNTIFS($A$5:A202,"?*",$E$5:E202,"&lt;&gt;Mua trong nước"))</f>
        <v/>
      </c>
    </row>
    <row r="203" spans="1:7" x14ac:dyDescent="0.25">
      <c r="A203" s="32"/>
      <c r="B203" s="32"/>
      <c r="C203" s="32"/>
      <c r="D203" s="32"/>
      <c r="E203" s="32"/>
      <c r="F203" s="32"/>
      <c r="G203" s="36" t="str">
        <f>IF(OR(A203="",E203="Mua trong nước"),"",COUNTIFS($A$5:A203,"?*",$E$5:E203,"&lt;&gt;Mua trong nước"))</f>
        <v/>
      </c>
    </row>
    <row r="204" spans="1:7" x14ac:dyDescent="0.25">
      <c r="A204" s="32"/>
      <c r="B204" s="32"/>
      <c r="C204" s="32"/>
      <c r="D204" s="32"/>
      <c r="E204" s="32"/>
      <c r="F204" s="32"/>
      <c r="G204" s="36" t="str">
        <f>IF(OR(A204="",E204="Mua trong nước"),"",COUNTIFS($A$5:A204,"?*",$E$5:E204,"&lt;&gt;Mua trong nước"))</f>
        <v/>
      </c>
    </row>
    <row r="205" spans="1:7" x14ac:dyDescent="0.25">
      <c r="A205" s="32"/>
      <c r="B205" s="32"/>
      <c r="C205" s="32"/>
      <c r="D205" s="32"/>
      <c r="E205" s="32"/>
      <c r="F205" s="32"/>
      <c r="G205" s="36" t="str">
        <f>IF(OR(A205="",E205="Mua trong nước"),"",COUNTIFS($A$5:A205,"?*",$E$5:E205,"&lt;&gt;Mua trong nước"))</f>
        <v/>
      </c>
    </row>
    <row r="206" spans="1:7" x14ac:dyDescent="0.25">
      <c r="A206" s="32"/>
      <c r="B206" s="32"/>
      <c r="C206" s="32"/>
      <c r="D206" s="32"/>
      <c r="E206" s="32"/>
      <c r="F206" s="32"/>
      <c r="G206" s="36" t="str">
        <f>IF(OR(A206="",E206="Mua trong nước"),"",COUNTIFS($A$5:A206,"?*",$E$5:E206,"&lt;&gt;Mua trong nước"))</f>
        <v/>
      </c>
    </row>
    <row r="207" spans="1:7" x14ac:dyDescent="0.25">
      <c r="A207" s="32"/>
      <c r="B207" s="32"/>
      <c r="C207" s="32"/>
      <c r="D207" s="32"/>
      <c r="E207" s="32"/>
      <c r="F207" s="32"/>
      <c r="G207" s="36" t="str">
        <f>IF(OR(A207="",E207="Mua trong nước"),"",COUNTIFS($A$5:A207,"?*",$E$5:E207,"&lt;&gt;Mua trong nước"))</f>
        <v/>
      </c>
    </row>
    <row r="208" spans="1:7" x14ac:dyDescent="0.25">
      <c r="A208" s="32"/>
      <c r="B208" s="32"/>
      <c r="C208" s="32"/>
      <c r="D208" s="32"/>
      <c r="E208" s="32"/>
      <c r="F208" s="32"/>
      <c r="G208" s="36" t="str">
        <f>IF(OR(A208="",E208="Mua trong nước"),"",COUNTIFS($A$5:A208,"?*",$E$5:E208,"&lt;&gt;Mua trong nước"))</f>
        <v/>
      </c>
    </row>
    <row r="209" spans="1:7" x14ac:dyDescent="0.25">
      <c r="A209" s="32"/>
      <c r="B209" s="32"/>
      <c r="C209" s="32"/>
      <c r="D209" s="32"/>
      <c r="E209" s="32"/>
      <c r="F209" s="32"/>
      <c r="G209" s="36" t="str">
        <f>IF(OR(A209="",E209="Mua trong nước"),"",COUNTIFS($A$5:A209,"?*",$E$5:E209,"&lt;&gt;Mua trong nước"))</f>
        <v/>
      </c>
    </row>
    <row r="210" spans="1:7" x14ac:dyDescent="0.25">
      <c r="A210" s="32"/>
      <c r="B210" s="32"/>
      <c r="C210" s="32"/>
      <c r="D210" s="32"/>
      <c r="E210" s="32"/>
      <c r="F210" s="32"/>
      <c r="G210" s="36" t="str">
        <f>IF(OR(A210="",E210="Mua trong nước"),"",COUNTIFS($A$5:A210,"?*",$E$5:E210,"&lt;&gt;Mua trong nước"))</f>
        <v/>
      </c>
    </row>
    <row r="211" spans="1:7" x14ac:dyDescent="0.25">
      <c r="A211" s="32"/>
      <c r="B211" s="32"/>
      <c r="C211" s="32"/>
      <c r="D211" s="32"/>
      <c r="E211" s="32"/>
      <c r="F211" s="32"/>
      <c r="G211" s="36" t="str">
        <f>IF(OR(A211="",E211="Mua trong nước"),"",COUNTIFS($A$5:A211,"?*",$E$5:E211,"&lt;&gt;Mua trong nước"))</f>
        <v/>
      </c>
    </row>
    <row r="212" spans="1:7" x14ac:dyDescent="0.25">
      <c r="A212" s="32"/>
      <c r="B212" s="32"/>
      <c r="C212" s="32"/>
      <c r="D212" s="32"/>
      <c r="E212" s="32"/>
      <c r="F212" s="32"/>
      <c r="G212" s="36" t="str">
        <f>IF(OR(A212="",E212="Mua trong nước"),"",COUNTIFS($A$5:A212,"?*",$E$5:E212,"&lt;&gt;Mua trong nước"))</f>
        <v/>
      </c>
    </row>
    <row r="213" spans="1:7" x14ac:dyDescent="0.25">
      <c r="A213" s="32"/>
      <c r="B213" s="32"/>
      <c r="C213" s="32"/>
      <c r="D213" s="32"/>
      <c r="E213" s="32"/>
      <c r="F213" s="32"/>
      <c r="G213" s="36" t="str">
        <f>IF(OR(A213="",E213="Mua trong nước"),"",COUNTIFS($A$5:A213,"?*",$E$5:E213,"&lt;&gt;Mua trong nước"))</f>
        <v/>
      </c>
    </row>
    <row r="214" spans="1:7" x14ac:dyDescent="0.25">
      <c r="A214" s="32"/>
      <c r="B214" s="32"/>
      <c r="C214" s="32"/>
      <c r="D214" s="32"/>
      <c r="E214" s="32"/>
      <c r="F214" s="32"/>
      <c r="G214" s="36" t="str">
        <f>IF(OR(A214="",E214="Mua trong nước"),"",COUNTIFS($A$5:A214,"?*",$E$5:E214,"&lt;&gt;Mua trong nước"))</f>
        <v/>
      </c>
    </row>
    <row r="215" spans="1:7" x14ac:dyDescent="0.25">
      <c r="A215" s="32"/>
      <c r="B215" s="32"/>
      <c r="C215" s="32"/>
      <c r="D215" s="32"/>
      <c r="E215" s="32"/>
      <c r="F215" s="32"/>
      <c r="G215" s="36" t="str">
        <f>IF(OR(A215="",E215="Mua trong nước"),"",COUNTIFS($A$5:A215,"?*",$E$5:E215,"&lt;&gt;Mua trong nước"))</f>
        <v/>
      </c>
    </row>
    <row r="216" spans="1:7" x14ac:dyDescent="0.25">
      <c r="A216" s="32"/>
      <c r="B216" s="32"/>
      <c r="C216" s="32"/>
      <c r="D216" s="32"/>
      <c r="E216" s="32"/>
      <c r="F216" s="32"/>
      <c r="G216" s="36" t="str">
        <f>IF(OR(A216="",E216="Mua trong nước"),"",COUNTIFS($A$5:A216,"?*",$E$5:E216,"&lt;&gt;Mua trong nước"))</f>
        <v/>
      </c>
    </row>
    <row r="217" spans="1:7" x14ac:dyDescent="0.25">
      <c r="A217" s="32"/>
      <c r="B217" s="32"/>
      <c r="C217" s="32"/>
      <c r="D217" s="32"/>
      <c r="E217" s="32"/>
      <c r="F217" s="32"/>
      <c r="G217" s="36" t="str">
        <f>IF(OR(A217="",E217="Mua trong nước"),"",COUNTIFS($A$5:A217,"?*",$E$5:E217,"&lt;&gt;Mua trong nước"))</f>
        <v/>
      </c>
    </row>
    <row r="218" spans="1:7" x14ac:dyDescent="0.25">
      <c r="A218" s="32"/>
      <c r="B218" s="32"/>
      <c r="C218" s="32"/>
      <c r="D218" s="32"/>
      <c r="E218" s="32"/>
      <c r="F218" s="32"/>
      <c r="G218" s="36" t="str">
        <f>IF(OR(A218="",E218="Mua trong nước"),"",COUNTIFS($A$5:A218,"?*",$E$5:E218,"&lt;&gt;Mua trong nước"))</f>
        <v/>
      </c>
    </row>
    <row r="219" spans="1:7" x14ac:dyDescent="0.25">
      <c r="A219" s="32"/>
      <c r="B219" s="32"/>
      <c r="C219" s="32"/>
      <c r="D219" s="32"/>
      <c r="E219" s="32"/>
      <c r="F219" s="32"/>
      <c r="G219" s="36" t="str">
        <f>IF(OR(A219="",E219="Mua trong nước"),"",COUNTIFS($A$5:A219,"?*",$E$5:E219,"&lt;&gt;Mua trong nước"))</f>
        <v/>
      </c>
    </row>
    <row r="220" spans="1:7" x14ac:dyDescent="0.25">
      <c r="A220" s="32"/>
      <c r="B220" s="32"/>
      <c r="C220" s="32"/>
      <c r="D220" s="32"/>
      <c r="E220" s="32"/>
      <c r="F220" s="32"/>
      <c r="G220" s="36" t="str">
        <f>IF(OR(A220="",E220="Mua trong nước"),"",COUNTIFS($A$5:A220,"?*",$E$5:E220,"&lt;&gt;Mua trong nước"))</f>
        <v/>
      </c>
    </row>
    <row r="221" spans="1:7" x14ac:dyDescent="0.25">
      <c r="A221" s="32"/>
      <c r="B221" s="32"/>
      <c r="C221" s="32"/>
      <c r="D221" s="32"/>
      <c r="E221" s="32"/>
      <c r="F221" s="32"/>
      <c r="G221" s="36" t="str">
        <f>IF(OR(A221="",E221="Mua trong nước"),"",COUNTIFS($A$5:A221,"?*",$E$5:E221,"&lt;&gt;Mua trong nước"))</f>
        <v/>
      </c>
    </row>
    <row r="222" spans="1:7" x14ac:dyDescent="0.25">
      <c r="A222" s="32"/>
      <c r="B222" s="32"/>
      <c r="C222" s="32"/>
      <c r="D222" s="32"/>
      <c r="E222" s="32"/>
      <c r="F222" s="32"/>
      <c r="G222" s="36" t="str">
        <f>IF(OR(A222="",E222="Mua trong nước"),"",COUNTIFS($A$5:A222,"?*",$E$5:E222,"&lt;&gt;Mua trong nước"))</f>
        <v/>
      </c>
    </row>
    <row r="223" spans="1:7" x14ac:dyDescent="0.25">
      <c r="A223" s="32"/>
      <c r="B223" s="32"/>
      <c r="C223" s="32"/>
      <c r="D223" s="32"/>
      <c r="E223" s="32"/>
      <c r="F223" s="32"/>
      <c r="G223" s="36" t="str">
        <f>IF(OR(A223="",E223="Mua trong nước"),"",COUNTIFS($A$5:A223,"?*",$E$5:E223,"&lt;&gt;Mua trong nước"))</f>
        <v/>
      </c>
    </row>
    <row r="224" spans="1:7" x14ac:dyDescent="0.25">
      <c r="A224" s="32"/>
      <c r="B224" s="32"/>
      <c r="C224" s="32"/>
      <c r="D224" s="32"/>
      <c r="E224" s="32"/>
      <c r="F224" s="32"/>
      <c r="G224" s="36" t="str">
        <f>IF(OR(A224="",E224="Mua trong nước"),"",COUNTIFS($A$5:A224,"?*",$E$5:E224,"&lt;&gt;Mua trong nước"))</f>
        <v/>
      </c>
    </row>
    <row r="225" spans="1:7" x14ac:dyDescent="0.25">
      <c r="A225" s="32"/>
      <c r="B225" s="32"/>
      <c r="C225" s="32"/>
      <c r="D225" s="32"/>
      <c r="E225" s="32"/>
      <c r="F225" s="32"/>
      <c r="G225" s="36" t="str">
        <f>IF(OR(A225="",E225="Mua trong nước"),"",COUNTIFS($A$5:A225,"?*",$E$5:E225,"&lt;&gt;Mua trong nước"))</f>
        <v/>
      </c>
    </row>
    <row r="226" spans="1:7" x14ac:dyDescent="0.25">
      <c r="A226" s="32"/>
      <c r="B226" s="32"/>
      <c r="C226" s="32"/>
      <c r="D226" s="32"/>
      <c r="E226" s="32"/>
      <c r="F226" s="32"/>
      <c r="G226" s="36" t="str">
        <f>IF(OR(A226="",E226="Mua trong nước"),"",COUNTIFS($A$5:A226,"?*",$E$5:E226,"&lt;&gt;Mua trong nước"))</f>
        <v/>
      </c>
    </row>
    <row r="227" spans="1:7" x14ac:dyDescent="0.25">
      <c r="A227" s="32"/>
      <c r="B227" s="32"/>
      <c r="C227" s="32"/>
      <c r="D227" s="32"/>
      <c r="E227" s="32"/>
      <c r="F227" s="32"/>
      <c r="G227" s="36" t="str">
        <f>IF(OR(A227="",E227="Mua trong nước"),"",COUNTIFS($A$5:A227,"?*",$E$5:E227,"&lt;&gt;Mua trong nước"))</f>
        <v/>
      </c>
    </row>
    <row r="228" spans="1:7" x14ac:dyDescent="0.25">
      <c r="A228" s="32"/>
      <c r="B228" s="32"/>
      <c r="C228" s="32"/>
      <c r="D228" s="32"/>
      <c r="E228" s="32"/>
      <c r="F228" s="32"/>
      <c r="G228" s="36" t="str">
        <f>IF(OR(A228="",E228="Mua trong nước"),"",COUNTIFS($A$5:A228,"?*",$E$5:E228,"&lt;&gt;Mua trong nước"))</f>
        <v/>
      </c>
    </row>
    <row r="229" spans="1:7" x14ac:dyDescent="0.25">
      <c r="A229" s="32"/>
      <c r="B229" s="32"/>
      <c r="C229" s="32"/>
      <c r="D229" s="32"/>
      <c r="E229" s="32"/>
      <c r="F229" s="32"/>
      <c r="G229" s="36" t="str">
        <f>IF(OR(A229="",E229="Mua trong nước"),"",COUNTIFS($A$5:A229,"?*",$E$5:E229,"&lt;&gt;Mua trong nước"))</f>
        <v/>
      </c>
    </row>
    <row r="230" spans="1:7" x14ac:dyDescent="0.25">
      <c r="A230" s="32"/>
      <c r="B230" s="32"/>
      <c r="C230" s="32"/>
      <c r="D230" s="32"/>
      <c r="E230" s="32"/>
      <c r="F230" s="32"/>
      <c r="G230" s="36" t="str">
        <f>IF(OR(A230="",E230="Mua trong nước"),"",COUNTIFS($A$5:A230,"?*",$E$5:E230,"&lt;&gt;Mua trong nước"))</f>
        <v/>
      </c>
    </row>
    <row r="231" spans="1:7" x14ac:dyDescent="0.25">
      <c r="A231" s="32"/>
      <c r="B231" s="32"/>
      <c r="C231" s="32"/>
      <c r="D231" s="32"/>
      <c r="E231" s="32"/>
      <c r="F231" s="32"/>
      <c r="G231" s="36" t="str">
        <f>IF(OR(A231="",E231="Mua trong nước"),"",COUNTIFS($A$5:A231,"?*",$E$5:E231,"&lt;&gt;Mua trong nước"))</f>
        <v/>
      </c>
    </row>
    <row r="232" spans="1:7" x14ac:dyDescent="0.25">
      <c r="A232" s="32"/>
      <c r="B232" s="32"/>
      <c r="C232" s="32"/>
      <c r="D232" s="32"/>
      <c r="E232" s="32"/>
      <c r="F232" s="32"/>
      <c r="G232" s="36" t="str">
        <f>IF(OR(A232="",E232="Mua trong nước"),"",COUNTIFS($A$5:A232,"?*",$E$5:E232,"&lt;&gt;Mua trong nước"))</f>
        <v/>
      </c>
    </row>
    <row r="233" spans="1:7" x14ac:dyDescent="0.25">
      <c r="A233" s="32"/>
      <c r="B233" s="32"/>
      <c r="C233" s="32"/>
      <c r="D233" s="32"/>
      <c r="E233" s="32"/>
      <c r="F233" s="32"/>
      <c r="G233" s="36" t="str">
        <f>IF(OR(A233="",E233="Mua trong nước"),"",COUNTIFS($A$5:A233,"?*",$E$5:E233,"&lt;&gt;Mua trong nước"))</f>
        <v/>
      </c>
    </row>
    <row r="234" spans="1:7" x14ac:dyDescent="0.25">
      <c r="A234" s="32"/>
      <c r="B234" s="32"/>
      <c r="C234" s="32"/>
      <c r="D234" s="32"/>
      <c r="E234" s="32"/>
      <c r="F234" s="32"/>
      <c r="G234" s="36" t="str">
        <f>IF(OR(A234="",E234="Mua trong nước"),"",COUNTIFS($A$5:A234,"?*",$E$5:E234,"&lt;&gt;Mua trong nước"))</f>
        <v/>
      </c>
    </row>
    <row r="235" spans="1:7" x14ac:dyDescent="0.25">
      <c r="A235" s="32"/>
      <c r="B235" s="32"/>
      <c r="C235" s="32"/>
      <c r="D235" s="32"/>
      <c r="E235" s="32"/>
      <c r="F235" s="32"/>
      <c r="G235" s="36" t="str">
        <f>IF(OR(A235="",E235="Mua trong nước"),"",COUNTIFS($A$5:A235,"?*",$E$5:E235,"&lt;&gt;Mua trong nước"))</f>
        <v/>
      </c>
    </row>
    <row r="236" spans="1:7" x14ac:dyDescent="0.25">
      <c r="A236" s="32"/>
      <c r="B236" s="32"/>
      <c r="C236" s="32"/>
      <c r="D236" s="32"/>
      <c r="E236" s="32"/>
      <c r="F236" s="32"/>
      <c r="G236" s="36" t="str">
        <f>IF(OR(A236="",E236="Mua trong nước"),"",COUNTIFS($A$5:A236,"?*",$E$5:E236,"&lt;&gt;Mua trong nước"))</f>
        <v/>
      </c>
    </row>
    <row r="237" spans="1:7" x14ac:dyDescent="0.25">
      <c r="A237" s="32"/>
      <c r="B237" s="32"/>
      <c r="C237" s="32"/>
      <c r="D237" s="32"/>
      <c r="E237" s="32"/>
      <c r="F237" s="32"/>
      <c r="G237" s="36" t="str">
        <f>IF(OR(A237="",E237="Mua trong nước"),"",COUNTIFS($A$5:A237,"?*",$E$5:E237,"&lt;&gt;Mua trong nước"))</f>
        <v/>
      </c>
    </row>
    <row r="238" spans="1:7" x14ac:dyDescent="0.25">
      <c r="A238" s="32"/>
      <c r="B238" s="32"/>
      <c r="C238" s="32"/>
      <c r="D238" s="32"/>
      <c r="E238" s="32"/>
      <c r="F238" s="32"/>
      <c r="G238" s="36" t="str">
        <f>IF(OR(A238="",E238="Mua trong nước"),"",COUNTIFS($A$5:A238,"?*",$E$5:E238,"&lt;&gt;Mua trong nước"))</f>
        <v/>
      </c>
    </row>
    <row r="239" spans="1:7" x14ac:dyDescent="0.25">
      <c r="A239" s="32"/>
      <c r="B239" s="32"/>
      <c r="C239" s="32"/>
      <c r="D239" s="32"/>
      <c r="E239" s="32"/>
      <c r="F239" s="32"/>
      <c r="G239" s="36" t="str">
        <f>IF(OR(A239="",E239="Mua trong nước"),"",COUNTIFS($A$5:A239,"?*",$E$5:E239,"&lt;&gt;Mua trong nước"))</f>
        <v/>
      </c>
    </row>
    <row r="240" spans="1:7" x14ac:dyDescent="0.25">
      <c r="A240" s="32"/>
      <c r="B240" s="32"/>
      <c r="C240" s="32"/>
      <c r="D240" s="32"/>
      <c r="E240" s="32"/>
      <c r="F240" s="32"/>
      <c r="G240" s="36" t="str">
        <f>IF(OR(A240="",E240="Mua trong nước"),"",COUNTIFS($A$5:A240,"?*",$E$5:E240,"&lt;&gt;Mua trong nước"))</f>
        <v/>
      </c>
    </row>
    <row r="241" spans="1:7" x14ac:dyDescent="0.25">
      <c r="A241" s="32"/>
      <c r="B241" s="32"/>
      <c r="C241" s="32"/>
      <c r="D241" s="32"/>
      <c r="E241" s="32"/>
      <c r="F241" s="32"/>
      <c r="G241" s="36" t="str">
        <f>IF(OR(A241="",E241="Mua trong nước"),"",COUNTIFS($A$5:A241,"?*",$E$5:E241,"&lt;&gt;Mua trong nước"))</f>
        <v/>
      </c>
    </row>
    <row r="242" spans="1:7" x14ac:dyDescent="0.25">
      <c r="A242" s="32"/>
      <c r="B242" s="32"/>
      <c r="C242" s="32"/>
      <c r="D242" s="32"/>
      <c r="E242" s="32"/>
      <c r="F242" s="32"/>
      <c r="G242" s="36" t="str">
        <f>IF(OR(A242="",E242="Mua trong nước"),"",COUNTIFS($A$5:A242,"?*",$E$5:E242,"&lt;&gt;Mua trong nước"))</f>
        <v/>
      </c>
    </row>
    <row r="243" spans="1:7" x14ac:dyDescent="0.25">
      <c r="A243" s="32"/>
      <c r="B243" s="32"/>
      <c r="C243" s="32"/>
      <c r="D243" s="32"/>
      <c r="E243" s="32"/>
      <c r="F243" s="32"/>
      <c r="G243" s="36" t="str">
        <f>IF(OR(A243="",E243="Mua trong nước"),"",COUNTIFS($A$5:A243,"?*",$E$5:E243,"&lt;&gt;Mua trong nước"))</f>
        <v/>
      </c>
    </row>
    <row r="244" spans="1:7" x14ac:dyDescent="0.25">
      <c r="A244" s="32"/>
      <c r="B244" s="32"/>
      <c r="C244" s="32"/>
      <c r="D244" s="32"/>
      <c r="E244" s="32"/>
      <c r="F244" s="32"/>
      <c r="G244" s="36" t="str">
        <f>IF(OR(A244="",E244="Mua trong nước"),"",COUNTIFS($A$5:A244,"?*",$E$5:E244,"&lt;&gt;Mua trong nước"))</f>
        <v/>
      </c>
    </row>
    <row r="245" spans="1:7" x14ac:dyDescent="0.25">
      <c r="A245" s="32"/>
      <c r="B245" s="32"/>
      <c r="C245" s="32"/>
      <c r="D245" s="32"/>
      <c r="E245" s="32"/>
      <c r="F245" s="32"/>
      <c r="G245" s="36" t="str">
        <f>IF(OR(A245="",E245="Mua trong nước"),"",COUNTIFS($A$5:A245,"?*",$E$5:E245,"&lt;&gt;Mua trong nước"))</f>
        <v/>
      </c>
    </row>
    <row r="246" spans="1:7" x14ac:dyDescent="0.25">
      <c r="A246" s="32"/>
      <c r="B246" s="32"/>
      <c r="C246" s="32"/>
      <c r="D246" s="32"/>
      <c r="E246" s="32"/>
      <c r="F246" s="32"/>
      <c r="G246" s="36" t="str">
        <f>IF(OR(A246="",E246="Mua trong nước"),"",COUNTIFS($A$5:A246,"?*",$E$5:E246,"&lt;&gt;Mua trong nước"))</f>
        <v/>
      </c>
    </row>
    <row r="247" spans="1:7" x14ac:dyDescent="0.25">
      <c r="A247" s="32"/>
      <c r="B247" s="32"/>
      <c r="C247" s="32"/>
      <c r="D247" s="32"/>
      <c r="E247" s="32"/>
      <c r="F247" s="32"/>
      <c r="G247" s="36" t="str">
        <f>IF(OR(A247="",E247="Mua trong nước"),"",COUNTIFS($A$5:A247,"?*",$E$5:E247,"&lt;&gt;Mua trong nước"))</f>
        <v/>
      </c>
    </row>
    <row r="248" spans="1:7" x14ac:dyDescent="0.25">
      <c r="A248" s="32"/>
      <c r="B248" s="32"/>
      <c r="C248" s="32"/>
      <c r="D248" s="32"/>
      <c r="E248" s="32"/>
      <c r="F248" s="32"/>
      <c r="G248" s="36" t="str">
        <f>IF(OR(A248="",E248="Mua trong nước"),"",COUNTIFS($A$5:A248,"?*",$E$5:E248,"&lt;&gt;Mua trong nước"))</f>
        <v/>
      </c>
    </row>
    <row r="249" spans="1:7" x14ac:dyDescent="0.25">
      <c r="A249" s="32"/>
      <c r="B249" s="32"/>
      <c r="C249" s="32"/>
      <c r="D249" s="32"/>
      <c r="E249" s="32"/>
      <c r="F249" s="32"/>
      <c r="G249" s="36" t="str">
        <f>IF(OR(A249="",E249="Mua trong nước"),"",COUNTIFS($A$5:A249,"?*",$E$5:E249,"&lt;&gt;Mua trong nước"))</f>
        <v/>
      </c>
    </row>
    <row r="250" spans="1:7" x14ac:dyDescent="0.25">
      <c r="A250" s="32"/>
      <c r="B250" s="32"/>
      <c r="C250" s="32"/>
      <c r="D250" s="32"/>
      <c r="E250" s="32"/>
      <c r="F250" s="32"/>
      <c r="G250" s="36" t="str">
        <f>IF(OR(A250="",E250="Mua trong nước"),"",COUNTIFS($A$5:A250,"?*",$E$5:E250,"&lt;&gt;Mua trong nước"))</f>
        <v/>
      </c>
    </row>
    <row r="251" spans="1:7" x14ac:dyDescent="0.25">
      <c r="A251" s="32"/>
      <c r="B251" s="32"/>
      <c r="C251" s="32"/>
      <c r="D251" s="32"/>
      <c r="E251" s="32"/>
      <c r="F251" s="32"/>
      <c r="G251" s="36" t="str">
        <f>IF(OR(A251="",E251="Mua trong nước"),"",COUNTIFS($A$5:A251,"?*",$E$5:E251,"&lt;&gt;Mua trong nước"))</f>
        <v/>
      </c>
    </row>
    <row r="252" spans="1:7" x14ac:dyDescent="0.25">
      <c r="A252" s="32"/>
      <c r="B252" s="32"/>
      <c r="C252" s="32"/>
      <c r="D252" s="32"/>
      <c r="E252" s="32"/>
      <c r="F252" s="32"/>
      <c r="G252" s="36" t="str">
        <f>IF(OR(A252="",E252="Mua trong nước"),"",COUNTIFS($A$5:A252,"?*",$E$5:E252,"&lt;&gt;Mua trong nước"))</f>
        <v/>
      </c>
    </row>
    <row r="253" spans="1:7" x14ac:dyDescent="0.25">
      <c r="A253" s="32"/>
      <c r="B253" s="32"/>
      <c r="C253" s="32"/>
      <c r="D253" s="32"/>
      <c r="E253" s="32"/>
      <c r="F253" s="32"/>
      <c r="G253" s="36" t="str">
        <f>IF(OR(A253="",E253="Mua trong nước"),"",COUNTIFS($A$5:A253,"?*",$E$5:E253,"&lt;&gt;Mua trong nước"))</f>
        <v/>
      </c>
    </row>
    <row r="254" spans="1:7" x14ac:dyDescent="0.25">
      <c r="A254" s="32"/>
      <c r="B254" s="32"/>
      <c r="C254" s="32"/>
      <c r="D254" s="32"/>
      <c r="E254" s="32"/>
      <c r="F254" s="32"/>
      <c r="G254" s="36" t="str">
        <f>IF(OR(A254="",E254="Mua trong nước"),"",COUNTIFS($A$5:A254,"?*",$E$5:E254,"&lt;&gt;Mua trong nước"))</f>
        <v/>
      </c>
    </row>
    <row r="255" spans="1:7" x14ac:dyDescent="0.25">
      <c r="A255" s="32"/>
      <c r="B255" s="32"/>
      <c r="C255" s="32"/>
      <c r="D255" s="32"/>
      <c r="E255" s="32"/>
      <c r="F255" s="32"/>
      <c r="G255" s="36" t="str">
        <f>IF(OR(A255="",E255="Mua trong nước"),"",COUNTIFS($A$5:A255,"?*",$E$5:E255,"&lt;&gt;Mua trong nước"))</f>
        <v/>
      </c>
    </row>
    <row r="256" spans="1:7" x14ac:dyDescent="0.25">
      <c r="A256" s="32"/>
      <c r="B256" s="32"/>
      <c r="C256" s="32"/>
      <c r="D256" s="32"/>
      <c r="E256" s="32"/>
      <c r="F256" s="32"/>
      <c r="G256" s="36" t="str">
        <f>IF(OR(A256="",E256="Mua trong nước"),"",COUNTIFS($A$5:A256,"?*",$E$5:E256,"&lt;&gt;Mua trong nước"))</f>
        <v/>
      </c>
    </row>
    <row r="257" spans="1:7" x14ac:dyDescent="0.25">
      <c r="A257" s="32"/>
      <c r="B257" s="32"/>
      <c r="C257" s="32"/>
      <c r="D257" s="32"/>
      <c r="E257" s="32"/>
      <c r="F257" s="32"/>
      <c r="G257" s="36" t="str">
        <f>IF(OR(A257="",E257="Mua trong nước"),"",COUNTIFS($A$5:A257,"?*",$E$5:E257,"&lt;&gt;Mua trong nước"))</f>
        <v/>
      </c>
    </row>
    <row r="258" spans="1:7" x14ac:dyDescent="0.25">
      <c r="A258" s="32"/>
      <c r="B258" s="32"/>
      <c r="C258" s="32"/>
      <c r="D258" s="32"/>
      <c r="E258" s="32"/>
      <c r="F258" s="32"/>
      <c r="G258" s="36" t="str">
        <f>IF(OR(A258="",E258="Mua trong nước"),"",COUNTIFS($A$5:A258,"?*",$E$5:E258,"&lt;&gt;Mua trong nước"))</f>
        <v/>
      </c>
    </row>
    <row r="259" spans="1:7" x14ac:dyDescent="0.25">
      <c r="A259" s="32"/>
      <c r="B259" s="32"/>
      <c r="C259" s="32"/>
      <c r="D259" s="32"/>
      <c r="E259" s="32"/>
      <c r="F259" s="32"/>
      <c r="G259" s="36" t="str">
        <f>IF(OR(A259="",E259="Mua trong nước"),"",COUNTIFS($A$5:A259,"?*",$E$5:E259,"&lt;&gt;Mua trong nước"))</f>
        <v/>
      </c>
    </row>
    <row r="260" spans="1:7" x14ac:dyDescent="0.25">
      <c r="A260" s="32"/>
      <c r="B260" s="32"/>
      <c r="C260" s="32"/>
      <c r="D260" s="32"/>
      <c r="E260" s="32"/>
      <c r="F260" s="32"/>
      <c r="G260" s="36" t="str">
        <f>IF(OR(A260="",E260="Mua trong nước"),"",COUNTIFS($A$5:A260,"?*",$E$5:E260,"&lt;&gt;Mua trong nước"))</f>
        <v/>
      </c>
    </row>
    <row r="261" spans="1:7" x14ac:dyDescent="0.25">
      <c r="A261" s="32"/>
      <c r="B261" s="32"/>
      <c r="C261" s="32"/>
      <c r="D261" s="32"/>
      <c r="E261" s="32"/>
      <c r="F261" s="32"/>
      <c r="G261" s="36" t="str">
        <f>IF(OR(A261="",E261="Mua trong nước"),"",COUNTIFS($A$5:A261,"?*",$E$5:E261,"&lt;&gt;Mua trong nước"))</f>
        <v/>
      </c>
    </row>
    <row r="262" spans="1:7" x14ac:dyDescent="0.25">
      <c r="A262" s="32"/>
      <c r="B262" s="32"/>
      <c r="C262" s="32"/>
      <c r="D262" s="32"/>
      <c r="E262" s="32"/>
      <c r="F262" s="32"/>
      <c r="G262" s="36" t="str">
        <f>IF(OR(A262="",E262="Mua trong nước"),"",COUNTIFS($A$5:A262,"?*",$E$5:E262,"&lt;&gt;Mua trong nước"))</f>
        <v/>
      </c>
    </row>
    <row r="263" spans="1:7" x14ac:dyDescent="0.25">
      <c r="A263" s="32"/>
      <c r="B263" s="32"/>
      <c r="C263" s="32"/>
      <c r="D263" s="32"/>
      <c r="E263" s="32"/>
      <c r="F263" s="32"/>
      <c r="G263" s="36" t="str">
        <f>IF(OR(A263="",E263="Mua trong nước"),"",COUNTIFS($A$5:A263,"?*",$E$5:E263,"&lt;&gt;Mua trong nước"))</f>
        <v/>
      </c>
    </row>
    <row r="264" spans="1:7" x14ac:dyDescent="0.25">
      <c r="A264" s="32"/>
      <c r="B264" s="32"/>
      <c r="C264" s="32"/>
      <c r="D264" s="32"/>
      <c r="E264" s="32"/>
      <c r="F264" s="32"/>
      <c r="G264" s="36" t="str">
        <f>IF(OR(A264="",E264="Mua trong nước"),"",COUNTIFS($A$5:A264,"?*",$E$5:E264,"&lt;&gt;Mua trong nước"))</f>
        <v/>
      </c>
    </row>
    <row r="265" spans="1:7" x14ac:dyDescent="0.25">
      <c r="A265" s="32"/>
      <c r="B265" s="32"/>
      <c r="C265" s="32"/>
      <c r="D265" s="32"/>
      <c r="E265" s="32"/>
      <c r="F265" s="32"/>
      <c r="G265" s="36" t="str">
        <f>IF(OR(A265="",E265="Mua trong nước"),"",COUNTIFS($A$5:A265,"?*",$E$5:E265,"&lt;&gt;Mua trong nước"))</f>
        <v/>
      </c>
    </row>
    <row r="266" spans="1:7" x14ac:dyDescent="0.25">
      <c r="A266" s="32"/>
      <c r="B266" s="32"/>
      <c r="C266" s="32"/>
      <c r="D266" s="32"/>
      <c r="E266" s="32"/>
      <c r="F266" s="32"/>
      <c r="G266" s="36" t="str">
        <f>IF(OR(A266="",E266="Mua trong nước"),"",COUNTIFS($A$5:A266,"?*",$E$5:E266,"&lt;&gt;Mua trong nước"))</f>
        <v/>
      </c>
    </row>
    <row r="267" spans="1:7" x14ac:dyDescent="0.25">
      <c r="A267" s="32"/>
      <c r="B267" s="32"/>
      <c r="C267" s="32"/>
      <c r="D267" s="32"/>
      <c r="E267" s="32"/>
      <c r="F267" s="32"/>
      <c r="G267" s="36" t="str">
        <f>IF(OR(A267="",E267="Mua trong nước"),"",COUNTIFS($A$5:A267,"?*",$E$5:E267,"&lt;&gt;Mua trong nước"))</f>
        <v/>
      </c>
    </row>
    <row r="268" spans="1:7" x14ac:dyDescent="0.25">
      <c r="A268" s="32"/>
      <c r="B268" s="32"/>
      <c r="C268" s="32"/>
      <c r="D268" s="32"/>
      <c r="E268" s="32"/>
      <c r="F268" s="32"/>
      <c r="G268" s="36" t="str">
        <f>IF(OR(A268="",E268="Mua trong nước"),"",COUNTIFS($A$5:A268,"?*",$E$5:E268,"&lt;&gt;Mua trong nước"))</f>
        <v/>
      </c>
    </row>
    <row r="269" spans="1:7" x14ac:dyDescent="0.25">
      <c r="A269" s="32"/>
      <c r="B269" s="32"/>
      <c r="C269" s="32"/>
      <c r="D269" s="32"/>
      <c r="E269" s="32"/>
      <c r="F269" s="32"/>
      <c r="G269" s="36" t="str">
        <f>IF(OR(A269="",E269="Mua trong nước"),"",COUNTIFS($A$5:A269,"?*",$E$5:E269,"&lt;&gt;Mua trong nước"))</f>
        <v/>
      </c>
    </row>
    <row r="270" spans="1:7" x14ac:dyDescent="0.25">
      <c r="A270" s="32"/>
      <c r="B270" s="32"/>
      <c r="C270" s="32"/>
      <c r="D270" s="32"/>
      <c r="E270" s="32"/>
      <c r="F270" s="32"/>
      <c r="G270" s="36" t="str">
        <f>IF(OR(A270="",E270="Mua trong nước"),"",COUNTIFS($A$5:A270,"?*",$E$5:E270,"&lt;&gt;Mua trong nước"))</f>
        <v/>
      </c>
    </row>
    <row r="271" spans="1:7" x14ac:dyDescent="0.25">
      <c r="A271" s="32"/>
      <c r="B271" s="32"/>
      <c r="C271" s="32"/>
      <c r="D271" s="32"/>
      <c r="E271" s="32"/>
      <c r="F271" s="32"/>
      <c r="G271" s="36" t="str">
        <f>IF(OR(A271="",E271="Mua trong nước"),"",COUNTIFS($A$5:A271,"?*",$E$5:E271,"&lt;&gt;Mua trong nước"))</f>
        <v/>
      </c>
    </row>
    <row r="272" spans="1:7" x14ac:dyDescent="0.25">
      <c r="A272" s="32"/>
      <c r="B272" s="32"/>
      <c r="C272" s="32"/>
      <c r="D272" s="32"/>
      <c r="E272" s="32"/>
      <c r="F272" s="32"/>
      <c r="G272" s="36" t="str">
        <f>IF(OR(A272="",E272="Mua trong nước"),"",COUNTIFS($A$5:A272,"?*",$E$5:E272,"&lt;&gt;Mua trong nước"))</f>
        <v/>
      </c>
    </row>
    <row r="273" spans="1:7" x14ac:dyDescent="0.25">
      <c r="A273" s="32"/>
      <c r="B273" s="32"/>
      <c r="C273" s="32"/>
      <c r="D273" s="32"/>
      <c r="E273" s="32"/>
      <c r="F273" s="32"/>
      <c r="G273" s="36" t="str">
        <f>IF(OR(A273="",E273="Mua trong nước"),"",COUNTIFS($A$5:A273,"?*",$E$5:E273,"&lt;&gt;Mua trong nước"))</f>
        <v/>
      </c>
    </row>
    <row r="274" spans="1:7" x14ac:dyDescent="0.25">
      <c r="A274" s="32"/>
      <c r="B274" s="32"/>
      <c r="C274" s="32"/>
      <c r="D274" s="32"/>
      <c r="E274" s="32"/>
      <c r="F274" s="32"/>
      <c r="G274" s="36" t="str">
        <f>IF(OR(A274="",E274="Mua trong nước"),"",COUNTIFS($A$5:A274,"?*",$E$5:E274,"&lt;&gt;Mua trong nước"))</f>
        <v/>
      </c>
    </row>
    <row r="275" spans="1:7" x14ac:dyDescent="0.25">
      <c r="A275" s="32"/>
      <c r="B275" s="32"/>
      <c r="C275" s="32"/>
      <c r="D275" s="32"/>
      <c r="E275" s="32"/>
      <c r="F275" s="32"/>
      <c r="G275" s="36" t="str">
        <f>IF(OR(A275="",E275="Mua trong nước"),"",COUNTIFS($A$5:A275,"?*",$E$5:E275,"&lt;&gt;Mua trong nước"))</f>
        <v/>
      </c>
    </row>
    <row r="276" spans="1:7" x14ac:dyDescent="0.25">
      <c r="A276" s="32"/>
      <c r="B276" s="32"/>
      <c r="C276" s="32"/>
      <c r="D276" s="32"/>
      <c r="E276" s="32"/>
      <c r="F276" s="32"/>
      <c r="G276" s="36" t="str">
        <f>IF(OR(A276="",E276="Mua trong nước"),"",COUNTIFS($A$5:A276,"?*",$E$5:E276,"&lt;&gt;Mua trong nước"))</f>
        <v/>
      </c>
    </row>
    <row r="277" spans="1:7" x14ac:dyDescent="0.25">
      <c r="A277" s="32"/>
      <c r="B277" s="32"/>
      <c r="C277" s="32"/>
      <c r="D277" s="32"/>
      <c r="E277" s="32"/>
      <c r="F277" s="32"/>
      <c r="G277" s="36" t="str">
        <f>IF(OR(A277="",E277="Mua trong nước"),"",COUNTIFS($A$5:A277,"?*",$E$5:E277,"&lt;&gt;Mua trong nước"))</f>
        <v/>
      </c>
    </row>
    <row r="278" spans="1:7" x14ac:dyDescent="0.25">
      <c r="A278" s="32"/>
      <c r="B278" s="32"/>
      <c r="C278" s="32"/>
      <c r="D278" s="32"/>
      <c r="E278" s="32"/>
      <c r="F278" s="32"/>
      <c r="G278" s="36" t="str">
        <f>IF(OR(A278="",E278="Mua trong nước"),"",COUNTIFS($A$5:A278,"?*",$E$5:E278,"&lt;&gt;Mua trong nước"))</f>
        <v/>
      </c>
    </row>
    <row r="279" spans="1:7" x14ac:dyDescent="0.25">
      <c r="A279" s="32"/>
      <c r="B279" s="32"/>
      <c r="C279" s="32"/>
      <c r="D279" s="32"/>
      <c r="E279" s="32"/>
      <c r="F279" s="32"/>
      <c r="G279" s="36" t="str">
        <f>IF(OR(A279="",E279="Mua trong nước"),"",COUNTIFS($A$5:A279,"?*",$E$5:E279,"&lt;&gt;Mua trong nước"))</f>
        <v/>
      </c>
    </row>
    <row r="280" spans="1:7" x14ac:dyDescent="0.25">
      <c r="A280" s="32"/>
      <c r="B280" s="32"/>
      <c r="C280" s="32"/>
      <c r="D280" s="32"/>
      <c r="E280" s="32"/>
      <c r="F280" s="32"/>
      <c r="G280" s="36" t="str">
        <f>IF(OR(A280="",E280="Mua trong nước"),"",COUNTIFS($A$5:A280,"?*",$E$5:E280,"&lt;&gt;Mua trong nước"))</f>
        <v/>
      </c>
    </row>
    <row r="281" spans="1:7" x14ac:dyDescent="0.25">
      <c r="A281" s="32"/>
      <c r="B281" s="32"/>
      <c r="C281" s="32"/>
      <c r="D281" s="32"/>
      <c r="E281" s="32"/>
      <c r="F281" s="32"/>
      <c r="G281" s="36" t="str">
        <f>IF(OR(A281="",E281="Mua trong nước"),"",COUNTIFS($A$5:A281,"?*",$E$5:E281,"&lt;&gt;Mua trong nước"))</f>
        <v/>
      </c>
    </row>
    <row r="282" spans="1:7" x14ac:dyDescent="0.25">
      <c r="A282" s="32"/>
      <c r="B282" s="32"/>
      <c r="C282" s="32"/>
      <c r="D282" s="32"/>
      <c r="E282" s="32"/>
      <c r="F282" s="32"/>
      <c r="G282" s="36" t="str">
        <f>IF(OR(A282="",E282="Mua trong nước"),"",COUNTIFS($A$5:A282,"?*",$E$5:E282,"&lt;&gt;Mua trong nước"))</f>
        <v/>
      </c>
    </row>
    <row r="283" spans="1:7" x14ac:dyDescent="0.25">
      <c r="A283" s="32"/>
      <c r="B283" s="32"/>
      <c r="C283" s="32"/>
      <c r="D283" s="32"/>
      <c r="E283" s="32"/>
      <c r="F283" s="32"/>
      <c r="G283" s="36" t="str">
        <f>IF(OR(A283="",E283="Mua trong nước"),"",COUNTIFS($A$5:A283,"?*",$E$5:E283,"&lt;&gt;Mua trong nước"))</f>
        <v/>
      </c>
    </row>
    <row r="284" spans="1:7" x14ac:dyDescent="0.25">
      <c r="A284" s="32"/>
      <c r="B284" s="32"/>
      <c r="C284" s="32"/>
      <c r="D284" s="32"/>
      <c r="E284" s="32"/>
      <c r="F284" s="32"/>
      <c r="G284" s="36" t="str">
        <f>IF(OR(A284="",E284="Mua trong nước"),"",COUNTIFS($A$5:A284,"?*",$E$5:E284,"&lt;&gt;Mua trong nước"))</f>
        <v/>
      </c>
    </row>
    <row r="285" spans="1:7" x14ac:dyDescent="0.25">
      <c r="A285" s="32"/>
      <c r="B285" s="32"/>
      <c r="C285" s="32"/>
      <c r="D285" s="32"/>
      <c r="E285" s="32"/>
      <c r="F285" s="32"/>
      <c r="G285" s="36" t="str">
        <f>IF(OR(A285="",E285="Mua trong nước"),"",COUNTIFS($A$5:A285,"?*",$E$5:E285,"&lt;&gt;Mua trong nước"))</f>
        <v/>
      </c>
    </row>
    <row r="286" spans="1:7" x14ac:dyDescent="0.25">
      <c r="A286" s="32"/>
      <c r="B286" s="32"/>
      <c r="C286" s="32"/>
      <c r="D286" s="32"/>
      <c r="E286" s="32"/>
      <c r="F286" s="32"/>
      <c r="G286" s="36" t="str">
        <f>IF(OR(A286="",E286="Mua trong nước"),"",COUNTIFS($A$5:A286,"?*",$E$5:E286,"&lt;&gt;Mua trong nước"))</f>
        <v/>
      </c>
    </row>
    <row r="287" spans="1:7" x14ac:dyDescent="0.25">
      <c r="A287" s="32"/>
      <c r="B287" s="32"/>
      <c r="C287" s="32"/>
      <c r="D287" s="32"/>
      <c r="E287" s="32"/>
      <c r="F287" s="32"/>
      <c r="G287" s="36" t="str">
        <f>IF(OR(A287="",E287="Mua trong nước"),"",COUNTIFS($A$5:A287,"?*",$E$5:E287,"&lt;&gt;Mua trong nước"))</f>
        <v/>
      </c>
    </row>
    <row r="288" spans="1:7" x14ac:dyDescent="0.25">
      <c r="A288" s="32"/>
      <c r="B288" s="32"/>
      <c r="C288" s="32"/>
      <c r="D288" s="32"/>
      <c r="E288" s="32"/>
      <c r="F288" s="32"/>
      <c r="G288" s="36" t="str">
        <f>IF(OR(A288="",E288="Mua trong nước"),"",COUNTIFS($A$5:A288,"?*",$E$5:E288,"&lt;&gt;Mua trong nước"))</f>
        <v/>
      </c>
    </row>
    <row r="289" spans="1:7" x14ac:dyDescent="0.25">
      <c r="A289" s="32"/>
      <c r="B289" s="32"/>
      <c r="C289" s="32"/>
      <c r="D289" s="32"/>
      <c r="E289" s="32"/>
      <c r="F289" s="32"/>
      <c r="G289" s="36" t="str">
        <f>IF(OR(A289="",E289="Mua trong nước"),"",COUNTIFS($A$5:A289,"?*",$E$5:E289,"&lt;&gt;Mua trong nước"))</f>
        <v/>
      </c>
    </row>
    <row r="290" spans="1:7" x14ac:dyDescent="0.25">
      <c r="A290" s="32"/>
      <c r="B290" s="32"/>
      <c r="C290" s="32"/>
      <c r="D290" s="32"/>
      <c r="E290" s="32"/>
      <c r="F290" s="32"/>
      <c r="G290" s="36" t="str">
        <f>IF(OR(A290="",E290="Mua trong nước"),"",COUNTIFS($A$5:A290,"?*",$E$5:E290,"&lt;&gt;Mua trong nước"))</f>
        <v/>
      </c>
    </row>
    <row r="291" spans="1:7" x14ac:dyDescent="0.25">
      <c r="A291" s="32"/>
      <c r="B291" s="32"/>
      <c r="C291" s="32"/>
      <c r="D291" s="32"/>
      <c r="E291" s="32"/>
      <c r="F291" s="32"/>
      <c r="G291" s="36" t="str">
        <f>IF(OR(A291="",E291="Mua trong nước"),"",COUNTIFS($A$5:A291,"?*",$E$5:E291,"&lt;&gt;Mua trong nước"))</f>
        <v/>
      </c>
    </row>
    <row r="292" spans="1:7" x14ac:dyDescent="0.25">
      <c r="A292" s="32"/>
      <c r="B292" s="32"/>
      <c r="C292" s="32"/>
      <c r="D292" s="32"/>
      <c r="E292" s="32"/>
      <c r="F292" s="32"/>
      <c r="G292" s="36" t="str">
        <f>IF(OR(A292="",E292="Mua trong nước"),"",COUNTIFS($A$5:A292,"?*",$E$5:E292,"&lt;&gt;Mua trong nước"))</f>
        <v/>
      </c>
    </row>
    <row r="293" spans="1:7" x14ac:dyDescent="0.25">
      <c r="A293" s="32"/>
      <c r="B293" s="32"/>
      <c r="C293" s="32"/>
      <c r="D293" s="32"/>
      <c r="E293" s="32"/>
      <c r="F293" s="32"/>
      <c r="G293" s="36" t="str">
        <f>IF(OR(A293="",E293="Mua trong nước"),"",COUNTIFS($A$5:A293,"?*",$E$5:E293,"&lt;&gt;Mua trong nước"))</f>
        <v/>
      </c>
    </row>
    <row r="294" spans="1:7" x14ac:dyDescent="0.25">
      <c r="A294" s="32"/>
      <c r="B294" s="32"/>
      <c r="C294" s="32"/>
      <c r="D294" s="32"/>
      <c r="E294" s="32"/>
      <c r="F294" s="32"/>
      <c r="G294" s="36" t="str">
        <f>IF(OR(A294="",E294="Mua trong nước"),"",COUNTIFS($A$5:A294,"?*",$E$5:E294,"&lt;&gt;Mua trong nước"))</f>
        <v/>
      </c>
    </row>
    <row r="295" spans="1:7" x14ac:dyDescent="0.25">
      <c r="A295" s="32"/>
      <c r="B295" s="32"/>
      <c r="C295" s="32"/>
      <c r="D295" s="32"/>
      <c r="E295" s="32"/>
      <c r="F295" s="32"/>
      <c r="G295" s="36" t="str">
        <f>IF(OR(A295="",E295="Mua trong nước"),"",COUNTIFS($A$5:A295,"?*",$E$5:E295,"&lt;&gt;Mua trong nước"))</f>
        <v/>
      </c>
    </row>
    <row r="296" spans="1:7" x14ac:dyDescent="0.25">
      <c r="A296" s="32"/>
      <c r="B296" s="32"/>
      <c r="C296" s="32"/>
      <c r="D296" s="32"/>
      <c r="E296" s="32"/>
      <c r="F296" s="32"/>
      <c r="G296" s="36" t="str">
        <f>IF(OR(A296="",E296="Mua trong nước"),"",COUNTIFS($A$5:A296,"?*",$E$5:E296,"&lt;&gt;Mua trong nước"))</f>
        <v/>
      </c>
    </row>
    <row r="297" spans="1:7" x14ac:dyDescent="0.25">
      <c r="A297" s="32"/>
      <c r="B297" s="32"/>
      <c r="C297" s="32"/>
      <c r="D297" s="32"/>
      <c r="E297" s="32"/>
      <c r="F297" s="32"/>
      <c r="G297" s="36" t="str">
        <f>IF(OR(A297="",E297="Mua trong nước"),"",COUNTIFS($A$5:A297,"?*",$E$5:E297,"&lt;&gt;Mua trong nước"))</f>
        <v/>
      </c>
    </row>
    <row r="298" spans="1:7" x14ac:dyDescent="0.25">
      <c r="A298" s="32"/>
      <c r="B298" s="32"/>
      <c r="C298" s="32"/>
      <c r="D298" s="32"/>
      <c r="E298" s="32"/>
      <c r="F298" s="32"/>
      <c r="G298" s="36" t="str">
        <f>IF(OR(A298="",E298="Mua trong nước"),"",COUNTIFS($A$5:A298,"?*",$E$5:E298,"&lt;&gt;Mua trong nước"))</f>
        <v/>
      </c>
    </row>
    <row r="299" spans="1:7" x14ac:dyDescent="0.25">
      <c r="A299" s="32"/>
      <c r="B299" s="32"/>
      <c r="C299" s="32"/>
      <c r="D299" s="32"/>
      <c r="E299" s="32"/>
      <c r="F299" s="32"/>
      <c r="G299" s="36" t="str">
        <f>IF(OR(A299="",E299="Mua trong nước"),"",COUNTIFS($A$5:A299,"?*",$E$5:E299,"&lt;&gt;Mua trong nước"))</f>
        <v/>
      </c>
    </row>
    <row r="300" spans="1:7" x14ac:dyDescent="0.25">
      <c r="A300" s="32"/>
      <c r="B300" s="32"/>
      <c r="C300" s="32"/>
      <c r="D300" s="32"/>
      <c r="E300" s="32"/>
      <c r="F300" s="32"/>
      <c r="G300" s="36" t="str">
        <f>IF(OR(A300="",E300="Mua trong nước"),"",COUNTIFS($A$5:A300,"?*",$E$5:E300,"&lt;&gt;Mua trong nước"))</f>
        <v/>
      </c>
    </row>
    <row r="301" spans="1:7" x14ac:dyDescent="0.25">
      <c r="A301" s="32"/>
      <c r="B301" s="32"/>
      <c r="C301" s="32"/>
      <c r="D301" s="32"/>
      <c r="E301" s="32"/>
      <c r="F301" s="32"/>
      <c r="G301" s="36" t="str">
        <f>IF(OR(A301="",E301="Mua trong nước"),"",COUNTIFS($A$5:A301,"?*",$E$5:E301,"&lt;&gt;Mua trong nước"))</f>
        <v/>
      </c>
    </row>
    <row r="302" spans="1:7" x14ac:dyDescent="0.25">
      <c r="A302" s="32"/>
      <c r="B302" s="32"/>
      <c r="C302" s="32"/>
      <c r="D302" s="32"/>
      <c r="E302" s="32"/>
      <c r="F302" s="32"/>
      <c r="G302" s="36" t="str">
        <f>IF(OR(A302="",E302="Mua trong nước"),"",COUNTIFS($A$5:A302,"?*",$E$5:E302,"&lt;&gt;Mua trong nước"))</f>
        <v/>
      </c>
    </row>
    <row r="303" spans="1:7" x14ac:dyDescent="0.25">
      <c r="A303" s="32"/>
      <c r="B303" s="32"/>
      <c r="C303" s="32"/>
      <c r="D303" s="32"/>
      <c r="E303" s="32"/>
      <c r="F303" s="32"/>
      <c r="G303" s="36" t="str">
        <f>IF(OR(A303="",E303="Mua trong nước"),"",COUNTIFS($A$5:A303,"?*",$E$5:E303,"&lt;&gt;Mua trong nước"))</f>
        <v/>
      </c>
    </row>
    <row r="304" spans="1:7" x14ac:dyDescent="0.25">
      <c r="A304" s="32"/>
      <c r="B304" s="32"/>
      <c r="C304" s="32"/>
      <c r="D304" s="32"/>
      <c r="E304" s="32"/>
      <c r="F304" s="32"/>
      <c r="G304" s="36" t="str">
        <f>IF(OR(A304="",E304="Mua trong nước"),"",COUNTIFS($A$5:A304,"?*",$E$5:E304,"&lt;&gt;Mua trong nước"))</f>
        <v/>
      </c>
    </row>
  </sheetData>
  <sheetProtection password="D0B3" sheet="1" objects="1" scenarios="1" formatColumns="0" formatRows="0" autoFilter="0"/>
  <dataValidations count="1">
    <dataValidation type="list" allowBlank="1" sqref="E5:E304" xr:uid="{00000000-0002-0000-0400-000000000000}">
      <formula1>"Nhập khẩu,Mua trong nước"</formula1>
    </dataValidation>
  </dataValidations>
  <hyperlinks>
    <hyperlink ref="A3" r:id="rId1" xr:uid="{00000000-0004-0000-04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E304"/>
  <sheetViews>
    <sheetView showGridLines="0" workbookViewId="0">
      <pane ySplit="4" topLeftCell="A5" activePane="bottomLeft" state="frozen"/>
      <selection pane="bottomLeft"/>
    </sheetView>
  </sheetViews>
  <sheetFormatPr defaultRowHeight="14.4" x14ac:dyDescent="0.25"/>
  <cols>
    <col min="1" max="1" width="16" customWidth="1"/>
    <col min="2" max="2" width="40" customWidth="1"/>
    <col min="3" max="4" width="14" customWidth="1"/>
    <col min="5" max="5" width="18" customWidth="1"/>
  </cols>
  <sheetData>
    <row r="1" spans="1:5" ht="17.55" x14ac:dyDescent="0.3">
      <c r="A1" s="1" t="s">
        <v>211</v>
      </c>
    </row>
    <row r="2" spans="1:5" x14ac:dyDescent="0.25">
      <c r="A2" s="2" t="s">
        <v>212</v>
      </c>
    </row>
    <row r="3" spans="1:5" x14ac:dyDescent="0.25">
      <c r="A3" s="28" t="s">
        <v>4</v>
      </c>
    </row>
    <row r="4" spans="1:5" ht="48.05" customHeight="1" x14ac:dyDescent="0.25">
      <c r="A4" s="11" t="s">
        <v>213</v>
      </c>
      <c r="B4" s="11" t="s">
        <v>214</v>
      </c>
      <c r="C4" s="11" t="s">
        <v>179</v>
      </c>
      <c r="D4" s="11" t="s">
        <v>180</v>
      </c>
      <c r="E4" s="11" t="s">
        <v>182</v>
      </c>
    </row>
    <row r="5" spans="1:5" x14ac:dyDescent="0.25">
      <c r="A5" s="32" t="s">
        <v>215</v>
      </c>
      <c r="B5" s="32" t="s">
        <v>216</v>
      </c>
      <c r="C5" s="32" t="s">
        <v>195</v>
      </c>
      <c r="D5" s="32" t="s">
        <v>217</v>
      </c>
      <c r="E5" s="32"/>
    </row>
    <row r="6" spans="1:5" x14ac:dyDescent="0.25">
      <c r="A6" s="32" t="s">
        <v>218</v>
      </c>
      <c r="B6" s="32" t="s">
        <v>219</v>
      </c>
      <c r="C6" s="32" t="s">
        <v>195</v>
      </c>
      <c r="D6" s="32" t="s">
        <v>220</v>
      </c>
      <c r="E6" s="32"/>
    </row>
    <row r="7" spans="1:5" x14ac:dyDescent="0.25">
      <c r="A7" s="32" t="s">
        <v>221</v>
      </c>
      <c r="B7" s="32" t="s">
        <v>222</v>
      </c>
      <c r="C7" s="32" t="s">
        <v>195</v>
      </c>
      <c r="D7" s="32" t="s">
        <v>223</v>
      </c>
      <c r="E7" s="32"/>
    </row>
    <row r="8" spans="1:5" x14ac:dyDescent="0.25">
      <c r="A8" s="32"/>
      <c r="B8" s="32"/>
      <c r="C8" s="32"/>
      <c r="D8" s="32"/>
      <c r="E8" s="32"/>
    </row>
    <row r="9" spans="1:5" x14ac:dyDescent="0.25">
      <c r="A9" s="32"/>
      <c r="B9" s="32"/>
      <c r="C9" s="32"/>
      <c r="D9" s="32"/>
      <c r="E9" s="32"/>
    </row>
    <row r="10" spans="1:5" x14ac:dyDescent="0.25">
      <c r="A10" s="32"/>
      <c r="B10" s="32"/>
      <c r="C10" s="32"/>
      <c r="D10" s="32"/>
      <c r="E10" s="32"/>
    </row>
    <row r="11" spans="1:5" x14ac:dyDescent="0.25">
      <c r="A11" s="32"/>
      <c r="B11" s="32"/>
      <c r="C11" s="32"/>
      <c r="D11" s="32"/>
      <c r="E11" s="32"/>
    </row>
    <row r="12" spans="1:5" x14ac:dyDescent="0.25">
      <c r="A12" s="32"/>
      <c r="B12" s="32"/>
      <c r="C12" s="32"/>
      <c r="D12" s="32"/>
      <c r="E12" s="32"/>
    </row>
    <row r="13" spans="1:5" x14ac:dyDescent="0.25">
      <c r="A13" s="32"/>
      <c r="B13" s="32"/>
      <c r="C13" s="32"/>
      <c r="D13" s="32"/>
      <c r="E13" s="32"/>
    </row>
    <row r="14" spans="1:5" x14ac:dyDescent="0.25">
      <c r="A14" s="32"/>
      <c r="B14" s="32"/>
      <c r="C14" s="32"/>
      <c r="D14" s="32"/>
      <c r="E14" s="32"/>
    </row>
    <row r="15" spans="1:5" x14ac:dyDescent="0.25">
      <c r="A15" s="32"/>
      <c r="B15" s="32"/>
      <c r="C15" s="32"/>
      <c r="D15" s="32"/>
      <c r="E15" s="32"/>
    </row>
    <row r="16" spans="1:5" x14ac:dyDescent="0.25">
      <c r="A16" s="32"/>
      <c r="B16" s="32"/>
      <c r="C16" s="32"/>
      <c r="D16" s="32"/>
      <c r="E16" s="32"/>
    </row>
    <row r="17" spans="1:5" x14ac:dyDescent="0.25">
      <c r="A17" s="32"/>
      <c r="B17" s="32"/>
      <c r="C17" s="32"/>
      <c r="D17" s="32"/>
      <c r="E17" s="32"/>
    </row>
    <row r="18" spans="1:5" x14ac:dyDescent="0.25">
      <c r="A18" s="32"/>
      <c r="B18" s="32"/>
      <c r="C18" s="32"/>
      <c r="D18" s="32"/>
      <c r="E18" s="32"/>
    </row>
    <row r="19" spans="1:5" x14ac:dyDescent="0.25">
      <c r="A19" s="32"/>
      <c r="B19" s="32"/>
      <c r="C19" s="32"/>
      <c r="D19" s="32"/>
      <c r="E19" s="32"/>
    </row>
    <row r="20" spans="1:5" x14ac:dyDescent="0.25">
      <c r="A20" s="32"/>
      <c r="B20" s="32"/>
      <c r="C20" s="32"/>
      <c r="D20" s="32"/>
      <c r="E20" s="32"/>
    </row>
    <row r="21" spans="1:5" x14ac:dyDescent="0.25">
      <c r="A21" s="32"/>
      <c r="B21" s="32"/>
      <c r="C21" s="32"/>
      <c r="D21" s="32"/>
      <c r="E21" s="32"/>
    </row>
    <row r="22" spans="1:5" x14ac:dyDescent="0.25">
      <c r="A22" s="32"/>
      <c r="B22" s="32"/>
      <c r="C22" s="32"/>
      <c r="D22" s="32"/>
      <c r="E22" s="32"/>
    </row>
    <row r="23" spans="1:5" x14ac:dyDescent="0.25">
      <c r="A23" s="32"/>
      <c r="B23" s="32"/>
      <c r="C23" s="32"/>
      <c r="D23" s="32"/>
      <c r="E23" s="32"/>
    </row>
    <row r="24" spans="1:5" x14ac:dyDescent="0.25">
      <c r="A24" s="32"/>
      <c r="B24" s="32"/>
      <c r="C24" s="32"/>
      <c r="D24" s="32"/>
      <c r="E24" s="32"/>
    </row>
    <row r="25" spans="1:5" x14ac:dyDescent="0.25">
      <c r="A25" s="32"/>
      <c r="B25" s="32"/>
      <c r="C25" s="32"/>
      <c r="D25" s="32"/>
      <c r="E25" s="32"/>
    </row>
    <row r="26" spans="1:5" x14ac:dyDescent="0.25">
      <c r="A26" s="32"/>
      <c r="B26" s="32"/>
      <c r="C26" s="32"/>
      <c r="D26" s="32"/>
      <c r="E26" s="32"/>
    </row>
    <row r="27" spans="1:5" x14ac:dyDescent="0.25">
      <c r="A27" s="32"/>
      <c r="B27" s="32"/>
      <c r="C27" s="32"/>
      <c r="D27" s="32"/>
      <c r="E27" s="32"/>
    </row>
    <row r="28" spans="1:5" x14ac:dyDescent="0.25">
      <c r="A28" s="32"/>
      <c r="B28" s="32"/>
      <c r="C28" s="32"/>
      <c r="D28" s="32"/>
      <c r="E28" s="32"/>
    </row>
    <row r="29" spans="1:5" x14ac:dyDescent="0.25">
      <c r="A29" s="32"/>
      <c r="B29" s="32"/>
      <c r="C29" s="32"/>
      <c r="D29" s="32"/>
      <c r="E29" s="32"/>
    </row>
    <row r="30" spans="1:5" x14ac:dyDescent="0.25">
      <c r="A30" s="32"/>
      <c r="B30" s="32"/>
      <c r="C30" s="32"/>
      <c r="D30" s="32"/>
      <c r="E30" s="32"/>
    </row>
    <row r="31" spans="1:5" x14ac:dyDescent="0.25">
      <c r="A31" s="32"/>
      <c r="B31" s="32"/>
      <c r="C31" s="32"/>
      <c r="D31" s="32"/>
      <c r="E31" s="32"/>
    </row>
    <row r="32" spans="1:5" x14ac:dyDescent="0.25">
      <c r="A32" s="32"/>
      <c r="B32" s="32"/>
      <c r="C32" s="32"/>
      <c r="D32" s="32"/>
      <c r="E32" s="32"/>
    </row>
    <row r="33" spans="1:5" x14ac:dyDescent="0.25">
      <c r="A33" s="32"/>
      <c r="B33" s="32"/>
      <c r="C33" s="32"/>
      <c r="D33" s="32"/>
      <c r="E33" s="32"/>
    </row>
    <row r="34" spans="1:5" x14ac:dyDescent="0.25">
      <c r="A34" s="32"/>
      <c r="B34" s="32"/>
      <c r="C34" s="32"/>
      <c r="D34" s="32"/>
      <c r="E34" s="32"/>
    </row>
    <row r="35" spans="1:5" x14ac:dyDescent="0.25">
      <c r="A35" s="32"/>
      <c r="B35" s="32"/>
      <c r="C35" s="32"/>
      <c r="D35" s="32"/>
      <c r="E35" s="32"/>
    </row>
    <row r="36" spans="1:5" x14ac:dyDescent="0.25">
      <c r="A36" s="32"/>
      <c r="B36" s="32"/>
      <c r="C36" s="32"/>
      <c r="D36" s="32"/>
      <c r="E36" s="32"/>
    </row>
    <row r="37" spans="1:5" x14ac:dyDescent="0.25">
      <c r="A37" s="32"/>
      <c r="B37" s="32"/>
      <c r="C37" s="32"/>
      <c r="D37" s="32"/>
      <c r="E37" s="32"/>
    </row>
    <row r="38" spans="1:5" x14ac:dyDescent="0.25">
      <c r="A38" s="32"/>
      <c r="B38" s="32"/>
      <c r="C38" s="32"/>
      <c r="D38" s="32"/>
      <c r="E38" s="32"/>
    </row>
    <row r="39" spans="1:5" x14ac:dyDescent="0.25">
      <c r="A39" s="32"/>
      <c r="B39" s="32"/>
      <c r="C39" s="32"/>
      <c r="D39" s="32"/>
      <c r="E39" s="32"/>
    </row>
    <row r="40" spans="1:5" x14ac:dyDescent="0.25">
      <c r="A40" s="32"/>
      <c r="B40" s="32"/>
      <c r="C40" s="32"/>
      <c r="D40" s="32"/>
      <c r="E40" s="32"/>
    </row>
    <row r="41" spans="1:5" x14ac:dyDescent="0.25">
      <c r="A41" s="32"/>
      <c r="B41" s="32"/>
      <c r="C41" s="32"/>
      <c r="D41" s="32"/>
      <c r="E41" s="32"/>
    </row>
    <row r="42" spans="1:5" x14ac:dyDescent="0.25">
      <c r="A42" s="32"/>
      <c r="B42" s="32"/>
      <c r="C42" s="32"/>
      <c r="D42" s="32"/>
      <c r="E42" s="32"/>
    </row>
    <row r="43" spans="1:5" x14ac:dyDescent="0.25">
      <c r="A43" s="32"/>
      <c r="B43" s="32"/>
      <c r="C43" s="32"/>
      <c r="D43" s="32"/>
      <c r="E43" s="32"/>
    </row>
    <row r="44" spans="1:5" x14ac:dyDescent="0.25">
      <c r="A44" s="32"/>
      <c r="B44" s="32"/>
      <c r="C44" s="32"/>
      <c r="D44" s="32"/>
      <c r="E44" s="32"/>
    </row>
    <row r="45" spans="1:5" x14ac:dyDescent="0.25">
      <c r="A45" s="32"/>
      <c r="B45" s="32"/>
      <c r="C45" s="32"/>
      <c r="D45" s="32"/>
      <c r="E45" s="32"/>
    </row>
    <row r="46" spans="1:5" x14ac:dyDescent="0.25">
      <c r="A46" s="32"/>
      <c r="B46" s="32"/>
      <c r="C46" s="32"/>
      <c r="D46" s="32"/>
      <c r="E46" s="32"/>
    </row>
    <row r="47" spans="1:5" x14ac:dyDescent="0.25">
      <c r="A47" s="32"/>
      <c r="B47" s="32"/>
      <c r="C47" s="32"/>
      <c r="D47" s="32"/>
      <c r="E47" s="32"/>
    </row>
    <row r="48" spans="1:5" x14ac:dyDescent="0.25">
      <c r="A48" s="32"/>
      <c r="B48" s="32"/>
      <c r="C48" s="32"/>
      <c r="D48" s="32"/>
      <c r="E48" s="32"/>
    </row>
    <row r="49" spans="1:5" x14ac:dyDescent="0.25">
      <c r="A49" s="32"/>
      <c r="B49" s="32"/>
      <c r="C49" s="32"/>
      <c r="D49" s="32"/>
      <c r="E49" s="32"/>
    </row>
    <row r="50" spans="1:5" x14ac:dyDescent="0.25">
      <c r="A50" s="32"/>
      <c r="B50" s="32"/>
      <c r="C50" s="32"/>
      <c r="D50" s="32"/>
      <c r="E50" s="32"/>
    </row>
    <row r="51" spans="1:5" x14ac:dyDescent="0.25">
      <c r="A51" s="32"/>
      <c r="B51" s="32"/>
      <c r="C51" s="32"/>
      <c r="D51" s="32"/>
      <c r="E51" s="32"/>
    </row>
    <row r="52" spans="1:5" x14ac:dyDescent="0.25">
      <c r="A52" s="32"/>
      <c r="B52" s="32"/>
      <c r="C52" s="32"/>
      <c r="D52" s="32"/>
      <c r="E52" s="32"/>
    </row>
    <row r="53" spans="1:5" x14ac:dyDescent="0.25">
      <c r="A53" s="32"/>
      <c r="B53" s="32"/>
      <c r="C53" s="32"/>
      <c r="D53" s="32"/>
      <c r="E53" s="32"/>
    </row>
    <row r="54" spans="1:5" x14ac:dyDescent="0.25">
      <c r="A54" s="32"/>
      <c r="B54" s="32"/>
      <c r="C54" s="32"/>
      <c r="D54" s="32"/>
      <c r="E54" s="32"/>
    </row>
    <row r="55" spans="1:5" x14ac:dyDescent="0.25">
      <c r="A55" s="32"/>
      <c r="B55" s="32"/>
      <c r="C55" s="32"/>
      <c r="D55" s="32"/>
      <c r="E55" s="32"/>
    </row>
    <row r="56" spans="1:5" x14ac:dyDescent="0.25">
      <c r="A56" s="32"/>
      <c r="B56" s="32"/>
      <c r="C56" s="32"/>
      <c r="D56" s="32"/>
      <c r="E56" s="32"/>
    </row>
    <row r="57" spans="1:5" x14ac:dyDescent="0.25">
      <c r="A57" s="32"/>
      <c r="B57" s="32"/>
      <c r="C57" s="32"/>
      <c r="D57" s="32"/>
      <c r="E57" s="32"/>
    </row>
    <row r="58" spans="1:5" x14ac:dyDescent="0.25">
      <c r="A58" s="32"/>
      <c r="B58" s="32"/>
      <c r="C58" s="32"/>
      <c r="D58" s="32"/>
      <c r="E58" s="32"/>
    </row>
    <row r="59" spans="1:5" x14ac:dyDescent="0.25">
      <c r="A59" s="32"/>
      <c r="B59" s="32"/>
      <c r="C59" s="32"/>
      <c r="D59" s="32"/>
      <c r="E59" s="32"/>
    </row>
    <row r="60" spans="1:5" x14ac:dyDescent="0.25">
      <c r="A60" s="32"/>
      <c r="B60" s="32"/>
      <c r="C60" s="32"/>
      <c r="D60" s="32"/>
      <c r="E60" s="32"/>
    </row>
    <row r="61" spans="1:5" x14ac:dyDescent="0.25">
      <c r="A61" s="32"/>
      <c r="B61" s="32"/>
      <c r="C61" s="32"/>
      <c r="D61" s="32"/>
      <c r="E61" s="32"/>
    </row>
    <row r="62" spans="1:5" x14ac:dyDescent="0.25">
      <c r="A62" s="32"/>
      <c r="B62" s="32"/>
      <c r="C62" s="32"/>
      <c r="D62" s="32"/>
      <c r="E62" s="32"/>
    </row>
    <row r="63" spans="1:5" x14ac:dyDescent="0.25">
      <c r="A63" s="32"/>
      <c r="B63" s="32"/>
      <c r="C63" s="32"/>
      <c r="D63" s="32"/>
      <c r="E63" s="32"/>
    </row>
    <row r="64" spans="1:5" x14ac:dyDescent="0.25">
      <c r="A64" s="32"/>
      <c r="B64" s="32"/>
      <c r="C64" s="32"/>
      <c r="D64" s="32"/>
      <c r="E64" s="32"/>
    </row>
    <row r="65" spans="1:5" x14ac:dyDescent="0.25">
      <c r="A65" s="32"/>
      <c r="B65" s="32"/>
      <c r="C65" s="32"/>
      <c r="D65" s="32"/>
      <c r="E65" s="32"/>
    </row>
    <row r="66" spans="1:5" x14ac:dyDescent="0.25">
      <c r="A66" s="32"/>
      <c r="B66" s="32"/>
      <c r="C66" s="32"/>
      <c r="D66" s="32"/>
      <c r="E66" s="32"/>
    </row>
    <row r="67" spans="1:5" x14ac:dyDescent="0.25">
      <c r="A67" s="32"/>
      <c r="B67" s="32"/>
      <c r="C67" s="32"/>
      <c r="D67" s="32"/>
      <c r="E67" s="32"/>
    </row>
    <row r="68" spans="1:5" x14ac:dyDescent="0.25">
      <c r="A68" s="32"/>
      <c r="B68" s="32"/>
      <c r="C68" s="32"/>
      <c r="D68" s="32"/>
      <c r="E68" s="32"/>
    </row>
    <row r="69" spans="1:5" x14ac:dyDescent="0.25">
      <c r="A69" s="32"/>
      <c r="B69" s="32"/>
      <c r="C69" s="32"/>
      <c r="D69" s="32"/>
      <c r="E69" s="32"/>
    </row>
    <row r="70" spans="1:5" x14ac:dyDescent="0.25">
      <c r="A70" s="32"/>
      <c r="B70" s="32"/>
      <c r="C70" s="32"/>
      <c r="D70" s="32"/>
      <c r="E70" s="32"/>
    </row>
    <row r="71" spans="1:5" x14ac:dyDescent="0.25">
      <c r="A71" s="32"/>
      <c r="B71" s="32"/>
      <c r="C71" s="32"/>
      <c r="D71" s="32"/>
      <c r="E71" s="32"/>
    </row>
    <row r="72" spans="1:5" x14ac:dyDescent="0.25">
      <c r="A72" s="32"/>
      <c r="B72" s="32"/>
      <c r="C72" s="32"/>
      <c r="D72" s="32"/>
      <c r="E72" s="32"/>
    </row>
    <row r="73" spans="1:5" x14ac:dyDescent="0.25">
      <c r="A73" s="32"/>
      <c r="B73" s="32"/>
      <c r="C73" s="32"/>
      <c r="D73" s="32"/>
      <c r="E73" s="32"/>
    </row>
    <row r="74" spans="1:5" x14ac:dyDescent="0.25">
      <c r="A74" s="32"/>
      <c r="B74" s="32"/>
      <c r="C74" s="32"/>
      <c r="D74" s="32"/>
      <c r="E74" s="32"/>
    </row>
    <row r="75" spans="1:5" x14ac:dyDescent="0.25">
      <c r="A75" s="32"/>
      <c r="B75" s="32"/>
      <c r="C75" s="32"/>
      <c r="D75" s="32"/>
      <c r="E75" s="32"/>
    </row>
    <row r="76" spans="1:5" x14ac:dyDescent="0.25">
      <c r="A76" s="32"/>
      <c r="B76" s="32"/>
      <c r="C76" s="32"/>
      <c r="D76" s="32"/>
      <c r="E76" s="32"/>
    </row>
    <row r="77" spans="1:5" x14ac:dyDescent="0.25">
      <c r="A77" s="32"/>
      <c r="B77" s="32"/>
      <c r="C77" s="32"/>
      <c r="D77" s="32"/>
      <c r="E77" s="32"/>
    </row>
    <row r="78" spans="1:5" x14ac:dyDescent="0.25">
      <c r="A78" s="32"/>
      <c r="B78" s="32"/>
      <c r="C78" s="32"/>
      <c r="D78" s="32"/>
      <c r="E78" s="32"/>
    </row>
    <row r="79" spans="1:5" x14ac:dyDescent="0.25">
      <c r="A79" s="32"/>
      <c r="B79" s="32"/>
      <c r="C79" s="32"/>
      <c r="D79" s="32"/>
      <c r="E79" s="32"/>
    </row>
    <row r="80" spans="1:5" x14ac:dyDescent="0.25">
      <c r="A80" s="32"/>
      <c r="B80" s="32"/>
      <c r="C80" s="32"/>
      <c r="D80" s="32"/>
      <c r="E80" s="32"/>
    </row>
    <row r="81" spans="1:5" x14ac:dyDescent="0.25">
      <c r="A81" s="32"/>
      <c r="B81" s="32"/>
      <c r="C81" s="32"/>
      <c r="D81" s="32"/>
      <c r="E81" s="32"/>
    </row>
    <row r="82" spans="1:5" x14ac:dyDescent="0.25">
      <c r="A82" s="32"/>
      <c r="B82" s="32"/>
      <c r="C82" s="32"/>
      <c r="D82" s="32"/>
      <c r="E82" s="32"/>
    </row>
    <row r="83" spans="1:5" x14ac:dyDescent="0.25">
      <c r="A83" s="32"/>
      <c r="B83" s="32"/>
      <c r="C83" s="32"/>
      <c r="D83" s="32"/>
      <c r="E83" s="32"/>
    </row>
    <row r="84" spans="1:5" x14ac:dyDescent="0.25">
      <c r="A84" s="32"/>
      <c r="B84" s="32"/>
      <c r="C84" s="32"/>
      <c r="D84" s="32"/>
      <c r="E84" s="32"/>
    </row>
    <row r="85" spans="1:5" x14ac:dyDescent="0.25">
      <c r="A85" s="32"/>
      <c r="B85" s="32"/>
      <c r="C85" s="32"/>
      <c r="D85" s="32"/>
      <c r="E85" s="32"/>
    </row>
    <row r="86" spans="1:5" x14ac:dyDescent="0.25">
      <c r="A86" s="32"/>
      <c r="B86" s="32"/>
      <c r="C86" s="32"/>
      <c r="D86" s="32"/>
      <c r="E86" s="32"/>
    </row>
    <row r="87" spans="1:5" x14ac:dyDescent="0.25">
      <c r="A87" s="32"/>
      <c r="B87" s="32"/>
      <c r="C87" s="32"/>
      <c r="D87" s="32"/>
      <c r="E87" s="32"/>
    </row>
    <row r="88" spans="1:5" x14ac:dyDescent="0.25">
      <c r="A88" s="32"/>
      <c r="B88" s="32"/>
      <c r="C88" s="32"/>
      <c r="D88" s="32"/>
      <c r="E88" s="32"/>
    </row>
    <row r="89" spans="1:5" x14ac:dyDescent="0.25">
      <c r="A89" s="32"/>
      <c r="B89" s="32"/>
      <c r="C89" s="32"/>
      <c r="D89" s="32"/>
      <c r="E89" s="32"/>
    </row>
    <row r="90" spans="1:5" x14ac:dyDescent="0.25">
      <c r="A90" s="32"/>
      <c r="B90" s="32"/>
      <c r="C90" s="32"/>
      <c r="D90" s="32"/>
      <c r="E90" s="32"/>
    </row>
    <row r="91" spans="1:5" x14ac:dyDescent="0.25">
      <c r="A91" s="32"/>
      <c r="B91" s="32"/>
      <c r="C91" s="32"/>
      <c r="D91" s="32"/>
      <c r="E91" s="32"/>
    </row>
    <row r="92" spans="1:5" x14ac:dyDescent="0.25">
      <c r="A92" s="32"/>
      <c r="B92" s="32"/>
      <c r="C92" s="32"/>
      <c r="D92" s="32"/>
      <c r="E92" s="32"/>
    </row>
    <row r="93" spans="1:5" x14ac:dyDescent="0.25">
      <c r="A93" s="32"/>
      <c r="B93" s="32"/>
      <c r="C93" s="32"/>
      <c r="D93" s="32"/>
      <c r="E93" s="32"/>
    </row>
    <row r="94" spans="1:5" x14ac:dyDescent="0.25">
      <c r="A94" s="32"/>
      <c r="B94" s="32"/>
      <c r="C94" s="32"/>
      <c r="D94" s="32"/>
      <c r="E94" s="32"/>
    </row>
    <row r="95" spans="1:5" x14ac:dyDescent="0.25">
      <c r="A95" s="32"/>
      <c r="B95" s="32"/>
      <c r="C95" s="32"/>
      <c r="D95" s="32"/>
      <c r="E95" s="32"/>
    </row>
    <row r="96" spans="1:5" x14ac:dyDescent="0.25">
      <c r="A96" s="32"/>
      <c r="B96" s="32"/>
      <c r="C96" s="32"/>
      <c r="D96" s="32"/>
      <c r="E96" s="32"/>
    </row>
    <row r="97" spans="1:5" x14ac:dyDescent="0.25">
      <c r="A97" s="32"/>
      <c r="B97" s="32"/>
      <c r="C97" s="32"/>
      <c r="D97" s="32"/>
      <c r="E97" s="32"/>
    </row>
    <row r="98" spans="1:5" x14ac:dyDescent="0.25">
      <c r="A98" s="32"/>
      <c r="B98" s="32"/>
      <c r="C98" s="32"/>
      <c r="D98" s="32"/>
      <c r="E98" s="32"/>
    </row>
    <row r="99" spans="1:5" x14ac:dyDescent="0.25">
      <c r="A99" s="32"/>
      <c r="B99" s="32"/>
      <c r="C99" s="32"/>
      <c r="D99" s="32"/>
      <c r="E99" s="32"/>
    </row>
    <row r="100" spans="1:5" x14ac:dyDescent="0.25">
      <c r="A100" s="32"/>
      <c r="B100" s="32"/>
      <c r="C100" s="32"/>
      <c r="D100" s="32"/>
      <c r="E100" s="32"/>
    </row>
    <row r="101" spans="1:5" x14ac:dyDescent="0.25">
      <c r="A101" s="32"/>
      <c r="B101" s="32"/>
      <c r="C101" s="32"/>
      <c r="D101" s="32"/>
      <c r="E101" s="32"/>
    </row>
    <row r="102" spans="1:5" x14ac:dyDescent="0.25">
      <c r="A102" s="32"/>
      <c r="B102" s="32"/>
      <c r="C102" s="32"/>
      <c r="D102" s="32"/>
      <c r="E102" s="32"/>
    </row>
    <row r="103" spans="1:5" x14ac:dyDescent="0.25">
      <c r="A103" s="32"/>
      <c r="B103" s="32"/>
      <c r="C103" s="32"/>
      <c r="D103" s="32"/>
      <c r="E103" s="32"/>
    </row>
    <row r="104" spans="1:5" x14ac:dyDescent="0.25">
      <c r="A104" s="32"/>
      <c r="B104" s="32"/>
      <c r="C104" s="32"/>
      <c r="D104" s="32"/>
      <c r="E104" s="32"/>
    </row>
    <row r="105" spans="1:5" x14ac:dyDescent="0.25">
      <c r="A105" s="32"/>
      <c r="B105" s="32"/>
      <c r="C105" s="32"/>
      <c r="D105" s="32"/>
      <c r="E105" s="32"/>
    </row>
    <row r="106" spans="1:5" x14ac:dyDescent="0.25">
      <c r="A106" s="32"/>
      <c r="B106" s="32"/>
      <c r="C106" s="32"/>
      <c r="D106" s="32"/>
      <c r="E106" s="32"/>
    </row>
    <row r="107" spans="1:5" x14ac:dyDescent="0.25">
      <c r="A107" s="32"/>
      <c r="B107" s="32"/>
      <c r="C107" s="32"/>
      <c r="D107" s="32"/>
      <c r="E107" s="32"/>
    </row>
    <row r="108" spans="1:5" x14ac:dyDescent="0.25">
      <c r="A108" s="32"/>
      <c r="B108" s="32"/>
      <c r="C108" s="32"/>
      <c r="D108" s="32"/>
      <c r="E108" s="32"/>
    </row>
    <row r="109" spans="1:5" x14ac:dyDescent="0.25">
      <c r="A109" s="32"/>
      <c r="B109" s="32"/>
      <c r="C109" s="32"/>
      <c r="D109" s="32"/>
      <c r="E109" s="32"/>
    </row>
    <row r="110" spans="1:5" x14ac:dyDescent="0.25">
      <c r="A110" s="32"/>
      <c r="B110" s="32"/>
      <c r="C110" s="32"/>
      <c r="D110" s="32"/>
      <c r="E110" s="32"/>
    </row>
    <row r="111" spans="1:5" x14ac:dyDescent="0.25">
      <c r="A111" s="32"/>
      <c r="B111" s="32"/>
      <c r="C111" s="32"/>
      <c r="D111" s="32"/>
      <c r="E111" s="32"/>
    </row>
    <row r="112" spans="1:5" x14ac:dyDescent="0.25">
      <c r="A112" s="32"/>
      <c r="B112" s="32"/>
      <c r="C112" s="32"/>
      <c r="D112" s="32"/>
      <c r="E112" s="32"/>
    </row>
    <row r="113" spans="1:5" x14ac:dyDescent="0.25">
      <c r="A113" s="32"/>
      <c r="B113" s="32"/>
      <c r="C113" s="32"/>
      <c r="D113" s="32"/>
      <c r="E113" s="32"/>
    </row>
    <row r="114" spans="1:5" x14ac:dyDescent="0.25">
      <c r="A114" s="32"/>
      <c r="B114" s="32"/>
      <c r="C114" s="32"/>
      <c r="D114" s="32"/>
      <c r="E114" s="32"/>
    </row>
    <row r="115" spans="1:5" x14ac:dyDescent="0.25">
      <c r="A115" s="32"/>
      <c r="B115" s="32"/>
      <c r="C115" s="32"/>
      <c r="D115" s="32"/>
      <c r="E115" s="32"/>
    </row>
    <row r="116" spans="1:5" x14ac:dyDescent="0.25">
      <c r="A116" s="32"/>
      <c r="B116" s="32"/>
      <c r="C116" s="32"/>
      <c r="D116" s="32"/>
      <c r="E116" s="32"/>
    </row>
    <row r="117" spans="1:5" x14ac:dyDescent="0.25">
      <c r="A117" s="32"/>
      <c r="B117" s="32"/>
      <c r="C117" s="32"/>
      <c r="D117" s="32"/>
      <c r="E117" s="32"/>
    </row>
    <row r="118" spans="1:5" x14ac:dyDescent="0.25">
      <c r="A118" s="32"/>
      <c r="B118" s="32"/>
      <c r="C118" s="32"/>
      <c r="D118" s="32"/>
      <c r="E118" s="32"/>
    </row>
    <row r="119" spans="1:5" x14ac:dyDescent="0.25">
      <c r="A119" s="32"/>
      <c r="B119" s="32"/>
      <c r="C119" s="32"/>
      <c r="D119" s="32"/>
      <c r="E119" s="32"/>
    </row>
    <row r="120" spans="1:5" x14ac:dyDescent="0.25">
      <c r="A120" s="32"/>
      <c r="B120" s="32"/>
      <c r="C120" s="32"/>
      <c r="D120" s="32"/>
      <c r="E120" s="32"/>
    </row>
    <row r="121" spans="1:5" x14ac:dyDescent="0.25">
      <c r="A121" s="32"/>
      <c r="B121" s="32"/>
      <c r="C121" s="32"/>
      <c r="D121" s="32"/>
      <c r="E121" s="32"/>
    </row>
    <row r="122" spans="1:5" x14ac:dyDescent="0.25">
      <c r="A122" s="32"/>
      <c r="B122" s="32"/>
      <c r="C122" s="32"/>
      <c r="D122" s="32"/>
      <c r="E122" s="32"/>
    </row>
    <row r="123" spans="1:5" x14ac:dyDescent="0.25">
      <c r="A123" s="32"/>
      <c r="B123" s="32"/>
      <c r="C123" s="32"/>
      <c r="D123" s="32"/>
      <c r="E123" s="32"/>
    </row>
    <row r="124" spans="1:5" x14ac:dyDescent="0.25">
      <c r="A124" s="32"/>
      <c r="B124" s="32"/>
      <c r="C124" s="32"/>
      <c r="D124" s="32"/>
      <c r="E124" s="32"/>
    </row>
    <row r="125" spans="1:5" x14ac:dyDescent="0.25">
      <c r="A125" s="32"/>
      <c r="B125" s="32"/>
      <c r="C125" s="32"/>
      <c r="D125" s="32"/>
      <c r="E125" s="32"/>
    </row>
    <row r="126" spans="1:5" x14ac:dyDescent="0.25">
      <c r="A126" s="32"/>
      <c r="B126" s="32"/>
      <c r="C126" s="32"/>
      <c r="D126" s="32"/>
      <c r="E126" s="32"/>
    </row>
    <row r="127" spans="1:5" x14ac:dyDescent="0.25">
      <c r="A127" s="32"/>
      <c r="B127" s="32"/>
      <c r="C127" s="32"/>
      <c r="D127" s="32"/>
      <c r="E127" s="32"/>
    </row>
    <row r="128" spans="1:5" x14ac:dyDescent="0.25">
      <c r="A128" s="32"/>
      <c r="B128" s="32"/>
      <c r="C128" s="32"/>
      <c r="D128" s="32"/>
      <c r="E128" s="32"/>
    </row>
    <row r="129" spans="1:5" x14ac:dyDescent="0.25">
      <c r="A129" s="32"/>
      <c r="B129" s="32"/>
      <c r="C129" s="32"/>
      <c r="D129" s="32"/>
      <c r="E129" s="32"/>
    </row>
    <row r="130" spans="1:5" x14ac:dyDescent="0.25">
      <c r="A130" s="32"/>
      <c r="B130" s="32"/>
      <c r="C130" s="32"/>
      <c r="D130" s="32"/>
      <c r="E130" s="32"/>
    </row>
    <row r="131" spans="1:5" x14ac:dyDescent="0.25">
      <c r="A131" s="32"/>
      <c r="B131" s="32"/>
      <c r="C131" s="32"/>
      <c r="D131" s="32"/>
      <c r="E131" s="32"/>
    </row>
    <row r="132" spans="1:5" x14ac:dyDescent="0.25">
      <c r="A132" s="32"/>
      <c r="B132" s="32"/>
      <c r="C132" s="32"/>
      <c r="D132" s="32"/>
      <c r="E132" s="32"/>
    </row>
    <row r="133" spans="1:5" x14ac:dyDescent="0.25">
      <c r="A133" s="32"/>
      <c r="B133" s="32"/>
      <c r="C133" s="32"/>
      <c r="D133" s="32"/>
      <c r="E133" s="32"/>
    </row>
    <row r="134" spans="1:5" x14ac:dyDescent="0.25">
      <c r="A134" s="32"/>
      <c r="B134" s="32"/>
      <c r="C134" s="32"/>
      <c r="D134" s="32"/>
      <c r="E134" s="32"/>
    </row>
    <row r="135" spans="1:5" x14ac:dyDescent="0.25">
      <c r="A135" s="32"/>
      <c r="B135" s="32"/>
      <c r="C135" s="32"/>
      <c r="D135" s="32"/>
      <c r="E135" s="32"/>
    </row>
    <row r="136" spans="1:5" x14ac:dyDescent="0.25">
      <c r="A136" s="32"/>
      <c r="B136" s="32"/>
      <c r="C136" s="32"/>
      <c r="D136" s="32"/>
      <c r="E136" s="32"/>
    </row>
    <row r="137" spans="1:5" x14ac:dyDescent="0.25">
      <c r="A137" s="32"/>
      <c r="B137" s="32"/>
      <c r="C137" s="32"/>
      <c r="D137" s="32"/>
      <c r="E137" s="32"/>
    </row>
    <row r="138" spans="1:5" x14ac:dyDescent="0.25">
      <c r="A138" s="32"/>
      <c r="B138" s="32"/>
      <c r="C138" s="32"/>
      <c r="D138" s="32"/>
      <c r="E138" s="32"/>
    </row>
    <row r="139" spans="1:5" x14ac:dyDescent="0.25">
      <c r="A139" s="32"/>
      <c r="B139" s="32"/>
      <c r="C139" s="32"/>
      <c r="D139" s="32"/>
      <c r="E139" s="32"/>
    </row>
    <row r="140" spans="1:5" x14ac:dyDescent="0.25">
      <c r="A140" s="32"/>
      <c r="B140" s="32"/>
      <c r="C140" s="32"/>
      <c r="D140" s="32"/>
      <c r="E140" s="32"/>
    </row>
    <row r="141" spans="1:5" x14ac:dyDescent="0.25">
      <c r="A141" s="32"/>
      <c r="B141" s="32"/>
      <c r="C141" s="32"/>
      <c r="D141" s="32"/>
      <c r="E141" s="32"/>
    </row>
    <row r="142" spans="1:5" x14ac:dyDescent="0.25">
      <c r="A142" s="32"/>
      <c r="B142" s="32"/>
      <c r="C142" s="32"/>
      <c r="D142" s="32"/>
      <c r="E142" s="32"/>
    </row>
    <row r="143" spans="1:5" x14ac:dyDescent="0.25">
      <c r="A143" s="32"/>
      <c r="B143" s="32"/>
      <c r="C143" s="32"/>
      <c r="D143" s="32"/>
      <c r="E143" s="32"/>
    </row>
    <row r="144" spans="1:5" x14ac:dyDescent="0.25">
      <c r="A144" s="32"/>
      <c r="B144" s="32"/>
      <c r="C144" s="32"/>
      <c r="D144" s="32"/>
      <c r="E144" s="32"/>
    </row>
    <row r="145" spans="1:5" x14ac:dyDescent="0.25">
      <c r="A145" s="32"/>
      <c r="B145" s="32"/>
      <c r="C145" s="32"/>
      <c r="D145" s="32"/>
      <c r="E145" s="32"/>
    </row>
    <row r="146" spans="1:5" x14ac:dyDescent="0.25">
      <c r="A146" s="32"/>
      <c r="B146" s="32"/>
      <c r="C146" s="32"/>
      <c r="D146" s="32"/>
      <c r="E146" s="32"/>
    </row>
    <row r="147" spans="1:5" x14ac:dyDescent="0.25">
      <c r="A147" s="32"/>
      <c r="B147" s="32"/>
      <c r="C147" s="32"/>
      <c r="D147" s="32"/>
      <c r="E147" s="32"/>
    </row>
    <row r="148" spans="1:5" x14ac:dyDescent="0.25">
      <c r="A148" s="32"/>
      <c r="B148" s="32"/>
      <c r="C148" s="32"/>
      <c r="D148" s="32"/>
      <c r="E148" s="32"/>
    </row>
    <row r="149" spans="1:5" x14ac:dyDescent="0.25">
      <c r="A149" s="32"/>
      <c r="B149" s="32"/>
      <c r="C149" s="32"/>
      <c r="D149" s="32"/>
      <c r="E149" s="32"/>
    </row>
    <row r="150" spans="1:5" x14ac:dyDescent="0.25">
      <c r="A150" s="32"/>
      <c r="B150" s="32"/>
      <c r="C150" s="32"/>
      <c r="D150" s="32"/>
      <c r="E150" s="32"/>
    </row>
    <row r="151" spans="1:5" x14ac:dyDescent="0.25">
      <c r="A151" s="32"/>
      <c r="B151" s="32"/>
      <c r="C151" s="32"/>
      <c r="D151" s="32"/>
      <c r="E151" s="32"/>
    </row>
    <row r="152" spans="1:5" x14ac:dyDescent="0.25">
      <c r="A152" s="32"/>
      <c r="B152" s="32"/>
      <c r="C152" s="32"/>
      <c r="D152" s="32"/>
      <c r="E152" s="32"/>
    </row>
    <row r="153" spans="1:5" x14ac:dyDescent="0.25">
      <c r="A153" s="32"/>
      <c r="B153" s="32"/>
      <c r="C153" s="32"/>
      <c r="D153" s="32"/>
      <c r="E153" s="32"/>
    </row>
    <row r="154" spans="1:5" x14ac:dyDescent="0.25">
      <c r="A154" s="32"/>
      <c r="B154" s="32"/>
      <c r="C154" s="32"/>
      <c r="D154" s="32"/>
      <c r="E154" s="32"/>
    </row>
    <row r="155" spans="1:5" x14ac:dyDescent="0.25">
      <c r="A155" s="32"/>
      <c r="B155" s="32"/>
      <c r="C155" s="32"/>
      <c r="D155" s="32"/>
      <c r="E155" s="32"/>
    </row>
    <row r="156" spans="1:5" x14ac:dyDescent="0.25">
      <c r="A156" s="32"/>
      <c r="B156" s="32"/>
      <c r="C156" s="32"/>
      <c r="D156" s="32"/>
      <c r="E156" s="32"/>
    </row>
    <row r="157" spans="1:5" x14ac:dyDescent="0.25">
      <c r="A157" s="32"/>
      <c r="B157" s="32"/>
      <c r="C157" s="32"/>
      <c r="D157" s="32"/>
      <c r="E157" s="32"/>
    </row>
    <row r="158" spans="1:5" x14ac:dyDescent="0.25">
      <c r="A158" s="32"/>
      <c r="B158" s="32"/>
      <c r="C158" s="32"/>
      <c r="D158" s="32"/>
      <c r="E158" s="32"/>
    </row>
    <row r="159" spans="1:5" x14ac:dyDescent="0.25">
      <c r="A159" s="32"/>
      <c r="B159" s="32"/>
      <c r="C159" s="32"/>
      <c r="D159" s="32"/>
      <c r="E159" s="32"/>
    </row>
    <row r="160" spans="1:5" x14ac:dyDescent="0.25">
      <c r="A160" s="32"/>
      <c r="B160" s="32"/>
      <c r="C160" s="32"/>
      <c r="D160" s="32"/>
      <c r="E160" s="32"/>
    </row>
    <row r="161" spans="1:5" x14ac:dyDescent="0.25">
      <c r="A161" s="32"/>
      <c r="B161" s="32"/>
      <c r="C161" s="32"/>
      <c r="D161" s="32"/>
      <c r="E161" s="32"/>
    </row>
    <row r="162" spans="1:5" x14ac:dyDescent="0.25">
      <c r="A162" s="32"/>
      <c r="B162" s="32"/>
      <c r="C162" s="32"/>
      <c r="D162" s="32"/>
      <c r="E162" s="32"/>
    </row>
    <row r="163" spans="1:5" x14ac:dyDescent="0.25">
      <c r="A163" s="32"/>
      <c r="B163" s="32"/>
      <c r="C163" s="32"/>
      <c r="D163" s="32"/>
      <c r="E163" s="32"/>
    </row>
    <row r="164" spans="1:5" x14ac:dyDescent="0.25">
      <c r="A164" s="32"/>
      <c r="B164" s="32"/>
      <c r="C164" s="32"/>
      <c r="D164" s="32"/>
      <c r="E164" s="32"/>
    </row>
    <row r="165" spans="1:5" x14ac:dyDescent="0.25">
      <c r="A165" s="32"/>
      <c r="B165" s="32"/>
      <c r="C165" s="32"/>
      <c r="D165" s="32"/>
      <c r="E165" s="32"/>
    </row>
    <row r="166" spans="1:5" x14ac:dyDescent="0.25">
      <c r="A166" s="32"/>
      <c r="B166" s="32"/>
      <c r="C166" s="32"/>
      <c r="D166" s="32"/>
      <c r="E166" s="32"/>
    </row>
    <row r="167" spans="1:5" x14ac:dyDescent="0.25">
      <c r="A167" s="32"/>
      <c r="B167" s="32"/>
      <c r="C167" s="32"/>
      <c r="D167" s="32"/>
      <c r="E167" s="32"/>
    </row>
    <row r="168" spans="1:5" x14ac:dyDescent="0.25">
      <c r="A168" s="32"/>
      <c r="B168" s="32"/>
      <c r="C168" s="32"/>
      <c r="D168" s="32"/>
      <c r="E168" s="32"/>
    </row>
    <row r="169" spans="1:5" x14ac:dyDescent="0.25">
      <c r="A169" s="32"/>
      <c r="B169" s="32"/>
      <c r="C169" s="32"/>
      <c r="D169" s="32"/>
      <c r="E169" s="32"/>
    </row>
    <row r="170" spans="1:5" x14ac:dyDescent="0.25">
      <c r="A170" s="32"/>
      <c r="B170" s="32"/>
      <c r="C170" s="32"/>
      <c r="D170" s="32"/>
      <c r="E170" s="32"/>
    </row>
    <row r="171" spans="1:5" x14ac:dyDescent="0.25">
      <c r="A171" s="32"/>
      <c r="B171" s="32"/>
      <c r="C171" s="32"/>
      <c r="D171" s="32"/>
      <c r="E171" s="32"/>
    </row>
    <row r="172" spans="1:5" x14ac:dyDescent="0.25">
      <c r="A172" s="32"/>
      <c r="B172" s="32"/>
      <c r="C172" s="32"/>
      <c r="D172" s="32"/>
      <c r="E172" s="32"/>
    </row>
    <row r="173" spans="1:5" x14ac:dyDescent="0.25">
      <c r="A173" s="32"/>
      <c r="B173" s="32"/>
      <c r="C173" s="32"/>
      <c r="D173" s="32"/>
      <c r="E173" s="32"/>
    </row>
    <row r="174" spans="1:5" x14ac:dyDescent="0.25">
      <c r="A174" s="32"/>
      <c r="B174" s="32"/>
      <c r="C174" s="32"/>
      <c r="D174" s="32"/>
      <c r="E174" s="32"/>
    </row>
    <row r="175" spans="1:5" x14ac:dyDescent="0.25">
      <c r="A175" s="32"/>
      <c r="B175" s="32"/>
      <c r="C175" s="32"/>
      <c r="D175" s="32"/>
      <c r="E175" s="32"/>
    </row>
    <row r="176" spans="1:5" x14ac:dyDescent="0.25">
      <c r="A176" s="32"/>
      <c r="B176" s="32"/>
      <c r="C176" s="32"/>
      <c r="D176" s="32"/>
      <c r="E176" s="32"/>
    </row>
    <row r="177" spans="1:5" x14ac:dyDescent="0.25">
      <c r="A177" s="32"/>
      <c r="B177" s="32"/>
      <c r="C177" s="32"/>
      <c r="D177" s="32"/>
      <c r="E177" s="32"/>
    </row>
    <row r="178" spans="1:5" x14ac:dyDescent="0.25">
      <c r="A178" s="32"/>
      <c r="B178" s="32"/>
      <c r="C178" s="32"/>
      <c r="D178" s="32"/>
      <c r="E178" s="32"/>
    </row>
    <row r="179" spans="1:5" x14ac:dyDescent="0.25">
      <c r="A179" s="32"/>
      <c r="B179" s="32"/>
      <c r="C179" s="32"/>
      <c r="D179" s="32"/>
      <c r="E179" s="32"/>
    </row>
    <row r="180" spans="1:5" x14ac:dyDescent="0.25">
      <c r="A180" s="32"/>
      <c r="B180" s="32"/>
      <c r="C180" s="32"/>
      <c r="D180" s="32"/>
      <c r="E180" s="32"/>
    </row>
    <row r="181" spans="1:5" x14ac:dyDescent="0.25">
      <c r="A181" s="32"/>
      <c r="B181" s="32"/>
      <c r="C181" s="32"/>
      <c r="D181" s="32"/>
      <c r="E181" s="32"/>
    </row>
    <row r="182" spans="1:5" x14ac:dyDescent="0.25">
      <c r="A182" s="32"/>
      <c r="B182" s="32"/>
      <c r="C182" s="32"/>
      <c r="D182" s="32"/>
      <c r="E182" s="32"/>
    </row>
    <row r="183" spans="1:5" x14ac:dyDescent="0.25">
      <c r="A183" s="32"/>
      <c r="B183" s="32"/>
      <c r="C183" s="32"/>
      <c r="D183" s="32"/>
      <c r="E183" s="32"/>
    </row>
    <row r="184" spans="1:5" x14ac:dyDescent="0.25">
      <c r="A184" s="32"/>
      <c r="B184" s="32"/>
      <c r="C184" s="32"/>
      <c r="D184" s="32"/>
      <c r="E184" s="32"/>
    </row>
    <row r="185" spans="1:5" x14ac:dyDescent="0.25">
      <c r="A185" s="32"/>
      <c r="B185" s="32"/>
      <c r="C185" s="32"/>
      <c r="D185" s="32"/>
      <c r="E185" s="32"/>
    </row>
    <row r="186" spans="1:5" x14ac:dyDescent="0.25">
      <c r="A186" s="32"/>
      <c r="B186" s="32"/>
      <c r="C186" s="32"/>
      <c r="D186" s="32"/>
      <c r="E186" s="32"/>
    </row>
    <row r="187" spans="1:5" x14ac:dyDescent="0.25">
      <c r="A187" s="32"/>
      <c r="B187" s="32"/>
      <c r="C187" s="32"/>
      <c r="D187" s="32"/>
      <c r="E187" s="32"/>
    </row>
    <row r="188" spans="1:5" x14ac:dyDescent="0.25">
      <c r="A188" s="32"/>
      <c r="B188" s="32"/>
      <c r="C188" s="32"/>
      <c r="D188" s="32"/>
      <c r="E188" s="32"/>
    </row>
    <row r="189" spans="1:5" x14ac:dyDescent="0.25">
      <c r="A189" s="32"/>
      <c r="B189" s="32"/>
      <c r="C189" s="32"/>
      <c r="D189" s="32"/>
      <c r="E189" s="32"/>
    </row>
    <row r="190" spans="1:5" x14ac:dyDescent="0.25">
      <c r="A190" s="32"/>
      <c r="B190" s="32"/>
      <c r="C190" s="32"/>
      <c r="D190" s="32"/>
      <c r="E190" s="32"/>
    </row>
    <row r="191" spans="1:5" x14ac:dyDescent="0.25">
      <c r="A191" s="32"/>
      <c r="B191" s="32"/>
      <c r="C191" s="32"/>
      <c r="D191" s="32"/>
      <c r="E191" s="32"/>
    </row>
    <row r="192" spans="1:5" x14ac:dyDescent="0.25">
      <c r="A192" s="32"/>
      <c r="B192" s="32"/>
      <c r="C192" s="32"/>
      <c r="D192" s="32"/>
      <c r="E192" s="32"/>
    </row>
    <row r="193" spans="1:5" x14ac:dyDescent="0.25">
      <c r="A193" s="32"/>
      <c r="B193" s="32"/>
      <c r="C193" s="32"/>
      <c r="D193" s="32"/>
      <c r="E193" s="32"/>
    </row>
    <row r="194" spans="1:5" x14ac:dyDescent="0.25">
      <c r="A194" s="32"/>
      <c r="B194" s="32"/>
      <c r="C194" s="32"/>
      <c r="D194" s="32"/>
      <c r="E194" s="32"/>
    </row>
    <row r="195" spans="1:5" x14ac:dyDescent="0.25">
      <c r="A195" s="32"/>
      <c r="B195" s="32"/>
      <c r="C195" s="32"/>
      <c r="D195" s="32"/>
      <c r="E195" s="32"/>
    </row>
    <row r="196" spans="1:5" x14ac:dyDescent="0.25">
      <c r="A196" s="32"/>
      <c r="B196" s="32"/>
      <c r="C196" s="32"/>
      <c r="D196" s="32"/>
      <c r="E196" s="32"/>
    </row>
    <row r="197" spans="1:5" x14ac:dyDescent="0.25">
      <c r="A197" s="32"/>
      <c r="B197" s="32"/>
      <c r="C197" s="32"/>
      <c r="D197" s="32"/>
      <c r="E197" s="32"/>
    </row>
    <row r="198" spans="1:5" x14ac:dyDescent="0.25">
      <c r="A198" s="32"/>
      <c r="B198" s="32"/>
      <c r="C198" s="32"/>
      <c r="D198" s="32"/>
      <c r="E198" s="32"/>
    </row>
    <row r="199" spans="1:5" x14ac:dyDescent="0.25">
      <c r="A199" s="32"/>
      <c r="B199" s="32"/>
      <c r="C199" s="32"/>
      <c r="D199" s="32"/>
      <c r="E199" s="32"/>
    </row>
    <row r="200" spans="1:5" x14ac:dyDescent="0.25">
      <c r="A200" s="32"/>
      <c r="B200" s="32"/>
      <c r="C200" s="32"/>
      <c r="D200" s="32"/>
      <c r="E200" s="32"/>
    </row>
    <row r="201" spans="1:5" x14ac:dyDescent="0.25">
      <c r="A201" s="32"/>
      <c r="B201" s="32"/>
      <c r="C201" s="32"/>
      <c r="D201" s="32"/>
      <c r="E201" s="32"/>
    </row>
    <row r="202" spans="1:5" x14ac:dyDescent="0.25">
      <c r="A202" s="32"/>
      <c r="B202" s="32"/>
      <c r="C202" s="32"/>
      <c r="D202" s="32"/>
      <c r="E202" s="32"/>
    </row>
    <row r="203" spans="1:5" x14ac:dyDescent="0.25">
      <c r="A203" s="32"/>
      <c r="B203" s="32"/>
      <c r="C203" s="32"/>
      <c r="D203" s="32"/>
      <c r="E203" s="32"/>
    </row>
    <row r="204" spans="1:5" x14ac:dyDescent="0.25">
      <c r="A204" s="32"/>
      <c r="B204" s="32"/>
      <c r="C204" s="32"/>
      <c r="D204" s="32"/>
      <c r="E204" s="32"/>
    </row>
    <row r="205" spans="1:5" x14ac:dyDescent="0.25">
      <c r="A205" s="32"/>
      <c r="B205" s="32"/>
      <c r="C205" s="32"/>
      <c r="D205" s="32"/>
      <c r="E205" s="32"/>
    </row>
    <row r="206" spans="1:5" x14ac:dyDescent="0.25">
      <c r="A206" s="32"/>
      <c r="B206" s="32"/>
      <c r="C206" s="32"/>
      <c r="D206" s="32"/>
      <c r="E206" s="32"/>
    </row>
    <row r="207" spans="1:5" x14ac:dyDescent="0.25">
      <c r="A207" s="32"/>
      <c r="B207" s="32"/>
      <c r="C207" s="32"/>
      <c r="D207" s="32"/>
      <c r="E207" s="32"/>
    </row>
    <row r="208" spans="1:5" x14ac:dyDescent="0.25">
      <c r="A208" s="32"/>
      <c r="B208" s="32"/>
      <c r="C208" s="32"/>
      <c r="D208" s="32"/>
      <c r="E208" s="32"/>
    </row>
    <row r="209" spans="1:5" x14ac:dyDescent="0.25">
      <c r="A209" s="32"/>
      <c r="B209" s="32"/>
      <c r="C209" s="32"/>
      <c r="D209" s="32"/>
      <c r="E209" s="32"/>
    </row>
    <row r="210" spans="1:5" x14ac:dyDescent="0.25">
      <c r="A210" s="32"/>
      <c r="B210" s="32"/>
      <c r="C210" s="32"/>
      <c r="D210" s="32"/>
      <c r="E210" s="32"/>
    </row>
    <row r="211" spans="1:5" x14ac:dyDescent="0.25">
      <c r="A211" s="32"/>
      <c r="B211" s="32"/>
      <c r="C211" s="32"/>
      <c r="D211" s="32"/>
      <c r="E211" s="32"/>
    </row>
    <row r="212" spans="1:5" x14ac:dyDescent="0.25">
      <c r="A212" s="32"/>
      <c r="B212" s="32"/>
      <c r="C212" s="32"/>
      <c r="D212" s="32"/>
      <c r="E212" s="32"/>
    </row>
    <row r="213" spans="1:5" x14ac:dyDescent="0.25">
      <c r="A213" s="32"/>
      <c r="B213" s="32"/>
      <c r="C213" s="32"/>
      <c r="D213" s="32"/>
      <c r="E213" s="32"/>
    </row>
    <row r="214" spans="1:5" x14ac:dyDescent="0.25">
      <c r="A214" s="32"/>
      <c r="B214" s="32"/>
      <c r="C214" s="32"/>
      <c r="D214" s="32"/>
      <c r="E214" s="32"/>
    </row>
    <row r="215" spans="1:5" x14ac:dyDescent="0.25">
      <c r="A215" s="32"/>
      <c r="B215" s="32"/>
      <c r="C215" s="32"/>
      <c r="D215" s="32"/>
      <c r="E215" s="32"/>
    </row>
    <row r="216" spans="1:5" x14ac:dyDescent="0.25">
      <c r="A216" s="32"/>
      <c r="B216" s="32"/>
      <c r="C216" s="32"/>
      <c r="D216" s="32"/>
      <c r="E216" s="32"/>
    </row>
    <row r="217" spans="1:5" x14ac:dyDescent="0.25">
      <c r="A217" s="32"/>
      <c r="B217" s="32"/>
      <c r="C217" s="32"/>
      <c r="D217" s="32"/>
      <c r="E217" s="32"/>
    </row>
    <row r="218" spans="1:5" x14ac:dyDescent="0.25">
      <c r="A218" s="32"/>
      <c r="B218" s="32"/>
      <c r="C218" s="32"/>
      <c r="D218" s="32"/>
      <c r="E218" s="32"/>
    </row>
    <row r="219" spans="1:5" x14ac:dyDescent="0.25">
      <c r="A219" s="32"/>
      <c r="B219" s="32"/>
      <c r="C219" s="32"/>
      <c r="D219" s="32"/>
      <c r="E219" s="32"/>
    </row>
    <row r="220" spans="1:5" x14ac:dyDescent="0.25">
      <c r="A220" s="32"/>
      <c r="B220" s="32"/>
      <c r="C220" s="32"/>
      <c r="D220" s="32"/>
      <c r="E220" s="32"/>
    </row>
    <row r="221" spans="1:5" x14ac:dyDescent="0.25">
      <c r="A221" s="32"/>
      <c r="B221" s="32"/>
      <c r="C221" s="32"/>
      <c r="D221" s="32"/>
      <c r="E221" s="32"/>
    </row>
    <row r="222" spans="1:5" x14ac:dyDescent="0.25">
      <c r="A222" s="32"/>
      <c r="B222" s="32"/>
      <c r="C222" s="32"/>
      <c r="D222" s="32"/>
      <c r="E222" s="32"/>
    </row>
    <row r="223" spans="1:5" x14ac:dyDescent="0.25">
      <c r="A223" s="32"/>
      <c r="B223" s="32"/>
      <c r="C223" s="32"/>
      <c r="D223" s="32"/>
      <c r="E223" s="32"/>
    </row>
    <row r="224" spans="1:5" x14ac:dyDescent="0.25">
      <c r="A224" s="32"/>
      <c r="B224" s="32"/>
      <c r="C224" s="32"/>
      <c r="D224" s="32"/>
      <c r="E224" s="32"/>
    </row>
    <row r="225" spans="1:5" x14ac:dyDescent="0.25">
      <c r="A225" s="32"/>
      <c r="B225" s="32"/>
      <c r="C225" s="32"/>
      <c r="D225" s="32"/>
      <c r="E225" s="32"/>
    </row>
    <row r="226" spans="1:5" x14ac:dyDescent="0.25">
      <c r="A226" s="32"/>
      <c r="B226" s="32"/>
      <c r="C226" s="32"/>
      <c r="D226" s="32"/>
      <c r="E226" s="32"/>
    </row>
    <row r="227" spans="1:5" x14ac:dyDescent="0.25">
      <c r="A227" s="32"/>
      <c r="B227" s="32"/>
      <c r="C227" s="32"/>
      <c r="D227" s="32"/>
      <c r="E227" s="32"/>
    </row>
    <row r="228" spans="1:5" x14ac:dyDescent="0.25">
      <c r="A228" s="32"/>
      <c r="B228" s="32"/>
      <c r="C228" s="32"/>
      <c r="D228" s="32"/>
      <c r="E228" s="32"/>
    </row>
    <row r="229" spans="1:5" x14ac:dyDescent="0.25">
      <c r="A229" s="32"/>
      <c r="B229" s="32"/>
      <c r="C229" s="32"/>
      <c r="D229" s="32"/>
      <c r="E229" s="32"/>
    </row>
    <row r="230" spans="1:5" x14ac:dyDescent="0.25">
      <c r="A230" s="32"/>
      <c r="B230" s="32"/>
      <c r="C230" s="32"/>
      <c r="D230" s="32"/>
      <c r="E230" s="32"/>
    </row>
    <row r="231" spans="1:5" x14ac:dyDescent="0.25">
      <c r="A231" s="32"/>
      <c r="B231" s="32"/>
      <c r="C231" s="32"/>
      <c r="D231" s="32"/>
      <c r="E231" s="32"/>
    </row>
    <row r="232" spans="1:5" x14ac:dyDescent="0.25">
      <c r="A232" s="32"/>
      <c r="B232" s="32"/>
      <c r="C232" s="32"/>
      <c r="D232" s="32"/>
      <c r="E232" s="32"/>
    </row>
    <row r="233" spans="1:5" x14ac:dyDescent="0.25">
      <c r="A233" s="32"/>
      <c r="B233" s="32"/>
      <c r="C233" s="32"/>
      <c r="D233" s="32"/>
      <c r="E233" s="32"/>
    </row>
    <row r="234" spans="1:5" x14ac:dyDescent="0.25">
      <c r="A234" s="32"/>
      <c r="B234" s="32"/>
      <c r="C234" s="32"/>
      <c r="D234" s="32"/>
      <c r="E234" s="32"/>
    </row>
    <row r="235" spans="1:5" x14ac:dyDescent="0.25">
      <c r="A235" s="32"/>
      <c r="B235" s="32"/>
      <c r="C235" s="32"/>
      <c r="D235" s="32"/>
      <c r="E235" s="32"/>
    </row>
    <row r="236" spans="1:5" x14ac:dyDescent="0.25">
      <c r="A236" s="32"/>
      <c r="B236" s="32"/>
      <c r="C236" s="32"/>
      <c r="D236" s="32"/>
      <c r="E236" s="32"/>
    </row>
    <row r="237" spans="1:5" x14ac:dyDescent="0.25">
      <c r="A237" s="32"/>
      <c r="B237" s="32"/>
      <c r="C237" s="32"/>
      <c r="D237" s="32"/>
      <c r="E237" s="32"/>
    </row>
    <row r="238" spans="1:5" x14ac:dyDescent="0.25">
      <c r="A238" s="32"/>
      <c r="B238" s="32"/>
      <c r="C238" s="32"/>
      <c r="D238" s="32"/>
      <c r="E238" s="32"/>
    </row>
    <row r="239" spans="1:5" x14ac:dyDescent="0.25">
      <c r="A239" s="32"/>
      <c r="B239" s="32"/>
      <c r="C239" s="32"/>
      <c r="D239" s="32"/>
      <c r="E239" s="32"/>
    </row>
    <row r="240" spans="1:5" x14ac:dyDescent="0.25">
      <c r="A240" s="32"/>
      <c r="B240" s="32"/>
      <c r="C240" s="32"/>
      <c r="D240" s="32"/>
      <c r="E240" s="32"/>
    </row>
    <row r="241" spans="1:5" x14ac:dyDescent="0.25">
      <c r="A241" s="32"/>
      <c r="B241" s="32"/>
      <c r="C241" s="32"/>
      <c r="D241" s="32"/>
      <c r="E241" s="32"/>
    </row>
    <row r="242" spans="1:5" x14ac:dyDescent="0.25">
      <c r="A242" s="32"/>
      <c r="B242" s="32"/>
      <c r="C242" s="32"/>
      <c r="D242" s="32"/>
      <c r="E242" s="32"/>
    </row>
    <row r="243" spans="1:5" x14ac:dyDescent="0.25">
      <c r="A243" s="32"/>
      <c r="B243" s="32"/>
      <c r="C243" s="32"/>
      <c r="D243" s="32"/>
      <c r="E243" s="32"/>
    </row>
    <row r="244" spans="1:5" x14ac:dyDescent="0.25">
      <c r="A244" s="32"/>
      <c r="B244" s="32"/>
      <c r="C244" s="32"/>
      <c r="D244" s="32"/>
      <c r="E244" s="32"/>
    </row>
    <row r="245" spans="1:5" x14ac:dyDescent="0.25">
      <c r="A245" s="32"/>
      <c r="B245" s="32"/>
      <c r="C245" s="32"/>
      <c r="D245" s="32"/>
      <c r="E245" s="32"/>
    </row>
    <row r="246" spans="1:5" x14ac:dyDescent="0.25">
      <c r="A246" s="32"/>
      <c r="B246" s="32"/>
      <c r="C246" s="32"/>
      <c r="D246" s="32"/>
      <c r="E246" s="32"/>
    </row>
    <row r="247" spans="1:5" x14ac:dyDescent="0.25">
      <c r="A247" s="32"/>
      <c r="B247" s="32"/>
      <c r="C247" s="32"/>
      <c r="D247" s="32"/>
      <c r="E247" s="32"/>
    </row>
    <row r="248" spans="1:5" x14ac:dyDescent="0.25">
      <c r="A248" s="32"/>
      <c r="B248" s="32"/>
      <c r="C248" s="32"/>
      <c r="D248" s="32"/>
      <c r="E248" s="32"/>
    </row>
    <row r="249" spans="1:5" x14ac:dyDescent="0.25">
      <c r="A249" s="32"/>
      <c r="B249" s="32"/>
      <c r="C249" s="32"/>
      <c r="D249" s="32"/>
      <c r="E249" s="32"/>
    </row>
    <row r="250" spans="1:5" x14ac:dyDescent="0.25">
      <c r="A250" s="32"/>
      <c r="B250" s="32"/>
      <c r="C250" s="32"/>
      <c r="D250" s="32"/>
      <c r="E250" s="32"/>
    </row>
    <row r="251" spans="1:5" x14ac:dyDescent="0.25">
      <c r="A251" s="32"/>
      <c r="B251" s="32"/>
      <c r="C251" s="32"/>
      <c r="D251" s="32"/>
      <c r="E251" s="32"/>
    </row>
    <row r="252" spans="1:5" x14ac:dyDescent="0.25">
      <c r="A252" s="32"/>
      <c r="B252" s="32"/>
      <c r="C252" s="32"/>
      <c r="D252" s="32"/>
      <c r="E252" s="32"/>
    </row>
    <row r="253" spans="1:5" x14ac:dyDescent="0.25">
      <c r="A253" s="32"/>
      <c r="B253" s="32"/>
      <c r="C253" s="32"/>
      <c r="D253" s="32"/>
      <c r="E253" s="32"/>
    </row>
    <row r="254" spans="1:5" x14ac:dyDescent="0.25">
      <c r="A254" s="32"/>
      <c r="B254" s="32"/>
      <c r="C254" s="32"/>
      <c r="D254" s="32"/>
      <c r="E254" s="32"/>
    </row>
    <row r="255" spans="1:5" x14ac:dyDescent="0.25">
      <c r="A255" s="32"/>
      <c r="B255" s="32"/>
      <c r="C255" s="32"/>
      <c r="D255" s="32"/>
      <c r="E255" s="32"/>
    </row>
    <row r="256" spans="1:5" x14ac:dyDescent="0.25">
      <c r="A256" s="32"/>
      <c r="B256" s="32"/>
      <c r="C256" s="32"/>
      <c r="D256" s="32"/>
      <c r="E256" s="32"/>
    </row>
    <row r="257" spans="1:5" x14ac:dyDescent="0.25">
      <c r="A257" s="32"/>
      <c r="B257" s="32"/>
      <c r="C257" s="32"/>
      <c r="D257" s="32"/>
      <c r="E257" s="32"/>
    </row>
    <row r="258" spans="1:5" x14ac:dyDescent="0.25">
      <c r="A258" s="32"/>
      <c r="B258" s="32"/>
      <c r="C258" s="32"/>
      <c r="D258" s="32"/>
      <c r="E258" s="32"/>
    </row>
    <row r="259" spans="1:5" x14ac:dyDescent="0.25">
      <c r="A259" s="32"/>
      <c r="B259" s="32"/>
      <c r="C259" s="32"/>
      <c r="D259" s="32"/>
      <c r="E259" s="32"/>
    </row>
    <row r="260" spans="1:5" x14ac:dyDescent="0.25">
      <c r="A260" s="32"/>
      <c r="B260" s="32"/>
      <c r="C260" s="32"/>
      <c r="D260" s="32"/>
      <c r="E260" s="32"/>
    </row>
    <row r="261" spans="1:5" x14ac:dyDescent="0.25">
      <c r="A261" s="32"/>
      <c r="B261" s="32"/>
      <c r="C261" s="32"/>
      <c r="D261" s="32"/>
      <c r="E261" s="32"/>
    </row>
    <row r="262" spans="1:5" x14ac:dyDescent="0.25">
      <c r="A262" s="32"/>
      <c r="B262" s="32"/>
      <c r="C262" s="32"/>
      <c r="D262" s="32"/>
      <c r="E262" s="32"/>
    </row>
    <row r="263" spans="1:5" x14ac:dyDescent="0.25">
      <c r="A263" s="32"/>
      <c r="B263" s="32"/>
      <c r="C263" s="32"/>
      <c r="D263" s="32"/>
      <c r="E263" s="32"/>
    </row>
    <row r="264" spans="1:5" x14ac:dyDescent="0.25">
      <c r="A264" s="32"/>
      <c r="B264" s="32"/>
      <c r="C264" s="32"/>
      <c r="D264" s="32"/>
      <c r="E264" s="32"/>
    </row>
    <row r="265" spans="1:5" x14ac:dyDescent="0.25">
      <c r="A265" s="32"/>
      <c r="B265" s="32"/>
      <c r="C265" s="32"/>
      <c r="D265" s="32"/>
      <c r="E265" s="32"/>
    </row>
    <row r="266" spans="1:5" x14ac:dyDescent="0.25">
      <c r="A266" s="32"/>
      <c r="B266" s="32"/>
      <c r="C266" s="32"/>
      <c r="D266" s="32"/>
      <c r="E266" s="32"/>
    </row>
    <row r="267" spans="1:5" x14ac:dyDescent="0.25">
      <c r="A267" s="32"/>
      <c r="B267" s="32"/>
      <c r="C267" s="32"/>
      <c r="D267" s="32"/>
      <c r="E267" s="32"/>
    </row>
    <row r="268" spans="1:5" x14ac:dyDescent="0.25">
      <c r="A268" s="32"/>
      <c r="B268" s="32"/>
      <c r="C268" s="32"/>
      <c r="D268" s="32"/>
      <c r="E268" s="32"/>
    </row>
    <row r="269" spans="1:5" x14ac:dyDescent="0.25">
      <c r="A269" s="32"/>
      <c r="B269" s="32"/>
      <c r="C269" s="32"/>
      <c r="D269" s="32"/>
      <c r="E269" s="32"/>
    </row>
    <row r="270" spans="1:5" x14ac:dyDescent="0.25">
      <c r="A270" s="32"/>
      <c r="B270" s="32"/>
      <c r="C270" s="32"/>
      <c r="D270" s="32"/>
      <c r="E270" s="32"/>
    </row>
    <row r="271" spans="1:5" x14ac:dyDescent="0.25">
      <c r="A271" s="32"/>
      <c r="B271" s="32"/>
      <c r="C271" s="32"/>
      <c r="D271" s="32"/>
      <c r="E271" s="32"/>
    </row>
    <row r="272" spans="1:5" x14ac:dyDescent="0.25">
      <c r="A272" s="32"/>
      <c r="B272" s="32"/>
      <c r="C272" s="32"/>
      <c r="D272" s="32"/>
      <c r="E272" s="32"/>
    </row>
    <row r="273" spans="1:5" x14ac:dyDescent="0.25">
      <c r="A273" s="32"/>
      <c r="B273" s="32"/>
      <c r="C273" s="32"/>
      <c r="D273" s="32"/>
      <c r="E273" s="32"/>
    </row>
    <row r="274" spans="1:5" x14ac:dyDescent="0.25">
      <c r="A274" s="32"/>
      <c r="B274" s="32"/>
      <c r="C274" s="32"/>
      <c r="D274" s="32"/>
      <c r="E274" s="32"/>
    </row>
    <row r="275" spans="1:5" x14ac:dyDescent="0.25">
      <c r="A275" s="32"/>
      <c r="B275" s="32"/>
      <c r="C275" s="32"/>
      <c r="D275" s="32"/>
      <c r="E275" s="32"/>
    </row>
    <row r="276" spans="1:5" x14ac:dyDescent="0.25">
      <c r="A276" s="32"/>
      <c r="B276" s="32"/>
      <c r="C276" s="32"/>
      <c r="D276" s="32"/>
      <c r="E276" s="32"/>
    </row>
    <row r="277" spans="1:5" x14ac:dyDescent="0.25">
      <c r="A277" s="32"/>
      <c r="B277" s="32"/>
      <c r="C277" s="32"/>
      <c r="D277" s="32"/>
      <c r="E277" s="32"/>
    </row>
    <row r="278" spans="1:5" x14ac:dyDescent="0.25">
      <c r="A278" s="32"/>
      <c r="B278" s="32"/>
      <c r="C278" s="32"/>
      <c r="D278" s="32"/>
      <c r="E278" s="32"/>
    </row>
    <row r="279" spans="1:5" x14ac:dyDescent="0.25">
      <c r="A279" s="32"/>
      <c r="B279" s="32"/>
      <c r="C279" s="32"/>
      <c r="D279" s="32"/>
      <c r="E279" s="32"/>
    </row>
    <row r="280" spans="1:5" x14ac:dyDescent="0.25">
      <c r="A280" s="32"/>
      <c r="B280" s="32"/>
      <c r="C280" s="32"/>
      <c r="D280" s="32"/>
      <c r="E280" s="32"/>
    </row>
    <row r="281" spans="1:5" x14ac:dyDescent="0.25">
      <c r="A281" s="32"/>
      <c r="B281" s="32"/>
      <c r="C281" s="32"/>
      <c r="D281" s="32"/>
      <c r="E281" s="32"/>
    </row>
    <row r="282" spans="1:5" x14ac:dyDescent="0.25">
      <c r="A282" s="32"/>
      <c r="B282" s="32"/>
      <c r="C282" s="32"/>
      <c r="D282" s="32"/>
      <c r="E282" s="32"/>
    </row>
    <row r="283" spans="1:5" x14ac:dyDescent="0.25">
      <c r="A283" s="32"/>
      <c r="B283" s="32"/>
      <c r="C283" s="32"/>
      <c r="D283" s="32"/>
      <c r="E283" s="32"/>
    </row>
    <row r="284" spans="1:5" x14ac:dyDescent="0.25">
      <c r="A284" s="32"/>
      <c r="B284" s="32"/>
      <c r="C284" s="32"/>
      <c r="D284" s="32"/>
      <c r="E284" s="32"/>
    </row>
    <row r="285" spans="1:5" x14ac:dyDescent="0.25">
      <c r="A285" s="32"/>
      <c r="B285" s="32"/>
      <c r="C285" s="32"/>
      <c r="D285" s="32"/>
      <c r="E285" s="32"/>
    </row>
    <row r="286" spans="1:5" x14ac:dyDescent="0.25">
      <c r="A286" s="32"/>
      <c r="B286" s="32"/>
      <c r="C286" s="32"/>
      <c r="D286" s="32"/>
      <c r="E286" s="32"/>
    </row>
    <row r="287" spans="1:5" x14ac:dyDescent="0.25">
      <c r="A287" s="32"/>
      <c r="B287" s="32"/>
      <c r="C287" s="32"/>
      <c r="D287" s="32"/>
      <c r="E287" s="32"/>
    </row>
    <row r="288" spans="1:5" x14ac:dyDescent="0.25">
      <c r="A288" s="32"/>
      <c r="B288" s="32"/>
      <c r="C288" s="32"/>
      <c r="D288" s="32"/>
      <c r="E288" s="32"/>
    </row>
    <row r="289" spans="1:5" x14ac:dyDescent="0.25">
      <c r="A289" s="32"/>
      <c r="B289" s="32"/>
      <c r="C289" s="32"/>
      <c r="D289" s="32"/>
      <c r="E289" s="32"/>
    </row>
    <row r="290" spans="1:5" x14ac:dyDescent="0.25">
      <c r="A290" s="32"/>
      <c r="B290" s="32"/>
      <c r="C290" s="32"/>
      <c r="D290" s="32"/>
      <c r="E290" s="32"/>
    </row>
    <row r="291" spans="1:5" x14ac:dyDescent="0.25">
      <c r="A291" s="32"/>
      <c r="B291" s="32"/>
      <c r="C291" s="32"/>
      <c r="D291" s="32"/>
      <c r="E291" s="32"/>
    </row>
    <row r="292" spans="1:5" x14ac:dyDescent="0.25">
      <c r="A292" s="32"/>
      <c r="B292" s="32"/>
      <c r="C292" s="32"/>
      <c r="D292" s="32"/>
      <c r="E292" s="32"/>
    </row>
    <row r="293" spans="1:5" x14ac:dyDescent="0.25">
      <c r="A293" s="32"/>
      <c r="B293" s="32"/>
      <c r="C293" s="32"/>
      <c r="D293" s="32"/>
      <c r="E293" s="32"/>
    </row>
    <row r="294" spans="1:5" x14ac:dyDescent="0.25">
      <c r="A294" s="32"/>
      <c r="B294" s="32"/>
      <c r="C294" s="32"/>
      <c r="D294" s="32"/>
      <c r="E294" s="32"/>
    </row>
    <row r="295" spans="1:5" x14ac:dyDescent="0.25">
      <c r="A295" s="32"/>
      <c r="B295" s="32"/>
      <c r="C295" s="32"/>
      <c r="D295" s="32"/>
      <c r="E295" s="32"/>
    </row>
    <row r="296" spans="1:5" x14ac:dyDescent="0.25">
      <c r="A296" s="32"/>
      <c r="B296" s="32"/>
      <c r="C296" s="32"/>
      <c r="D296" s="32"/>
      <c r="E296" s="32"/>
    </row>
    <row r="297" spans="1:5" x14ac:dyDescent="0.25">
      <c r="A297" s="32"/>
      <c r="B297" s="32"/>
      <c r="C297" s="32"/>
      <c r="D297" s="32"/>
      <c r="E297" s="32"/>
    </row>
    <row r="298" spans="1:5" x14ac:dyDescent="0.25">
      <c r="A298" s="32"/>
      <c r="B298" s="32"/>
      <c r="C298" s="32"/>
      <c r="D298" s="32"/>
      <c r="E298" s="32"/>
    </row>
    <row r="299" spans="1:5" x14ac:dyDescent="0.25">
      <c r="A299" s="32"/>
      <c r="B299" s="32"/>
      <c r="C299" s="32"/>
      <c r="D299" s="32"/>
      <c r="E299" s="32"/>
    </row>
    <row r="300" spans="1:5" x14ac:dyDescent="0.25">
      <c r="A300" s="32"/>
      <c r="B300" s="32"/>
      <c r="C300" s="32"/>
      <c r="D300" s="32"/>
      <c r="E300" s="32"/>
    </row>
    <row r="301" spans="1:5" x14ac:dyDescent="0.25">
      <c r="A301" s="32"/>
      <c r="B301" s="32"/>
      <c r="C301" s="32"/>
      <c r="D301" s="32"/>
      <c r="E301" s="32"/>
    </row>
    <row r="302" spans="1:5" x14ac:dyDescent="0.25">
      <c r="A302" s="32"/>
      <c r="B302" s="32"/>
      <c r="C302" s="32"/>
      <c r="D302" s="32"/>
      <c r="E302" s="32"/>
    </row>
    <row r="303" spans="1:5" x14ac:dyDescent="0.25">
      <c r="A303" s="32"/>
      <c r="B303" s="32"/>
      <c r="C303" s="32"/>
      <c r="D303" s="32"/>
      <c r="E303" s="32"/>
    </row>
    <row r="304" spans="1:5" x14ac:dyDescent="0.25">
      <c r="A304" s="32"/>
      <c r="B304" s="32"/>
      <c r="C304" s="32"/>
      <c r="D304" s="32"/>
      <c r="E304" s="32"/>
    </row>
  </sheetData>
  <sheetProtection password="D0B3" sheet="1" objects="1" scenarios="1" formatColumns="0" formatRows="0" autoFilter="0"/>
  <hyperlinks>
    <hyperlink ref="A3" r:id="rId1" xr:uid="{00000000-0004-0000-05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H1004"/>
  <sheetViews>
    <sheetView showGridLines="0" tabSelected="1" workbookViewId="0">
      <pane xSplit="2" ySplit="4" topLeftCell="C5" activePane="bottomRight" state="frozen"/>
      <selection pane="topRight"/>
      <selection pane="bottomLeft"/>
      <selection pane="bottomRight" activeCell="G10" sqref="G10"/>
    </sheetView>
  </sheetViews>
  <sheetFormatPr defaultRowHeight="14.4" x14ac:dyDescent="0.25"/>
  <cols>
    <col min="1" max="2" width="14" customWidth="1"/>
    <col min="3" max="3" width="18" customWidth="1"/>
    <col min="4" max="4" width="14" customWidth="1"/>
    <col min="5" max="5" width="18" customWidth="1"/>
    <col min="6" max="6" width="20" customWidth="1"/>
    <col min="7" max="7" width="16" customWidth="1"/>
    <col min="8" max="8" width="40" customWidth="1"/>
  </cols>
  <sheetData>
    <row r="1" spans="1:8" ht="17.55" x14ac:dyDescent="0.3">
      <c r="A1" s="1" t="s">
        <v>224</v>
      </c>
    </row>
    <row r="2" spans="1:8" x14ac:dyDescent="0.25">
      <c r="A2" s="2" t="s">
        <v>225</v>
      </c>
    </row>
    <row r="3" spans="1:8" x14ac:dyDescent="0.25">
      <c r="A3" s="28" t="s">
        <v>4</v>
      </c>
    </row>
    <row r="4" spans="1:8" ht="48.05" customHeight="1" x14ac:dyDescent="0.25">
      <c r="A4" s="11" t="s">
        <v>213</v>
      </c>
      <c r="B4" s="11" t="s">
        <v>177</v>
      </c>
      <c r="C4" s="11" t="s">
        <v>226</v>
      </c>
      <c r="D4" s="11" t="s">
        <v>227</v>
      </c>
      <c r="E4" s="12" t="s">
        <v>228</v>
      </c>
      <c r="F4" s="11" t="s">
        <v>229</v>
      </c>
      <c r="G4" s="11" t="s">
        <v>230</v>
      </c>
      <c r="H4" s="11" t="s">
        <v>154</v>
      </c>
    </row>
    <row r="5" spans="1:8" x14ac:dyDescent="0.25">
      <c r="A5" s="32" t="s">
        <v>215</v>
      </c>
      <c r="B5" s="32" t="s">
        <v>184</v>
      </c>
      <c r="C5" s="37">
        <v>1.8</v>
      </c>
      <c r="D5" s="38">
        <v>0.03</v>
      </c>
      <c r="E5" s="39">
        <f t="shared" ref="E5:E68" si="0">IF(OR(A5="",C5=""),"",C5*(1+D5))</f>
        <v>1.8540000000000001</v>
      </c>
      <c r="F5" s="37">
        <v>1.8540000000000001</v>
      </c>
      <c r="G5" s="40"/>
      <c r="H5" s="32"/>
    </row>
    <row r="6" spans="1:8" x14ac:dyDescent="0.25">
      <c r="A6" s="32" t="s">
        <v>215</v>
      </c>
      <c r="B6" s="32" t="s">
        <v>190</v>
      </c>
      <c r="C6" s="37">
        <v>120</v>
      </c>
      <c r="D6" s="38">
        <v>0.05</v>
      </c>
      <c r="E6" s="39">
        <f t="shared" si="0"/>
        <v>126</v>
      </c>
      <c r="F6" s="37">
        <v>126</v>
      </c>
      <c r="G6" s="40"/>
      <c r="H6" s="32"/>
    </row>
    <row r="7" spans="1:8" x14ac:dyDescent="0.25">
      <c r="A7" s="32" t="s">
        <v>215</v>
      </c>
      <c r="B7" s="32" t="s">
        <v>193</v>
      </c>
      <c r="C7" s="37">
        <v>6</v>
      </c>
      <c r="D7" s="38">
        <v>0.02</v>
      </c>
      <c r="E7" s="39">
        <f t="shared" si="0"/>
        <v>6.12</v>
      </c>
      <c r="F7" s="37">
        <v>6.12</v>
      </c>
      <c r="G7" s="40"/>
      <c r="H7" s="32"/>
    </row>
    <row r="8" spans="1:8" x14ac:dyDescent="0.25">
      <c r="A8" s="32" t="s">
        <v>215</v>
      </c>
      <c r="B8" s="32" t="s">
        <v>197</v>
      </c>
      <c r="C8" s="37">
        <v>1</v>
      </c>
      <c r="D8" s="38">
        <v>0.01</v>
      </c>
      <c r="E8" s="39">
        <f t="shared" si="0"/>
        <v>1.01</v>
      </c>
      <c r="F8" s="37">
        <v>1.01</v>
      </c>
      <c r="G8" s="40"/>
      <c r="H8" s="32"/>
    </row>
    <row r="9" spans="1:8" x14ac:dyDescent="0.25">
      <c r="A9" s="32" t="s">
        <v>215</v>
      </c>
      <c r="B9" s="32" t="s">
        <v>200</v>
      </c>
      <c r="C9" s="37">
        <v>2</v>
      </c>
      <c r="D9" s="38">
        <v>0.01</v>
      </c>
      <c r="E9" s="39">
        <f t="shared" si="0"/>
        <v>2.02</v>
      </c>
      <c r="F9" s="37">
        <v>2.02</v>
      </c>
      <c r="G9" s="40"/>
      <c r="H9" s="32"/>
    </row>
    <row r="10" spans="1:8" x14ac:dyDescent="0.25">
      <c r="A10" s="32" t="s">
        <v>215</v>
      </c>
      <c r="B10" s="32" t="s">
        <v>207</v>
      </c>
      <c r="C10" s="37">
        <v>1</v>
      </c>
      <c r="D10" s="38">
        <v>0</v>
      </c>
      <c r="E10" s="39">
        <f t="shared" si="0"/>
        <v>1</v>
      </c>
      <c r="F10" s="37">
        <v>1</v>
      </c>
      <c r="G10" s="40" t="s">
        <v>231</v>
      </c>
      <c r="H10" s="32"/>
    </row>
    <row r="11" spans="1:8" x14ac:dyDescent="0.25">
      <c r="A11" s="32" t="s">
        <v>215</v>
      </c>
      <c r="B11" s="32" t="s">
        <v>203</v>
      </c>
      <c r="C11" s="37"/>
      <c r="D11" s="38"/>
      <c r="E11" s="39" t="str">
        <f t="shared" si="0"/>
        <v/>
      </c>
      <c r="F11" s="37"/>
      <c r="G11" s="40" t="s">
        <v>232</v>
      </c>
      <c r="H11" s="32" t="s">
        <v>233</v>
      </c>
    </row>
    <row r="12" spans="1:8" x14ac:dyDescent="0.25">
      <c r="A12" s="32" t="s">
        <v>218</v>
      </c>
      <c r="B12" s="32" t="s">
        <v>184</v>
      </c>
      <c r="C12" s="37">
        <v>1.2</v>
      </c>
      <c r="D12" s="38">
        <v>0.03</v>
      </c>
      <c r="E12" s="39">
        <f t="shared" si="0"/>
        <v>1.236</v>
      </c>
      <c r="F12" s="37">
        <v>1.236</v>
      </c>
      <c r="G12" s="40"/>
      <c r="H12" s="32"/>
    </row>
    <row r="13" spans="1:8" x14ac:dyDescent="0.25">
      <c r="A13" s="32" t="s">
        <v>218</v>
      </c>
      <c r="B13" s="32" t="s">
        <v>190</v>
      </c>
      <c r="C13" s="37">
        <v>80</v>
      </c>
      <c r="D13" s="38">
        <v>0.05</v>
      </c>
      <c r="E13" s="39">
        <f t="shared" si="0"/>
        <v>84</v>
      </c>
      <c r="F13" s="37">
        <v>84</v>
      </c>
      <c r="G13" s="40"/>
      <c r="H13" s="32"/>
    </row>
    <row r="14" spans="1:8" x14ac:dyDescent="0.25">
      <c r="A14" s="32" t="s">
        <v>218</v>
      </c>
      <c r="B14" s="32" t="s">
        <v>193</v>
      </c>
      <c r="C14" s="37">
        <v>2</v>
      </c>
      <c r="D14" s="38">
        <v>0.02</v>
      </c>
      <c r="E14" s="39">
        <f t="shared" si="0"/>
        <v>2.04</v>
      </c>
      <c r="F14" s="37">
        <v>2.04</v>
      </c>
      <c r="G14" s="40"/>
      <c r="H14" s="32"/>
    </row>
    <row r="15" spans="1:8" x14ac:dyDescent="0.25">
      <c r="A15" s="32" t="s">
        <v>218</v>
      </c>
      <c r="B15" s="32" t="s">
        <v>197</v>
      </c>
      <c r="C15" s="37">
        <v>1</v>
      </c>
      <c r="D15" s="38">
        <v>0.01</v>
      </c>
      <c r="E15" s="39">
        <f t="shared" si="0"/>
        <v>1.01</v>
      </c>
      <c r="F15" s="37">
        <v>1.01</v>
      </c>
      <c r="G15" s="40"/>
      <c r="H15" s="32"/>
    </row>
    <row r="16" spans="1:8" x14ac:dyDescent="0.25">
      <c r="A16" s="32" t="s">
        <v>218</v>
      </c>
      <c r="B16" s="32" t="s">
        <v>200</v>
      </c>
      <c r="C16" s="37">
        <v>1</v>
      </c>
      <c r="D16" s="38">
        <v>0.01</v>
      </c>
      <c r="E16" s="39">
        <f t="shared" si="0"/>
        <v>1.01</v>
      </c>
      <c r="F16" s="37">
        <v>1.01</v>
      </c>
      <c r="G16" s="40"/>
      <c r="H16" s="32"/>
    </row>
    <row r="17" spans="1:8" x14ac:dyDescent="0.25">
      <c r="A17" s="32" t="s">
        <v>218</v>
      </c>
      <c r="B17" s="32" t="s">
        <v>207</v>
      </c>
      <c r="C17" s="37">
        <v>1</v>
      </c>
      <c r="D17" s="38">
        <v>0</v>
      </c>
      <c r="E17" s="39">
        <f t="shared" si="0"/>
        <v>1</v>
      </c>
      <c r="F17" s="37">
        <v>1</v>
      </c>
      <c r="G17" s="40" t="s">
        <v>231</v>
      </c>
      <c r="H17" s="32"/>
    </row>
    <row r="18" spans="1:8" x14ac:dyDescent="0.25">
      <c r="A18" s="32" t="s">
        <v>218</v>
      </c>
      <c r="B18" s="32" t="s">
        <v>203</v>
      </c>
      <c r="C18" s="37"/>
      <c r="D18" s="38"/>
      <c r="E18" s="39" t="str">
        <f t="shared" si="0"/>
        <v/>
      </c>
      <c r="F18" s="37"/>
      <c r="G18" s="40" t="s">
        <v>232</v>
      </c>
      <c r="H18" s="32"/>
    </row>
    <row r="19" spans="1:8" x14ac:dyDescent="0.25">
      <c r="A19" s="32" t="s">
        <v>221</v>
      </c>
      <c r="B19" s="32" t="s">
        <v>184</v>
      </c>
      <c r="C19" s="37">
        <v>1.5</v>
      </c>
      <c r="D19" s="38">
        <v>0.03</v>
      </c>
      <c r="E19" s="39">
        <f t="shared" si="0"/>
        <v>1.5449999999999999</v>
      </c>
      <c r="F19" s="37">
        <v>1.5449999999999999</v>
      </c>
      <c r="G19" s="40"/>
      <c r="H19" s="32"/>
    </row>
    <row r="20" spans="1:8" x14ac:dyDescent="0.25">
      <c r="A20" s="32" t="s">
        <v>221</v>
      </c>
      <c r="B20" s="32" t="s">
        <v>190</v>
      </c>
      <c r="C20" s="37">
        <v>90</v>
      </c>
      <c r="D20" s="38">
        <v>0.05</v>
      </c>
      <c r="E20" s="39">
        <f t="shared" si="0"/>
        <v>94.5</v>
      </c>
      <c r="F20" s="37">
        <v>94.5</v>
      </c>
      <c r="G20" s="40"/>
      <c r="H20" s="32"/>
    </row>
    <row r="21" spans="1:8" x14ac:dyDescent="0.25">
      <c r="A21" s="32" t="s">
        <v>221</v>
      </c>
      <c r="B21" s="32" t="s">
        <v>197</v>
      </c>
      <c r="C21" s="37">
        <v>1</v>
      </c>
      <c r="D21" s="38">
        <v>0.01</v>
      </c>
      <c r="E21" s="39">
        <f t="shared" si="0"/>
        <v>1.01</v>
      </c>
      <c r="F21" s="37">
        <v>1.01</v>
      </c>
      <c r="G21" s="40"/>
      <c r="H21" s="32"/>
    </row>
    <row r="22" spans="1:8" x14ac:dyDescent="0.25">
      <c r="A22" s="32" t="s">
        <v>221</v>
      </c>
      <c r="B22" s="32" t="s">
        <v>200</v>
      </c>
      <c r="C22" s="37">
        <v>1</v>
      </c>
      <c r="D22" s="38">
        <v>0.01</v>
      </c>
      <c r="E22" s="39">
        <f t="shared" si="0"/>
        <v>1.01</v>
      </c>
      <c r="F22" s="37">
        <v>1.01</v>
      </c>
      <c r="G22" s="40"/>
      <c r="H22" s="32"/>
    </row>
    <row r="23" spans="1:8" x14ac:dyDescent="0.25">
      <c r="A23" s="32" t="s">
        <v>221</v>
      </c>
      <c r="B23" s="32" t="s">
        <v>207</v>
      </c>
      <c r="C23" s="37">
        <v>1</v>
      </c>
      <c r="D23" s="38">
        <v>0</v>
      </c>
      <c r="E23" s="39">
        <f t="shared" si="0"/>
        <v>1</v>
      </c>
      <c r="F23" s="37">
        <v>1</v>
      </c>
      <c r="G23" s="40" t="s">
        <v>231</v>
      </c>
      <c r="H23" s="32"/>
    </row>
    <row r="24" spans="1:8" x14ac:dyDescent="0.25">
      <c r="A24" s="32"/>
      <c r="B24" s="32"/>
      <c r="C24" s="37"/>
      <c r="D24" s="38"/>
      <c r="E24" s="39" t="str">
        <f t="shared" si="0"/>
        <v/>
      </c>
      <c r="F24" s="37"/>
      <c r="G24" s="40"/>
      <c r="H24" s="32"/>
    </row>
    <row r="25" spans="1:8" x14ac:dyDescent="0.25">
      <c r="A25" s="32"/>
      <c r="B25" s="32"/>
      <c r="C25" s="37"/>
      <c r="D25" s="38"/>
      <c r="E25" s="39" t="str">
        <f t="shared" si="0"/>
        <v/>
      </c>
      <c r="F25" s="37"/>
      <c r="G25" s="40"/>
      <c r="H25" s="32"/>
    </row>
    <row r="26" spans="1:8" x14ac:dyDescent="0.25">
      <c r="A26" s="32"/>
      <c r="B26" s="32"/>
      <c r="C26" s="37"/>
      <c r="D26" s="38"/>
      <c r="E26" s="39" t="str">
        <f t="shared" si="0"/>
        <v/>
      </c>
      <c r="F26" s="37"/>
      <c r="G26" s="40"/>
      <c r="H26" s="32"/>
    </row>
    <row r="27" spans="1:8" x14ac:dyDescent="0.25">
      <c r="A27" s="32"/>
      <c r="B27" s="32"/>
      <c r="C27" s="37"/>
      <c r="D27" s="38"/>
      <c r="E27" s="39" t="str">
        <f t="shared" si="0"/>
        <v/>
      </c>
      <c r="F27" s="37"/>
      <c r="G27" s="40"/>
      <c r="H27" s="32"/>
    </row>
    <row r="28" spans="1:8" x14ac:dyDescent="0.25">
      <c r="A28" s="32"/>
      <c r="B28" s="32"/>
      <c r="C28" s="37"/>
      <c r="D28" s="38"/>
      <c r="E28" s="39" t="str">
        <f t="shared" si="0"/>
        <v/>
      </c>
      <c r="F28" s="37"/>
      <c r="G28" s="40"/>
      <c r="H28" s="32"/>
    </row>
    <row r="29" spans="1:8" x14ac:dyDescent="0.25">
      <c r="A29" s="32"/>
      <c r="B29" s="32"/>
      <c r="C29" s="37"/>
      <c r="D29" s="38"/>
      <c r="E29" s="39" t="str">
        <f t="shared" si="0"/>
        <v/>
      </c>
      <c r="F29" s="37"/>
      <c r="G29" s="40"/>
      <c r="H29" s="32"/>
    </row>
    <row r="30" spans="1:8" x14ac:dyDescent="0.25">
      <c r="A30" s="32"/>
      <c r="B30" s="32"/>
      <c r="C30" s="37"/>
      <c r="D30" s="38"/>
      <c r="E30" s="39" t="str">
        <f t="shared" si="0"/>
        <v/>
      </c>
      <c r="F30" s="37"/>
      <c r="G30" s="40"/>
      <c r="H30" s="32"/>
    </row>
    <row r="31" spans="1:8" x14ac:dyDescent="0.25">
      <c r="A31" s="32"/>
      <c r="B31" s="32"/>
      <c r="C31" s="37"/>
      <c r="D31" s="38"/>
      <c r="E31" s="39" t="str">
        <f t="shared" si="0"/>
        <v/>
      </c>
      <c r="F31" s="37"/>
      <c r="G31" s="40"/>
      <c r="H31" s="32"/>
    </row>
    <row r="32" spans="1:8" x14ac:dyDescent="0.25">
      <c r="A32" s="32"/>
      <c r="B32" s="32"/>
      <c r="C32" s="37"/>
      <c r="D32" s="38"/>
      <c r="E32" s="39" t="str">
        <f t="shared" si="0"/>
        <v/>
      </c>
      <c r="F32" s="37"/>
      <c r="G32" s="40"/>
      <c r="H32" s="32"/>
    </row>
    <row r="33" spans="1:8" x14ac:dyDescent="0.25">
      <c r="A33" s="32"/>
      <c r="B33" s="32"/>
      <c r="C33" s="37"/>
      <c r="D33" s="38"/>
      <c r="E33" s="39" t="str">
        <f t="shared" si="0"/>
        <v/>
      </c>
      <c r="F33" s="37"/>
      <c r="G33" s="40"/>
      <c r="H33" s="32"/>
    </row>
    <row r="34" spans="1:8" x14ac:dyDescent="0.25">
      <c r="A34" s="32"/>
      <c r="B34" s="32"/>
      <c r="C34" s="37"/>
      <c r="D34" s="38"/>
      <c r="E34" s="39" t="str">
        <f t="shared" si="0"/>
        <v/>
      </c>
      <c r="F34" s="37"/>
      <c r="G34" s="40"/>
      <c r="H34" s="32"/>
    </row>
    <row r="35" spans="1:8" x14ac:dyDescent="0.25">
      <c r="A35" s="32"/>
      <c r="B35" s="32"/>
      <c r="C35" s="37"/>
      <c r="D35" s="38"/>
      <c r="E35" s="39" t="str">
        <f t="shared" si="0"/>
        <v/>
      </c>
      <c r="F35" s="37"/>
      <c r="G35" s="40"/>
      <c r="H35" s="32"/>
    </row>
    <row r="36" spans="1:8" x14ac:dyDescent="0.25">
      <c r="A36" s="32"/>
      <c r="B36" s="32"/>
      <c r="C36" s="37"/>
      <c r="D36" s="38"/>
      <c r="E36" s="39" t="str">
        <f t="shared" si="0"/>
        <v/>
      </c>
      <c r="F36" s="37"/>
      <c r="G36" s="40"/>
      <c r="H36" s="32"/>
    </row>
    <row r="37" spans="1:8" x14ac:dyDescent="0.25">
      <c r="A37" s="32"/>
      <c r="B37" s="32"/>
      <c r="C37" s="37"/>
      <c r="D37" s="38"/>
      <c r="E37" s="39" t="str">
        <f t="shared" si="0"/>
        <v/>
      </c>
      <c r="F37" s="37"/>
      <c r="G37" s="40"/>
      <c r="H37" s="32"/>
    </row>
    <row r="38" spans="1:8" x14ac:dyDescent="0.25">
      <c r="A38" s="32"/>
      <c r="B38" s="32"/>
      <c r="C38" s="37"/>
      <c r="D38" s="38"/>
      <c r="E38" s="39" t="str">
        <f t="shared" si="0"/>
        <v/>
      </c>
      <c r="F38" s="37"/>
      <c r="G38" s="40"/>
      <c r="H38" s="32"/>
    </row>
    <row r="39" spans="1:8" x14ac:dyDescent="0.25">
      <c r="A39" s="32"/>
      <c r="B39" s="32"/>
      <c r="C39" s="37"/>
      <c r="D39" s="38"/>
      <c r="E39" s="39" t="str">
        <f t="shared" si="0"/>
        <v/>
      </c>
      <c r="F39" s="37"/>
      <c r="G39" s="40"/>
      <c r="H39" s="32"/>
    </row>
    <row r="40" spans="1:8" x14ac:dyDescent="0.25">
      <c r="A40" s="32"/>
      <c r="B40" s="32"/>
      <c r="C40" s="37"/>
      <c r="D40" s="38"/>
      <c r="E40" s="39" t="str">
        <f t="shared" si="0"/>
        <v/>
      </c>
      <c r="F40" s="37"/>
      <c r="G40" s="40"/>
      <c r="H40" s="32"/>
    </row>
    <row r="41" spans="1:8" x14ac:dyDescent="0.25">
      <c r="A41" s="32"/>
      <c r="B41" s="32"/>
      <c r="C41" s="37"/>
      <c r="D41" s="38"/>
      <c r="E41" s="39" t="str">
        <f t="shared" si="0"/>
        <v/>
      </c>
      <c r="F41" s="37"/>
      <c r="G41" s="40"/>
      <c r="H41" s="32"/>
    </row>
    <row r="42" spans="1:8" x14ac:dyDescent="0.25">
      <c r="A42" s="32"/>
      <c r="B42" s="32"/>
      <c r="C42" s="37"/>
      <c r="D42" s="38"/>
      <c r="E42" s="39" t="str">
        <f t="shared" si="0"/>
        <v/>
      </c>
      <c r="F42" s="37"/>
      <c r="G42" s="40"/>
      <c r="H42" s="32"/>
    </row>
    <row r="43" spans="1:8" x14ac:dyDescent="0.25">
      <c r="A43" s="32"/>
      <c r="B43" s="32"/>
      <c r="C43" s="37"/>
      <c r="D43" s="38"/>
      <c r="E43" s="39" t="str">
        <f t="shared" si="0"/>
        <v/>
      </c>
      <c r="F43" s="37"/>
      <c r="G43" s="40"/>
      <c r="H43" s="32"/>
    </row>
    <row r="44" spans="1:8" x14ac:dyDescent="0.25">
      <c r="A44" s="32"/>
      <c r="B44" s="32"/>
      <c r="C44" s="37"/>
      <c r="D44" s="38"/>
      <c r="E44" s="39" t="str">
        <f t="shared" si="0"/>
        <v/>
      </c>
      <c r="F44" s="37"/>
      <c r="G44" s="40"/>
      <c r="H44" s="32"/>
    </row>
    <row r="45" spans="1:8" x14ac:dyDescent="0.25">
      <c r="A45" s="32"/>
      <c r="B45" s="32"/>
      <c r="C45" s="37"/>
      <c r="D45" s="38"/>
      <c r="E45" s="39" t="str">
        <f t="shared" si="0"/>
        <v/>
      </c>
      <c r="F45" s="37"/>
      <c r="G45" s="40"/>
      <c r="H45" s="32"/>
    </row>
    <row r="46" spans="1:8" x14ac:dyDescent="0.25">
      <c r="A46" s="32"/>
      <c r="B46" s="32"/>
      <c r="C46" s="37"/>
      <c r="D46" s="38"/>
      <c r="E46" s="39" t="str">
        <f t="shared" si="0"/>
        <v/>
      </c>
      <c r="F46" s="37"/>
      <c r="G46" s="40"/>
      <c r="H46" s="32"/>
    </row>
    <row r="47" spans="1:8" x14ac:dyDescent="0.25">
      <c r="A47" s="32"/>
      <c r="B47" s="32"/>
      <c r="C47" s="37"/>
      <c r="D47" s="38"/>
      <c r="E47" s="39" t="str">
        <f t="shared" si="0"/>
        <v/>
      </c>
      <c r="F47" s="37"/>
      <c r="G47" s="40"/>
      <c r="H47" s="32"/>
    </row>
    <row r="48" spans="1:8" x14ac:dyDescent="0.25">
      <c r="A48" s="32"/>
      <c r="B48" s="32"/>
      <c r="C48" s="37"/>
      <c r="D48" s="38"/>
      <c r="E48" s="39" t="str">
        <f t="shared" si="0"/>
        <v/>
      </c>
      <c r="F48" s="37"/>
      <c r="G48" s="40"/>
      <c r="H48" s="32"/>
    </row>
    <row r="49" spans="1:8" x14ac:dyDescent="0.25">
      <c r="A49" s="32"/>
      <c r="B49" s="32"/>
      <c r="C49" s="37"/>
      <c r="D49" s="38"/>
      <c r="E49" s="39" t="str">
        <f t="shared" si="0"/>
        <v/>
      </c>
      <c r="F49" s="37"/>
      <c r="G49" s="40"/>
      <c r="H49" s="32"/>
    </row>
    <row r="50" spans="1:8" x14ac:dyDescent="0.25">
      <c r="A50" s="32"/>
      <c r="B50" s="32"/>
      <c r="C50" s="37"/>
      <c r="D50" s="38"/>
      <c r="E50" s="39" t="str">
        <f t="shared" si="0"/>
        <v/>
      </c>
      <c r="F50" s="37"/>
      <c r="G50" s="40"/>
      <c r="H50" s="32"/>
    </row>
    <row r="51" spans="1:8" x14ac:dyDescent="0.25">
      <c r="A51" s="32"/>
      <c r="B51" s="32"/>
      <c r="C51" s="37"/>
      <c r="D51" s="38"/>
      <c r="E51" s="39" t="str">
        <f t="shared" si="0"/>
        <v/>
      </c>
      <c r="F51" s="37"/>
      <c r="G51" s="40"/>
      <c r="H51" s="32"/>
    </row>
    <row r="52" spans="1:8" x14ac:dyDescent="0.25">
      <c r="A52" s="32"/>
      <c r="B52" s="32"/>
      <c r="C52" s="37"/>
      <c r="D52" s="38"/>
      <c r="E52" s="39" t="str">
        <f t="shared" si="0"/>
        <v/>
      </c>
      <c r="F52" s="37"/>
      <c r="G52" s="40"/>
      <c r="H52" s="32"/>
    </row>
    <row r="53" spans="1:8" x14ac:dyDescent="0.25">
      <c r="A53" s="32"/>
      <c r="B53" s="32"/>
      <c r="C53" s="37"/>
      <c r="D53" s="38"/>
      <c r="E53" s="39" t="str">
        <f t="shared" si="0"/>
        <v/>
      </c>
      <c r="F53" s="37"/>
      <c r="G53" s="40"/>
      <c r="H53" s="32"/>
    </row>
    <row r="54" spans="1:8" x14ac:dyDescent="0.25">
      <c r="A54" s="32"/>
      <c r="B54" s="32"/>
      <c r="C54" s="37"/>
      <c r="D54" s="38"/>
      <c r="E54" s="39" t="str">
        <f t="shared" si="0"/>
        <v/>
      </c>
      <c r="F54" s="37"/>
      <c r="G54" s="40"/>
      <c r="H54" s="32"/>
    </row>
    <row r="55" spans="1:8" x14ac:dyDescent="0.25">
      <c r="A55" s="32"/>
      <c r="B55" s="32"/>
      <c r="C55" s="37"/>
      <c r="D55" s="38"/>
      <c r="E55" s="39" t="str">
        <f t="shared" si="0"/>
        <v/>
      </c>
      <c r="F55" s="37"/>
      <c r="G55" s="40"/>
      <c r="H55" s="32"/>
    </row>
    <row r="56" spans="1:8" x14ac:dyDescent="0.25">
      <c r="A56" s="32"/>
      <c r="B56" s="32"/>
      <c r="C56" s="37"/>
      <c r="D56" s="38"/>
      <c r="E56" s="39" t="str">
        <f t="shared" si="0"/>
        <v/>
      </c>
      <c r="F56" s="37"/>
      <c r="G56" s="40"/>
      <c r="H56" s="32"/>
    </row>
    <row r="57" spans="1:8" x14ac:dyDescent="0.25">
      <c r="A57" s="32"/>
      <c r="B57" s="32"/>
      <c r="C57" s="37"/>
      <c r="D57" s="38"/>
      <c r="E57" s="39" t="str">
        <f t="shared" si="0"/>
        <v/>
      </c>
      <c r="F57" s="37"/>
      <c r="G57" s="40"/>
      <c r="H57" s="32"/>
    </row>
    <row r="58" spans="1:8" x14ac:dyDescent="0.25">
      <c r="A58" s="32"/>
      <c r="B58" s="32"/>
      <c r="C58" s="37"/>
      <c r="D58" s="38"/>
      <c r="E58" s="39" t="str">
        <f t="shared" si="0"/>
        <v/>
      </c>
      <c r="F58" s="37"/>
      <c r="G58" s="40"/>
      <c r="H58" s="32"/>
    </row>
    <row r="59" spans="1:8" x14ac:dyDescent="0.25">
      <c r="A59" s="32"/>
      <c r="B59" s="32"/>
      <c r="C59" s="37"/>
      <c r="D59" s="38"/>
      <c r="E59" s="39" t="str">
        <f t="shared" si="0"/>
        <v/>
      </c>
      <c r="F59" s="37"/>
      <c r="G59" s="40"/>
      <c r="H59" s="32"/>
    </row>
    <row r="60" spans="1:8" x14ac:dyDescent="0.25">
      <c r="A60" s="32"/>
      <c r="B60" s="32"/>
      <c r="C60" s="37"/>
      <c r="D60" s="38"/>
      <c r="E60" s="39" t="str">
        <f t="shared" si="0"/>
        <v/>
      </c>
      <c r="F60" s="37"/>
      <c r="G60" s="40"/>
      <c r="H60" s="32"/>
    </row>
    <row r="61" spans="1:8" x14ac:dyDescent="0.25">
      <c r="A61" s="32"/>
      <c r="B61" s="32"/>
      <c r="C61" s="37"/>
      <c r="D61" s="38"/>
      <c r="E61" s="39" t="str">
        <f t="shared" si="0"/>
        <v/>
      </c>
      <c r="F61" s="37"/>
      <c r="G61" s="40"/>
      <c r="H61" s="32"/>
    </row>
    <row r="62" spans="1:8" x14ac:dyDescent="0.25">
      <c r="A62" s="32"/>
      <c r="B62" s="32"/>
      <c r="C62" s="37"/>
      <c r="D62" s="38"/>
      <c r="E62" s="39" t="str">
        <f t="shared" si="0"/>
        <v/>
      </c>
      <c r="F62" s="37"/>
      <c r="G62" s="40"/>
      <c r="H62" s="32"/>
    </row>
    <row r="63" spans="1:8" x14ac:dyDescent="0.25">
      <c r="A63" s="32"/>
      <c r="B63" s="32"/>
      <c r="C63" s="37"/>
      <c r="D63" s="38"/>
      <c r="E63" s="39" t="str">
        <f t="shared" si="0"/>
        <v/>
      </c>
      <c r="F63" s="37"/>
      <c r="G63" s="40"/>
      <c r="H63" s="32"/>
    </row>
    <row r="64" spans="1:8" x14ac:dyDescent="0.25">
      <c r="A64" s="32"/>
      <c r="B64" s="32"/>
      <c r="C64" s="37"/>
      <c r="D64" s="38"/>
      <c r="E64" s="39" t="str">
        <f t="shared" si="0"/>
        <v/>
      </c>
      <c r="F64" s="37"/>
      <c r="G64" s="40"/>
      <c r="H64" s="32"/>
    </row>
    <row r="65" spans="1:8" x14ac:dyDescent="0.25">
      <c r="A65" s="32"/>
      <c r="B65" s="32"/>
      <c r="C65" s="37"/>
      <c r="D65" s="38"/>
      <c r="E65" s="39" t="str">
        <f t="shared" si="0"/>
        <v/>
      </c>
      <c r="F65" s="37"/>
      <c r="G65" s="40"/>
      <c r="H65" s="32"/>
    </row>
    <row r="66" spans="1:8" x14ac:dyDescent="0.25">
      <c r="A66" s="32"/>
      <c r="B66" s="32"/>
      <c r="C66" s="37"/>
      <c r="D66" s="38"/>
      <c r="E66" s="39" t="str">
        <f t="shared" si="0"/>
        <v/>
      </c>
      <c r="F66" s="37"/>
      <c r="G66" s="40"/>
      <c r="H66" s="32"/>
    </row>
    <row r="67" spans="1:8" x14ac:dyDescent="0.25">
      <c r="A67" s="32"/>
      <c r="B67" s="32"/>
      <c r="C67" s="37"/>
      <c r="D67" s="38"/>
      <c r="E67" s="39" t="str">
        <f t="shared" si="0"/>
        <v/>
      </c>
      <c r="F67" s="37"/>
      <c r="G67" s="40"/>
      <c r="H67" s="32"/>
    </row>
    <row r="68" spans="1:8" x14ac:dyDescent="0.25">
      <c r="A68" s="32"/>
      <c r="B68" s="32"/>
      <c r="C68" s="37"/>
      <c r="D68" s="38"/>
      <c r="E68" s="39" t="str">
        <f t="shared" si="0"/>
        <v/>
      </c>
      <c r="F68" s="37"/>
      <c r="G68" s="40"/>
      <c r="H68" s="32"/>
    </row>
    <row r="69" spans="1:8" x14ac:dyDescent="0.25">
      <c r="A69" s="32"/>
      <c r="B69" s="32"/>
      <c r="C69" s="37"/>
      <c r="D69" s="38"/>
      <c r="E69" s="39" t="str">
        <f t="shared" ref="E69:E132" si="1">IF(OR(A69="",C69=""),"",C69*(1+D69))</f>
        <v/>
      </c>
      <c r="F69" s="37"/>
      <c r="G69" s="40"/>
      <c r="H69" s="32"/>
    </row>
    <row r="70" spans="1:8" x14ac:dyDescent="0.25">
      <c r="A70" s="32"/>
      <c r="B70" s="32"/>
      <c r="C70" s="37"/>
      <c r="D70" s="38"/>
      <c r="E70" s="39" t="str">
        <f t="shared" si="1"/>
        <v/>
      </c>
      <c r="F70" s="37"/>
      <c r="G70" s="40"/>
      <c r="H70" s="32"/>
    </row>
    <row r="71" spans="1:8" x14ac:dyDescent="0.25">
      <c r="A71" s="32"/>
      <c r="B71" s="32"/>
      <c r="C71" s="37"/>
      <c r="D71" s="38"/>
      <c r="E71" s="39" t="str">
        <f t="shared" si="1"/>
        <v/>
      </c>
      <c r="F71" s="37"/>
      <c r="G71" s="40"/>
      <c r="H71" s="32"/>
    </row>
    <row r="72" spans="1:8" x14ac:dyDescent="0.25">
      <c r="A72" s="32"/>
      <c r="B72" s="32"/>
      <c r="C72" s="37"/>
      <c r="D72" s="38"/>
      <c r="E72" s="39" t="str">
        <f t="shared" si="1"/>
        <v/>
      </c>
      <c r="F72" s="37"/>
      <c r="G72" s="40"/>
      <c r="H72" s="32"/>
    </row>
    <row r="73" spans="1:8" x14ac:dyDescent="0.25">
      <c r="A73" s="32"/>
      <c r="B73" s="32"/>
      <c r="C73" s="37"/>
      <c r="D73" s="38"/>
      <c r="E73" s="39" t="str">
        <f t="shared" si="1"/>
        <v/>
      </c>
      <c r="F73" s="37"/>
      <c r="G73" s="40"/>
      <c r="H73" s="32"/>
    </row>
    <row r="74" spans="1:8" x14ac:dyDescent="0.25">
      <c r="A74" s="32"/>
      <c r="B74" s="32"/>
      <c r="C74" s="37"/>
      <c r="D74" s="38"/>
      <c r="E74" s="39" t="str">
        <f t="shared" si="1"/>
        <v/>
      </c>
      <c r="F74" s="37"/>
      <c r="G74" s="40"/>
      <c r="H74" s="32"/>
    </row>
    <row r="75" spans="1:8" x14ac:dyDescent="0.25">
      <c r="A75" s="32"/>
      <c r="B75" s="32"/>
      <c r="C75" s="37"/>
      <c r="D75" s="38"/>
      <c r="E75" s="39" t="str">
        <f t="shared" si="1"/>
        <v/>
      </c>
      <c r="F75" s="37"/>
      <c r="G75" s="40"/>
      <c r="H75" s="32"/>
    </row>
    <row r="76" spans="1:8" x14ac:dyDescent="0.25">
      <c r="A76" s="32"/>
      <c r="B76" s="32"/>
      <c r="C76" s="37"/>
      <c r="D76" s="38"/>
      <c r="E76" s="39" t="str">
        <f t="shared" si="1"/>
        <v/>
      </c>
      <c r="F76" s="37"/>
      <c r="G76" s="40"/>
      <c r="H76" s="32"/>
    </row>
    <row r="77" spans="1:8" x14ac:dyDescent="0.25">
      <c r="A77" s="32"/>
      <c r="B77" s="32"/>
      <c r="C77" s="37"/>
      <c r="D77" s="38"/>
      <c r="E77" s="39" t="str">
        <f t="shared" si="1"/>
        <v/>
      </c>
      <c r="F77" s="37"/>
      <c r="G77" s="40"/>
      <c r="H77" s="32"/>
    </row>
    <row r="78" spans="1:8" x14ac:dyDescent="0.25">
      <c r="A78" s="32"/>
      <c r="B78" s="32"/>
      <c r="C78" s="37"/>
      <c r="D78" s="38"/>
      <c r="E78" s="39" t="str">
        <f t="shared" si="1"/>
        <v/>
      </c>
      <c r="F78" s="37"/>
      <c r="G78" s="40"/>
      <c r="H78" s="32"/>
    </row>
    <row r="79" spans="1:8" x14ac:dyDescent="0.25">
      <c r="A79" s="32"/>
      <c r="B79" s="32"/>
      <c r="C79" s="37"/>
      <c r="D79" s="38"/>
      <c r="E79" s="39" t="str">
        <f t="shared" si="1"/>
        <v/>
      </c>
      <c r="F79" s="37"/>
      <c r="G79" s="40"/>
      <c r="H79" s="32"/>
    </row>
    <row r="80" spans="1:8" x14ac:dyDescent="0.25">
      <c r="A80" s="32"/>
      <c r="B80" s="32"/>
      <c r="C80" s="37"/>
      <c r="D80" s="38"/>
      <c r="E80" s="39" t="str">
        <f t="shared" si="1"/>
        <v/>
      </c>
      <c r="F80" s="37"/>
      <c r="G80" s="40"/>
      <c r="H80" s="32"/>
    </row>
    <row r="81" spans="1:8" x14ac:dyDescent="0.25">
      <c r="A81" s="32"/>
      <c r="B81" s="32"/>
      <c r="C81" s="37"/>
      <c r="D81" s="38"/>
      <c r="E81" s="39" t="str">
        <f t="shared" si="1"/>
        <v/>
      </c>
      <c r="F81" s="37"/>
      <c r="G81" s="40"/>
      <c r="H81" s="32"/>
    </row>
    <row r="82" spans="1:8" x14ac:dyDescent="0.25">
      <c r="A82" s="32"/>
      <c r="B82" s="32"/>
      <c r="C82" s="37"/>
      <c r="D82" s="38"/>
      <c r="E82" s="39" t="str">
        <f t="shared" si="1"/>
        <v/>
      </c>
      <c r="F82" s="37"/>
      <c r="G82" s="40"/>
      <c r="H82" s="32"/>
    </row>
    <row r="83" spans="1:8" x14ac:dyDescent="0.25">
      <c r="A83" s="32"/>
      <c r="B83" s="32"/>
      <c r="C83" s="37"/>
      <c r="D83" s="38"/>
      <c r="E83" s="39" t="str">
        <f t="shared" si="1"/>
        <v/>
      </c>
      <c r="F83" s="37"/>
      <c r="G83" s="40"/>
      <c r="H83" s="32"/>
    </row>
    <row r="84" spans="1:8" x14ac:dyDescent="0.25">
      <c r="A84" s="32"/>
      <c r="B84" s="32"/>
      <c r="C84" s="37"/>
      <c r="D84" s="38"/>
      <c r="E84" s="39" t="str">
        <f t="shared" si="1"/>
        <v/>
      </c>
      <c r="F84" s="37"/>
      <c r="G84" s="40"/>
      <c r="H84" s="32"/>
    </row>
    <row r="85" spans="1:8" x14ac:dyDescent="0.25">
      <c r="A85" s="32"/>
      <c r="B85" s="32"/>
      <c r="C85" s="37"/>
      <c r="D85" s="38"/>
      <c r="E85" s="39" t="str">
        <f t="shared" si="1"/>
        <v/>
      </c>
      <c r="F85" s="37"/>
      <c r="G85" s="40"/>
      <c r="H85" s="32"/>
    </row>
    <row r="86" spans="1:8" x14ac:dyDescent="0.25">
      <c r="A86" s="32"/>
      <c r="B86" s="32"/>
      <c r="C86" s="37"/>
      <c r="D86" s="38"/>
      <c r="E86" s="39" t="str">
        <f t="shared" si="1"/>
        <v/>
      </c>
      <c r="F86" s="37"/>
      <c r="G86" s="40"/>
      <c r="H86" s="32"/>
    </row>
    <row r="87" spans="1:8" x14ac:dyDescent="0.25">
      <c r="A87" s="32"/>
      <c r="B87" s="32"/>
      <c r="C87" s="37"/>
      <c r="D87" s="38"/>
      <c r="E87" s="39" t="str">
        <f t="shared" si="1"/>
        <v/>
      </c>
      <c r="F87" s="37"/>
      <c r="G87" s="40"/>
      <c r="H87" s="32"/>
    </row>
    <row r="88" spans="1:8" x14ac:dyDescent="0.25">
      <c r="A88" s="32"/>
      <c r="B88" s="32"/>
      <c r="C88" s="37"/>
      <c r="D88" s="38"/>
      <c r="E88" s="39" t="str">
        <f t="shared" si="1"/>
        <v/>
      </c>
      <c r="F88" s="37"/>
      <c r="G88" s="40"/>
      <c r="H88" s="32"/>
    </row>
    <row r="89" spans="1:8" x14ac:dyDescent="0.25">
      <c r="A89" s="32"/>
      <c r="B89" s="32"/>
      <c r="C89" s="37"/>
      <c r="D89" s="38"/>
      <c r="E89" s="39" t="str">
        <f t="shared" si="1"/>
        <v/>
      </c>
      <c r="F89" s="37"/>
      <c r="G89" s="40"/>
      <c r="H89" s="32"/>
    </row>
    <row r="90" spans="1:8" x14ac:dyDescent="0.25">
      <c r="A90" s="32"/>
      <c r="B90" s="32"/>
      <c r="C90" s="37"/>
      <c r="D90" s="38"/>
      <c r="E90" s="39" t="str">
        <f t="shared" si="1"/>
        <v/>
      </c>
      <c r="F90" s="37"/>
      <c r="G90" s="40"/>
      <c r="H90" s="32"/>
    </row>
    <row r="91" spans="1:8" x14ac:dyDescent="0.25">
      <c r="A91" s="32"/>
      <c r="B91" s="32"/>
      <c r="C91" s="37"/>
      <c r="D91" s="38"/>
      <c r="E91" s="39" t="str">
        <f t="shared" si="1"/>
        <v/>
      </c>
      <c r="F91" s="37"/>
      <c r="G91" s="40"/>
      <c r="H91" s="32"/>
    </row>
    <row r="92" spans="1:8" x14ac:dyDescent="0.25">
      <c r="A92" s="32"/>
      <c r="B92" s="32"/>
      <c r="C92" s="37"/>
      <c r="D92" s="38"/>
      <c r="E92" s="39" t="str">
        <f t="shared" si="1"/>
        <v/>
      </c>
      <c r="F92" s="37"/>
      <c r="G92" s="40"/>
      <c r="H92" s="32"/>
    </row>
    <row r="93" spans="1:8" x14ac:dyDescent="0.25">
      <c r="A93" s="32"/>
      <c r="B93" s="32"/>
      <c r="C93" s="37"/>
      <c r="D93" s="38"/>
      <c r="E93" s="39" t="str">
        <f t="shared" si="1"/>
        <v/>
      </c>
      <c r="F93" s="37"/>
      <c r="G93" s="40"/>
      <c r="H93" s="32"/>
    </row>
    <row r="94" spans="1:8" x14ac:dyDescent="0.25">
      <c r="A94" s="32"/>
      <c r="B94" s="32"/>
      <c r="C94" s="37"/>
      <c r="D94" s="38"/>
      <c r="E94" s="39" t="str">
        <f t="shared" si="1"/>
        <v/>
      </c>
      <c r="F94" s="37"/>
      <c r="G94" s="40"/>
      <c r="H94" s="32"/>
    </row>
    <row r="95" spans="1:8" x14ac:dyDescent="0.25">
      <c r="A95" s="32"/>
      <c r="B95" s="32"/>
      <c r="C95" s="37"/>
      <c r="D95" s="38"/>
      <c r="E95" s="39" t="str">
        <f t="shared" si="1"/>
        <v/>
      </c>
      <c r="F95" s="37"/>
      <c r="G95" s="40"/>
      <c r="H95" s="32"/>
    </row>
    <row r="96" spans="1:8" x14ac:dyDescent="0.25">
      <c r="A96" s="32"/>
      <c r="B96" s="32"/>
      <c r="C96" s="37"/>
      <c r="D96" s="38"/>
      <c r="E96" s="39" t="str">
        <f t="shared" si="1"/>
        <v/>
      </c>
      <c r="F96" s="37"/>
      <c r="G96" s="40"/>
      <c r="H96" s="32"/>
    </row>
    <row r="97" spans="1:8" x14ac:dyDescent="0.25">
      <c r="A97" s="32"/>
      <c r="B97" s="32"/>
      <c r="C97" s="37"/>
      <c r="D97" s="38"/>
      <c r="E97" s="39" t="str">
        <f t="shared" si="1"/>
        <v/>
      </c>
      <c r="F97" s="37"/>
      <c r="G97" s="40"/>
      <c r="H97" s="32"/>
    </row>
    <row r="98" spans="1:8" x14ac:dyDescent="0.25">
      <c r="A98" s="32"/>
      <c r="B98" s="32"/>
      <c r="C98" s="37"/>
      <c r="D98" s="38"/>
      <c r="E98" s="39" t="str">
        <f t="shared" si="1"/>
        <v/>
      </c>
      <c r="F98" s="37"/>
      <c r="G98" s="40"/>
      <c r="H98" s="32"/>
    </row>
    <row r="99" spans="1:8" x14ac:dyDescent="0.25">
      <c r="A99" s="32"/>
      <c r="B99" s="32"/>
      <c r="C99" s="37"/>
      <c r="D99" s="38"/>
      <c r="E99" s="39" t="str">
        <f t="shared" si="1"/>
        <v/>
      </c>
      <c r="F99" s="37"/>
      <c r="G99" s="40"/>
      <c r="H99" s="32"/>
    </row>
    <row r="100" spans="1:8" x14ac:dyDescent="0.25">
      <c r="A100" s="32"/>
      <c r="B100" s="32"/>
      <c r="C100" s="37"/>
      <c r="D100" s="38"/>
      <c r="E100" s="39" t="str">
        <f t="shared" si="1"/>
        <v/>
      </c>
      <c r="F100" s="37"/>
      <c r="G100" s="40"/>
      <c r="H100" s="32"/>
    </row>
    <row r="101" spans="1:8" x14ac:dyDescent="0.25">
      <c r="A101" s="32"/>
      <c r="B101" s="32"/>
      <c r="C101" s="37"/>
      <c r="D101" s="38"/>
      <c r="E101" s="39" t="str">
        <f t="shared" si="1"/>
        <v/>
      </c>
      <c r="F101" s="37"/>
      <c r="G101" s="40"/>
      <c r="H101" s="32"/>
    </row>
    <row r="102" spans="1:8" x14ac:dyDescent="0.25">
      <c r="A102" s="32"/>
      <c r="B102" s="32"/>
      <c r="C102" s="37"/>
      <c r="D102" s="38"/>
      <c r="E102" s="39" t="str">
        <f t="shared" si="1"/>
        <v/>
      </c>
      <c r="F102" s="37"/>
      <c r="G102" s="40"/>
      <c r="H102" s="32"/>
    </row>
    <row r="103" spans="1:8" x14ac:dyDescent="0.25">
      <c r="A103" s="32"/>
      <c r="B103" s="32"/>
      <c r="C103" s="37"/>
      <c r="D103" s="38"/>
      <c r="E103" s="39" t="str">
        <f t="shared" si="1"/>
        <v/>
      </c>
      <c r="F103" s="37"/>
      <c r="G103" s="40"/>
      <c r="H103" s="32"/>
    </row>
    <row r="104" spans="1:8" x14ac:dyDescent="0.25">
      <c r="A104" s="32"/>
      <c r="B104" s="32"/>
      <c r="C104" s="37"/>
      <c r="D104" s="38"/>
      <c r="E104" s="39" t="str">
        <f t="shared" si="1"/>
        <v/>
      </c>
      <c r="F104" s="37"/>
      <c r="G104" s="40"/>
      <c r="H104" s="32"/>
    </row>
    <row r="105" spans="1:8" x14ac:dyDescent="0.25">
      <c r="A105" s="32"/>
      <c r="B105" s="32"/>
      <c r="C105" s="37"/>
      <c r="D105" s="38"/>
      <c r="E105" s="39" t="str">
        <f t="shared" si="1"/>
        <v/>
      </c>
      <c r="F105" s="37"/>
      <c r="G105" s="40"/>
      <c r="H105" s="32"/>
    </row>
    <row r="106" spans="1:8" x14ac:dyDescent="0.25">
      <c r="A106" s="32"/>
      <c r="B106" s="32"/>
      <c r="C106" s="37"/>
      <c r="D106" s="38"/>
      <c r="E106" s="39" t="str">
        <f t="shared" si="1"/>
        <v/>
      </c>
      <c r="F106" s="37"/>
      <c r="G106" s="40"/>
      <c r="H106" s="32"/>
    </row>
    <row r="107" spans="1:8" x14ac:dyDescent="0.25">
      <c r="A107" s="32"/>
      <c r="B107" s="32"/>
      <c r="C107" s="37"/>
      <c r="D107" s="38"/>
      <c r="E107" s="39" t="str">
        <f t="shared" si="1"/>
        <v/>
      </c>
      <c r="F107" s="37"/>
      <c r="G107" s="40"/>
      <c r="H107" s="32"/>
    </row>
    <row r="108" spans="1:8" x14ac:dyDescent="0.25">
      <c r="A108" s="32"/>
      <c r="B108" s="32"/>
      <c r="C108" s="37"/>
      <c r="D108" s="38"/>
      <c r="E108" s="39" t="str">
        <f t="shared" si="1"/>
        <v/>
      </c>
      <c r="F108" s="37"/>
      <c r="G108" s="40"/>
      <c r="H108" s="32"/>
    </row>
    <row r="109" spans="1:8" x14ac:dyDescent="0.25">
      <c r="A109" s="32"/>
      <c r="B109" s="32"/>
      <c r="C109" s="37"/>
      <c r="D109" s="38"/>
      <c r="E109" s="39" t="str">
        <f t="shared" si="1"/>
        <v/>
      </c>
      <c r="F109" s="37"/>
      <c r="G109" s="40"/>
      <c r="H109" s="32"/>
    </row>
    <row r="110" spans="1:8" x14ac:dyDescent="0.25">
      <c r="A110" s="32"/>
      <c r="B110" s="32"/>
      <c r="C110" s="37"/>
      <c r="D110" s="38"/>
      <c r="E110" s="39" t="str">
        <f t="shared" si="1"/>
        <v/>
      </c>
      <c r="F110" s="37"/>
      <c r="G110" s="40"/>
      <c r="H110" s="32"/>
    </row>
    <row r="111" spans="1:8" x14ac:dyDescent="0.25">
      <c r="A111" s="32"/>
      <c r="B111" s="32"/>
      <c r="C111" s="37"/>
      <c r="D111" s="38"/>
      <c r="E111" s="39" t="str">
        <f t="shared" si="1"/>
        <v/>
      </c>
      <c r="F111" s="37"/>
      <c r="G111" s="40"/>
      <c r="H111" s="32"/>
    </row>
    <row r="112" spans="1:8" x14ac:dyDescent="0.25">
      <c r="A112" s="32"/>
      <c r="B112" s="32"/>
      <c r="C112" s="37"/>
      <c r="D112" s="38"/>
      <c r="E112" s="39" t="str">
        <f t="shared" si="1"/>
        <v/>
      </c>
      <c r="F112" s="37"/>
      <c r="G112" s="40"/>
      <c r="H112" s="32"/>
    </row>
    <row r="113" spans="1:8" x14ac:dyDescent="0.25">
      <c r="A113" s="32"/>
      <c r="B113" s="32"/>
      <c r="C113" s="37"/>
      <c r="D113" s="38"/>
      <c r="E113" s="39" t="str">
        <f t="shared" si="1"/>
        <v/>
      </c>
      <c r="F113" s="37"/>
      <c r="G113" s="40"/>
      <c r="H113" s="32"/>
    </row>
    <row r="114" spans="1:8" x14ac:dyDescent="0.25">
      <c r="A114" s="32"/>
      <c r="B114" s="32"/>
      <c r="C114" s="37"/>
      <c r="D114" s="38"/>
      <c r="E114" s="39" t="str">
        <f t="shared" si="1"/>
        <v/>
      </c>
      <c r="F114" s="37"/>
      <c r="G114" s="40"/>
      <c r="H114" s="32"/>
    </row>
    <row r="115" spans="1:8" x14ac:dyDescent="0.25">
      <c r="A115" s="32"/>
      <c r="B115" s="32"/>
      <c r="C115" s="37"/>
      <c r="D115" s="38"/>
      <c r="E115" s="39" t="str">
        <f t="shared" si="1"/>
        <v/>
      </c>
      <c r="F115" s="37"/>
      <c r="G115" s="40"/>
      <c r="H115" s="32"/>
    </row>
    <row r="116" spans="1:8" x14ac:dyDescent="0.25">
      <c r="A116" s="32"/>
      <c r="B116" s="32"/>
      <c r="C116" s="37"/>
      <c r="D116" s="38"/>
      <c r="E116" s="39" t="str">
        <f t="shared" si="1"/>
        <v/>
      </c>
      <c r="F116" s="37"/>
      <c r="G116" s="40"/>
      <c r="H116" s="32"/>
    </row>
    <row r="117" spans="1:8" x14ac:dyDescent="0.25">
      <c r="A117" s="32"/>
      <c r="B117" s="32"/>
      <c r="C117" s="37"/>
      <c r="D117" s="38"/>
      <c r="E117" s="39" t="str">
        <f t="shared" si="1"/>
        <v/>
      </c>
      <c r="F117" s="37"/>
      <c r="G117" s="40"/>
      <c r="H117" s="32"/>
    </row>
    <row r="118" spans="1:8" x14ac:dyDescent="0.25">
      <c r="A118" s="32"/>
      <c r="B118" s="32"/>
      <c r="C118" s="37"/>
      <c r="D118" s="38"/>
      <c r="E118" s="39" t="str">
        <f t="shared" si="1"/>
        <v/>
      </c>
      <c r="F118" s="37"/>
      <c r="G118" s="40"/>
      <c r="H118" s="32"/>
    </row>
    <row r="119" spans="1:8" x14ac:dyDescent="0.25">
      <c r="A119" s="32"/>
      <c r="B119" s="32"/>
      <c r="C119" s="37"/>
      <c r="D119" s="38"/>
      <c r="E119" s="39" t="str">
        <f t="shared" si="1"/>
        <v/>
      </c>
      <c r="F119" s="37"/>
      <c r="G119" s="40"/>
      <c r="H119" s="32"/>
    </row>
    <row r="120" spans="1:8" x14ac:dyDescent="0.25">
      <c r="A120" s="32"/>
      <c r="B120" s="32"/>
      <c r="C120" s="37"/>
      <c r="D120" s="38"/>
      <c r="E120" s="39" t="str">
        <f t="shared" si="1"/>
        <v/>
      </c>
      <c r="F120" s="37"/>
      <c r="G120" s="40"/>
      <c r="H120" s="32"/>
    </row>
    <row r="121" spans="1:8" x14ac:dyDescent="0.25">
      <c r="A121" s="32"/>
      <c r="B121" s="32"/>
      <c r="C121" s="37"/>
      <c r="D121" s="38"/>
      <c r="E121" s="39" t="str">
        <f t="shared" si="1"/>
        <v/>
      </c>
      <c r="F121" s="37"/>
      <c r="G121" s="40"/>
      <c r="H121" s="32"/>
    </row>
    <row r="122" spans="1:8" x14ac:dyDescent="0.25">
      <c r="A122" s="32"/>
      <c r="B122" s="32"/>
      <c r="C122" s="37"/>
      <c r="D122" s="38"/>
      <c r="E122" s="39" t="str">
        <f t="shared" si="1"/>
        <v/>
      </c>
      <c r="F122" s="37"/>
      <c r="G122" s="40"/>
      <c r="H122" s="32"/>
    </row>
    <row r="123" spans="1:8" x14ac:dyDescent="0.25">
      <c r="A123" s="32"/>
      <c r="B123" s="32"/>
      <c r="C123" s="37"/>
      <c r="D123" s="38"/>
      <c r="E123" s="39" t="str">
        <f t="shared" si="1"/>
        <v/>
      </c>
      <c r="F123" s="37"/>
      <c r="G123" s="40"/>
      <c r="H123" s="32"/>
    </row>
    <row r="124" spans="1:8" x14ac:dyDescent="0.25">
      <c r="A124" s="32"/>
      <c r="B124" s="32"/>
      <c r="C124" s="37"/>
      <c r="D124" s="38"/>
      <c r="E124" s="39" t="str">
        <f t="shared" si="1"/>
        <v/>
      </c>
      <c r="F124" s="37"/>
      <c r="G124" s="40"/>
      <c r="H124" s="32"/>
    </row>
    <row r="125" spans="1:8" x14ac:dyDescent="0.25">
      <c r="A125" s="32"/>
      <c r="B125" s="32"/>
      <c r="C125" s="37"/>
      <c r="D125" s="38"/>
      <c r="E125" s="39" t="str">
        <f t="shared" si="1"/>
        <v/>
      </c>
      <c r="F125" s="37"/>
      <c r="G125" s="40"/>
      <c r="H125" s="32"/>
    </row>
    <row r="126" spans="1:8" x14ac:dyDescent="0.25">
      <c r="A126" s="32"/>
      <c r="B126" s="32"/>
      <c r="C126" s="37"/>
      <c r="D126" s="38"/>
      <c r="E126" s="39" t="str">
        <f t="shared" si="1"/>
        <v/>
      </c>
      <c r="F126" s="37"/>
      <c r="G126" s="40"/>
      <c r="H126" s="32"/>
    </row>
    <row r="127" spans="1:8" x14ac:dyDescent="0.25">
      <c r="A127" s="32"/>
      <c r="B127" s="32"/>
      <c r="C127" s="37"/>
      <c r="D127" s="38"/>
      <c r="E127" s="39" t="str">
        <f t="shared" si="1"/>
        <v/>
      </c>
      <c r="F127" s="37"/>
      <c r="G127" s="40"/>
      <c r="H127" s="32"/>
    </row>
    <row r="128" spans="1:8" x14ac:dyDescent="0.25">
      <c r="A128" s="32"/>
      <c r="B128" s="32"/>
      <c r="C128" s="37"/>
      <c r="D128" s="38"/>
      <c r="E128" s="39" t="str">
        <f t="shared" si="1"/>
        <v/>
      </c>
      <c r="F128" s="37"/>
      <c r="G128" s="40"/>
      <c r="H128" s="32"/>
    </row>
    <row r="129" spans="1:8" x14ac:dyDescent="0.25">
      <c r="A129" s="32"/>
      <c r="B129" s="32"/>
      <c r="C129" s="37"/>
      <c r="D129" s="38"/>
      <c r="E129" s="39" t="str">
        <f t="shared" si="1"/>
        <v/>
      </c>
      <c r="F129" s="37"/>
      <c r="G129" s="40"/>
      <c r="H129" s="32"/>
    </row>
    <row r="130" spans="1:8" x14ac:dyDescent="0.25">
      <c r="A130" s="32"/>
      <c r="B130" s="32"/>
      <c r="C130" s="37"/>
      <c r="D130" s="38"/>
      <c r="E130" s="39" t="str">
        <f t="shared" si="1"/>
        <v/>
      </c>
      <c r="F130" s="37"/>
      <c r="G130" s="40"/>
      <c r="H130" s="32"/>
    </row>
    <row r="131" spans="1:8" x14ac:dyDescent="0.25">
      <c r="A131" s="32"/>
      <c r="B131" s="32"/>
      <c r="C131" s="37"/>
      <c r="D131" s="38"/>
      <c r="E131" s="39" t="str">
        <f t="shared" si="1"/>
        <v/>
      </c>
      <c r="F131" s="37"/>
      <c r="G131" s="40"/>
      <c r="H131" s="32"/>
    </row>
    <row r="132" spans="1:8" x14ac:dyDescent="0.25">
      <c r="A132" s="32"/>
      <c r="B132" s="32"/>
      <c r="C132" s="37"/>
      <c r="D132" s="38"/>
      <c r="E132" s="39" t="str">
        <f t="shared" si="1"/>
        <v/>
      </c>
      <c r="F132" s="37"/>
      <c r="G132" s="40"/>
      <c r="H132" s="32"/>
    </row>
    <row r="133" spans="1:8" x14ac:dyDescent="0.25">
      <c r="A133" s="32"/>
      <c r="B133" s="32"/>
      <c r="C133" s="37"/>
      <c r="D133" s="38"/>
      <c r="E133" s="39" t="str">
        <f t="shared" ref="E133:E196" si="2">IF(OR(A133="",C133=""),"",C133*(1+D133))</f>
        <v/>
      </c>
      <c r="F133" s="37"/>
      <c r="G133" s="40"/>
      <c r="H133" s="32"/>
    </row>
    <row r="134" spans="1:8" x14ac:dyDescent="0.25">
      <c r="A134" s="32"/>
      <c r="B134" s="32"/>
      <c r="C134" s="37"/>
      <c r="D134" s="38"/>
      <c r="E134" s="39" t="str">
        <f t="shared" si="2"/>
        <v/>
      </c>
      <c r="F134" s="37"/>
      <c r="G134" s="40"/>
      <c r="H134" s="32"/>
    </row>
    <row r="135" spans="1:8" x14ac:dyDescent="0.25">
      <c r="A135" s="32"/>
      <c r="B135" s="32"/>
      <c r="C135" s="37"/>
      <c r="D135" s="38"/>
      <c r="E135" s="39" t="str">
        <f t="shared" si="2"/>
        <v/>
      </c>
      <c r="F135" s="37"/>
      <c r="G135" s="40"/>
      <c r="H135" s="32"/>
    </row>
    <row r="136" spans="1:8" x14ac:dyDescent="0.25">
      <c r="A136" s="32"/>
      <c r="B136" s="32"/>
      <c r="C136" s="37"/>
      <c r="D136" s="38"/>
      <c r="E136" s="39" t="str">
        <f t="shared" si="2"/>
        <v/>
      </c>
      <c r="F136" s="37"/>
      <c r="G136" s="40"/>
      <c r="H136" s="32"/>
    </row>
    <row r="137" spans="1:8" x14ac:dyDescent="0.25">
      <c r="A137" s="32"/>
      <c r="B137" s="32"/>
      <c r="C137" s="37"/>
      <c r="D137" s="38"/>
      <c r="E137" s="39" t="str">
        <f t="shared" si="2"/>
        <v/>
      </c>
      <c r="F137" s="37"/>
      <c r="G137" s="40"/>
      <c r="H137" s="32"/>
    </row>
    <row r="138" spans="1:8" x14ac:dyDescent="0.25">
      <c r="A138" s="32"/>
      <c r="B138" s="32"/>
      <c r="C138" s="37"/>
      <c r="D138" s="38"/>
      <c r="E138" s="39" t="str">
        <f t="shared" si="2"/>
        <v/>
      </c>
      <c r="F138" s="37"/>
      <c r="G138" s="40"/>
      <c r="H138" s="32"/>
    </row>
    <row r="139" spans="1:8" x14ac:dyDescent="0.25">
      <c r="A139" s="32"/>
      <c r="B139" s="32"/>
      <c r="C139" s="37"/>
      <c r="D139" s="38"/>
      <c r="E139" s="39" t="str">
        <f t="shared" si="2"/>
        <v/>
      </c>
      <c r="F139" s="37"/>
      <c r="G139" s="40"/>
      <c r="H139" s="32"/>
    </row>
    <row r="140" spans="1:8" x14ac:dyDescent="0.25">
      <c r="A140" s="32"/>
      <c r="B140" s="32"/>
      <c r="C140" s="37"/>
      <c r="D140" s="38"/>
      <c r="E140" s="39" t="str">
        <f t="shared" si="2"/>
        <v/>
      </c>
      <c r="F140" s="37"/>
      <c r="G140" s="40"/>
      <c r="H140" s="32"/>
    </row>
    <row r="141" spans="1:8" x14ac:dyDescent="0.25">
      <c r="A141" s="32"/>
      <c r="B141" s="32"/>
      <c r="C141" s="37"/>
      <c r="D141" s="38"/>
      <c r="E141" s="39" t="str">
        <f t="shared" si="2"/>
        <v/>
      </c>
      <c r="F141" s="37"/>
      <c r="G141" s="40"/>
      <c r="H141" s="32"/>
    </row>
    <row r="142" spans="1:8" x14ac:dyDescent="0.25">
      <c r="A142" s="32"/>
      <c r="B142" s="32"/>
      <c r="C142" s="37"/>
      <c r="D142" s="38"/>
      <c r="E142" s="39" t="str">
        <f t="shared" si="2"/>
        <v/>
      </c>
      <c r="F142" s="37"/>
      <c r="G142" s="40"/>
      <c r="H142" s="32"/>
    </row>
    <row r="143" spans="1:8" x14ac:dyDescent="0.25">
      <c r="A143" s="32"/>
      <c r="B143" s="32"/>
      <c r="C143" s="37"/>
      <c r="D143" s="38"/>
      <c r="E143" s="39" t="str">
        <f t="shared" si="2"/>
        <v/>
      </c>
      <c r="F143" s="37"/>
      <c r="G143" s="40"/>
      <c r="H143" s="32"/>
    </row>
    <row r="144" spans="1:8" x14ac:dyDescent="0.25">
      <c r="A144" s="32"/>
      <c r="B144" s="32"/>
      <c r="C144" s="37"/>
      <c r="D144" s="38"/>
      <c r="E144" s="39" t="str">
        <f t="shared" si="2"/>
        <v/>
      </c>
      <c r="F144" s="37"/>
      <c r="G144" s="40"/>
      <c r="H144" s="32"/>
    </row>
    <row r="145" spans="1:8" x14ac:dyDescent="0.25">
      <c r="A145" s="32"/>
      <c r="B145" s="32"/>
      <c r="C145" s="37"/>
      <c r="D145" s="38"/>
      <c r="E145" s="39" t="str">
        <f t="shared" si="2"/>
        <v/>
      </c>
      <c r="F145" s="37"/>
      <c r="G145" s="40"/>
      <c r="H145" s="32"/>
    </row>
    <row r="146" spans="1:8" x14ac:dyDescent="0.25">
      <c r="A146" s="32"/>
      <c r="B146" s="32"/>
      <c r="C146" s="37"/>
      <c r="D146" s="38"/>
      <c r="E146" s="39" t="str">
        <f t="shared" si="2"/>
        <v/>
      </c>
      <c r="F146" s="37"/>
      <c r="G146" s="40"/>
      <c r="H146" s="32"/>
    </row>
    <row r="147" spans="1:8" x14ac:dyDescent="0.25">
      <c r="A147" s="32"/>
      <c r="B147" s="32"/>
      <c r="C147" s="37"/>
      <c r="D147" s="38"/>
      <c r="E147" s="39" t="str">
        <f t="shared" si="2"/>
        <v/>
      </c>
      <c r="F147" s="37"/>
      <c r="G147" s="40"/>
      <c r="H147" s="32"/>
    </row>
    <row r="148" spans="1:8" x14ac:dyDescent="0.25">
      <c r="A148" s="32"/>
      <c r="B148" s="32"/>
      <c r="C148" s="37"/>
      <c r="D148" s="38"/>
      <c r="E148" s="39" t="str">
        <f t="shared" si="2"/>
        <v/>
      </c>
      <c r="F148" s="37"/>
      <c r="G148" s="40"/>
      <c r="H148" s="32"/>
    </row>
    <row r="149" spans="1:8" x14ac:dyDescent="0.25">
      <c r="A149" s="32"/>
      <c r="B149" s="32"/>
      <c r="C149" s="37"/>
      <c r="D149" s="38"/>
      <c r="E149" s="39" t="str">
        <f t="shared" si="2"/>
        <v/>
      </c>
      <c r="F149" s="37"/>
      <c r="G149" s="40"/>
      <c r="H149" s="32"/>
    </row>
    <row r="150" spans="1:8" x14ac:dyDescent="0.25">
      <c r="A150" s="32"/>
      <c r="B150" s="32"/>
      <c r="C150" s="37"/>
      <c r="D150" s="38"/>
      <c r="E150" s="39" t="str">
        <f t="shared" si="2"/>
        <v/>
      </c>
      <c r="F150" s="37"/>
      <c r="G150" s="40"/>
      <c r="H150" s="32"/>
    </row>
    <row r="151" spans="1:8" x14ac:dyDescent="0.25">
      <c r="A151" s="32"/>
      <c r="B151" s="32"/>
      <c r="C151" s="37"/>
      <c r="D151" s="38"/>
      <c r="E151" s="39" t="str">
        <f t="shared" si="2"/>
        <v/>
      </c>
      <c r="F151" s="37"/>
      <c r="G151" s="40"/>
      <c r="H151" s="32"/>
    </row>
    <row r="152" spans="1:8" x14ac:dyDescent="0.25">
      <c r="A152" s="32"/>
      <c r="B152" s="32"/>
      <c r="C152" s="37"/>
      <c r="D152" s="38"/>
      <c r="E152" s="39" t="str">
        <f t="shared" si="2"/>
        <v/>
      </c>
      <c r="F152" s="37"/>
      <c r="G152" s="40"/>
      <c r="H152" s="32"/>
    </row>
    <row r="153" spans="1:8" x14ac:dyDescent="0.25">
      <c r="A153" s="32"/>
      <c r="B153" s="32"/>
      <c r="C153" s="37"/>
      <c r="D153" s="38"/>
      <c r="E153" s="39" t="str">
        <f t="shared" si="2"/>
        <v/>
      </c>
      <c r="F153" s="37"/>
      <c r="G153" s="40"/>
      <c r="H153" s="32"/>
    </row>
    <row r="154" spans="1:8" x14ac:dyDescent="0.25">
      <c r="A154" s="32"/>
      <c r="B154" s="32"/>
      <c r="C154" s="37"/>
      <c r="D154" s="38"/>
      <c r="E154" s="39" t="str">
        <f t="shared" si="2"/>
        <v/>
      </c>
      <c r="F154" s="37"/>
      <c r="G154" s="40"/>
      <c r="H154" s="32"/>
    </row>
    <row r="155" spans="1:8" x14ac:dyDescent="0.25">
      <c r="A155" s="32"/>
      <c r="B155" s="32"/>
      <c r="C155" s="37"/>
      <c r="D155" s="38"/>
      <c r="E155" s="39" t="str">
        <f t="shared" si="2"/>
        <v/>
      </c>
      <c r="F155" s="37"/>
      <c r="G155" s="40"/>
      <c r="H155" s="32"/>
    </row>
    <row r="156" spans="1:8" x14ac:dyDescent="0.25">
      <c r="A156" s="32"/>
      <c r="B156" s="32"/>
      <c r="C156" s="37"/>
      <c r="D156" s="38"/>
      <c r="E156" s="39" t="str">
        <f t="shared" si="2"/>
        <v/>
      </c>
      <c r="F156" s="37"/>
      <c r="G156" s="40"/>
      <c r="H156" s="32"/>
    </row>
    <row r="157" spans="1:8" x14ac:dyDescent="0.25">
      <c r="A157" s="32"/>
      <c r="B157" s="32"/>
      <c r="C157" s="37"/>
      <c r="D157" s="38"/>
      <c r="E157" s="39" t="str">
        <f t="shared" si="2"/>
        <v/>
      </c>
      <c r="F157" s="37"/>
      <c r="G157" s="40"/>
      <c r="H157" s="32"/>
    </row>
    <row r="158" spans="1:8" x14ac:dyDescent="0.25">
      <c r="A158" s="32"/>
      <c r="B158" s="32"/>
      <c r="C158" s="37"/>
      <c r="D158" s="38"/>
      <c r="E158" s="39" t="str">
        <f t="shared" si="2"/>
        <v/>
      </c>
      <c r="F158" s="37"/>
      <c r="G158" s="40"/>
      <c r="H158" s="32"/>
    </row>
    <row r="159" spans="1:8" x14ac:dyDescent="0.25">
      <c r="A159" s="32"/>
      <c r="B159" s="32"/>
      <c r="C159" s="37"/>
      <c r="D159" s="38"/>
      <c r="E159" s="39" t="str">
        <f t="shared" si="2"/>
        <v/>
      </c>
      <c r="F159" s="37"/>
      <c r="G159" s="40"/>
      <c r="H159" s="32"/>
    </row>
    <row r="160" spans="1:8" x14ac:dyDescent="0.25">
      <c r="A160" s="32"/>
      <c r="B160" s="32"/>
      <c r="C160" s="37"/>
      <c r="D160" s="38"/>
      <c r="E160" s="39" t="str">
        <f t="shared" si="2"/>
        <v/>
      </c>
      <c r="F160" s="37"/>
      <c r="G160" s="40"/>
      <c r="H160" s="32"/>
    </row>
    <row r="161" spans="1:8" x14ac:dyDescent="0.25">
      <c r="A161" s="32"/>
      <c r="B161" s="32"/>
      <c r="C161" s="37"/>
      <c r="D161" s="38"/>
      <c r="E161" s="39" t="str">
        <f t="shared" si="2"/>
        <v/>
      </c>
      <c r="F161" s="37"/>
      <c r="G161" s="40"/>
      <c r="H161" s="32"/>
    </row>
    <row r="162" spans="1:8" x14ac:dyDescent="0.25">
      <c r="A162" s="32"/>
      <c r="B162" s="32"/>
      <c r="C162" s="37"/>
      <c r="D162" s="38"/>
      <c r="E162" s="39" t="str">
        <f t="shared" si="2"/>
        <v/>
      </c>
      <c r="F162" s="37"/>
      <c r="G162" s="40"/>
      <c r="H162" s="32"/>
    </row>
    <row r="163" spans="1:8" x14ac:dyDescent="0.25">
      <c r="A163" s="32"/>
      <c r="B163" s="32"/>
      <c r="C163" s="37"/>
      <c r="D163" s="38"/>
      <c r="E163" s="39" t="str">
        <f t="shared" si="2"/>
        <v/>
      </c>
      <c r="F163" s="37"/>
      <c r="G163" s="40"/>
      <c r="H163" s="32"/>
    </row>
    <row r="164" spans="1:8" x14ac:dyDescent="0.25">
      <c r="A164" s="32"/>
      <c r="B164" s="32"/>
      <c r="C164" s="37"/>
      <c r="D164" s="38"/>
      <c r="E164" s="39" t="str">
        <f t="shared" si="2"/>
        <v/>
      </c>
      <c r="F164" s="37"/>
      <c r="G164" s="40"/>
      <c r="H164" s="32"/>
    </row>
    <row r="165" spans="1:8" x14ac:dyDescent="0.25">
      <c r="A165" s="32"/>
      <c r="B165" s="32"/>
      <c r="C165" s="37"/>
      <c r="D165" s="38"/>
      <c r="E165" s="39" t="str">
        <f t="shared" si="2"/>
        <v/>
      </c>
      <c r="F165" s="37"/>
      <c r="G165" s="40"/>
      <c r="H165" s="32"/>
    </row>
    <row r="166" spans="1:8" x14ac:dyDescent="0.25">
      <c r="A166" s="32"/>
      <c r="B166" s="32"/>
      <c r="C166" s="37"/>
      <c r="D166" s="38"/>
      <c r="E166" s="39" t="str">
        <f t="shared" si="2"/>
        <v/>
      </c>
      <c r="F166" s="37"/>
      <c r="G166" s="40"/>
      <c r="H166" s="32"/>
    </row>
    <row r="167" spans="1:8" x14ac:dyDescent="0.25">
      <c r="A167" s="32"/>
      <c r="B167" s="32"/>
      <c r="C167" s="37"/>
      <c r="D167" s="38"/>
      <c r="E167" s="39" t="str">
        <f t="shared" si="2"/>
        <v/>
      </c>
      <c r="F167" s="37"/>
      <c r="G167" s="40"/>
      <c r="H167" s="32"/>
    </row>
    <row r="168" spans="1:8" x14ac:dyDescent="0.25">
      <c r="A168" s="32"/>
      <c r="B168" s="32"/>
      <c r="C168" s="37"/>
      <c r="D168" s="38"/>
      <c r="E168" s="39" t="str">
        <f t="shared" si="2"/>
        <v/>
      </c>
      <c r="F168" s="37"/>
      <c r="G168" s="40"/>
      <c r="H168" s="32"/>
    </row>
    <row r="169" spans="1:8" x14ac:dyDescent="0.25">
      <c r="A169" s="32"/>
      <c r="B169" s="32"/>
      <c r="C169" s="37"/>
      <c r="D169" s="38"/>
      <c r="E169" s="39" t="str">
        <f t="shared" si="2"/>
        <v/>
      </c>
      <c r="F169" s="37"/>
      <c r="G169" s="40"/>
      <c r="H169" s="32"/>
    </row>
    <row r="170" spans="1:8" x14ac:dyDescent="0.25">
      <c r="A170" s="32"/>
      <c r="B170" s="32"/>
      <c r="C170" s="37"/>
      <c r="D170" s="38"/>
      <c r="E170" s="39" t="str">
        <f t="shared" si="2"/>
        <v/>
      </c>
      <c r="F170" s="37"/>
      <c r="G170" s="40"/>
      <c r="H170" s="32"/>
    </row>
    <row r="171" spans="1:8" x14ac:dyDescent="0.25">
      <c r="A171" s="32"/>
      <c r="B171" s="32"/>
      <c r="C171" s="37"/>
      <c r="D171" s="38"/>
      <c r="E171" s="39" t="str">
        <f t="shared" si="2"/>
        <v/>
      </c>
      <c r="F171" s="37"/>
      <c r="G171" s="40"/>
      <c r="H171" s="32"/>
    </row>
    <row r="172" spans="1:8" x14ac:dyDescent="0.25">
      <c r="A172" s="32"/>
      <c r="B172" s="32"/>
      <c r="C172" s="37"/>
      <c r="D172" s="38"/>
      <c r="E172" s="39" t="str">
        <f t="shared" si="2"/>
        <v/>
      </c>
      <c r="F172" s="37"/>
      <c r="G172" s="40"/>
      <c r="H172" s="32"/>
    </row>
    <row r="173" spans="1:8" x14ac:dyDescent="0.25">
      <c r="A173" s="32"/>
      <c r="B173" s="32"/>
      <c r="C173" s="37"/>
      <c r="D173" s="38"/>
      <c r="E173" s="39" t="str">
        <f t="shared" si="2"/>
        <v/>
      </c>
      <c r="F173" s="37"/>
      <c r="G173" s="40"/>
      <c r="H173" s="32"/>
    </row>
    <row r="174" spans="1:8" x14ac:dyDescent="0.25">
      <c r="A174" s="32"/>
      <c r="B174" s="32"/>
      <c r="C174" s="37"/>
      <c r="D174" s="38"/>
      <c r="E174" s="39" t="str">
        <f t="shared" si="2"/>
        <v/>
      </c>
      <c r="F174" s="37"/>
      <c r="G174" s="40"/>
      <c r="H174" s="32"/>
    </row>
    <row r="175" spans="1:8" x14ac:dyDescent="0.25">
      <c r="A175" s="32"/>
      <c r="B175" s="32"/>
      <c r="C175" s="37"/>
      <c r="D175" s="38"/>
      <c r="E175" s="39" t="str">
        <f t="shared" si="2"/>
        <v/>
      </c>
      <c r="F175" s="37"/>
      <c r="G175" s="40"/>
      <c r="H175" s="32"/>
    </row>
    <row r="176" spans="1:8" x14ac:dyDescent="0.25">
      <c r="A176" s="32"/>
      <c r="B176" s="32"/>
      <c r="C176" s="37"/>
      <c r="D176" s="38"/>
      <c r="E176" s="39" t="str">
        <f t="shared" si="2"/>
        <v/>
      </c>
      <c r="F176" s="37"/>
      <c r="G176" s="40"/>
      <c r="H176" s="32"/>
    </row>
    <row r="177" spans="1:8" x14ac:dyDescent="0.25">
      <c r="A177" s="32"/>
      <c r="B177" s="32"/>
      <c r="C177" s="37"/>
      <c r="D177" s="38"/>
      <c r="E177" s="39" t="str">
        <f t="shared" si="2"/>
        <v/>
      </c>
      <c r="F177" s="37"/>
      <c r="G177" s="40"/>
      <c r="H177" s="32"/>
    </row>
    <row r="178" spans="1:8" x14ac:dyDescent="0.25">
      <c r="A178" s="32"/>
      <c r="B178" s="32"/>
      <c r="C178" s="37"/>
      <c r="D178" s="38"/>
      <c r="E178" s="39" t="str">
        <f t="shared" si="2"/>
        <v/>
      </c>
      <c r="F178" s="37"/>
      <c r="G178" s="40"/>
      <c r="H178" s="32"/>
    </row>
    <row r="179" spans="1:8" x14ac:dyDescent="0.25">
      <c r="A179" s="32"/>
      <c r="B179" s="32"/>
      <c r="C179" s="37"/>
      <c r="D179" s="38"/>
      <c r="E179" s="39" t="str">
        <f t="shared" si="2"/>
        <v/>
      </c>
      <c r="F179" s="37"/>
      <c r="G179" s="40"/>
      <c r="H179" s="32"/>
    </row>
    <row r="180" spans="1:8" x14ac:dyDescent="0.25">
      <c r="A180" s="32"/>
      <c r="B180" s="32"/>
      <c r="C180" s="37"/>
      <c r="D180" s="38"/>
      <c r="E180" s="39" t="str">
        <f t="shared" si="2"/>
        <v/>
      </c>
      <c r="F180" s="37"/>
      <c r="G180" s="40"/>
      <c r="H180" s="32"/>
    </row>
    <row r="181" spans="1:8" x14ac:dyDescent="0.25">
      <c r="A181" s="32"/>
      <c r="B181" s="32"/>
      <c r="C181" s="37"/>
      <c r="D181" s="38"/>
      <c r="E181" s="39" t="str">
        <f t="shared" si="2"/>
        <v/>
      </c>
      <c r="F181" s="37"/>
      <c r="G181" s="40"/>
      <c r="H181" s="32"/>
    </row>
    <row r="182" spans="1:8" x14ac:dyDescent="0.25">
      <c r="A182" s="32"/>
      <c r="B182" s="32"/>
      <c r="C182" s="37"/>
      <c r="D182" s="38"/>
      <c r="E182" s="39" t="str">
        <f t="shared" si="2"/>
        <v/>
      </c>
      <c r="F182" s="37"/>
      <c r="G182" s="40"/>
      <c r="H182" s="32"/>
    </row>
    <row r="183" spans="1:8" x14ac:dyDescent="0.25">
      <c r="A183" s="32"/>
      <c r="B183" s="32"/>
      <c r="C183" s="37"/>
      <c r="D183" s="38"/>
      <c r="E183" s="39" t="str">
        <f t="shared" si="2"/>
        <v/>
      </c>
      <c r="F183" s="37"/>
      <c r="G183" s="40"/>
      <c r="H183" s="32"/>
    </row>
    <row r="184" spans="1:8" x14ac:dyDescent="0.25">
      <c r="A184" s="32"/>
      <c r="B184" s="32"/>
      <c r="C184" s="37"/>
      <c r="D184" s="38"/>
      <c r="E184" s="39" t="str">
        <f t="shared" si="2"/>
        <v/>
      </c>
      <c r="F184" s="37"/>
      <c r="G184" s="40"/>
      <c r="H184" s="32"/>
    </row>
    <row r="185" spans="1:8" x14ac:dyDescent="0.25">
      <c r="A185" s="32"/>
      <c r="B185" s="32"/>
      <c r="C185" s="37"/>
      <c r="D185" s="38"/>
      <c r="E185" s="39" t="str">
        <f t="shared" si="2"/>
        <v/>
      </c>
      <c r="F185" s="37"/>
      <c r="G185" s="40"/>
      <c r="H185" s="32"/>
    </row>
    <row r="186" spans="1:8" x14ac:dyDescent="0.25">
      <c r="A186" s="32"/>
      <c r="B186" s="32"/>
      <c r="C186" s="37"/>
      <c r="D186" s="38"/>
      <c r="E186" s="39" t="str">
        <f t="shared" si="2"/>
        <v/>
      </c>
      <c r="F186" s="37"/>
      <c r="G186" s="40"/>
      <c r="H186" s="32"/>
    </row>
    <row r="187" spans="1:8" x14ac:dyDescent="0.25">
      <c r="A187" s="32"/>
      <c r="B187" s="32"/>
      <c r="C187" s="37"/>
      <c r="D187" s="38"/>
      <c r="E187" s="39" t="str">
        <f t="shared" si="2"/>
        <v/>
      </c>
      <c r="F187" s="37"/>
      <c r="G187" s="40"/>
      <c r="H187" s="32"/>
    </row>
    <row r="188" spans="1:8" x14ac:dyDescent="0.25">
      <c r="A188" s="32"/>
      <c r="B188" s="32"/>
      <c r="C188" s="37"/>
      <c r="D188" s="38"/>
      <c r="E188" s="39" t="str">
        <f t="shared" si="2"/>
        <v/>
      </c>
      <c r="F188" s="37"/>
      <c r="G188" s="40"/>
      <c r="H188" s="32"/>
    </row>
    <row r="189" spans="1:8" x14ac:dyDescent="0.25">
      <c r="A189" s="32"/>
      <c r="B189" s="32"/>
      <c r="C189" s="37"/>
      <c r="D189" s="38"/>
      <c r="E189" s="39" t="str">
        <f t="shared" si="2"/>
        <v/>
      </c>
      <c r="F189" s="37"/>
      <c r="G189" s="40"/>
      <c r="H189" s="32"/>
    </row>
    <row r="190" spans="1:8" x14ac:dyDescent="0.25">
      <c r="A190" s="32"/>
      <c r="B190" s="32"/>
      <c r="C190" s="37"/>
      <c r="D190" s="38"/>
      <c r="E190" s="39" t="str">
        <f t="shared" si="2"/>
        <v/>
      </c>
      <c r="F190" s="37"/>
      <c r="G190" s="40"/>
      <c r="H190" s="32"/>
    </row>
    <row r="191" spans="1:8" x14ac:dyDescent="0.25">
      <c r="A191" s="32"/>
      <c r="B191" s="32"/>
      <c r="C191" s="37"/>
      <c r="D191" s="38"/>
      <c r="E191" s="39" t="str">
        <f t="shared" si="2"/>
        <v/>
      </c>
      <c r="F191" s="37"/>
      <c r="G191" s="40"/>
      <c r="H191" s="32"/>
    </row>
    <row r="192" spans="1:8" x14ac:dyDescent="0.25">
      <c r="A192" s="32"/>
      <c r="B192" s="32"/>
      <c r="C192" s="37"/>
      <c r="D192" s="38"/>
      <c r="E192" s="39" t="str">
        <f t="shared" si="2"/>
        <v/>
      </c>
      <c r="F192" s="37"/>
      <c r="G192" s="40"/>
      <c r="H192" s="32"/>
    </row>
    <row r="193" spans="1:8" x14ac:dyDescent="0.25">
      <c r="A193" s="32"/>
      <c r="B193" s="32"/>
      <c r="C193" s="37"/>
      <c r="D193" s="38"/>
      <c r="E193" s="39" t="str">
        <f t="shared" si="2"/>
        <v/>
      </c>
      <c r="F193" s="37"/>
      <c r="G193" s="40"/>
      <c r="H193" s="32"/>
    </row>
    <row r="194" spans="1:8" x14ac:dyDescent="0.25">
      <c r="A194" s="32"/>
      <c r="B194" s="32"/>
      <c r="C194" s="37"/>
      <c r="D194" s="38"/>
      <c r="E194" s="39" t="str">
        <f t="shared" si="2"/>
        <v/>
      </c>
      <c r="F194" s="37"/>
      <c r="G194" s="40"/>
      <c r="H194" s="32"/>
    </row>
    <row r="195" spans="1:8" x14ac:dyDescent="0.25">
      <c r="A195" s="32"/>
      <c r="B195" s="32"/>
      <c r="C195" s="37"/>
      <c r="D195" s="38"/>
      <c r="E195" s="39" t="str">
        <f t="shared" si="2"/>
        <v/>
      </c>
      <c r="F195" s="37"/>
      <c r="G195" s="40"/>
      <c r="H195" s="32"/>
    </row>
    <row r="196" spans="1:8" x14ac:dyDescent="0.25">
      <c r="A196" s="32"/>
      <c r="B196" s="32"/>
      <c r="C196" s="37"/>
      <c r="D196" s="38"/>
      <c r="E196" s="39" t="str">
        <f t="shared" si="2"/>
        <v/>
      </c>
      <c r="F196" s="37"/>
      <c r="G196" s="40"/>
      <c r="H196" s="32"/>
    </row>
    <row r="197" spans="1:8" x14ac:dyDescent="0.25">
      <c r="A197" s="32"/>
      <c r="B197" s="32"/>
      <c r="C197" s="37"/>
      <c r="D197" s="38"/>
      <c r="E197" s="39" t="str">
        <f t="shared" ref="E197:E260" si="3">IF(OR(A197="",C197=""),"",C197*(1+D197))</f>
        <v/>
      </c>
      <c r="F197" s="37"/>
      <c r="G197" s="40"/>
      <c r="H197" s="32"/>
    </row>
    <row r="198" spans="1:8" x14ac:dyDescent="0.25">
      <c r="A198" s="32"/>
      <c r="B198" s="32"/>
      <c r="C198" s="37"/>
      <c r="D198" s="38"/>
      <c r="E198" s="39" t="str">
        <f t="shared" si="3"/>
        <v/>
      </c>
      <c r="F198" s="37"/>
      <c r="G198" s="40"/>
      <c r="H198" s="32"/>
    </row>
    <row r="199" spans="1:8" x14ac:dyDescent="0.25">
      <c r="A199" s="32"/>
      <c r="B199" s="32"/>
      <c r="C199" s="37"/>
      <c r="D199" s="38"/>
      <c r="E199" s="39" t="str">
        <f t="shared" si="3"/>
        <v/>
      </c>
      <c r="F199" s="37"/>
      <c r="G199" s="40"/>
      <c r="H199" s="32"/>
    </row>
    <row r="200" spans="1:8" x14ac:dyDescent="0.25">
      <c r="A200" s="32"/>
      <c r="B200" s="32"/>
      <c r="C200" s="37"/>
      <c r="D200" s="38"/>
      <c r="E200" s="39" t="str">
        <f t="shared" si="3"/>
        <v/>
      </c>
      <c r="F200" s="37"/>
      <c r="G200" s="40"/>
      <c r="H200" s="32"/>
    </row>
    <row r="201" spans="1:8" x14ac:dyDescent="0.25">
      <c r="A201" s="32"/>
      <c r="B201" s="32"/>
      <c r="C201" s="37"/>
      <c r="D201" s="38"/>
      <c r="E201" s="39" t="str">
        <f t="shared" si="3"/>
        <v/>
      </c>
      <c r="F201" s="37"/>
      <c r="G201" s="40"/>
      <c r="H201" s="32"/>
    </row>
    <row r="202" spans="1:8" x14ac:dyDescent="0.25">
      <c r="A202" s="32"/>
      <c r="B202" s="32"/>
      <c r="C202" s="37"/>
      <c r="D202" s="38"/>
      <c r="E202" s="39" t="str">
        <f t="shared" si="3"/>
        <v/>
      </c>
      <c r="F202" s="37"/>
      <c r="G202" s="40"/>
      <c r="H202" s="32"/>
    </row>
    <row r="203" spans="1:8" x14ac:dyDescent="0.25">
      <c r="A203" s="32"/>
      <c r="B203" s="32"/>
      <c r="C203" s="37"/>
      <c r="D203" s="38"/>
      <c r="E203" s="39" t="str">
        <f t="shared" si="3"/>
        <v/>
      </c>
      <c r="F203" s="37"/>
      <c r="G203" s="40"/>
      <c r="H203" s="32"/>
    </row>
    <row r="204" spans="1:8" x14ac:dyDescent="0.25">
      <c r="A204" s="32"/>
      <c r="B204" s="32"/>
      <c r="C204" s="37"/>
      <c r="D204" s="38"/>
      <c r="E204" s="39" t="str">
        <f t="shared" si="3"/>
        <v/>
      </c>
      <c r="F204" s="37"/>
      <c r="G204" s="40"/>
      <c r="H204" s="32"/>
    </row>
    <row r="205" spans="1:8" x14ac:dyDescent="0.25">
      <c r="A205" s="32"/>
      <c r="B205" s="32"/>
      <c r="C205" s="37"/>
      <c r="D205" s="38"/>
      <c r="E205" s="39" t="str">
        <f t="shared" si="3"/>
        <v/>
      </c>
      <c r="F205" s="37"/>
      <c r="G205" s="40"/>
      <c r="H205" s="32"/>
    </row>
    <row r="206" spans="1:8" x14ac:dyDescent="0.25">
      <c r="A206" s="32"/>
      <c r="B206" s="32"/>
      <c r="C206" s="37"/>
      <c r="D206" s="38"/>
      <c r="E206" s="39" t="str">
        <f t="shared" si="3"/>
        <v/>
      </c>
      <c r="F206" s="37"/>
      <c r="G206" s="40"/>
      <c r="H206" s="32"/>
    </row>
    <row r="207" spans="1:8" x14ac:dyDescent="0.25">
      <c r="A207" s="32"/>
      <c r="B207" s="32"/>
      <c r="C207" s="37"/>
      <c r="D207" s="38"/>
      <c r="E207" s="39" t="str">
        <f t="shared" si="3"/>
        <v/>
      </c>
      <c r="F207" s="37"/>
      <c r="G207" s="40"/>
      <c r="H207" s="32"/>
    </row>
    <row r="208" spans="1:8" x14ac:dyDescent="0.25">
      <c r="A208" s="32"/>
      <c r="B208" s="32"/>
      <c r="C208" s="37"/>
      <c r="D208" s="38"/>
      <c r="E208" s="39" t="str">
        <f t="shared" si="3"/>
        <v/>
      </c>
      <c r="F208" s="37"/>
      <c r="G208" s="40"/>
      <c r="H208" s="32"/>
    </row>
    <row r="209" spans="1:8" x14ac:dyDescent="0.25">
      <c r="A209" s="32"/>
      <c r="B209" s="32"/>
      <c r="C209" s="37"/>
      <c r="D209" s="38"/>
      <c r="E209" s="39" t="str">
        <f t="shared" si="3"/>
        <v/>
      </c>
      <c r="F209" s="37"/>
      <c r="G209" s="40"/>
      <c r="H209" s="32"/>
    </row>
    <row r="210" spans="1:8" x14ac:dyDescent="0.25">
      <c r="A210" s="32"/>
      <c r="B210" s="32"/>
      <c r="C210" s="37"/>
      <c r="D210" s="38"/>
      <c r="E210" s="39" t="str">
        <f t="shared" si="3"/>
        <v/>
      </c>
      <c r="F210" s="37"/>
      <c r="G210" s="40"/>
      <c r="H210" s="32"/>
    </row>
    <row r="211" spans="1:8" x14ac:dyDescent="0.25">
      <c r="A211" s="32"/>
      <c r="B211" s="32"/>
      <c r="C211" s="37"/>
      <c r="D211" s="38"/>
      <c r="E211" s="39" t="str">
        <f t="shared" si="3"/>
        <v/>
      </c>
      <c r="F211" s="37"/>
      <c r="G211" s="40"/>
      <c r="H211" s="32"/>
    </row>
    <row r="212" spans="1:8" x14ac:dyDescent="0.25">
      <c r="A212" s="32"/>
      <c r="B212" s="32"/>
      <c r="C212" s="37"/>
      <c r="D212" s="38"/>
      <c r="E212" s="39" t="str">
        <f t="shared" si="3"/>
        <v/>
      </c>
      <c r="F212" s="37"/>
      <c r="G212" s="40"/>
      <c r="H212" s="32"/>
    </row>
    <row r="213" spans="1:8" x14ac:dyDescent="0.25">
      <c r="A213" s="32"/>
      <c r="B213" s="32"/>
      <c r="C213" s="37"/>
      <c r="D213" s="38"/>
      <c r="E213" s="39" t="str">
        <f t="shared" si="3"/>
        <v/>
      </c>
      <c r="F213" s="37"/>
      <c r="G213" s="40"/>
      <c r="H213" s="32"/>
    </row>
    <row r="214" spans="1:8" x14ac:dyDescent="0.25">
      <c r="A214" s="32"/>
      <c r="B214" s="32"/>
      <c r="C214" s="37"/>
      <c r="D214" s="38"/>
      <c r="E214" s="39" t="str">
        <f t="shared" si="3"/>
        <v/>
      </c>
      <c r="F214" s="37"/>
      <c r="G214" s="40"/>
      <c r="H214" s="32"/>
    </row>
    <row r="215" spans="1:8" x14ac:dyDescent="0.25">
      <c r="A215" s="32"/>
      <c r="B215" s="32"/>
      <c r="C215" s="37"/>
      <c r="D215" s="38"/>
      <c r="E215" s="39" t="str">
        <f t="shared" si="3"/>
        <v/>
      </c>
      <c r="F215" s="37"/>
      <c r="G215" s="40"/>
      <c r="H215" s="32"/>
    </row>
    <row r="216" spans="1:8" x14ac:dyDescent="0.25">
      <c r="A216" s="32"/>
      <c r="B216" s="32"/>
      <c r="C216" s="37"/>
      <c r="D216" s="38"/>
      <c r="E216" s="39" t="str">
        <f t="shared" si="3"/>
        <v/>
      </c>
      <c r="F216" s="37"/>
      <c r="G216" s="40"/>
      <c r="H216" s="32"/>
    </row>
    <row r="217" spans="1:8" x14ac:dyDescent="0.25">
      <c r="A217" s="32"/>
      <c r="B217" s="32"/>
      <c r="C217" s="37"/>
      <c r="D217" s="38"/>
      <c r="E217" s="39" t="str">
        <f t="shared" si="3"/>
        <v/>
      </c>
      <c r="F217" s="37"/>
      <c r="G217" s="40"/>
      <c r="H217" s="32"/>
    </row>
    <row r="218" spans="1:8" x14ac:dyDescent="0.25">
      <c r="A218" s="32"/>
      <c r="B218" s="32"/>
      <c r="C218" s="37"/>
      <c r="D218" s="38"/>
      <c r="E218" s="39" t="str">
        <f t="shared" si="3"/>
        <v/>
      </c>
      <c r="F218" s="37"/>
      <c r="G218" s="40"/>
      <c r="H218" s="32"/>
    </row>
    <row r="219" spans="1:8" x14ac:dyDescent="0.25">
      <c r="A219" s="32"/>
      <c r="B219" s="32"/>
      <c r="C219" s="37"/>
      <c r="D219" s="38"/>
      <c r="E219" s="39" t="str">
        <f t="shared" si="3"/>
        <v/>
      </c>
      <c r="F219" s="37"/>
      <c r="G219" s="40"/>
      <c r="H219" s="32"/>
    </row>
    <row r="220" spans="1:8" x14ac:dyDescent="0.25">
      <c r="A220" s="32"/>
      <c r="B220" s="32"/>
      <c r="C220" s="37"/>
      <c r="D220" s="38"/>
      <c r="E220" s="39" t="str">
        <f t="shared" si="3"/>
        <v/>
      </c>
      <c r="F220" s="37"/>
      <c r="G220" s="40"/>
      <c r="H220" s="32"/>
    </row>
    <row r="221" spans="1:8" x14ac:dyDescent="0.25">
      <c r="A221" s="32"/>
      <c r="B221" s="32"/>
      <c r="C221" s="37"/>
      <c r="D221" s="38"/>
      <c r="E221" s="39" t="str">
        <f t="shared" si="3"/>
        <v/>
      </c>
      <c r="F221" s="37"/>
      <c r="G221" s="40"/>
      <c r="H221" s="32"/>
    </row>
    <row r="222" spans="1:8" x14ac:dyDescent="0.25">
      <c r="A222" s="32"/>
      <c r="B222" s="32"/>
      <c r="C222" s="37"/>
      <c r="D222" s="38"/>
      <c r="E222" s="39" t="str">
        <f t="shared" si="3"/>
        <v/>
      </c>
      <c r="F222" s="37"/>
      <c r="G222" s="40"/>
      <c r="H222" s="32"/>
    </row>
    <row r="223" spans="1:8" x14ac:dyDescent="0.25">
      <c r="A223" s="32"/>
      <c r="B223" s="32"/>
      <c r="C223" s="37"/>
      <c r="D223" s="38"/>
      <c r="E223" s="39" t="str">
        <f t="shared" si="3"/>
        <v/>
      </c>
      <c r="F223" s="37"/>
      <c r="G223" s="40"/>
      <c r="H223" s="32"/>
    </row>
    <row r="224" spans="1:8" x14ac:dyDescent="0.25">
      <c r="A224" s="32"/>
      <c r="B224" s="32"/>
      <c r="C224" s="37"/>
      <c r="D224" s="38"/>
      <c r="E224" s="39" t="str">
        <f t="shared" si="3"/>
        <v/>
      </c>
      <c r="F224" s="37"/>
      <c r="G224" s="40"/>
      <c r="H224" s="32"/>
    </row>
    <row r="225" spans="1:8" x14ac:dyDescent="0.25">
      <c r="A225" s="32"/>
      <c r="B225" s="32"/>
      <c r="C225" s="37"/>
      <c r="D225" s="38"/>
      <c r="E225" s="39" t="str">
        <f t="shared" si="3"/>
        <v/>
      </c>
      <c r="F225" s="37"/>
      <c r="G225" s="40"/>
      <c r="H225" s="32"/>
    </row>
    <row r="226" spans="1:8" x14ac:dyDescent="0.25">
      <c r="A226" s="32"/>
      <c r="B226" s="32"/>
      <c r="C226" s="37"/>
      <c r="D226" s="38"/>
      <c r="E226" s="39" t="str">
        <f t="shared" si="3"/>
        <v/>
      </c>
      <c r="F226" s="37"/>
      <c r="G226" s="40"/>
      <c r="H226" s="32"/>
    </row>
    <row r="227" spans="1:8" x14ac:dyDescent="0.25">
      <c r="A227" s="32"/>
      <c r="B227" s="32"/>
      <c r="C227" s="37"/>
      <c r="D227" s="38"/>
      <c r="E227" s="39" t="str">
        <f t="shared" si="3"/>
        <v/>
      </c>
      <c r="F227" s="37"/>
      <c r="G227" s="40"/>
      <c r="H227" s="32"/>
    </row>
    <row r="228" spans="1:8" x14ac:dyDescent="0.25">
      <c r="A228" s="32"/>
      <c r="B228" s="32"/>
      <c r="C228" s="37"/>
      <c r="D228" s="38"/>
      <c r="E228" s="39" t="str">
        <f t="shared" si="3"/>
        <v/>
      </c>
      <c r="F228" s="37"/>
      <c r="G228" s="40"/>
      <c r="H228" s="32"/>
    </row>
    <row r="229" spans="1:8" x14ac:dyDescent="0.25">
      <c r="A229" s="32"/>
      <c r="B229" s="32"/>
      <c r="C229" s="37"/>
      <c r="D229" s="38"/>
      <c r="E229" s="39" t="str">
        <f t="shared" si="3"/>
        <v/>
      </c>
      <c r="F229" s="37"/>
      <c r="G229" s="40"/>
      <c r="H229" s="32"/>
    </row>
    <row r="230" spans="1:8" x14ac:dyDescent="0.25">
      <c r="A230" s="32"/>
      <c r="B230" s="32"/>
      <c r="C230" s="37"/>
      <c r="D230" s="38"/>
      <c r="E230" s="39" t="str">
        <f t="shared" si="3"/>
        <v/>
      </c>
      <c r="F230" s="37"/>
      <c r="G230" s="40"/>
      <c r="H230" s="32"/>
    </row>
    <row r="231" spans="1:8" x14ac:dyDescent="0.25">
      <c r="A231" s="32"/>
      <c r="B231" s="32"/>
      <c r="C231" s="37"/>
      <c r="D231" s="38"/>
      <c r="E231" s="39" t="str">
        <f t="shared" si="3"/>
        <v/>
      </c>
      <c r="F231" s="37"/>
      <c r="G231" s="40"/>
      <c r="H231" s="32"/>
    </row>
    <row r="232" spans="1:8" x14ac:dyDescent="0.25">
      <c r="A232" s="32"/>
      <c r="B232" s="32"/>
      <c r="C232" s="37"/>
      <c r="D232" s="38"/>
      <c r="E232" s="39" t="str">
        <f t="shared" si="3"/>
        <v/>
      </c>
      <c r="F232" s="37"/>
      <c r="G232" s="40"/>
      <c r="H232" s="32"/>
    </row>
    <row r="233" spans="1:8" x14ac:dyDescent="0.25">
      <c r="A233" s="32"/>
      <c r="B233" s="32"/>
      <c r="C233" s="37"/>
      <c r="D233" s="38"/>
      <c r="E233" s="39" t="str">
        <f t="shared" si="3"/>
        <v/>
      </c>
      <c r="F233" s="37"/>
      <c r="G233" s="40"/>
      <c r="H233" s="32"/>
    </row>
    <row r="234" spans="1:8" x14ac:dyDescent="0.25">
      <c r="A234" s="32"/>
      <c r="B234" s="32"/>
      <c r="C234" s="37"/>
      <c r="D234" s="38"/>
      <c r="E234" s="39" t="str">
        <f t="shared" si="3"/>
        <v/>
      </c>
      <c r="F234" s="37"/>
      <c r="G234" s="40"/>
      <c r="H234" s="32"/>
    </row>
    <row r="235" spans="1:8" x14ac:dyDescent="0.25">
      <c r="A235" s="32"/>
      <c r="B235" s="32"/>
      <c r="C235" s="37"/>
      <c r="D235" s="38"/>
      <c r="E235" s="39" t="str">
        <f t="shared" si="3"/>
        <v/>
      </c>
      <c r="F235" s="37"/>
      <c r="G235" s="40"/>
      <c r="H235" s="32"/>
    </row>
    <row r="236" spans="1:8" x14ac:dyDescent="0.25">
      <c r="A236" s="32"/>
      <c r="B236" s="32"/>
      <c r="C236" s="37"/>
      <c r="D236" s="38"/>
      <c r="E236" s="39" t="str">
        <f t="shared" si="3"/>
        <v/>
      </c>
      <c r="F236" s="37"/>
      <c r="G236" s="40"/>
      <c r="H236" s="32"/>
    </row>
    <row r="237" spans="1:8" x14ac:dyDescent="0.25">
      <c r="A237" s="32"/>
      <c r="B237" s="32"/>
      <c r="C237" s="37"/>
      <c r="D237" s="38"/>
      <c r="E237" s="39" t="str">
        <f t="shared" si="3"/>
        <v/>
      </c>
      <c r="F237" s="37"/>
      <c r="G237" s="40"/>
      <c r="H237" s="32"/>
    </row>
    <row r="238" spans="1:8" x14ac:dyDescent="0.25">
      <c r="A238" s="32"/>
      <c r="B238" s="32"/>
      <c r="C238" s="37"/>
      <c r="D238" s="38"/>
      <c r="E238" s="39" t="str">
        <f t="shared" si="3"/>
        <v/>
      </c>
      <c r="F238" s="37"/>
      <c r="G238" s="40"/>
      <c r="H238" s="32"/>
    </row>
    <row r="239" spans="1:8" x14ac:dyDescent="0.25">
      <c r="A239" s="32"/>
      <c r="B239" s="32"/>
      <c r="C239" s="37"/>
      <c r="D239" s="38"/>
      <c r="E239" s="39" t="str">
        <f t="shared" si="3"/>
        <v/>
      </c>
      <c r="F239" s="37"/>
      <c r="G239" s="40"/>
      <c r="H239" s="32"/>
    </row>
    <row r="240" spans="1:8" x14ac:dyDescent="0.25">
      <c r="A240" s="32"/>
      <c r="B240" s="32"/>
      <c r="C240" s="37"/>
      <c r="D240" s="38"/>
      <c r="E240" s="39" t="str">
        <f t="shared" si="3"/>
        <v/>
      </c>
      <c r="F240" s="37"/>
      <c r="G240" s="40"/>
      <c r="H240" s="32"/>
    </row>
    <row r="241" spans="1:8" x14ac:dyDescent="0.25">
      <c r="A241" s="32"/>
      <c r="B241" s="32"/>
      <c r="C241" s="37"/>
      <c r="D241" s="38"/>
      <c r="E241" s="39" t="str">
        <f t="shared" si="3"/>
        <v/>
      </c>
      <c r="F241" s="37"/>
      <c r="G241" s="40"/>
      <c r="H241" s="32"/>
    </row>
    <row r="242" spans="1:8" x14ac:dyDescent="0.25">
      <c r="A242" s="32"/>
      <c r="B242" s="32"/>
      <c r="C242" s="37"/>
      <c r="D242" s="38"/>
      <c r="E242" s="39" t="str">
        <f t="shared" si="3"/>
        <v/>
      </c>
      <c r="F242" s="37"/>
      <c r="G242" s="40"/>
      <c r="H242" s="32"/>
    </row>
    <row r="243" spans="1:8" x14ac:dyDescent="0.25">
      <c r="A243" s="32"/>
      <c r="B243" s="32"/>
      <c r="C243" s="37"/>
      <c r="D243" s="38"/>
      <c r="E243" s="39" t="str">
        <f t="shared" si="3"/>
        <v/>
      </c>
      <c r="F243" s="37"/>
      <c r="G243" s="40"/>
      <c r="H243" s="32"/>
    </row>
    <row r="244" spans="1:8" x14ac:dyDescent="0.25">
      <c r="A244" s="32"/>
      <c r="B244" s="32"/>
      <c r="C244" s="37"/>
      <c r="D244" s="38"/>
      <c r="E244" s="39" t="str">
        <f t="shared" si="3"/>
        <v/>
      </c>
      <c r="F244" s="37"/>
      <c r="G244" s="40"/>
      <c r="H244" s="32"/>
    </row>
    <row r="245" spans="1:8" x14ac:dyDescent="0.25">
      <c r="A245" s="32"/>
      <c r="B245" s="32"/>
      <c r="C245" s="37"/>
      <c r="D245" s="38"/>
      <c r="E245" s="39" t="str">
        <f t="shared" si="3"/>
        <v/>
      </c>
      <c r="F245" s="37"/>
      <c r="G245" s="40"/>
      <c r="H245" s="32"/>
    </row>
    <row r="246" spans="1:8" x14ac:dyDescent="0.25">
      <c r="A246" s="32"/>
      <c r="B246" s="32"/>
      <c r="C246" s="37"/>
      <c r="D246" s="38"/>
      <c r="E246" s="39" t="str">
        <f t="shared" si="3"/>
        <v/>
      </c>
      <c r="F246" s="37"/>
      <c r="G246" s="40"/>
      <c r="H246" s="32"/>
    </row>
    <row r="247" spans="1:8" x14ac:dyDescent="0.25">
      <c r="A247" s="32"/>
      <c r="B247" s="32"/>
      <c r="C247" s="37"/>
      <c r="D247" s="38"/>
      <c r="E247" s="39" t="str">
        <f t="shared" si="3"/>
        <v/>
      </c>
      <c r="F247" s="37"/>
      <c r="G247" s="40"/>
      <c r="H247" s="32"/>
    </row>
    <row r="248" spans="1:8" x14ac:dyDescent="0.25">
      <c r="A248" s="32"/>
      <c r="B248" s="32"/>
      <c r="C248" s="37"/>
      <c r="D248" s="38"/>
      <c r="E248" s="39" t="str">
        <f t="shared" si="3"/>
        <v/>
      </c>
      <c r="F248" s="37"/>
      <c r="G248" s="40"/>
      <c r="H248" s="32"/>
    </row>
    <row r="249" spans="1:8" x14ac:dyDescent="0.25">
      <c r="A249" s="32"/>
      <c r="B249" s="32"/>
      <c r="C249" s="37"/>
      <c r="D249" s="38"/>
      <c r="E249" s="39" t="str">
        <f t="shared" si="3"/>
        <v/>
      </c>
      <c r="F249" s="37"/>
      <c r="G249" s="40"/>
      <c r="H249" s="32"/>
    </row>
    <row r="250" spans="1:8" x14ac:dyDescent="0.25">
      <c r="A250" s="32"/>
      <c r="B250" s="32"/>
      <c r="C250" s="37"/>
      <c r="D250" s="38"/>
      <c r="E250" s="39" t="str">
        <f t="shared" si="3"/>
        <v/>
      </c>
      <c r="F250" s="37"/>
      <c r="G250" s="40"/>
      <c r="H250" s="32"/>
    </row>
    <row r="251" spans="1:8" x14ac:dyDescent="0.25">
      <c r="A251" s="32"/>
      <c r="B251" s="32"/>
      <c r="C251" s="37"/>
      <c r="D251" s="38"/>
      <c r="E251" s="39" t="str">
        <f t="shared" si="3"/>
        <v/>
      </c>
      <c r="F251" s="37"/>
      <c r="G251" s="40"/>
      <c r="H251" s="32"/>
    </row>
    <row r="252" spans="1:8" x14ac:dyDescent="0.25">
      <c r="A252" s="32"/>
      <c r="B252" s="32"/>
      <c r="C252" s="37"/>
      <c r="D252" s="38"/>
      <c r="E252" s="39" t="str">
        <f t="shared" si="3"/>
        <v/>
      </c>
      <c r="F252" s="37"/>
      <c r="G252" s="40"/>
      <c r="H252" s="32"/>
    </row>
    <row r="253" spans="1:8" x14ac:dyDescent="0.25">
      <c r="A253" s="32"/>
      <c r="B253" s="32"/>
      <c r="C253" s="37"/>
      <c r="D253" s="38"/>
      <c r="E253" s="39" t="str">
        <f t="shared" si="3"/>
        <v/>
      </c>
      <c r="F253" s="37"/>
      <c r="G253" s="40"/>
      <c r="H253" s="32"/>
    </row>
    <row r="254" spans="1:8" x14ac:dyDescent="0.25">
      <c r="A254" s="32"/>
      <c r="B254" s="32"/>
      <c r="C254" s="37"/>
      <c r="D254" s="38"/>
      <c r="E254" s="39" t="str">
        <f t="shared" si="3"/>
        <v/>
      </c>
      <c r="F254" s="37"/>
      <c r="G254" s="40"/>
      <c r="H254" s="32"/>
    </row>
    <row r="255" spans="1:8" x14ac:dyDescent="0.25">
      <c r="A255" s="32"/>
      <c r="B255" s="32"/>
      <c r="C255" s="37"/>
      <c r="D255" s="38"/>
      <c r="E255" s="39" t="str">
        <f t="shared" si="3"/>
        <v/>
      </c>
      <c r="F255" s="37"/>
      <c r="G255" s="40"/>
      <c r="H255" s="32"/>
    </row>
    <row r="256" spans="1:8" x14ac:dyDescent="0.25">
      <c r="A256" s="32"/>
      <c r="B256" s="32"/>
      <c r="C256" s="37"/>
      <c r="D256" s="38"/>
      <c r="E256" s="39" t="str">
        <f t="shared" si="3"/>
        <v/>
      </c>
      <c r="F256" s="37"/>
      <c r="G256" s="40"/>
      <c r="H256" s="32"/>
    </row>
    <row r="257" spans="1:8" x14ac:dyDescent="0.25">
      <c r="A257" s="32"/>
      <c r="B257" s="32"/>
      <c r="C257" s="37"/>
      <c r="D257" s="38"/>
      <c r="E257" s="39" t="str">
        <f t="shared" si="3"/>
        <v/>
      </c>
      <c r="F257" s="37"/>
      <c r="G257" s="40"/>
      <c r="H257" s="32"/>
    </row>
    <row r="258" spans="1:8" x14ac:dyDescent="0.25">
      <c r="A258" s="32"/>
      <c r="B258" s="32"/>
      <c r="C258" s="37"/>
      <c r="D258" s="38"/>
      <c r="E258" s="39" t="str">
        <f t="shared" si="3"/>
        <v/>
      </c>
      <c r="F258" s="37"/>
      <c r="G258" s="40"/>
      <c r="H258" s="32"/>
    </row>
    <row r="259" spans="1:8" x14ac:dyDescent="0.25">
      <c r="A259" s="32"/>
      <c r="B259" s="32"/>
      <c r="C259" s="37"/>
      <c r="D259" s="38"/>
      <c r="E259" s="39" t="str">
        <f t="shared" si="3"/>
        <v/>
      </c>
      <c r="F259" s="37"/>
      <c r="G259" s="40"/>
      <c r="H259" s="32"/>
    </row>
    <row r="260" spans="1:8" x14ac:dyDescent="0.25">
      <c r="A260" s="32"/>
      <c r="B260" s="32"/>
      <c r="C260" s="37"/>
      <c r="D260" s="38"/>
      <c r="E260" s="39" t="str">
        <f t="shared" si="3"/>
        <v/>
      </c>
      <c r="F260" s="37"/>
      <c r="G260" s="40"/>
      <c r="H260" s="32"/>
    </row>
    <row r="261" spans="1:8" x14ac:dyDescent="0.25">
      <c r="A261" s="32"/>
      <c r="B261" s="32"/>
      <c r="C261" s="37"/>
      <c r="D261" s="38"/>
      <c r="E261" s="39" t="str">
        <f t="shared" ref="E261:E324" si="4">IF(OR(A261="",C261=""),"",C261*(1+D261))</f>
        <v/>
      </c>
      <c r="F261" s="37"/>
      <c r="G261" s="40"/>
      <c r="H261" s="32"/>
    </row>
    <row r="262" spans="1:8" x14ac:dyDescent="0.25">
      <c r="A262" s="32"/>
      <c r="B262" s="32"/>
      <c r="C262" s="37"/>
      <c r="D262" s="38"/>
      <c r="E262" s="39" t="str">
        <f t="shared" si="4"/>
        <v/>
      </c>
      <c r="F262" s="37"/>
      <c r="G262" s="40"/>
      <c r="H262" s="32"/>
    </row>
    <row r="263" spans="1:8" x14ac:dyDescent="0.25">
      <c r="A263" s="32"/>
      <c r="B263" s="32"/>
      <c r="C263" s="37"/>
      <c r="D263" s="38"/>
      <c r="E263" s="39" t="str">
        <f t="shared" si="4"/>
        <v/>
      </c>
      <c r="F263" s="37"/>
      <c r="G263" s="40"/>
      <c r="H263" s="32"/>
    </row>
    <row r="264" spans="1:8" x14ac:dyDescent="0.25">
      <c r="A264" s="32"/>
      <c r="B264" s="32"/>
      <c r="C264" s="37"/>
      <c r="D264" s="38"/>
      <c r="E264" s="39" t="str">
        <f t="shared" si="4"/>
        <v/>
      </c>
      <c r="F264" s="37"/>
      <c r="G264" s="40"/>
      <c r="H264" s="32"/>
    </row>
    <row r="265" spans="1:8" x14ac:dyDescent="0.25">
      <c r="A265" s="32"/>
      <c r="B265" s="32"/>
      <c r="C265" s="37"/>
      <c r="D265" s="38"/>
      <c r="E265" s="39" t="str">
        <f t="shared" si="4"/>
        <v/>
      </c>
      <c r="F265" s="37"/>
      <c r="G265" s="40"/>
      <c r="H265" s="32"/>
    </row>
    <row r="266" spans="1:8" x14ac:dyDescent="0.25">
      <c r="A266" s="32"/>
      <c r="B266" s="32"/>
      <c r="C266" s="37"/>
      <c r="D266" s="38"/>
      <c r="E266" s="39" t="str">
        <f t="shared" si="4"/>
        <v/>
      </c>
      <c r="F266" s="37"/>
      <c r="G266" s="40"/>
      <c r="H266" s="32"/>
    </row>
    <row r="267" spans="1:8" x14ac:dyDescent="0.25">
      <c r="A267" s="32"/>
      <c r="B267" s="32"/>
      <c r="C267" s="37"/>
      <c r="D267" s="38"/>
      <c r="E267" s="39" t="str">
        <f t="shared" si="4"/>
        <v/>
      </c>
      <c r="F267" s="37"/>
      <c r="G267" s="40"/>
      <c r="H267" s="32"/>
    </row>
    <row r="268" spans="1:8" x14ac:dyDescent="0.25">
      <c r="A268" s="32"/>
      <c r="B268" s="32"/>
      <c r="C268" s="37"/>
      <c r="D268" s="38"/>
      <c r="E268" s="39" t="str">
        <f t="shared" si="4"/>
        <v/>
      </c>
      <c r="F268" s="37"/>
      <c r="G268" s="40"/>
      <c r="H268" s="32"/>
    </row>
    <row r="269" spans="1:8" x14ac:dyDescent="0.25">
      <c r="A269" s="32"/>
      <c r="B269" s="32"/>
      <c r="C269" s="37"/>
      <c r="D269" s="38"/>
      <c r="E269" s="39" t="str">
        <f t="shared" si="4"/>
        <v/>
      </c>
      <c r="F269" s="37"/>
      <c r="G269" s="40"/>
      <c r="H269" s="32"/>
    </row>
    <row r="270" spans="1:8" x14ac:dyDescent="0.25">
      <c r="A270" s="32"/>
      <c r="B270" s="32"/>
      <c r="C270" s="37"/>
      <c r="D270" s="38"/>
      <c r="E270" s="39" t="str">
        <f t="shared" si="4"/>
        <v/>
      </c>
      <c r="F270" s="37"/>
      <c r="G270" s="40"/>
      <c r="H270" s="32"/>
    </row>
    <row r="271" spans="1:8" x14ac:dyDescent="0.25">
      <c r="A271" s="32"/>
      <c r="B271" s="32"/>
      <c r="C271" s="37"/>
      <c r="D271" s="38"/>
      <c r="E271" s="39" t="str">
        <f t="shared" si="4"/>
        <v/>
      </c>
      <c r="F271" s="37"/>
      <c r="G271" s="40"/>
      <c r="H271" s="32"/>
    </row>
    <row r="272" spans="1:8" x14ac:dyDescent="0.25">
      <c r="A272" s="32"/>
      <c r="B272" s="32"/>
      <c r="C272" s="37"/>
      <c r="D272" s="38"/>
      <c r="E272" s="39" t="str">
        <f t="shared" si="4"/>
        <v/>
      </c>
      <c r="F272" s="37"/>
      <c r="G272" s="40"/>
      <c r="H272" s="32"/>
    </row>
    <row r="273" spans="1:8" x14ac:dyDescent="0.25">
      <c r="A273" s="32"/>
      <c r="B273" s="32"/>
      <c r="C273" s="37"/>
      <c r="D273" s="38"/>
      <c r="E273" s="39" t="str">
        <f t="shared" si="4"/>
        <v/>
      </c>
      <c r="F273" s="37"/>
      <c r="G273" s="40"/>
      <c r="H273" s="32"/>
    </row>
    <row r="274" spans="1:8" x14ac:dyDescent="0.25">
      <c r="A274" s="32"/>
      <c r="B274" s="32"/>
      <c r="C274" s="37"/>
      <c r="D274" s="38"/>
      <c r="E274" s="39" t="str">
        <f t="shared" si="4"/>
        <v/>
      </c>
      <c r="F274" s="37"/>
      <c r="G274" s="40"/>
      <c r="H274" s="32"/>
    </row>
    <row r="275" spans="1:8" x14ac:dyDescent="0.25">
      <c r="A275" s="32"/>
      <c r="B275" s="32"/>
      <c r="C275" s="37"/>
      <c r="D275" s="38"/>
      <c r="E275" s="39" t="str">
        <f t="shared" si="4"/>
        <v/>
      </c>
      <c r="F275" s="37"/>
      <c r="G275" s="40"/>
      <c r="H275" s="32"/>
    </row>
    <row r="276" spans="1:8" x14ac:dyDescent="0.25">
      <c r="A276" s="32"/>
      <c r="B276" s="32"/>
      <c r="C276" s="37"/>
      <c r="D276" s="38"/>
      <c r="E276" s="39" t="str">
        <f t="shared" si="4"/>
        <v/>
      </c>
      <c r="F276" s="37"/>
      <c r="G276" s="40"/>
      <c r="H276" s="32"/>
    </row>
    <row r="277" spans="1:8" x14ac:dyDescent="0.25">
      <c r="A277" s="32"/>
      <c r="B277" s="32"/>
      <c r="C277" s="37"/>
      <c r="D277" s="38"/>
      <c r="E277" s="39" t="str">
        <f t="shared" si="4"/>
        <v/>
      </c>
      <c r="F277" s="37"/>
      <c r="G277" s="40"/>
      <c r="H277" s="32"/>
    </row>
    <row r="278" spans="1:8" x14ac:dyDescent="0.25">
      <c r="A278" s="32"/>
      <c r="B278" s="32"/>
      <c r="C278" s="37"/>
      <c r="D278" s="38"/>
      <c r="E278" s="39" t="str">
        <f t="shared" si="4"/>
        <v/>
      </c>
      <c r="F278" s="37"/>
      <c r="G278" s="40"/>
      <c r="H278" s="32"/>
    </row>
    <row r="279" spans="1:8" x14ac:dyDescent="0.25">
      <c r="A279" s="32"/>
      <c r="B279" s="32"/>
      <c r="C279" s="37"/>
      <c r="D279" s="38"/>
      <c r="E279" s="39" t="str">
        <f t="shared" si="4"/>
        <v/>
      </c>
      <c r="F279" s="37"/>
      <c r="G279" s="40"/>
      <c r="H279" s="32"/>
    </row>
    <row r="280" spans="1:8" x14ac:dyDescent="0.25">
      <c r="A280" s="32"/>
      <c r="B280" s="32"/>
      <c r="C280" s="37"/>
      <c r="D280" s="38"/>
      <c r="E280" s="39" t="str">
        <f t="shared" si="4"/>
        <v/>
      </c>
      <c r="F280" s="37"/>
      <c r="G280" s="40"/>
      <c r="H280" s="32"/>
    </row>
    <row r="281" spans="1:8" x14ac:dyDescent="0.25">
      <c r="A281" s="32"/>
      <c r="B281" s="32"/>
      <c r="C281" s="37"/>
      <c r="D281" s="38"/>
      <c r="E281" s="39" t="str">
        <f t="shared" si="4"/>
        <v/>
      </c>
      <c r="F281" s="37"/>
      <c r="G281" s="40"/>
      <c r="H281" s="32"/>
    </row>
    <row r="282" spans="1:8" x14ac:dyDescent="0.25">
      <c r="A282" s="32"/>
      <c r="B282" s="32"/>
      <c r="C282" s="37"/>
      <c r="D282" s="38"/>
      <c r="E282" s="39" t="str">
        <f t="shared" si="4"/>
        <v/>
      </c>
      <c r="F282" s="37"/>
      <c r="G282" s="40"/>
      <c r="H282" s="32"/>
    </row>
    <row r="283" spans="1:8" x14ac:dyDescent="0.25">
      <c r="A283" s="32"/>
      <c r="B283" s="32"/>
      <c r="C283" s="37"/>
      <c r="D283" s="38"/>
      <c r="E283" s="39" t="str">
        <f t="shared" si="4"/>
        <v/>
      </c>
      <c r="F283" s="37"/>
      <c r="G283" s="40"/>
      <c r="H283" s="32"/>
    </row>
    <row r="284" spans="1:8" x14ac:dyDescent="0.25">
      <c r="A284" s="32"/>
      <c r="B284" s="32"/>
      <c r="C284" s="37"/>
      <c r="D284" s="38"/>
      <c r="E284" s="39" t="str">
        <f t="shared" si="4"/>
        <v/>
      </c>
      <c r="F284" s="37"/>
      <c r="G284" s="40"/>
      <c r="H284" s="32"/>
    </row>
    <row r="285" spans="1:8" x14ac:dyDescent="0.25">
      <c r="A285" s="32"/>
      <c r="B285" s="32"/>
      <c r="C285" s="37"/>
      <c r="D285" s="38"/>
      <c r="E285" s="39" t="str">
        <f t="shared" si="4"/>
        <v/>
      </c>
      <c r="F285" s="37"/>
      <c r="G285" s="40"/>
      <c r="H285" s="32"/>
    </row>
    <row r="286" spans="1:8" x14ac:dyDescent="0.25">
      <c r="A286" s="32"/>
      <c r="B286" s="32"/>
      <c r="C286" s="37"/>
      <c r="D286" s="38"/>
      <c r="E286" s="39" t="str">
        <f t="shared" si="4"/>
        <v/>
      </c>
      <c r="F286" s="37"/>
      <c r="G286" s="40"/>
      <c r="H286" s="32"/>
    </row>
    <row r="287" spans="1:8" x14ac:dyDescent="0.25">
      <c r="A287" s="32"/>
      <c r="B287" s="32"/>
      <c r="C287" s="37"/>
      <c r="D287" s="38"/>
      <c r="E287" s="39" t="str">
        <f t="shared" si="4"/>
        <v/>
      </c>
      <c r="F287" s="37"/>
      <c r="G287" s="40"/>
      <c r="H287" s="32"/>
    </row>
    <row r="288" spans="1:8" x14ac:dyDescent="0.25">
      <c r="A288" s="32"/>
      <c r="B288" s="32"/>
      <c r="C288" s="37"/>
      <c r="D288" s="38"/>
      <c r="E288" s="39" t="str">
        <f t="shared" si="4"/>
        <v/>
      </c>
      <c r="F288" s="37"/>
      <c r="G288" s="40"/>
      <c r="H288" s="32"/>
    </row>
    <row r="289" spans="1:8" x14ac:dyDescent="0.25">
      <c r="A289" s="32"/>
      <c r="B289" s="32"/>
      <c r="C289" s="37"/>
      <c r="D289" s="38"/>
      <c r="E289" s="39" t="str">
        <f t="shared" si="4"/>
        <v/>
      </c>
      <c r="F289" s="37"/>
      <c r="G289" s="40"/>
      <c r="H289" s="32"/>
    </row>
    <row r="290" spans="1:8" x14ac:dyDescent="0.25">
      <c r="A290" s="32"/>
      <c r="B290" s="32"/>
      <c r="C290" s="37"/>
      <c r="D290" s="38"/>
      <c r="E290" s="39" t="str">
        <f t="shared" si="4"/>
        <v/>
      </c>
      <c r="F290" s="37"/>
      <c r="G290" s="40"/>
      <c r="H290" s="32"/>
    </row>
    <row r="291" spans="1:8" x14ac:dyDescent="0.25">
      <c r="A291" s="32"/>
      <c r="B291" s="32"/>
      <c r="C291" s="37"/>
      <c r="D291" s="38"/>
      <c r="E291" s="39" t="str">
        <f t="shared" si="4"/>
        <v/>
      </c>
      <c r="F291" s="37"/>
      <c r="G291" s="40"/>
      <c r="H291" s="32"/>
    </row>
    <row r="292" spans="1:8" x14ac:dyDescent="0.25">
      <c r="A292" s="32"/>
      <c r="B292" s="32"/>
      <c r="C292" s="37"/>
      <c r="D292" s="38"/>
      <c r="E292" s="39" t="str">
        <f t="shared" si="4"/>
        <v/>
      </c>
      <c r="F292" s="37"/>
      <c r="G292" s="40"/>
      <c r="H292" s="32"/>
    </row>
    <row r="293" spans="1:8" x14ac:dyDescent="0.25">
      <c r="A293" s="32"/>
      <c r="B293" s="32"/>
      <c r="C293" s="37"/>
      <c r="D293" s="38"/>
      <c r="E293" s="39" t="str">
        <f t="shared" si="4"/>
        <v/>
      </c>
      <c r="F293" s="37"/>
      <c r="G293" s="40"/>
      <c r="H293" s="32"/>
    </row>
    <row r="294" spans="1:8" x14ac:dyDescent="0.25">
      <c r="A294" s="32"/>
      <c r="B294" s="32"/>
      <c r="C294" s="37"/>
      <c r="D294" s="38"/>
      <c r="E294" s="39" t="str">
        <f t="shared" si="4"/>
        <v/>
      </c>
      <c r="F294" s="37"/>
      <c r="G294" s="40"/>
      <c r="H294" s="32"/>
    </row>
    <row r="295" spans="1:8" x14ac:dyDescent="0.25">
      <c r="A295" s="32"/>
      <c r="B295" s="32"/>
      <c r="C295" s="37"/>
      <c r="D295" s="38"/>
      <c r="E295" s="39" t="str">
        <f t="shared" si="4"/>
        <v/>
      </c>
      <c r="F295" s="37"/>
      <c r="G295" s="40"/>
      <c r="H295" s="32"/>
    </row>
    <row r="296" spans="1:8" x14ac:dyDescent="0.25">
      <c r="A296" s="32"/>
      <c r="B296" s="32"/>
      <c r="C296" s="37"/>
      <c r="D296" s="38"/>
      <c r="E296" s="39" t="str">
        <f t="shared" si="4"/>
        <v/>
      </c>
      <c r="F296" s="37"/>
      <c r="G296" s="40"/>
      <c r="H296" s="32"/>
    </row>
    <row r="297" spans="1:8" x14ac:dyDescent="0.25">
      <c r="A297" s="32"/>
      <c r="B297" s="32"/>
      <c r="C297" s="37"/>
      <c r="D297" s="38"/>
      <c r="E297" s="39" t="str">
        <f t="shared" si="4"/>
        <v/>
      </c>
      <c r="F297" s="37"/>
      <c r="G297" s="40"/>
      <c r="H297" s="32"/>
    </row>
    <row r="298" spans="1:8" x14ac:dyDescent="0.25">
      <c r="A298" s="32"/>
      <c r="B298" s="32"/>
      <c r="C298" s="37"/>
      <c r="D298" s="38"/>
      <c r="E298" s="39" t="str">
        <f t="shared" si="4"/>
        <v/>
      </c>
      <c r="F298" s="37"/>
      <c r="G298" s="40"/>
      <c r="H298" s="32"/>
    </row>
    <row r="299" spans="1:8" x14ac:dyDescent="0.25">
      <c r="A299" s="32"/>
      <c r="B299" s="32"/>
      <c r="C299" s="37"/>
      <c r="D299" s="38"/>
      <c r="E299" s="39" t="str">
        <f t="shared" si="4"/>
        <v/>
      </c>
      <c r="F299" s="37"/>
      <c r="G299" s="40"/>
      <c r="H299" s="32"/>
    </row>
    <row r="300" spans="1:8" x14ac:dyDescent="0.25">
      <c r="A300" s="32"/>
      <c r="B300" s="32"/>
      <c r="C300" s="37"/>
      <c r="D300" s="38"/>
      <c r="E300" s="39" t="str">
        <f t="shared" si="4"/>
        <v/>
      </c>
      <c r="F300" s="37"/>
      <c r="G300" s="40"/>
      <c r="H300" s="32"/>
    </row>
    <row r="301" spans="1:8" x14ac:dyDescent="0.25">
      <c r="A301" s="32"/>
      <c r="B301" s="32"/>
      <c r="C301" s="37"/>
      <c r="D301" s="38"/>
      <c r="E301" s="39" t="str">
        <f t="shared" si="4"/>
        <v/>
      </c>
      <c r="F301" s="37"/>
      <c r="G301" s="40"/>
      <c r="H301" s="32"/>
    </row>
    <row r="302" spans="1:8" x14ac:dyDescent="0.25">
      <c r="A302" s="32"/>
      <c r="B302" s="32"/>
      <c r="C302" s="37"/>
      <c r="D302" s="38"/>
      <c r="E302" s="39" t="str">
        <f t="shared" si="4"/>
        <v/>
      </c>
      <c r="F302" s="37"/>
      <c r="G302" s="40"/>
      <c r="H302" s="32"/>
    </row>
    <row r="303" spans="1:8" x14ac:dyDescent="0.25">
      <c r="A303" s="32"/>
      <c r="B303" s="32"/>
      <c r="C303" s="37"/>
      <c r="D303" s="38"/>
      <c r="E303" s="39" t="str">
        <f t="shared" si="4"/>
        <v/>
      </c>
      <c r="F303" s="37"/>
      <c r="G303" s="40"/>
      <c r="H303" s="32"/>
    </row>
    <row r="304" spans="1:8" x14ac:dyDescent="0.25">
      <c r="A304" s="32"/>
      <c r="B304" s="32"/>
      <c r="C304" s="37"/>
      <c r="D304" s="38"/>
      <c r="E304" s="39" t="str">
        <f t="shared" si="4"/>
        <v/>
      </c>
      <c r="F304" s="37"/>
      <c r="G304" s="40"/>
      <c r="H304" s="32"/>
    </row>
    <row r="305" spans="1:8" x14ac:dyDescent="0.25">
      <c r="A305" s="32"/>
      <c r="B305" s="32"/>
      <c r="C305" s="37"/>
      <c r="D305" s="38"/>
      <c r="E305" s="39" t="str">
        <f t="shared" si="4"/>
        <v/>
      </c>
      <c r="F305" s="37"/>
      <c r="G305" s="40"/>
      <c r="H305" s="32"/>
    </row>
    <row r="306" spans="1:8" x14ac:dyDescent="0.25">
      <c r="A306" s="32"/>
      <c r="B306" s="32"/>
      <c r="C306" s="37"/>
      <c r="D306" s="38"/>
      <c r="E306" s="39" t="str">
        <f t="shared" si="4"/>
        <v/>
      </c>
      <c r="F306" s="37"/>
      <c r="G306" s="40"/>
      <c r="H306" s="32"/>
    </row>
    <row r="307" spans="1:8" x14ac:dyDescent="0.25">
      <c r="A307" s="32"/>
      <c r="B307" s="32"/>
      <c r="C307" s="37"/>
      <c r="D307" s="38"/>
      <c r="E307" s="39" t="str">
        <f t="shared" si="4"/>
        <v/>
      </c>
      <c r="F307" s="37"/>
      <c r="G307" s="40"/>
      <c r="H307" s="32"/>
    </row>
    <row r="308" spans="1:8" x14ac:dyDescent="0.25">
      <c r="A308" s="32"/>
      <c r="B308" s="32"/>
      <c r="C308" s="37"/>
      <c r="D308" s="38"/>
      <c r="E308" s="39" t="str">
        <f t="shared" si="4"/>
        <v/>
      </c>
      <c r="F308" s="37"/>
      <c r="G308" s="40"/>
      <c r="H308" s="32"/>
    </row>
    <row r="309" spans="1:8" x14ac:dyDescent="0.25">
      <c r="A309" s="32"/>
      <c r="B309" s="32"/>
      <c r="C309" s="37"/>
      <c r="D309" s="38"/>
      <c r="E309" s="39" t="str">
        <f t="shared" si="4"/>
        <v/>
      </c>
      <c r="F309" s="37"/>
      <c r="G309" s="40"/>
      <c r="H309" s="32"/>
    </row>
    <row r="310" spans="1:8" x14ac:dyDescent="0.25">
      <c r="A310" s="32"/>
      <c r="B310" s="32"/>
      <c r="C310" s="37"/>
      <c r="D310" s="38"/>
      <c r="E310" s="39" t="str">
        <f t="shared" si="4"/>
        <v/>
      </c>
      <c r="F310" s="37"/>
      <c r="G310" s="40"/>
      <c r="H310" s="32"/>
    </row>
    <row r="311" spans="1:8" x14ac:dyDescent="0.25">
      <c r="A311" s="32"/>
      <c r="B311" s="32"/>
      <c r="C311" s="37"/>
      <c r="D311" s="38"/>
      <c r="E311" s="39" t="str">
        <f t="shared" si="4"/>
        <v/>
      </c>
      <c r="F311" s="37"/>
      <c r="G311" s="40"/>
      <c r="H311" s="32"/>
    </row>
    <row r="312" spans="1:8" x14ac:dyDescent="0.25">
      <c r="A312" s="32"/>
      <c r="B312" s="32"/>
      <c r="C312" s="37"/>
      <c r="D312" s="38"/>
      <c r="E312" s="39" t="str">
        <f t="shared" si="4"/>
        <v/>
      </c>
      <c r="F312" s="37"/>
      <c r="G312" s="40"/>
      <c r="H312" s="32"/>
    </row>
    <row r="313" spans="1:8" x14ac:dyDescent="0.25">
      <c r="A313" s="32"/>
      <c r="B313" s="32"/>
      <c r="C313" s="37"/>
      <c r="D313" s="38"/>
      <c r="E313" s="39" t="str">
        <f t="shared" si="4"/>
        <v/>
      </c>
      <c r="F313" s="37"/>
      <c r="G313" s="40"/>
      <c r="H313" s="32"/>
    </row>
    <row r="314" spans="1:8" x14ac:dyDescent="0.25">
      <c r="A314" s="32"/>
      <c r="B314" s="32"/>
      <c r="C314" s="37"/>
      <c r="D314" s="38"/>
      <c r="E314" s="39" t="str">
        <f t="shared" si="4"/>
        <v/>
      </c>
      <c r="F314" s="37"/>
      <c r="G314" s="40"/>
      <c r="H314" s="32"/>
    </row>
    <row r="315" spans="1:8" x14ac:dyDescent="0.25">
      <c r="A315" s="32"/>
      <c r="B315" s="32"/>
      <c r="C315" s="37"/>
      <c r="D315" s="38"/>
      <c r="E315" s="39" t="str">
        <f t="shared" si="4"/>
        <v/>
      </c>
      <c r="F315" s="37"/>
      <c r="G315" s="40"/>
      <c r="H315" s="32"/>
    </row>
    <row r="316" spans="1:8" x14ac:dyDescent="0.25">
      <c r="A316" s="32"/>
      <c r="B316" s="32"/>
      <c r="C316" s="37"/>
      <c r="D316" s="38"/>
      <c r="E316" s="39" t="str">
        <f t="shared" si="4"/>
        <v/>
      </c>
      <c r="F316" s="37"/>
      <c r="G316" s="40"/>
      <c r="H316" s="32"/>
    </row>
    <row r="317" spans="1:8" x14ac:dyDescent="0.25">
      <c r="A317" s="32"/>
      <c r="B317" s="32"/>
      <c r="C317" s="37"/>
      <c r="D317" s="38"/>
      <c r="E317" s="39" t="str">
        <f t="shared" si="4"/>
        <v/>
      </c>
      <c r="F317" s="37"/>
      <c r="G317" s="40"/>
      <c r="H317" s="32"/>
    </row>
    <row r="318" spans="1:8" x14ac:dyDescent="0.25">
      <c r="A318" s="32"/>
      <c r="B318" s="32"/>
      <c r="C318" s="37"/>
      <c r="D318" s="38"/>
      <c r="E318" s="39" t="str">
        <f t="shared" si="4"/>
        <v/>
      </c>
      <c r="F318" s="37"/>
      <c r="G318" s="40"/>
      <c r="H318" s="32"/>
    </row>
    <row r="319" spans="1:8" x14ac:dyDescent="0.25">
      <c r="A319" s="32"/>
      <c r="B319" s="32"/>
      <c r="C319" s="37"/>
      <c r="D319" s="38"/>
      <c r="E319" s="39" t="str">
        <f t="shared" si="4"/>
        <v/>
      </c>
      <c r="F319" s="37"/>
      <c r="G319" s="40"/>
      <c r="H319" s="32"/>
    </row>
    <row r="320" spans="1:8" x14ac:dyDescent="0.25">
      <c r="A320" s="32"/>
      <c r="B320" s="32"/>
      <c r="C320" s="37"/>
      <c r="D320" s="38"/>
      <c r="E320" s="39" t="str">
        <f t="shared" si="4"/>
        <v/>
      </c>
      <c r="F320" s="37"/>
      <c r="G320" s="40"/>
      <c r="H320" s="32"/>
    </row>
    <row r="321" spans="1:8" x14ac:dyDescent="0.25">
      <c r="A321" s="32"/>
      <c r="B321" s="32"/>
      <c r="C321" s="37"/>
      <c r="D321" s="38"/>
      <c r="E321" s="39" t="str">
        <f t="shared" si="4"/>
        <v/>
      </c>
      <c r="F321" s="37"/>
      <c r="G321" s="40"/>
      <c r="H321" s="32"/>
    </row>
    <row r="322" spans="1:8" x14ac:dyDescent="0.25">
      <c r="A322" s="32"/>
      <c r="B322" s="32"/>
      <c r="C322" s="37"/>
      <c r="D322" s="38"/>
      <c r="E322" s="39" t="str">
        <f t="shared" si="4"/>
        <v/>
      </c>
      <c r="F322" s="37"/>
      <c r="G322" s="40"/>
      <c r="H322" s="32"/>
    </row>
    <row r="323" spans="1:8" x14ac:dyDescent="0.25">
      <c r="A323" s="32"/>
      <c r="B323" s="32"/>
      <c r="C323" s="37"/>
      <c r="D323" s="38"/>
      <c r="E323" s="39" t="str">
        <f t="shared" si="4"/>
        <v/>
      </c>
      <c r="F323" s="37"/>
      <c r="G323" s="40"/>
      <c r="H323" s="32"/>
    </row>
    <row r="324" spans="1:8" x14ac:dyDescent="0.25">
      <c r="A324" s="32"/>
      <c r="B324" s="32"/>
      <c r="C324" s="37"/>
      <c r="D324" s="38"/>
      <c r="E324" s="39" t="str">
        <f t="shared" si="4"/>
        <v/>
      </c>
      <c r="F324" s="37"/>
      <c r="G324" s="40"/>
      <c r="H324" s="32"/>
    </row>
    <row r="325" spans="1:8" x14ac:dyDescent="0.25">
      <c r="A325" s="32"/>
      <c r="B325" s="32"/>
      <c r="C325" s="37"/>
      <c r="D325" s="38"/>
      <c r="E325" s="39" t="str">
        <f t="shared" ref="E325:E388" si="5">IF(OR(A325="",C325=""),"",C325*(1+D325))</f>
        <v/>
      </c>
      <c r="F325" s="37"/>
      <c r="G325" s="40"/>
      <c r="H325" s="32"/>
    </row>
    <row r="326" spans="1:8" x14ac:dyDescent="0.25">
      <c r="A326" s="32"/>
      <c r="B326" s="32"/>
      <c r="C326" s="37"/>
      <c r="D326" s="38"/>
      <c r="E326" s="39" t="str">
        <f t="shared" si="5"/>
        <v/>
      </c>
      <c r="F326" s="37"/>
      <c r="G326" s="40"/>
      <c r="H326" s="32"/>
    </row>
    <row r="327" spans="1:8" x14ac:dyDescent="0.25">
      <c r="A327" s="32"/>
      <c r="B327" s="32"/>
      <c r="C327" s="37"/>
      <c r="D327" s="38"/>
      <c r="E327" s="39" t="str">
        <f t="shared" si="5"/>
        <v/>
      </c>
      <c r="F327" s="37"/>
      <c r="G327" s="40"/>
      <c r="H327" s="32"/>
    </row>
    <row r="328" spans="1:8" x14ac:dyDescent="0.25">
      <c r="A328" s="32"/>
      <c r="B328" s="32"/>
      <c r="C328" s="37"/>
      <c r="D328" s="38"/>
      <c r="E328" s="39" t="str">
        <f t="shared" si="5"/>
        <v/>
      </c>
      <c r="F328" s="37"/>
      <c r="G328" s="40"/>
      <c r="H328" s="32"/>
    </row>
    <row r="329" spans="1:8" x14ac:dyDescent="0.25">
      <c r="A329" s="32"/>
      <c r="B329" s="32"/>
      <c r="C329" s="37"/>
      <c r="D329" s="38"/>
      <c r="E329" s="39" t="str">
        <f t="shared" si="5"/>
        <v/>
      </c>
      <c r="F329" s="37"/>
      <c r="G329" s="40"/>
      <c r="H329" s="32"/>
    </row>
    <row r="330" spans="1:8" x14ac:dyDescent="0.25">
      <c r="A330" s="32"/>
      <c r="B330" s="32"/>
      <c r="C330" s="37"/>
      <c r="D330" s="38"/>
      <c r="E330" s="39" t="str">
        <f t="shared" si="5"/>
        <v/>
      </c>
      <c r="F330" s="37"/>
      <c r="G330" s="40"/>
      <c r="H330" s="32"/>
    </row>
    <row r="331" spans="1:8" x14ac:dyDescent="0.25">
      <c r="A331" s="32"/>
      <c r="B331" s="32"/>
      <c r="C331" s="37"/>
      <c r="D331" s="38"/>
      <c r="E331" s="39" t="str">
        <f t="shared" si="5"/>
        <v/>
      </c>
      <c r="F331" s="37"/>
      <c r="G331" s="40"/>
      <c r="H331" s="32"/>
    </row>
    <row r="332" spans="1:8" x14ac:dyDescent="0.25">
      <c r="A332" s="32"/>
      <c r="B332" s="32"/>
      <c r="C332" s="37"/>
      <c r="D332" s="38"/>
      <c r="E332" s="39" t="str">
        <f t="shared" si="5"/>
        <v/>
      </c>
      <c r="F332" s="37"/>
      <c r="G332" s="40"/>
      <c r="H332" s="32"/>
    </row>
    <row r="333" spans="1:8" x14ac:dyDescent="0.25">
      <c r="A333" s="32"/>
      <c r="B333" s="32"/>
      <c r="C333" s="37"/>
      <c r="D333" s="38"/>
      <c r="E333" s="39" t="str">
        <f t="shared" si="5"/>
        <v/>
      </c>
      <c r="F333" s="37"/>
      <c r="G333" s="40"/>
      <c r="H333" s="32"/>
    </row>
    <row r="334" spans="1:8" x14ac:dyDescent="0.25">
      <c r="A334" s="32"/>
      <c r="B334" s="32"/>
      <c r="C334" s="37"/>
      <c r="D334" s="38"/>
      <c r="E334" s="39" t="str">
        <f t="shared" si="5"/>
        <v/>
      </c>
      <c r="F334" s="37"/>
      <c r="G334" s="40"/>
      <c r="H334" s="32"/>
    </row>
    <row r="335" spans="1:8" x14ac:dyDescent="0.25">
      <c r="A335" s="32"/>
      <c r="B335" s="32"/>
      <c r="C335" s="37"/>
      <c r="D335" s="38"/>
      <c r="E335" s="39" t="str">
        <f t="shared" si="5"/>
        <v/>
      </c>
      <c r="F335" s="37"/>
      <c r="G335" s="40"/>
      <c r="H335" s="32"/>
    </row>
    <row r="336" spans="1:8" x14ac:dyDescent="0.25">
      <c r="A336" s="32"/>
      <c r="B336" s="32"/>
      <c r="C336" s="37"/>
      <c r="D336" s="38"/>
      <c r="E336" s="39" t="str">
        <f t="shared" si="5"/>
        <v/>
      </c>
      <c r="F336" s="37"/>
      <c r="G336" s="40"/>
      <c r="H336" s="32"/>
    </row>
    <row r="337" spans="1:8" x14ac:dyDescent="0.25">
      <c r="A337" s="32"/>
      <c r="B337" s="32"/>
      <c r="C337" s="37"/>
      <c r="D337" s="38"/>
      <c r="E337" s="39" t="str">
        <f t="shared" si="5"/>
        <v/>
      </c>
      <c r="F337" s="37"/>
      <c r="G337" s="40"/>
      <c r="H337" s="32"/>
    </row>
    <row r="338" spans="1:8" x14ac:dyDescent="0.25">
      <c r="A338" s="32"/>
      <c r="B338" s="32"/>
      <c r="C338" s="37"/>
      <c r="D338" s="38"/>
      <c r="E338" s="39" t="str">
        <f t="shared" si="5"/>
        <v/>
      </c>
      <c r="F338" s="37"/>
      <c r="G338" s="40"/>
      <c r="H338" s="32"/>
    </row>
    <row r="339" spans="1:8" x14ac:dyDescent="0.25">
      <c r="A339" s="32"/>
      <c r="B339" s="32"/>
      <c r="C339" s="37"/>
      <c r="D339" s="38"/>
      <c r="E339" s="39" t="str">
        <f t="shared" si="5"/>
        <v/>
      </c>
      <c r="F339" s="37"/>
      <c r="G339" s="40"/>
      <c r="H339" s="32"/>
    </row>
    <row r="340" spans="1:8" x14ac:dyDescent="0.25">
      <c r="A340" s="32"/>
      <c r="B340" s="32"/>
      <c r="C340" s="37"/>
      <c r="D340" s="38"/>
      <c r="E340" s="39" t="str">
        <f t="shared" si="5"/>
        <v/>
      </c>
      <c r="F340" s="37"/>
      <c r="G340" s="40"/>
      <c r="H340" s="32"/>
    </row>
    <row r="341" spans="1:8" x14ac:dyDescent="0.25">
      <c r="A341" s="32"/>
      <c r="B341" s="32"/>
      <c r="C341" s="37"/>
      <c r="D341" s="38"/>
      <c r="E341" s="39" t="str">
        <f t="shared" si="5"/>
        <v/>
      </c>
      <c r="F341" s="37"/>
      <c r="G341" s="40"/>
      <c r="H341" s="32"/>
    </row>
    <row r="342" spans="1:8" x14ac:dyDescent="0.25">
      <c r="A342" s="32"/>
      <c r="B342" s="32"/>
      <c r="C342" s="37"/>
      <c r="D342" s="38"/>
      <c r="E342" s="39" t="str">
        <f t="shared" si="5"/>
        <v/>
      </c>
      <c r="F342" s="37"/>
      <c r="G342" s="40"/>
      <c r="H342" s="32"/>
    </row>
    <row r="343" spans="1:8" x14ac:dyDescent="0.25">
      <c r="A343" s="32"/>
      <c r="B343" s="32"/>
      <c r="C343" s="37"/>
      <c r="D343" s="38"/>
      <c r="E343" s="39" t="str">
        <f t="shared" si="5"/>
        <v/>
      </c>
      <c r="F343" s="37"/>
      <c r="G343" s="40"/>
      <c r="H343" s="32"/>
    </row>
    <row r="344" spans="1:8" x14ac:dyDescent="0.25">
      <c r="A344" s="32"/>
      <c r="B344" s="32"/>
      <c r="C344" s="37"/>
      <c r="D344" s="38"/>
      <c r="E344" s="39" t="str">
        <f t="shared" si="5"/>
        <v/>
      </c>
      <c r="F344" s="37"/>
      <c r="G344" s="40"/>
      <c r="H344" s="32"/>
    </row>
    <row r="345" spans="1:8" x14ac:dyDescent="0.25">
      <c r="A345" s="32"/>
      <c r="B345" s="32"/>
      <c r="C345" s="37"/>
      <c r="D345" s="38"/>
      <c r="E345" s="39" t="str">
        <f t="shared" si="5"/>
        <v/>
      </c>
      <c r="F345" s="37"/>
      <c r="G345" s="40"/>
      <c r="H345" s="32"/>
    </row>
    <row r="346" spans="1:8" x14ac:dyDescent="0.25">
      <c r="A346" s="32"/>
      <c r="B346" s="32"/>
      <c r="C346" s="37"/>
      <c r="D346" s="38"/>
      <c r="E346" s="39" t="str">
        <f t="shared" si="5"/>
        <v/>
      </c>
      <c r="F346" s="37"/>
      <c r="G346" s="40"/>
      <c r="H346" s="32"/>
    </row>
    <row r="347" spans="1:8" x14ac:dyDescent="0.25">
      <c r="A347" s="32"/>
      <c r="B347" s="32"/>
      <c r="C347" s="37"/>
      <c r="D347" s="38"/>
      <c r="E347" s="39" t="str">
        <f t="shared" si="5"/>
        <v/>
      </c>
      <c r="F347" s="37"/>
      <c r="G347" s="40"/>
      <c r="H347" s="32"/>
    </row>
    <row r="348" spans="1:8" x14ac:dyDescent="0.25">
      <c r="A348" s="32"/>
      <c r="B348" s="32"/>
      <c r="C348" s="37"/>
      <c r="D348" s="38"/>
      <c r="E348" s="39" t="str">
        <f t="shared" si="5"/>
        <v/>
      </c>
      <c r="F348" s="37"/>
      <c r="G348" s="40"/>
      <c r="H348" s="32"/>
    </row>
    <row r="349" spans="1:8" x14ac:dyDescent="0.25">
      <c r="A349" s="32"/>
      <c r="B349" s="32"/>
      <c r="C349" s="37"/>
      <c r="D349" s="38"/>
      <c r="E349" s="39" t="str">
        <f t="shared" si="5"/>
        <v/>
      </c>
      <c r="F349" s="37"/>
      <c r="G349" s="40"/>
      <c r="H349" s="32"/>
    </row>
    <row r="350" spans="1:8" x14ac:dyDescent="0.25">
      <c r="A350" s="32"/>
      <c r="B350" s="32"/>
      <c r="C350" s="37"/>
      <c r="D350" s="38"/>
      <c r="E350" s="39" t="str">
        <f t="shared" si="5"/>
        <v/>
      </c>
      <c r="F350" s="37"/>
      <c r="G350" s="40"/>
      <c r="H350" s="32"/>
    </row>
    <row r="351" spans="1:8" x14ac:dyDescent="0.25">
      <c r="A351" s="32"/>
      <c r="B351" s="32"/>
      <c r="C351" s="37"/>
      <c r="D351" s="38"/>
      <c r="E351" s="39" t="str">
        <f t="shared" si="5"/>
        <v/>
      </c>
      <c r="F351" s="37"/>
      <c r="G351" s="40"/>
      <c r="H351" s="32"/>
    </row>
    <row r="352" spans="1:8" x14ac:dyDescent="0.25">
      <c r="A352" s="32"/>
      <c r="B352" s="32"/>
      <c r="C352" s="37"/>
      <c r="D352" s="38"/>
      <c r="E352" s="39" t="str">
        <f t="shared" si="5"/>
        <v/>
      </c>
      <c r="F352" s="37"/>
      <c r="G352" s="40"/>
      <c r="H352" s="32"/>
    </row>
    <row r="353" spans="1:8" x14ac:dyDescent="0.25">
      <c r="A353" s="32"/>
      <c r="B353" s="32"/>
      <c r="C353" s="37"/>
      <c r="D353" s="38"/>
      <c r="E353" s="39" t="str">
        <f t="shared" si="5"/>
        <v/>
      </c>
      <c r="F353" s="37"/>
      <c r="G353" s="40"/>
      <c r="H353" s="32"/>
    </row>
    <row r="354" spans="1:8" x14ac:dyDescent="0.25">
      <c r="A354" s="32"/>
      <c r="B354" s="32"/>
      <c r="C354" s="37"/>
      <c r="D354" s="38"/>
      <c r="E354" s="39" t="str">
        <f t="shared" si="5"/>
        <v/>
      </c>
      <c r="F354" s="37"/>
      <c r="G354" s="40"/>
      <c r="H354" s="32"/>
    </row>
    <row r="355" spans="1:8" x14ac:dyDescent="0.25">
      <c r="A355" s="32"/>
      <c r="B355" s="32"/>
      <c r="C355" s="37"/>
      <c r="D355" s="38"/>
      <c r="E355" s="39" t="str">
        <f t="shared" si="5"/>
        <v/>
      </c>
      <c r="F355" s="37"/>
      <c r="G355" s="40"/>
      <c r="H355" s="32"/>
    </row>
    <row r="356" spans="1:8" x14ac:dyDescent="0.25">
      <c r="A356" s="32"/>
      <c r="B356" s="32"/>
      <c r="C356" s="37"/>
      <c r="D356" s="38"/>
      <c r="E356" s="39" t="str">
        <f t="shared" si="5"/>
        <v/>
      </c>
      <c r="F356" s="37"/>
      <c r="G356" s="40"/>
      <c r="H356" s="32"/>
    </row>
    <row r="357" spans="1:8" x14ac:dyDescent="0.25">
      <c r="A357" s="32"/>
      <c r="B357" s="32"/>
      <c r="C357" s="37"/>
      <c r="D357" s="38"/>
      <c r="E357" s="39" t="str">
        <f t="shared" si="5"/>
        <v/>
      </c>
      <c r="F357" s="37"/>
      <c r="G357" s="40"/>
      <c r="H357" s="32"/>
    </row>
    <row r="358" spans="1:8" x14ac:dyDescent="0.25">
      <c r="A358" s="32"/>
      <c r="B358" s="32"/>
      <c r="C358" s="37"/>
      <c r="D358" s="38"/>
      <c r="E358" s="39" t="str">
        <f t="shared" si="5"/>
        <v/>
      </c>
      <c r="F358" s="37"/>
      <c r="G358" s="40"/>
      <c r="H358" s="32"/>
    </row>
    <row r="359" spans="1:8" x14ac:dyDescent="0.25">
      <c r="A359" s="32"/>
      <c r="B359" s="32"/>
      <c r="C359" s="37"/>
      <c r="D359" s="38"/>
      <c r="E359" s="39" t="str">
        <f t="shared" si="5"/>
        <v/>
      </c>
      <c r="F359" s="37"/>
      <c r="G359" s="40"/>
      <c r="H359" s="32"/>
    </row>
    <row r="360" spans="1:8" x14ac:dyDescent="0.25">
      <c r="A360" s="32"/>
      <c r="B360" s="32"/>
      <c r="C360" s="37"/>
      <c r="D360" s="38"/>
      <c r="E360" s="39" t="str">
        <f t="shared" si="5"/>
        <v/>
      </c>
      <c r="F360" s="37"/>
      <c r="G360" s="40"/>
      <c r="H360" s="32"/>
    </row>
    <row r="361" spans="1:8" x14ac:dyDescent="0.25">
      <c r="A361" s="32"/>
      <c r="B361" s="32"/>
      <c r="C361" s="37"/>
      <c r="D361" s="38"/>
      <c r="E361" s="39" t="str">
        <f t="shared" si="5"/>
        <v/>
      </c>
      <c r="F361" s="37"/>
      <c r="G361" s="40"/>
      <c r="H361" s="32"/>
    </row>
    <row r="362" spans="1:8" x14ac:dyDescent="0.25">
      <c r="A362" s="32"/>
      <c r="B362" s="32"/>
      <c r="C362" s="37"/>
      <c r="D362" s="38"/>
      <c r="E362" s="39" t="str">
        <f t="shared" si="5"/>
        <v/>
      </c>
      <c r="F362" s="37"/>
      <c r="G362" s="40"/>
      <c r="H362" s="32"/>
    </row>
    <row r="363" spans="1:8" x14ac:dyDescent="0.25">
      <c r="A363" s="32"/>
      <c r="B363" s="32"/>
      <c r="C363" s="37"/>
      <c r="D363" s="38"/>
      <c r="E363" s="39" t="str">
        <f t="shared" si="5"/>
        <v/>
      </c>
      <c r="F363" s="37"/>
      <c r="G363" s="40"/>
      <c r="H363" s="32"/>
    </row>
    <row r="364" spans="1:8" x14ac:dyDescent="0.25">
      <c r="A364" s="32"/>
      <c r="B364" s="32"/>
      <c r="C364" s="37"/>
      <c r="D364" s="38"/>
      <c r="E364" s="39" t="str">
        <f t="shared" si="5"/>
        <v/>
      </c>
      <c r="F364" s="37"/>
      <c r="G364" s="40"/>
      <c r="H364" s="32"/>
    </row>
    <row r="365" spans="1:8" x14ac:dyDescent="0.25">
      <c r="A365" s="32"/>
      <c r="B365" s="32"/>
      <c r="C365" s="37"/>
      <c r="D365" s="38"/>
      <c r="E365" s="39" t="str">
        <f t="shared" si="5"/>
        <v/>
      </c>
      <c r="F365" s="37"/>
      <c r="G365" s="40"/>
      <c r="H365" s="32"/>
    </row>
    <row r="366" spans="1:8" x14ac:dyDescent="0.25">
      <c r="A366" s="32"/>
      <c r="B366" s="32"/>
      <c r="C366" s="37"/>
      <c r="D366" s="38"/>
      <c r="E366" s="39" t="str">
        <f t="shared" si="5"/>
        <v/>
      </c>
      <c r="F366" s="37"/>
      <c r="G366" s="40"/>
      <c r="H366" s="32"/>
    </row>
    <row r="367" spans="1:8" x14ac:dyDescent="0.25">
      <c r="A367" s="32"/>
      <c r="B367" s="32"/>
      <c r="C367" s="37"/>
      <c r="D367" s="38"/>
      <c r="E367" s="39" t="str">
        <f t="shared" si="5"/>
        <v/>
      </c>
      <c r="F367" s="37"/>
      <c r="G367" s="40"/>
      <c r="H367" s="32"/>
    </row>
    <row r="368" spans="1:8" x14ac:dyDescent="0.25">
      <c r="A368" s="32"/>
      <c r="B368" s="32"/>
      <c r="C368" s="37"/>
      <c r="D368" s="38"/>
      <c r="E368" s="39" t="str">
        <f t="shared" si="5"/>
        <v/>
      </c>
      <c r="F368" s="37"/>
      <c r="G368" s="40"/>
      <c r="H368" s="32"/>
    </row>
    <row r="369" spans="1:8" x14ac:dyDescent="0.25">
      <c r="A369" s="32"/>
      <c r="B369" s="32"/>
      <c r="C369" s="37"/>
      <c r="D369" s="38"/>
      <c r="E369" s="39" t="str">
        <f t="shared" si="5"/>
        <v/>
      </c>
      <c r="F369" s="37"/>
      <c r="G369" s="40"/>
      <c r="H369" s="32"/>
    </row>
    <row r="370" spans="1:8" x14ac:dyDescent="0.25">
      <c r="A370" s="32"/>
      <c r="B370" s="32"/>
      <c r="C370" s="37"/>
      <c r="D370" s="38"/>
      <c r="E370" s="39" t="str">
        <f t="shared" si="5"/>
        <v/>
      </c>
      <c r="F370" s="37"/>
      <c r="G370" s="40"/>
      <c r="H370" s="32"/>
    </row>
    <row r="371" spans="1:8" x14ac:dyDescent="0.25">
      <c r="A371" s="32"/>
      <c r="B371" s="32"/>
      <c r="C371" s="37"/>
      <c r="D371" s="38"/>
      <c r="E371" s="39" t="str">
        <f t="shared" si="5"/>
        <v/>
      </c>
      <c r="F371" s="37"/>
      <c r="G371" s="40"/>
      <c r="H371" s="32"/>
    </row>
    <row r="372" spans="1:8" x14ac:dyDescent="0.25">
      <c r="A372" s="32"/>
      <c r="B372" s="32"/>
      <c r="C372" s="37"/>
      <c r="D372" s="38"/>
      <c r="E372" s="39" t="str">
        <f t="shared" si="5"/>
        <v/>
      </c>
      <c r="F372" s="37"/>
      <c r="G372" s="40"/>
      <c r="H372" s="32"/>
    </row>
    <row r="373" spans="1:8" x14ac:dyDescent="0.25">
      <c r="A373" s="32"/>
      <c r="B373" s="32"/>
      <c r="C373" s="37"/>
      <c r="D373" s="38"/>
      <c r="E373" s="39" t="str">
        <f t="shared" si="5"/>
        <v/>
      </c>
      <c r="F373" s="37"/>
      <c r="G373" s="40"/>
      <c r="H373" s="32"/>
    </row>
    <row r="374" spans="1:8" x14ac:dyDescent="0.25">
      <c r="A374" s="32"/>
      <c r="B374" s="32"/>
      <c r="C374" s="37"/>
      <c r="D374" s="38"/>
      <c r="E374" s="39" t="str">
        <f t="shared" si="5"/>
        <v/>
      </c>
      <c r="F374" s="37"/>
      <c r="G374" s="40"/>
      <c r="H374" s="32"/>
    </row>
    <row r="375" spans="1:8" x14ac:dyDescent="0.25">
      <c r="A375" s="32"/>
      <c r="B375" s="32"/>
      <c r="C375" s="37"/>
      <c r="D375" s="38"/>
      <c r="E375" s="39" t="str">
        <f t="shared" si="5"/>
        <v/>
      </c>
      <c r="F375" s="37"/>
      <c r="G375" s="40"/>
      <c r="H375" s="32"/>
    </row>
    <row r="376" spans="1:8" x14ac:dyDescent="0.25">
      <c r="A376" s="32"/>
      <c r="B376" s="32"/>
      <c r="C376" s="37"/>
      <c r="D376" s="38"/>
      <c r="E376" s="39" t="str">
        <f t="shared" si="5"/>
        <v/>
      </c>
      <c r="F376" s="37"/>
      <c r="G376" s="40"/>
      <c r="H376" s="32"/>
    </row>
    <row r="377" spans="1:8" x14ac:dyDescent="0.25">
      <c r="A377" s="32"/>
      <c r="B377" s="32"/>
      <c r="C377" s="37"/>
      <c r="D377" s="38"/>
      <c r="E377" s="39" t="str">
        <f t="shared" si="5"/>
        <v/>
      </c>
      <c r="F377" s="37"/>
      <c r="G377" s="40"/>
      <c r="H377" s="32"/>
    </row>
    <row r="378" spans="1:8" x14ac:dyDescent="0.25">
      <c r="A378" s="32"/>
      <c r="B378" s="32"/>
      <c r="C378" s="37"/>
      <c r="D378" s="38"/>
      <c r="E378" s="39" t="str">
        <f t="shared" si="5"/>
        <v/>
      </c>
      <c r="F378" s="37"/>
      <c r="G378" s="40"/>
      <c r="H378" s="32"/>
    </row>
    <row r="379" spans="1:8" x14ac:dyDescent="0.25">
      <c r="A379" s="32"/>
      <c r="B379" s="32"/>
      <c r="C379" s="37"/>
      <c r="D379" s="38"/>
      <c r="E379" s="39" t="str">
        <f t="shared" si="5"/>
        <v/>
      </c>
      <c r="F379" s="37"/>
      <c r="G379" s="40"/>
      <c r="H379" s="32"/>
    </row>
    <row r="380" spans="1:8" x14ac:dyDescent="0.25">
      <c r="A380" s="32"/>
      <c r="B380" s="32"/>
      <c r="C380" s="37"/>
      <c r="D380" s="38"/>
      <c r="E380" s="39" t="str">
        <f t="shared" si="5"/>
        <v/>
      </c>
      <c r="F380" s="37"/>
      <c r="G380" s="40"/>
      <c r="H380" s="32"/>
    </row>
    <row r="381" spans="1:8" x14ac:dyDescent="0.25">
      <c r="A381" s="32"/>
      <c r="B381" s="32"/>
      <c r="C381" s="37"/>
      <c r="D381" s="38"/>
      <c r="E381" s="39" t="str">
        <f t="shared" si="5"/>
        <v/>
      </c>
      <c r="F381" s="37"/>
      <c r="G381" s="40"/>
      <c r="H381" s="32"/>
    </row>
    <row r="382" spans="1:8" x14ac:dyDescent="0.25">
      <c r="A382" s="32"/>
      <c r="B382" s="32"/>
      <c r="C382" s="37"/>
      <c r="D382" s="38"/>
      <c r="E382" s="39" t="str">
        <f t="shared" si="5"/>
        <v/>
      </c>
      <c r="F382" s="37"/>
      <c r="G382" s="40"/>
      <c r="H382" s="32"/>
    </row>
    <row r="383" spans="1:8" x14ac:dyDescent="0.25">
      <c r="A383" s="32"/>
      <c r="B383" s="32"/>
      <c r="C383" s="37"/>
      <c r="D383" s="38"/>
      <c r="E383" s="39" t="str">
        <f t="shared" si="5"/>
        <v/>
      </c>
      <c r="F383" s="37"/>
      <c r="G383" s="40"/>
      <c r="H383" s="32"/>
    </row>
    <row r="384" spans="1:8" x14ac:dyDescent="0.25">
      <c r="A384" s="32"/>
      <c r="B384" s="32"/>
      <c r="C384" s="37"/>
      <c r="D384" s="38"/>
      <c r="E384" s="39" t="str">
        <f t="shared" si="5"/>
        <v/>
      </c>
      <c r="F384" s="37"/>
      <c r="G384" s="40"/>
      <c r="H384" s="32"/>
    </row>
    <row r="385" spans="1:8" x14ac:dyDescent="0.25">
      <c r="A385" s="32"/>
      <c r="B385" s="32"/>
      <c r="C385" s="37"/>
      <c r="D385" s="38"/>
      <c r="E385" s="39" t="str">
        <f t="shared" si="5"/>
        <v/>
      </c>
      <c r="F385" s="37"/>
      <c r="G385" s="40"/>
      <c r="H385" s="32"/>
    </row>
    <row r="386" spans="1:8" x14ac:dyDescent="0.25">
      <c r="A386" s="32"/>
      <c r="B386" s="32"/>
      <c r="C386" s="37"/>
      <c r="D386" s="38"/>
      <c r="E386" s="39" t="str">
        <f t="shared" si="5"/>
        <v/>
      </c>
      <c r="F386" s="37"/>
      <c r="G386" s="40"/>
      <c r="H386" s="32"/>
    </row>
    <row r="387" spans="1:8" x14ac:dyDescent="0.25">
      <c r="A387" s="32"/>
      <c r="B387" s="32"/>
      <c r="C387" s="37"/>
      <c r="D387" s="38"/>
      <c r="E387" s="39" t="str">
        <f t="shared" si="5"/>
        <v/>
      </c>
      <c r="F387" s="37"/>
      <c r="G387" s="40"/>
      <c r="H387" s="32"/>
    </row>
    <row r="388" spans="1:8" x14ac:dyDescent="0.25">
      <c r="A388" s="32"/>
      <c r="B388" s="32"/>
      <c r="C388" s="37"/>
      <c r="D388" s="38"/>
      <c r="E388" s="39" t="str">
        <f t="shared" si="5"/>
        <v/>
      </c>
      <c r="F388" s="37"/>
      <c r="G388" s="40"/>
      <c r="H388" s="32"/>
    </row>
    <row r="389" spans="1:8" x14ac:dyDescent="0.25">
      <c r="A389" s="32"/>
      <c r="B389" s="32"/>
      <c r="C389" s="37"/>
      <c r="D389" s="38"/>
      <c r="E389" s="39" t="str">
        <f t="shared" ref="E389:E452" si="6">IF(OR(A389="",C389=""),"",C389*(1+D389))</f>
        <v/>
      </c>
      <c r="F389" s="37"/>
      <c r="G389" s="40"/>
      <c r="H389" s="32"/>
    </row>
    <row r="390" spans="1:8" x14ac:dyDescent="0.25">
      <c r="A390" s="32"/>
      <c r="B390" s="32"/>
      <c r="C390" s="37"/>
      <c r="D390" s="38"/>
      <c r="E390" s="39" t="str">
        <f t="shared" si="6"/>
        <v/>
      </c>
      <c r="F390" s="37"/>
      <c r="G390" s="40"/>
      <c r="H390" s="32"/>
    </row>
    <row r="391" spans="1:8" x14ac:dyDescent="0.25">
      <c r="A391" s="32"/>
      <c r="B391" s="32"/>
      <c r="C391" s="37"/>
      <c r="D391" s="38"/>
      <c r="E391" s="39" t="str">
        <f t="shared" si="6"/>
        <v/>
      </c>
      <c r="F391" s="37"/>
      <c r="G391" s="40"/>
      <c r="H391" s="32"/>
    </row>
    <row r="392" spans="1:8" x14ac:dyDescent="0.25">
      <c r="A392" s="32"/>
      <c r="B392" s="32"/>
      <c r="C392" s="37"/>
      <c r="D392" s="38"/>
      <c r="E392" s="39" t="str">
        <f t="shared" si="6"/>
        <v/>
      </c>
      <c r="F392" s="37"/>
      <c r="G392" s="40"/>
      <c r="H392" s="32"/>
    </row>
    <row r="393" spans="1:8" x14ac:dyDescent="0.25">
      <c r="A393" s="32"/>
      <c r="B393" s="32"/>
      <c r="C393" s="37"/>
      <c r="D393" s="38"/>
      <c r="E393" s="39" t="str">
        <f t="shared" si="6"/>
        <v/>
      </c>
      <c r="F393" s="37"/>
      <c r="G393" s="40"/>
      <c r="H393" s="32"/>
    </row>
    <row r="394" spans="1:8" x14ac:dyDescent="0.25">
      <c r="A394" s="32"/>
      <c r="B394" s="32"/>
      <c r="C394" s="37"/>
      <c r="D394" s="38"/>
      <c r="E394" s="39" t="str">
        <f t="shared" si="6"/>
        <v/>
      </c>
      <c r="F394" s="37"/>
      <c r="G394" s="40"/>
      <c r="H394" s="32"/>
    </row>
    <row r="395" spans="1:8" x14ac:dyDescent="0.25">
      <c r="A395" s="32"/>
      <c r="B395" s="32"/>
      <c r="C395" s="37"/>
      <c r="D395" s="38"/>
      <c r="E395" s="39" t="str">
        <f t="shared" si="6"/>
        <v/>
      </c>
      <c r="F395" s="37"/>
      <c r="G395" s="40"/>
      <c r="H395" s="32"/>
    </row>
    <row r="396" spans="1:8" x14ac:dyDescent="0.25">
      <c r="A396" s="32"/>
      <c r="B396" s="32"/>
      <c r="C396" s="37"/>
      <c r="D396" s="38"/>
      <c r="E396" s="39" t="str">
        <f t="shared" si="6"/>
        <v/>
      </c>
      <c r="F396" s="37"/>
      <c r="G396" s="40"/>
      <c r="H396" s="32"/>
    </row>
    <row r="397" spans="1:8" x14ac:dyDescent="0.25">
      <c r="A397" s="32"/>
      <c r="B397" s="32"/>
      <c r="C397" s="37"/>
      <c r="D397" s="38"/>
      <c r="E397" s="39" t="str">
        <f t="shared" si="6"/>
        <v/>
      </c>
      <c r="F397" s="37"/>
      <c r="G397" s="40"/>
      <c r="H397" s="32"/>
    </row>
    <row r="398" spans="1:8" x14ac:dyDescent="0.25">
      <c r="A398" s="32"/>
      <c r="B398" s="32"/>
      <c r="C398" s="37"/>
      <c r="D398" s="38"/>
      <c r="E398" s="39" t="str">
        <f t="shared" si="6"/>
        <v/>
      </c>
      <c r="F398" s="37"/>
      <c r="G398" s="40"/>
      <c r="H398" s="32"/>
    </row>
    <row r="399" spans="1:8" x14ac:dyDescent="0.25">
      <c r="A399" s="32"/>
      <c r="B399" s="32"/>
      <c r="C399" s="37"/>
      <c r="D399" s="38"/>
      <c r="E399" s="39" t="str">
        <f t="shared" si="6"/>
        <v/>
      </c>
      <c r="F399" s="37"/>
      <c r="G399" s="40"/>
      <c r="H399" s="32"/>
    </row>
    <row r="400" spans="1:8" x14ac:dyDescent="0.25">
      <c r="A400" s="32"/>
      <c r="B400" s="32"/>
      <c r="C400" s="37"/>
      <c r="D400" s="38"/>
      <c r="E400" s="39" t="str">
        <f t="shared" si="6"/>
        <v/>
      </c>
      <c r="F400" s="37"/>
      <c r="G400" s="40"/>
      <c r="H400" s="32"/>
    </row>
    <row r="401" spans="1:8" x14ac:dyDescent="0.25">
      <c r="A401" s="32"/>
      <c r="B401" s="32"/>
      <c r="C401" s="37"/>
      <c r="D401" s="38"/>
      <c r="E401" s="39" t="str">
        <f t="shared" si="6"/>
        <v/>
      </c>
      <c r="F401" s="37"/>
      <c r="G401" s="40"/>
      <c r="H401" s="32"/>
    </row>
    <row r="402" spans="1:8" x14ac:dyDescent="0.25">
      <c r="A402" s="32"/>
      <c r="B402" s="32"/>
      <c r="C402" s="37"/>
      <c r="D402" s="38"/>
      <c r="E402" s="39" t="str">
        <f t="shared" si="6"/>
        <v/>
      </c>
      <c r="F402" s="37"/>
      <c r="G402" s="40"/>
      <c r="H402" s="32"/>
    </row>
    <row r="403" spans="1:8" x14ac:dyDescent="0.25">
      <c r="A403" s="32"/>
      <c r="B403" s="32"/>
      <c r="C403" s="37"/>
      <c r="D403" s="38"/>
      <c r="E403" s="39" t="str">
        <f t="shared" si="6"/>
        <v/>
      </c>
      <c r="F403" s="37"/>
      <c r="G403" s="40"/>
      <c r="H403" s="32"/>
    </row>
    <row r="404" spans="1:8" x14ac:dyDescent="0.25">
      <c r="A404" s="32"/>
      <c r="B404" s="32"/>
      <c r="C404" s="37"/>
      <c r="D404" s="38"/>
      <c r="E404" s="39" t="str">
        <f t="shared" si="6"/>
        <v/>
      </c>
      <c r="F404" s="37"/>
      <c r="G404" s="40"/>
      <c r="H404" s="32"/>
    </row>
    <row r="405" spans="1:8" x14ac:dyDescent="0.25">
      <c r="A405" s="32"/>
      <c r="B405" s="32"/>
      <c r="C405" s="37"/>
      <c r="D405" s="38"/>
      <c r="E405" s="39" t="str">
        <f t="shared" si="6"/>
        <v/>
      </c>
      <c r="F405" s="37"/>
      <c r="G405" s="40"/>
      <c r="H405" s="32"/>
    </row>
    <row r="406" spans="1:8" x14ac:dyDescent="0.25">
      <c r="A406" s="32"/>
      <c r="B406" s="32"/>
      <c r="C406" s="37"/>
      <c r="D406" s="38"/>
      <c r="E406" s="39" t="str">
        <f t="shared" si="6"/>
        <v/>
      </c>
      <c r="F406" s="37"/>
      <c r="G406" s="40"/>
      <c r="H406" s="32"/>
    </row>
    <row r="407" spans="1:8" x14ac:dyDescent="0.25">
      <c r="A407" s="32"/>
      <c r="B407" s="32"/>
      <c r="C407" s="37"/>
      <c r="D407" s="38"/>
      <c r="E407" s="39" t="str">
        <f t="shared" si="6"/>
        <v/>
      </c>
      <c r="F407" s="37"/>
      <c r="G407" s="40"/>
      <c r="H407" s="32"/>
    </row>
    <row r="408" spans="1:8" x14ac:dyDescent="0.25">
      <c r="A408" s="32"/>
      <c r="B408" s="32"/>
      <c r="C408" s="37"/>
      <c r="D408" s="38"/>
      <c r="E408" s="39" t="str">
        <f t="shared" si="6"/>
        <v/>
      </c>
      <c r="F408" s="37"/>
      <c r="G408" s="40"/>
      <c r="H408" s="32"/>
    </row>
    <row r="409" spans="1:8" x14ac:dyDescent="0.25">
      <c r="A409" s="32"/>
      <c r="B409" s="32"/>
      <c r="C409" s="37"/>
      <c r="D409" s="38"/>
      <c r="E409" s="39" t="str">
        <f t="shared" si="6"/>
        <v/>
      </c>
      <c r="F409" s="37"/>
      <c r="G409" s="40"/>
      <c r="H409" s="32"/>
    </row>
    <row r="410" spans="1:8" x14ac:dyDescent="0.25">
      <c r="A410" s="32"/>
      <c r="B410" s="32"/>
      <c r="C410" s="37"/>
      <c r="D410" s="38"/>
      <c r="E410" s="39" t="str">
        <f t="shared" si="6"/>
        <v/>
      </c>
      <c r="F410" s="37"/>
      <c r="G410" s="40"/>
      <c r="H410" s="32"/>
    </row>
    <row r="411" spans="1:8" x14ac:dyDescent="0.25">
      <c r="A411" s="32"/>
      <c r="B411" s="32"/>
      <c r="C411" s="37"/>
      <c r="D411" s="38"/>
      <c r="E411" s="39" t="str">
        <f t="shared" si="6"/>
        <v/>
      </c>
      <c r="F411" s="37"/>
      <c r="G411" s="40"/>
      <c r="H411" s="32"/>
    </row>
    <row r="412" spans="1:8" x14ac:dyDescent="0.25">
      <c r="A412" s="32"/>
      <c r="B412" s="32"/>
      <c r="C412" s="37"/>
      <c r="D412" s="38"/>
      <c r="E412" s="39" t="str">
        <f t="shared" si="6"/>
        <v/>
      </c>
      <c r="F412" s="37"/>
      <c r="G412" s="40"/>
      <c r="H412" s="32"/>
    </row>
    <row r="413" spans="1:8" x14ac:dyDescent="0.25">
      <c r="A413" s="32"/>
      <c r="B413" s="32"/>
      <c r="C413" s="37"/>
      <c r="D413" s="38"/>
      <c r="E413" s="39" t="str">
        <f t="shared" si="6"/>
        <v/>
      </c>
      <c r="F413" s="37"/>
      <c r="G413" s="40"/>
      <c r="H413" s="32"/>
    </row>
    <row r="414" spans="1:8" x14ac:dyDescent="0.25">
      <c r="A414" s="32"/>
      <c r="B414" s="32"/>
      <c r="C414" s="37"/>
      <c r="D414" s="38"/>
      <c r="E414" s="39" t="str">
        <f t="shared" si="6"/>
        <v/>
      </c>
      <c r="F414" s="37"/>
      <c r="G414" s="40"/>
      <c r="H414" s="32"/>
    </row>
    <row r="415" spans="1:8" x14ac:dyDescent="0.25">
      <c r="A415" s="32"/>
      <c r="B415" s="32"/>
      <c r="C415" s="37"/>
      <c r="D415" s="38"/>
      <c r="E415" s="39" t="str">
        <f t="shared" si="6"/>
        <v/>
      </c>
      <c r="F415" s="37"/>
      <c r="G415" s="40"/>
      <c r="H415" s="32"/>
    </row>
    <row r="416" spans="1:8" x14ac:dyDescent="0.25">
      <c r="A416" s="32"/>
      <c r="B416" s="32"/>
      <c r="C416" s="37"/>
      <c r="D416" s="38"/>
      <c r="E416" s="39" t="str">
        <f t="shared" si="6"/>
        <v/>
      </c>
      <c r="F416" s="37"/>
      <c r="G416" s="40"/>
      <c r="H416" s="32"/>
    </row>
    <row r="417" spans="1:8" x14ac:dyDescent="0.25">
      <c r="A417" s="32"/>
      <c r="B417" s="32"/>
      <c r="C417" s="37"/>
      <c r="D417" s="38"/>
      <c r="E417" s="39" t="str">
        <f t="shared" si="6"/>
        <v/>
      </c>
      <c r="F417" s="37"/>
      <c r="G417" s="40"/>
      <c r="H417" s="32"/>
    </row>
    <row r="418" spans="1:8" x14ac:dyDescent="0.25">
      <c r="A418" s="32"/>
      <c r="B418" s="32"/>
      <c r="C418" s="37"/>
      <c r="D418" s="38"/>
      <c r="E418" s="39" t="str">
        <f t="shared" si="6"/>
        <v/>
      </c>
      <c r="F418" s="37"/>
      <c r="G418" s="40"/>
      <c r="H418" s="32"/>
    </row>
    <row r="419" spans="1:8" x14ac:dyDescent="0.25">
      <c r="A419" s="32"/>
      <c r="B419" s="32"/>
      <c r="C419" s="37"/>
      <c r="D419" s="38"/>
      <c r="E419" s="39" t="str">
        <f t="shared" si="6"/>
        <v/>
      </c>
      <c r="F419" s="37"/>
      <c r="G419" s="40"/>
      <c r="H419" s="32"/>
    </row>
    <row r="420" spans="1:8" x14ac:dyDescent="0.25">
      <c r="A420" s="32"/>
      <c r="B420" s="32"/>
      <c r="C420" s="37"/>
      <c r="D420" s="38"/>
      <c r="E420" s="39" t="str">
        <f t="shared" si="6"/>
        <v/>
      </c>
      <c r="F420" s="37"/>
      <c r="G420" s="40"/>
      <c r="H420" s="32"/>
    </row>
    <row r="421" spans="1:8" x14ac:dyDescent="0.25">
      <c r="A421" s="32"/>
      <c r="B421" s="32"/>
      <c r="C421" s="37"/>
      <c r="D421" s="38"/>
      <c r="E421" s="39" t="str">
        <f t="shared" si="6"/>
        <v/>
      </c>
      <c r="F421" s="37"/>
      <c r="G421" s="40"/>
      <c r="H421" s="32"/>
    </row>
    <row r="422" spans="1:8" x14ac:dyDescent="0.25">
      <c r="A422" s="32"/>
      <c r="B422" s="32"/>
      <c r="C422" s="37"/>
      <c r="D422" s="38"/>
      <c r="E422" s="39" t="str">
        <f t="shared" si="6"/>
        <v/>
      </c>
      <c r="F422" s="37"/>
      <c r="G422" s="40"/>
      <c r="H422" s="32"/>
    </row>
    <row r="423" spans="1:8" x14ac:dyDescent="0.25">
      <c r="A423" s="32"/>
      <c r="B423" s="32"/>
      <c r="C423" s="37"/>
      <c r="D423" s="38"/>
      <c r="E423" s="39" t="str">
        <f t="shared" si="6"/>
        <v/>
      </c>
      <c r="F423" s="37"/>
      <c r="G423" s="40"/>
      <c r="H423" s="32"/>
    </row>
    <row r="424" spans="1:8" x14ac:dyDescent="0.25">
      <c r="A424" s="32"/>
      <c r="B424" s="32"/>
      <c r="C424" s="37"/>
      <c r="D424" s="38"/>
      <c r="E424" s="39" t="str">
        <f t="shared" si="6"/>
        <v/>
      </c>
      <c r="F424" s="37"/>
      <c r="G424" s="40"/>
      <c r="H424" s="32"/>
    </row>
    <row r="425" spans="1:8" x14ac:dyDescent="0.25">
      <c r="A425" s="32"/>
      <c r="B425" s="32"/>
      <c r="C425" s="37"/>
      <c r="D425" s="38"/>
      <c r="E425" s="39" t="str">
        <f t="shared" si="6"/>
        <v/>
      </c>
      <c r="F425" s="37"/>
      <c r="G425" s="40"/>
      <c r="H425" s="32"/>
    </row>
    <row r="426" spans="1:8" x14ac:dyDescent="0.25">
      <c r="A426" s="32"/>
      <c r="B426" s="32"/>
      <c r="C426" s="37"/>
      <c r="D426" s="38"/>
      <c r="E426" s="39" t="str">
        <f t="shared" si="6"/>
        <v/>
      </c>
      <c r="F426" s="37"/>
      <c r="G426" s="40"/>
      <c r="H426" s="32"/>
    </row>
    <row r="427" spans="1:8" x14ac:dyDescent="0.25">
      <c r="A427" s="32"/>
      <c r="B427" s="32"/>
      <c r="C427" s="37"/>
      <c r="D427" s="38"/>
      <c r="E427" s="39" t="str">
        <f t="shared" si="6"/>
        <v/>
      </c>
      <c r="F427" s="37"/>
      <c r="G427" s="40"/>
      <c r="H427" s="32"/>
    </row>
    <row r="428" spans="1:8" x14ac:dyDescent="0.25">
      <c r="A428" s="32"/>
      <c r="B428" s="32"/>
      <c r="C428" s="37"/>
      <c r="D428" s="38"/>
      <c r="E428" s="39" t="str">
        <f t="shared" si="6"/>
        <v/>
      </c>
      <c r="F428" s="37"/>
      <c r="G428" s="40"/>
      <c r="H428" s="32"/>
    </row>
    <row r="429" spans="1:8" x14ac:dyDescent="0.25">
      <c r="A429" s="32"/>
      <c r="B429" s="32"/>
      <c r="C429" s="37"/>
      <c r="D429" s="38"/>
      <c r="E429" s="39" t="str">
        <f t="shared" si="6"/>
        <v/>
      </c>
      <c r="F429" s="37"/>
      <c r="G429" s="40"/>
      <c r="H429" s="32"/>
    </row>
    <row r="430" spans="1:8" x14ac:dyDescent="0.25">
      <c r="A430" s="32"/>
      <c r="B430" s="32"/>
      <c r="C430" s="37"/>
      <c r="D430" s="38"/>
      <c r="E430" s="39" t="str">
        <f t="shared" si="6"/>
        <v/>
      </c>
      <c r="F430" s="37"/>
      <c r="G430" s="40"/>
      <c r="H430" s="32"/>
    </row>
    <row r="431" spans="1:8" x14ac:dyDescent="0.25">
      <c r="A431" s="32"/>
      <c r="B431" s="32"/>
      <c r="C431" s="37"/>
      <c r="D431" s="38"/>
      <c r="E431" s="39" t="str">
        <f t="shared" si="6"/>
        <v/>
      </c>
      <c r="F431" s="37"/>
      <c r="G431" s="40"/>
      <c r="H431" s="32"/>
    </row>
    <row r="432" spans="1:8" x14ac:dyDescent="0.25">
      <c r="A432" s="32"/>
      <c r="B432" s="32"/>
      <c r="C432" s="37"/>
      <c r="D432" s="38"/>
      <c r="E432" s="39" t="str">
        <f t="shared" si="6"/>
        <v/>
      </c>
      <c r="F432" s="37"/>
      <c r="G432" s="40"/>
      <c r="H432" s="32"/>
    </row>
    <row r="433" spans="1:8" x14ac:dyDescent="0.25">
      <c r="A433" s="32"/>
      <c r="B433" s="32"/>
      <c r="C433" s="37"/>
      <c r="D433" s="38"/>
      <c r="E433" s="39" t="str">
        <f t="shared" si="6"/>
        <v/>
      </c>
      <c r="F433" s="37"/>
      <c r="G433" s="40"/>
      <c r="H433" s="32"/>
    </row>
    <row r="434" spans="1:8" x14ac:dyDescent="0.25">
      <c r="A434" s="32"/>
      <c r="B434" s="32"/>
      <c r="C434" s="37"/>
      <c r="D434" s="38"/>
      <c r="E434" s="39" t="str">
        <f t="shared" si="6"/>
        <v/>
      </c>
      <c r="F434" s="37"/>
      <c r="G434" s="40"/>
      <c r="H434" s="32"/>
    </row>
    <row r="435" spans="1:8" x14ac:dyDescent="0.25">
      <c r="A435" s="32"/>
      <c r="B435" s="32"/>
      <c r="C435" s="37"/>
      <c r="D435" s="38"/>
      <c r="E435" s="39" t="str">
        <f t="shared" si="6"/>
        <v/>
      </c>
      <c r="F435" s="37"/>
      <c r="G435" s="40"/>
      <c r="H435" s="32"/>
    </row>
    <row r="436" spans="1:8" x14ac:dyDescent="0.25">
      <c r="A436" s="32"/>
      <c r="B436" s="32"/>
      <c r="C436" s="37"/>
      <c r="D436" s="38"/>
      <c r="E436" s="39" t="str">
        <f t="shared" si="6"/>
        <v/>
      </c>
      <c r="F436" s="37"/>
      <c r="G436" s="40"/>
      <c r="H436" s="32"/>
    </row>
    <row r="437" spans="1:8" x14ac:dyDescent="0.25">
      <c r="A437" s="32"/>
      <c r="B437" s="32"/>
      <c r="C437" s="37"/>
      <c r="D437" s="38"/>
      <c r="E437" s="39" t="str">
        <f t="shared" si="6"/>
        <v/>
      </c>
      <c r="F437" s="37"/>
      <c r="G437" s="40"/>
      <c r="H437" s="32"/>
    </row>
    <row r="438" spans="1:8" x14ac:dyDescent="0.25">
      <c r="A438" s="32"/>
      <c r="B438" s="32"/>
      <c r="C438" s="37"/>
      <c r="D438" s="38"/>
      <c r="E438" s="39" t="str">
        <f t="shared" si="6"/>
        <v/>
      </c>
      <c r="F438" s="37"/>
      <c r="G438" s="40"/>
      <c r="H438" s="32"/>
    </row>
    <row r="439" spans="1:8" x14ac:dyDescent="0.25">
      <c r="A439" s="32"/>
      <c r="B439" s="32"/>
      <c r="C439" s="37"/>
      <c r="D439" s="38"/>
      <c r="E439" s="39" t="str">
        <f t="shared" si="6"/>
        <v/>
      </c>
      <c r="F439" s="37"/>
      <c r="G439" s="40"/>
      <c r="H439" s="32"/>
    </row>
    <row r="440" spans="1:8" x14ac:dyDescent="0.25">
      <c r="A440" s="32"/>
      <c r="B440" s="32"/>
      <c r="C440" s="37"/>
      <c r="D440" s="38"/>
      <c r="E440" s="39" t="str">
        <f t="shared" si="6"/>
        <v/>
      </c>
      <c r="F440" s="37"/>
      <c r="G440" s="40"/>
      <c r="H440" s="32"/>
    </row>
    <row r="441" spans="1:8" x14ac:dyDescent="0.25">
      <c r="A441" s="32"/>
      <c r="B441" s="32"/>
      <c r="C441" s="37"/>
      <c r="D441" s="38"/>
      <c r="E441" s="39" t="str">
        <f t="shared" si="6"/>
        <v/>
      </c>
      <c r="F441" s="37"/>
      <c r="G441" s="40"/>
      <c r="H441" s="32"/>
    </row>
    <row r="442" spans="1:8" x14ac:dyDescent="0.25">
      <c r="A442" s="32"/>
      <c r="B442" s="32"/>
      <c r="C442" s="37"/>
      <c r="D442" s="38"/>
      <c r="E442" s="39" t="str">
        <f t="shared" si="6"/>
        <v/>
      </c>
      <c r="F442" s="37"/>
      <c r="G442" s="40"/>
      <c r="H442" s="32"/>
    </row>
    <row r="443" spans="1:8" x14ac:dyDescent="0.25">
      <c r="A443" s="32"/>
      <c r="B443" s="32"/>
      <c r="C443" s="37"/>
      <c r="D443" s="38"/>
      <c r="E443" s="39" t="str">
        <f t="shared" si="6"/>
        <v/>
      </c>
      <c r="F443" s="37"/>
      <c r="G443" s="40"/>
      <c r="H443" s="32"/>
    </row>
    <row r="444" spans="1:8" x14ac:dyDescent="0.25">
      <c r="A444" s="32"/>
      <c r="B444" s="32"/>
      <c r="C444" s="37"/>
      <c r="D444" s="38"/>
      <c r="E444" s="39" t="str">
        <f t="shared" si="6"/>
        <v/>
      </c>
      <c r="F444" s="37"/>
      <c r="G444" s="40"/>
      <c r="H444" s="32"/>
    </row>
    <row r="445" spans="1:8" x14ac:dyDescent="0.25">
      <c r="A445" s="32"/>
      <c r="B445" s="32"/>
      <c r="C445" s="37"/>
      <c r="D445" s="38"/>
      <c r="E445" s="39" t="str">
        <f t="shared" si="6"/>
        <v/>
      </c>
      <c r="F445" s="37"/>
      <c r="G445" s="40"/>
      <c r="H445" s="32"/>
    </row>
    <row r="446" spans="1:8" x14ac:dyDescent="0.25">
      <c r="A446" s="32"/>
      <c r="B446" s="32"/>
      <c r="C446" s="37"/>
      <c r="D446" s="38"/>
      <c r="E446" s="39" t="str">
        <f t="shared" si="6"/>
        <v/>
      </c>
      <c r="F446" s="37"/>
      <c r="G446" s="40"/>
      <c r="H446" s="32"/>
    </row>
    <row r="447" spans="1:8" x14ac:dyDescent="0.25">
      <c r="A447" s="32"/>
      <c r="B447" s="32"/>
      <c r="C447" s="37"/>
      <c r="D447" s="38"/>
      <c r="E447" s="39" t="str">
        <f t="shared" si="6"/>
        <v/>
      </c>
      <c r="F447" s="37"/>
      <c r="G447" s="40"/>
      <c r="H447" s="32"/>
    </row>
    <row r="448" spans="1:8" x14ac:dyDescent="0.25">
      <c r="A448" s="32"/>
      <c r="B448" s="32"/>
      <c r="C448" s="37"/>
      <c r="D448" s="38"/>
      <c r="E448" s="39" t="str">
        <f t="shared" si="6"/>
        <v/>
      </c>
      <c r="F448" s="37"/>
      <c r="G448" s="40"/>
      <c r="H448" s="32"/>
    </row>
    <row r="449" spans="1:8" x14ac:dyDescent="0.25">
      <c r="A449" s="32"/>
      <c r="B449" s="32"/>
      <c r="C449" s="37"/>
      <c r="D449" s="38"/>
      <c r="E449" s="39" t="str">
        <f t="shared" si="6"/>
        <v/>
      </c>
      <c r="F449" s="37"/>
      <c r="G449" s="40"/>
      <c r="H449" s="32"/>
    </row>
    <row r="450" spans="1:8" x14ac:dyDescent="0.25">
      <c r="A450" s="32"/>
      <c r="B450" s="32"/>
      <c r="C450" s="37"/>
      <c r="D450" s="38"/>
      <c r="E450" s="39" t="str">
        <f t="shared" si="6"/>
        <v/>
      </c>
      <c r="F450" s="37"/>
      <c r="G450" s="40"/>
      <c r="H450" s="32"/>
    </row>
    <row r="451" spans="1:8" x14ac:dyDescent="0.25">
      <c r="A451" s="32"/>
      <c r="B451" s="32"/>
      <c r="C451" s="37"/>
      <c r="D451" s="38"/>
      <c r="E451" s="39" t="str">
        <f t="shared" si="6"/>
        <v/>
      </c>
      <c r="F451" s="37"/>
      <c r="G451" s="40"/>
      <c r="H451" s="32"/>
    </row>
    <row r="452" spans="1:8" x14ac:dyDescent="0.25">
      <c r="A452" s="32"/>
      <c r="B452" s="32"/>
      <c r="C452" s="37"/>
      <c r="D452" s="38"/>
      <c r="E452" s="39" t="str">
        <f t="shared" si="6"/>
        <v/>
      </c>
      <c r="F452" s="37"/>
      <c r="G452" s="40"/>
      <c r="H452" s="32"/>
    </row>
    <row r="453" spans="1:8" x14ac:dyDescent="0.25">
      <c r="A453" s="32"/>
      <c r="B453" s="32"/>
      <c r="C453" s="37"/>
      <c r="D453" s="38"/>
      <c r="E453" s="39" t="str">
        <f t="shared" ref="E453:E516" si="7">IF(OR(A453="",C453=""),"",C453*(1+D453))</f>
        <v/>
      </c>
      <c r="F453" s="37"/>
      <c r="G453" s="40"/>
      <c r="H453" s="32"/>
    </row>
    <row r="454" spans="1:8" x14ac:dyDescent="0.25">
      <c r="A454" s="32"/>
      <c r="B454" s="32"/>
      <c r="C454" s="37"/>
      <c r="D454" s="38"/>
      <c r="E454" s="39" t="str">
        <f t="shared" si="7"/>
        <v/>
      </c>
      <c r="F454" s="37"/>
      <c r="G454" s="40"/>
      <c r="H454" s="32"/>
    </row>
    <row r="455" spans="1:8" x14ac:dyDescent="0.25">
      <c r="A455" s="32"/>
      <c r="B455" s="32"/>
      <c r="C455" s="37"/>
      <c r="D455" s="38"/>
      <c r="E455" s="39" t="str">
        <f t="shared" si="7"/>
        <v/>
      </c>
      <c r="F455" s="37"/>
      <c r="G455" s="40"/>
      <c r="H455" s="32"/>
    </row>
    <row r="456" spans="1:8" x14ac:dyDescent="0.25">
      <c r="A456" s="32"/>
      <c r="B456" s="32"/>
      <c r="C456" s="37"/>
      <c r="D456" s="38"/>
      <c r="E456" s="39" t="str">
        <f t="shared" si="7"/>
        <v/>
      </c>
      <c r="F456" s="37"/>
      <c r="G456" s="40"/>
      <c r="H456" s="32"/>
    </row>
    <row r="457" spans="1:8" x14ac:dyDescent="0.25">
      <c r="A457" s="32"/>
      <c r="B457" s="32"/>
      <c r="C457" s="37"/>
      <c r="D457" s="38"/>
      <c r="E457" s="39" t="str">
        <f t="shared" si="7"/>
        <v/>
      </c>
      <c r="F457" s="37"/>
      <c r="G457" s="40"/>
      <c r="H457" s="32"/>
    </row>
    <row r="458" spans="1:8" x14ac:dyDescent="0.25">
      <c r="A458" s="32"/>
      <c r="B458" s="32"/>
      <c r="C458" s="37"/>
      <c r="D458" s="38"/>
      <c r="E458" s="39" t="str">
        <f t="shared" si="7"/>
        <v/>
      </c>
      <c r="F458" s="37"/>
      <c r="G458" s="40"/>
      <c r="H458" s="32"/>
    </row>
    <row r="459" spans="1:8" x14ac:dyDescent="0.25">
      <c r="A459" s="32"/>
      <c r="B459" s="32"/>
      <c r="C459" s="37"/>
      <c r="D459" s="38"/>
      <c r="E459" s="39" t="str">
        <f t="shared" si="7"/>
        <v/>
      </c>
      <c r="F459" s="37"/>
      <c r="G459" s="40"/>
      <c r="H459" s="32"/>
    </row>
    <row r="460" spans="1:8" x14ac:dyDescent="0.25">
      <c r="A460" s="32"/>
      <c r="B460" s="32"/>
      <c r="C460" s="37"/>
      <c r="D460" s="38"/>
      <c r="E460" s="39" t="str">
        <f t="shared" si="7"/>
        <v/>
      </c>
      <c r="F460" s="37"/>
      <c r="G460" s="40"/>
      <c r="H460" s="32"/>
    </row>
    <row r="461" spans="1:8" x14ac:dyDescent="0.25">
      <c r="A461" s="32"/>
      <c r="B461" s="32"/>
      <c r="C461" s="37"/>
      <c r="D461" s="38"/>
      <c r="E461" s="39" t="str">
        <f t="shared" si="7"/>
        <v/>
      </c>
      <c r="F461" s="37"/>
      <c r="G461" s="40"/>
      <c r="H461" s="32"/>
    </row>
    <row r="462" spans="1:8" x14ac:dyDescent="0.25">
      <c r="A462" s="32"/>
      <c r="B462" s="32"/>
      <c r="C462" s="37"/>
      <c r="D462" s="38"/>
      <c r="E462" s="39" t="str">
        <f t="shared" si="7"/>
        <v/>
      </c>
      <c r="F462" s="37"/>
      <c r="G462" s="40"/>
      <c r="H462" s="32"/>
    </row>
    <row r="463" spans="1:8" x14ac:dyDescent="0.25">
      <c r="A463" s="32"/>
      <c r="B463" s="32"/>
      <c r="C463" s="37"/>
      <c r="D463" s="38"/>
      <c r="E463" s="39" t="str">
        <f t="shared" si="7"/>
        <v/>
      </c>
      <c r="F463" s="37"/>
      <c r="G463" s="40"/>
      <c r="H463" s="32"/>
    </row>
    <row r="464" spans="1:8" x14ac:dyDescent="0.25">
      <c r="A464" s="32"/>
      <c r="B464" s="32"/>
      <c r="C464" s="37"/>
      <c r="D464" s="38"/>
      <c r="E464" s="39" t="str">
        <f t="shared" si="7"/>
        <v/>
      </c>
      <c r="F464" s="37"/>
      <c r="G464" s="40"/>
      <c r="H464" s="32"/>
    </row>
    <row r="465" spans="1:8" x14ac:dyDescent="0.25">
      <c r="A465" s="32"/>
      <c r="B465" s="32"/>
      <c r="C465" s="37"/>
      <c r="D465" s="38"/>
      <c r="E465" s="39" t="str">
        <f t="shared" si="7"/>
        <v/>
      </c>
      <c r="F465" s="37"/>
      <c r="G465" s="40"/>
      <c r="H465" s="32"/>
    </row>
    <row r="466" spans="1:8" x14ac:dyDescent="0.25">
      <c r="A466" s="32"/>
      <c r="B466" s="32"/>
      <c r="C466" s="37"/>
      <c r="D466" s="38"/>
      <c r="E466" s="39" t="str">
        <f t="shared" si="7"/>
        <v/>
      </c>
      <c r="F466" s="37"/>
      <c r="G466" s="40"/>
      <c r="H466" s="32"/>
    </row>
    <row r="467" spans="1:8" x14ac:dyDescent="0.25">
      <c r="A467" s="32"/>
      <c r="B467" s="32"/>
      <c r="C467" s="37"/>
      <c r="D467" s="38"/>
      <c r="E467" s="39" t="str">
        <f t="shared" si="7"/>
        <v/>
      </c>
      <c r="F467" s="37"/>
      <c r="G467" s="40"/>
      <c r="H467" s="32"/>
    </row>
    <row r="468" spans="1:8" x14ac:dyDescent="0.25">
      <c r="A468" s="32"/>
      <c r="B468" s="32"/>
      <c r="C468" s="37"/>
      <c r="D468" s="38"/>
      <c r="E468" s="39" t="str">
        <f t="shared" si="7"/>
        <v/>
      </c>
      <c r="F468" s="37"/>
      <c r="G468" s="40"/>
      <c r="H468" s="32"/>
    </row>
    <row r="469" spans="1:8" x14ac:dyDescent="0.25">
      <c r="A469" s="32"/>
      <c r="B469" s="32"/>
      <c r="C469" s="37"/>
      <c r="D469" s="38"/>
      <c r="E469" s="39" t="str">
        <f t="shared" si="7"/>
        <v/>
      </c>
      <c r="F469" s="37"/>
      <c r="G469" s="40"/>
      <c r="H469" s="32"/>
    </row>
    <row r="470" spans="1:8" x14ac:dyDescent="0.25">
      <c r="A470" s="32"/>
      <c r="B470" s="32"/>
      <c r="C470" s="37"/>
      <c r="D470" s="38"/>
      <c r="E470" s="39" t="str">
        <f t="shared" si="7"/>
        <v/>
      </c>
      <c r="F470" s="37"/>
      <c r="G470" s="40"/>
      <c r="H470" s="32"/>
    </row>
    <row r="471" spans="1:8" x14ac:dyDescent="0.25">
      <c r="A471" s="32"/>
      <c r="B471" s="32"/>
      <c r="C471" s="37"/>
      <c r="D471" s="38"/>
      <c r="E471" s="39" t="str">
        <f t="shared" si="7"/>
        <v/>
      </c>
      <c r="F471" s="37"/>
      <c r="G471" s="40"/>
      <c r="H471" s="32"/>
    </row>
    <row r="472" spans="1:8" x14ac:dyDescent="0.25">
      <c r="A472" s="32"/>
      <c r="B472" s="32"/>
      <c r="C472" s="37"/>
      <c r="D472" s="38"/>
      <c r="E472" s="39" t="str">
        <f t="shared" si="7"/>
        <v/>
      </c>
      <c r="F472" s="37"/>
      <c r="G472" s="40"/>
      <c r="H472" s="32"/>
    </row>
    <row r="473" spans="1:8" x14ac:dyDescent="0.25">
      <c r="A473" s="32"/>
      <c r="B473" s="32"/>
      <c r="C473" s="37"/>
      <c r="D473" s="38"/>
      <c r="E473" s="39" t="str">
        <f t="shared" si="7"/>
        <v/>
      </c>
      <c r="F473" s="37"/>
      <c r="G473" s="40"/>
      <c r="H473" s="32"/>
    </row>
    <row r="474" spans="1:8" x14ac:dyDescent="0.25">
      <c r="A474" s="32"/>
      <c r="B474" s="32"/>
      <c r="C474" s="37"/>
      <c r="D474" s="38"/>
      <c r="E474" s="39" t="str">
        <f t="shared" si="7"/>
        <v/>
      </c>
      <c r="F474" s="37"/>
      <c r="G474" s="40"/>
      <c r="H474" s="32"/>
    </row>
    <row r="475" spans="1:8" x14ac:dyDescent="0.25">
      <c r="A475" s="32"/>
      <c r="B475" s="32"/>
      <c r="C475" s="37"/>
      <c r="D475" s="38"/>
      <c r="E475" s="39" t="str">
        <f t="shared" si="7"/>
        <v/>
      </c>
      <c r="F475" s="37"/>
      <c r="G475" s="40"/>
      <c r="H475" s="32"/>
    </row>
    <row r="476" spans="1:8" x14ac:dyDescent="0.25">
      <c r="A476" s="32"/>
      <c r="B476" s="32"/>
      <c r="C476" s="37"/>
      <c r="D476" s="38"/>
      <c r="E476" s="39" t="str">
        <f t="shared" si="7"/>
        <v/>
      </c>
      <c r="F476" s="37"/>
      <c r="G476" s="40"/>
      <c r="H476" s="32"/>
    </row>
    <row r="477" spans="1:8" x14ac:dyDescent="0.25">
      <c r="A477" s="32"/>
      <c r="B477" s="32"/>
      <c r="C477" s="37"/>
      <c r="D477" s="38"/>
      <c r="E477" s="39" t="str">
        <f t="shared" si="7"/>
        <v/>
      </c>
      <c r="F477" s="37"/>
      <c r="G477" s="40"/>
      <c r="H477" s="32"/>
    </row>
    <row r="478" spans="1:8" x14ac:dyDescent="0.25">
      <c r="A478" s="32"/>
      <c r="B478" s="32"/>
      <c r="C478" s="37"/>
      <c r="D478" s="38"/>
      <c r="E478" s="39" t="str">
        <f t="shared" si="7"/>
        <v/>
      </c>
      <c r="F478" s="37"/>
      <c r="G478" s="40"/>
      <c r="H478" s="32"/>
    </row>
    <row r="479" spans="1:8" x14ac:dyDescent="0.25">
      <c r="A479" s="32"/>
      <c r="B479" s="32"/>
      <c r="C479" s="37"/>
      <c r="D479" s="38"/>
      <c r="E479" s="39" t="str">
        <f t="shared" si="7"/>
        <v/>
      </c>
      <c r="F479" s="37"/>
      <c r="G479" s="40"/>
      <c r="H479" s="32"/>
    </row>
    <row r="480" spans="1:8" x14ac:dyDescent="0.25">
      <c r="A480" s="32"/>
      <c r="B480" s="32"/>
      <c r="C480" s="37"/>
      <c r="D480" s="38"/>
      <c r="E480" s="39" t="str">
        <f t="shared" si="7"/>
        <v/>
      </c>
      <c r="F480" s="37"/>
      <c r="G480" s="40"/>
      <c r="H480" s="32"/>
    </row>
    <row r="481" spans="1:8" x14ac:dyDescent="0.25">
      <c r="A481" s="32"/>
      <c r="B481" s="32"/>
      <c r="C481" s="37"/>
      <c r="D481" s="38"/>
      <c r="E481" s="39" t="str">
        <f t="shared" si="7"/>
        <v/>
      </c>
      <c r="F481" s="37"/>
      <c r="G481" s="40"/>
      <c r="H481" s="32"/>
    </row>
    <row r="482" spans="1:8" x14ac:dyDescent="0.25">
      <c r="A482" s="32"/>
      <c r="B482" s="32"/>
      <c r="C482" s="37"/>
      <c r="D482" s="38"/>
      <c r="E482" s="39" t="str">
        <f t="shared" si="7"/>
        <v/>
      </c>
      <c r="F482" s="37"/>
      <c r="G482" s="40"/>
      <c r="H482" s="32"/>
    </row>
    <row r="483" spans="1:8" x14ac:dyDescent="0.25">
      <c r="A483" s="32"/>
      <c r="B483" s="32"/>
      <c r="C483" s="37"/>
      <c r="D483" s="38"/>
      <c r="E483" s="39" t="str">
        <f t="shared" si="7"/>
        <v/>
      </c>
      <c r="F483" s="37"/>
      <c r="G483" s="40"/>
      <c r="H483" s="32"/>
    </row>
    <row r="484" spans="1:8" x14ac:dyDescent="0.25">
      <c r="A484" s="32"/>
      <c r="B484" s="32"/>
      <c r="C484" s="37"/>
      <c r="D484" s="38"/>
      <c r="E484" s="39" t="str">
        <f t="shared" si="7"/>
        <v/>
      </c>
      <c r="F484" s="37"/>
      <c r="G484" s="40"/>
      <c r="H484" s="32"/>
    </row>
    <row r="485" spans="1:8" x14ac:dyDescent="0.25">
      <c r="A485" s="32"/>
      <c r="B485" s="32"/>
      <c r="C485" s="37"/>
      <c r="D485" s="38"/>
      <c r="E485" s="39" t="str">
        <f t="shared" si="7"/>
        <v/>
      </c>
      <c r="F485" s="37"/>
      <c r="G485" s="40"/>
      <c r="H485" s="32"/>
    </row>
    <row r="486" spans="1:8" x14ac:dyDescent="0.25">
      <c r="A486" s="32"/>
      <c r="B486" s="32"/>
      <c r="C486" s="37"/>
      <c r="D486" s="38"/>
      <c r="E486" s="39" t="str">
        <f t="shared" si="7"/>
        <v/>
      </c>
      <c r="F486" s="37"/>
      <c r="G486" s="40"/>
      <c r="H486" s="32"/>
    </row>
    <row r="487" spans="1:8" x14ac:dyDescent="0.25">
      <c r="A487" s="32"/>
      <c r="B487" s="32"/>
      <c r="C487" s="37"/>
      <c r="D487" s="38"/>
      <c r="E487" s="39" t="str">
        <f t="shared" si="7"/>
        <v/>
      </c>
      <c r="F487" s="37"/>
      <c r="G487" s="40"/>
      <c r="H487" s="32"/>
    </row>
    <row r="488" spans="1:8" x14ac:dyDescent="0.25">
      <c r="A488" s="32"/>
      <c r="B488" s="32"/>
      <c r="C488" s="37"/>
      <c r="D488" s="38"/>
      <c r="E488" s="39" t="str">
        <f t="shared" si="7"/>
        <v/>
      </c>
      <c r="F488" s="37"/>
      <c r="G488" s="40"/>
      <c r="H488" s="32"/>
    </row>
    <row r="489" spans="1:8" x14ac:dyDescent="0.25">
      <c r="A489" s="32"/>
      <c r="B489" s="32"/>
      <c r="C489" s="37"/>
      <c r="D489" s="38"/>
      <c r="E489" s="39" t="str">
        <f t="shared" si="7"/>
        <v/>
      </c>
      <c r="F489" s="37"/>
      <c r="G489" s="40"/>
      <c r="H489" s="32"/>
    </row>
    <row r="490" spans="1:8" x14ac:dyDescent="0.25">
      <c r="A490" s="32"/>
      <c r="B490" s="32"/>
      <c r="C490" s="37"/>
      <c r="D490" s="38"/>
      <c r="E490" s="39" t="str">
        <f t="shared" si="7"/>
        <v/>
      </c>
      <c r="F490" s="37"/>
      <c r="G490" s="40"/>
      <c r="H490" s="32"/>
    </row>
    <row r="491" spans="1:8" x14ac:dyDescent="0.25">
      <c r="A491" s="32"/>
      <c r="B491" s="32"/>
      <c r="C491" s="37"/>
      <c r="D491" s="38"/>
      <c r="E491" s="39" t="str">
        <f t="shared" si="7"/>
        <v/>
      </c>
      <c r="F491" s="37"/>
      <c r="G491" s="40"/>
      <c r="H491" s="32"/>
    </row>
    <row r="492" spans="1:8" x14ac:dyDescent="0.25">
      <c r="A492" s="32"/>
      <c r="B492" s="32"/>
      <c r="C492" s="37"/>
      <c r="D492" s="38"/>
      <c r="E492" s="39" t="str">
        <f t="shared" si="7"/>
        <v/>
      </c>
      <c r="F492" s="37"/>
      <c r="G492" s="40"/>
      <c r="H492" s="32"/>
    </row>
    <row r="493" spans="1:8" x14ac:dyDescent="0.25">
      <c r="A493" s="32"/>
      <c r="B493" s="32"/>
      <c r="C493" s="37"/>
      <c r="D493" s="38"/>
      <c r="E493" s="39" t="str">
        <f t="shared" si="7"/>
        <v/>
      </c>
      <c r="F493" s="37"/>
      <c r="G493" s="40"/>
      <c r="H493" s="32"/>
    </row>
    <row r="494" spans="1:8" x14ac:dyDescent="0.25">
      <c r="A494" s="32"/>
      <c r="B494" s="32"/>
      <c r="C494" s="37"/>
      <c r="D494" s="38"/>
      <c r="E494" s="39" t="str">
        <f t="shared" si="7"/>
        <v/>
      </c>
      <c r="F494" s="37"/>
      <c r="G494" s="40"/>
      <c r="H494" s="32"/>
    </row>
    <row r="495" spans="1:8" x14ac:dyDescent="0.25">
      <c r="A495" s="32"/>
      <c r="B495" s="32"/>
      <c r="C495" s="37"/>
      <c r="D495" s="38"/>
      <c r="E495" s="39" t="str">
        <f t="shared" si="7"/>
        <v/>
      </c>
      <c r="F495" s="37"/>
      <c r="G495" s="40"/>
      <c r="H495" s="32"/>
    </row>
    <row r="496" spans="1:8" x14ac:dyDescent="0.25">
      <c r="A496" s="32"/>
      <c r="B496" s="32"/>
      <c r="C496" s="37"/>
      <c r="D496" s="38"/>
      <c r="E496" s="39" t="str">
        <f t="shared" si="7"/>
        <v/>
      </c>
      <c r="F496" s="37"/>
      <c r="G496" s="40"/>
      <c r="H496" s="32"/>
    </row>
    <row r="497" spans="1:8" x14ac:dyDescent="0.25">
      <c r="A497" s="32"/>
      <c r="B497" s="32"/>
      <c r="C497" s="37"/>
      <c r="D497" s="38"/>
      <c r="E497" s="39" t="str">
        <f t="shared" si="7"/>
        <v/>
      </c>
      <c r="F497" s="37"/>
      <c r="G497" s="40"/>
      <c r="H497" s="32"/>
    </row>
    <row r="498" spans="1:8" x14ac:dyDescent="0.25">
      <c r="A498" s="32"/>
      <c r="B498" s="32"/>
      <c r="C498" s="37"/>
      <c r="D498" s="38"/>
      <c r="E498" s="39" t="str">
        <f t="shared" si="7"/>
        <v/>
      </c>
      <c r="F498" s="37"/>
      <c r="G498" s="40"/>
      <c r="H498" s="32"/>
    </row>
    <row r="499" spans="1:8" x14ac:dyDescent="0.25">
      <c r="A499" s="32"/>
      <c r="B499" s="32"/>
      <c r="C499" s="37"/>
      <c r="D499" s="38"/>
      <c r="E499" s="39" t="str">
        <f t="shared" si="7"/>
        <v/>
      </c>
      <c r="F499" s="37"/>
      <c r="G499" s="40"/>
      <c r="H499" s="32"/>
    </row>
    <row r="500" spans="1:8" x14ac:dyDescent="0.25">
      <c r="A500" s="32"/>
      <c r="B500" s="32"/>
      <c r="C500" s="37"/>
      <c r="D500" s="38"/>
      <c r="E500" s="39" t="str">
        <f t="shared" si="7"/>
        <v/>
      </c>
      <c r="F500" s="37"/>
      <c r="G500" s="40"/>
      <c r="H500" s="32"/>
    </row>
    <row r="501" spans="1:8" x14ac:dyDescent="0.25">
      <c r="A501" s="32"/>
      <c r="B501" s="32"/>
      <c r="C501" s="37"/>
      <c r="D501" s="38"/>
      <c r="E501" s="39" t="str">
        <f t="shared" si="7"/>
        <v/>
      </c>
      <c r="F501" s="37"/>
      <c r="G501" s="40"/>
      <c r="H501" s="32"/>
    </row>
    <row r="502" spans="1:8" x14ac:dyDescent="0.25">
      <c r="A502" s="32"/>
      <c r="B502" s="32"/>
      <c r="C502" s="37"/>
      <c r="D502" s="38"/>
      <c r="E502" s="39" t="str">
        <f t="shared" si="7"/>
        <v/>
      </c>
      <c r="F502" s="37"/>
      <c r="G502" s="40"/>
      <c r="H502" s="32"/>
    </row>
    <row r="503" spans="1:8" x14ac:dyDescent="0.25">
      <c r="A503" s="32"/>
      <c r="B503" s="32"/>
      <c r="C503" s="37"/>
      <c r="D503" s="38"/>
      <c r="E503" s="39" t="str">
        <f t="shared" si="7"/>
        <v/>
      </c>
      <c r="F503" s="37"/>
      <c r="G503" s="40"/>
      <c r="H503" s="32"/>
    </row>
    <row r="504" spans="1:8" x14ac:dyDescent="0.25">
      <c r="A504" s="32"/>
      <c r="B504" s="32"/>
      <c r="C504" s="37"/>
      <c r="D504" s="38"/>
      <c r="E504" s="39" t="str">
        <f t="shared" si="7"/>
        <v/>
      </c>
      <c r="F504" s="37"/>
      <c r="G504" s="40"/>
      <c r="H504" s="32"/>
    </row>
    <row r="505" spans="1:8" x14ac:dyDescent="0.25">
      <c r="A505" s="32"/>
      <c r="B505" s="32"/>
      <c r="C505" s="37"/>
      <c r="D505" s="38"/>
      <c r="E505" s="39" t="str">
        <f t="shared" si="7"/>
        <v/>
      </c>
      <c r="F505" s="37"/>
      <c r="G505" s="40"/>
      <c r="H505" s="32"/>
    </row>
    <row r="506" spans="1:8" x14ac:dyDescent="0.25">
      <c r="A506" s="32"/>
      <c r="B506" s="32"/>
      <c r="C506" s="37"/>
      <c r="D506" s="38"/>
      <c r="E506" s="39" t="str">
        <f t="shared" si="7"/>
        <v/>
      </c>
      <c r="F506" s="37"/>
      <c r="G506" s="40"/>
      <c r="H506" s="32"/>
    </row>
    <row r="507" spans="1:8" x14ac:dyDescent="0.25">
      <c r="A507" s="32"/>
      <c r="B507" s="32"/>
      <c r="C507" s="37"/>
      <c r="D507" s="38"/>
      <c r="E507" s="39" t="str">
        <f t="shared" si="7"/>
        <v/>
      </c>
      <c r="F507" s="37"/>
      <c r="G507" s="40"/>
      <c r="H507" s="32"/>
    </row>
    <row r="508" spans="1:8" x14ac:dyDescent="0.25">
      <c r="A508" s="32"/>
      <c r="B508" s="32"/>
      <c r="C508" s="37"/>
      <c r="D508" s="38"/>
      <c r="E508" s="39" t="str">
        <f t="shared" si="7"/>
        <v/>
      </c>
      <c r="F508" s="37"/>
      <c r="G508" s="40"/>
      <c r="H508" s="32"/>
    </row>
    <row r="509" spans="1:8" x14ac:dyDescent="0.25">
      <c r="A509" s="32"/>
      <c r="B509" s="32"/>
      <c r="C509" s="37"/>
      <c r="D509" s="38"/>
      <c r="E509" s="39" t="str">
        <f t="shared" si="7"/>
        <v/>
      </c>
      <c r="F509" s="37"/>
      <c r="G509" s="40"/>
      <c r="H509" s="32"/>
    </row>
    <row r="510" spans="1:8" x14ac:dyDescent="0.25">
      <c r="A510" s="32"/>
      <c r="B510" s="32"/>
      <c r="C510" s="37"/>
      <c r="D510" s="38"/>
      <c r="E510" s="39" t="str">
        <f t="shared" si="7"/>
        <v/>
      </c>
      <c r="F510" s="37"/>
      <c r="G510" s="40"/>
      <c r="H510" s="32"/>
    </row>
    <row r="511" spans="1:8" x14ac:dyDescent="0.25">
      <c r="A511" s="32"/>
      <c r="B511" s="32"/>
      <c r="C511" s="37"/>
      <c r="D511" s="38"/>
      <c r="E511" s="39" t="str">
        <f t="shared" si="7"/>
        <v/>
      </c>
      <c r="F511" s="37"/>
      <c r="G511" s="40"/>
      <c r="H511" s="32"/>
    </row>
    <row r="512" spans="1:8" x14ac:dyDescent="0.25">
      <c r="A512" s="32"/>
      <c r="B512" s="32"/>
      <c r="C512" s="37"/>
      <c r="D512" s="38"/>
      <c r="E512" s="39" t="str">
        <f t="shared" si="7"/>
        <v/>
      </c>
      <c r="F512" s="37"/>
      <c r="G512" s="40"/>
      <c r="H512" s="32"/>
    </row>
    <row r="513" spans="1:8" x14ac:dyDescent="0.25">
      <c r="A513" s="32"/>
      <c r="B513" s="32"/>
      <c r="C513" s="37"/>
      <c r="D513" s="38"/>
      <c r="E513" s="39" t="str">
        <f t="shared" si="7"/>
        <v/>
      </c>
      <c r="F513" s="37"/>
      <c r="G513" s="40"/>
      <c r="H513" s="32"/>
    </row>
    <row r="514" spans="1:8" x14ac:dyDescent="0.25">
      <c r="A514" s="32"/>
      <c r="B514" s="32"/>
      <c r="C514" s="37"/>
      <c r="D514" s="38"/>
      <c r="E514" s="39" t="str">
        <f t="shared" si="7"/>
        <v/>
      </c>
      <c r="F514" s="37"/>
      <c r="G514" s="40"/>
      <c r="H514" s="32"/>
    </row>
    <row r="515" spans="1:8" x14ac:dyDescent="0.25">
      <c r="A515" s="32"/>
      <c r="B515" s="32"/>
      <c r="C515" s="37"/>
      <c r="D515" s="38"/>
      <c r="E515" s="39" t="str">
        <f t="shared" si="7"/>
        <v/>
      </c>
      <c r="F515" s="37"/>
      <c r="G515" s="40"/>
      <c r="H515" s="32"/>
    </row>
    <row r="516" spans="1:8" x14ac:dyDescent="0.25">
      <c r="A516" s="32"/>
      <c r="B516" s="32"/>
      <c r="C516" s="37"/>
      <c r="D516" s="38"/>
      <c r="E516" s="39" t="str">
        <f t="shared" si="7"/>
        <v/>
      </c>
      <c r="F516" s="37"/>
      <c r="G516" s="40"/>
      <c r="H516" s="32"/>
    </row>
    <row r="517" spans="1:8" x14ac:dyDescent="0.25">
      <c r="A517" s="32"/>
      <c r="B517" s="32"/>
      <c r="C517" s="37"/>
      <c r="D517" s="38"/>
      <c r="E517" s="39" t="str">
        <f t="shared" ref="E517:E580" si="8">IF(OR(A517="",C517=""),"",C517*(1+D517))</f>
        <v/>
      </c>
      <c r="F517" s="37"/>
      <c r="G517" s="40"/>
      <c r="H517" s="32"/>
    </row>
    <row r="518" spans="1:8" x14ac:dyDescent="0.25">
      <c r="A518" s="32"/>
      <c r="B518" s="32"/>
      <c r="C518" s="37"/>
      <c r="D518" s="38"/>
      <c r="E518" s="39" t="str">
        <f t="shared" si="8"/>
        <v/>
      </c>
      <c r="F518" s="37"/>
      <c r="G518" s="40"/>
      <c r="H518" s="32"/>
    </row>
    <row r="519" spans="1:8" x14ac:dyDescent="0.25">
      <c r="A519" s="32"/>
      <c r="B519" s="32"/>
      <c r="C519" s="37"/>
      <c r="D519" s="38"/>
      <c r="E519" s="39" t="str">
        <f t="shared" si="8"/>
        <v/>
      </c>
      <c r="F519" s="37"/>
      <c r="G519" s="40"/>
      <c r="H519" s="32"/>
    </row>
    <row r="520" spans="1:8" x14ac:dyDescent="0.25">
      <c r="A520" s="32"/>
      <c r="B520" s="32"/>
      <c r="C520" s="37"/>
      <c r="D520" s="38"/>
      <c r="E520" s="39" t="str">
        <f t="shared" si="8"/>
        <v/>
      </c>
      <c r="F520" s="37"/>
      <c r="G520" s="40"/>
      <c r="H520" s="32"/>
    </row>
    <row r="521" spans="1:8" x14ac:dyDescent="0.25">
      <c r="A521" s="32"/>
      <c r="B521" s="32"/>
      <c r="C521" s="37"/>
      <c r="D521" s="38"/>
      <c r="E521" s="39" t="str">
        <f t="shared" si="8"/>
        <v/>
      </c>
      <c r="F521" s="37"/>
      <c r="G521" s="40"/>
      <c r="H521" s="32"/>
    </row>
    <row r="522" spans="1:8" x14ac:dyDescent="0.25">
      <c r="A522" s="32"/>
      <c r="B522" s="32"/>
      <c r="C522" s="37"/>
      <c r="D522" s="38"/>
      <c r="E522" s="39" t="str">
        <f t="shared" si="8"/>
        <v/>
      </c>
      <c r="F522" s="37"/>
      <c r="G522" s="40"/>
      <c r="H522" s="32"/>
    </row>
    <row r="523" spans="1:8" x14ac:dyDescent="0.25">
      <c r="A523" s="32"/>
      <c r="B523" s="32"/>
      <c r="C523" s="37"/>
      <c r="D523" s="38"/>
      <c r="E523" s="39" t="str">
        <f t="shared" si="8"/>
        <v/>
      </c>
      <c r="F523" s="37"/>
      <c r="G523" s="40"/>
      <c r="H523" s="32"/>
    </row>
    <row r="524" spans="1:8" x14ac:dyDescent="0.25">
      <c r="A524" s="32"/>
      <c r="B524" s="32"/>
      <c r="C524" s="37"/>
      <c r="D524" s="38"/>
      <c r="E524" s="39" t="str">
        <f t="shared" si="8"/>
        <v/>
      </c>
      <c r="F524" s="37"/>
      <c r="G524" s="40"/>
      <c r="H524" s="32"/>
    </row>
    <row r="525" spans="1:8" x14ac:dyDescent="0.25">
      <c r="A525" s="32"/>
      <c r="B525" s="32"/>
      <c r="C525" s="37"/>
      <c r="D525" s="38"/>
      <c r="E525" s="39" t="str">
        <f t="shared" si="8"/>
        <v/>
      </c>
      <c r="F525" s="37"/>
      <c r="G525" s="40"/>
      <c r="H525" s="32"/>
    </row>
    <row r="526" spans="1:8" x14ac:dyDescent="0.25">
      <c r="A526" s="32"/>
      <c r="B526" s="32"/>
      <c r="C526" s="37"/>
      <c r="D526" s="38"/>
      <c r="E526" s="39" t="str">
        <f t="shared" si="8"/>
        <v/>
      </c>
      <c r="F526" s="37"/>
      <c r="G526" s="40"/>
      <c r="H526" s="32"/>
    </row>
    <row r="527" spans="1:8" x14ac:dyDescent="0.25">
      <c r="A527" s="32"/>
      <c r="B527" s="32"/>
      <c r="C527" s="37"/>
      <c r="D527" s="38"/>
      <c r="E527" s="39" t="str">
        <f t="shared" si="8"/>
        <v/>
      </c>
      <c r="F527" s="37"/>
      <c r="G527" s="40"/>
      <c r="H527" s="32"/>
    </row>
    <row r="528" spans="1:8" x14ac:dyDescent="0.25">
      <c r="A528" s="32"/>
      <c r="B528" s="32"/>
      <c r="C528" s="37"/>
      <c r="D528" s="38"/>
      <c r="E528" s="39" t="str">
        <f t="shared" si="8"/>
        <v/>
      </c>
      <c r="F528" s="37"/>
      <c r="G528" s="40"/>
      <c r="H528" s="32"/>
    </row>
    <row r="529" spans="1:8" x14ac:dyDescent="0.25">
      <c r="A529" s="32"/>
      <c r="B529" s="32"/>
      <c r="C529" s="37"/>
      <c r="D529" s="38"/>
      <c r="E529" s="39" t="str">
        <f t="shared" si="8"/>
        <v/>
      </c>
      <c r="F529" s="37"/>
      <c r="G529" s="40"/>
      <c r="H529" s="32"/>
    </row>
    <row r="530" spans="1:8" x14ac:dyDescent="0.25">
      <c r="A530" s="32"/>
      <c r="B530" s="32"/>
      <c r="C530" s="37"/>
      <c r="D530" s="38"/>
      <c r="E530" s="39" t="str">
        <f t="shared" si="8"/>
        <v/>
      </c>
      <c r="F530" s="37"/>
      <c r="G530" s="40"/>
      <c r="H530" s="32"/>
    </row>
    <row r="531" spans="1:8" x14ac:dyDescent="0.25">
      <c r="A531" s="32"/>
      <c r="B531" s="32"/>
      <c r="C531" s="37"/>
      <c r="D531" s="38"/>
      <c r="E531" s="39" t="str">
        <f t="shared" si="8"/>
        <v/>
      </c>
      <c r="F531" s="37"/>
      <c r="G531" s="40"/>
      <c r="H531" s="32"/>
    </row>
    <row r="532" spans="1:8" x14ac:dyDescent="0.25">
      <c r="A532" s="32"/>
      <c r="B532" s="32"/>
      <c r="C532" s="37"/>
      <c r="D532" s="38"/>
      <c r="E532" s="39" t="str">
        <f t="shared" si="8"/>
        <v/>
      </c>
      <c r="F532" s="37"/>
      <c r="G532" s="40"/>
      <c r="H532" s="32"/>
    </row>
    <row r="533" spans="1:8" x14ac:dyDescent="0.25">
      <c r="A533" s="32"/>
      <c r="B533" s="32"/>
      <c r="C533" s="37"/>
      <c r="D533" s="38"/>
      <c r="E533" s="39" t="str">
        <f t="shared" si="8"/>
        <v/>
      </c>
      <c r="F533" s="37"/>
      <c r="G533" s="40"/>
      <c r="H533" s="32"/>
    </row>
    <row r="534" spans="1:8" x14ac:dyDescent="0.25">
      <c r="A534" s="32"/>
      <c r="B534" s="32"/>
      <c r="C534" s="37"/>
      <c r="D534" s="38"/>
      <c r="E534" s="39" t="str">
        <f t="shared" si="8"/>
        <v/>
      </c>
      <c r="F534" s="37"/>
      <c r="G534" s="40"/>
      <c r="H534" s="32"/>
    </row>
    <row r="535" spans="1:8" x14ac:dyDescent="0.25">
      <c r="A535" s="32"/>
      <c r="B535" s="32"/>
      <c r="C535" s="37"/>
      <c r="D535" s="38"/>
      <c r="E535" s="39" t="str">
        <f t="shared" si="8"/>
        <v/>
      </c>
      <c r="F535" s="37"/>
      <c r="G535" s="40"/>
      <c r="H535" s="32"/>
    </row>
    <row r="536" spans="1:8" x14ac:dyDescent="0.25">
      <c r="A536" s="32"/>
      <c r="B536" s="32"/>
      <c r="C536" s="37"/>
      <c r="D536" s="38"/>
      <c r="E536" s="39" t="str">
        <f t="shared" si="8"/>
        <v/>
      </c>
      <c r="F536" s="37"/>
      <c r="G536" s="40"/>
      <c r="H536" s="32"/>
    </row>
    <row r="537" spans="1:8" x14ac:dyDescent="0.25">
      <c r="A537" s="32"/>
      <c r="B537" s="32"/>
      <c r="C537" s="37"/>
      <c r="D537" s="38"/>
      <c r="E537" s="39" t="str">
        <f t="shared" si="8"/>
        <v/>
      </c>
      <c r="F537" s="37"/>
      <c r="G537" s="40"/>
      <c r="H537" s="32"/>
    </row>
    <row r="538" spans="1:8" x14ac:dyDescent="0.25">
      <c r="A538" s="32"/>
      <c r="B538" s="32"/>
      <c r="C538" s="37"/>
      <c r="D538" s="38"/>
      <c r="E538" s="39" t="str">
        <f t="shared" si="8"/>
        <v/>
      </c>
      <c r="F538" s="37"/>
      <c r="G538" s="40"/>
      <c r="H538" s="32"/>
    </row>
    <row r="539" spans="1:8" x14ac:dyDescent="0.25">
      <c r="A539" s="32"/>
      <c r="B539" s="32"/>
      <c r="C539" s="37"/>
      <c r="D539" s="38"/>
      <c r="E539" s="39" t="str">
        <f t="shared" si="8"/>
        <v/>
      </c>
      <c r="F539" s="37"/>
      <c r="G539" s="40"/>
      <c r="H539" s="32"/>
    </row>
    <row r="540" spans="1:8" x14ac:dyDescent="0.25">
      <c r="A540" s="32"/>
      <c r="B540" s="32"/>
      <c r="C540" s="37"/>
      <c r="D540" s="38"/>
      <c r="E540" s="39" t="str">
        <f t="shared" si="8"/>
        <v/>
      </c>
      <c r="F540" s="37"/>
      <c r="G540" s="40"/>
      <c r="H540" s="32"/>
    </row>
    <row r="541" spans="1:8" x14ac:dyDescent="0.25">
      <c r="A541" s="32"/>
      <c r="B541" s="32"/>
      <c r="C541" s="37"/>
      <c r="D541" s="38"/>
      <c r="E541" s="39" t="str">
        <f t="shared" si="8"/>
        <v/>
      </c>
      <c r="F541" s="37"/>
      <c r="G541" s="40"/>
      <c r="H541" s="32"/>
    </row>
    <row r="542" spans="1:8" x14ac:dyDescent="0.25">
      <c r="A542" s="32"/>
      <c r="B542" s="32"/>
      <c r="C542" s="37"/>
      <c r="D542" s="38"/>
      <c r="E542" s="39" t="str">
        <f t="shared" si="8"/>
        <v/>
      </c>
      <c r="F542" s="37"/>
      <c r="G542" s="40"/>
      <c r="H542" s="32"/>
    </row>
    <row r="543" spans="1:8" x14ac:dyDescent="0.25">
      <c r="A543" s="32"/>
      <c r="B543" s="32"/>
      <c r="C543" s="37"/>
      <c r="D543" s="38"/>
      <c r="E543" s="39" t="str">
        <f t="shared" si="8"/>
        <v/>
      </c>
      <c r="F543" s="37"/>
      <c r="G543" s="40"/>
      <c r="H543" s="32"/>
    </row>
    <row r="544" spans="1:8" x14ac:dyDescent="0.25">
      <c r="A544" s="32"/>
      <c r="B544" s="32"/>
      <c r="C544" s="37"/>
      <c r="D544" s="38"/>
      <c r="E544" s="39" t="str">
        <f t="shared" si="8"/>
        <v/>
      </c>
      <c r="F544" s="37"/>
      <c r="G544" s="40"/>
      <c r="H544" s="32"/>
    </row>
    <row r="545" spans="1:8" x14ac:dyDescent="0.25">
      <c r="A545" s="32"/>
      <c r="B545" s="32"/>
      <c r="C545" s="37"/>
      <c r="D545" s="38"/>
      <c r="E545" s="39" t="str">
        <f t="shared" si="8"/>
        <v/>
      </c>
      <c r="F545" s="37"/>
      <c r="G545" s="40"/>
      <c r="H545" s="32"/>
    </row>
    <row r="546" spans="1:8" x14ac:dyDescent="0.25">
      <c r="A546" s="32"/>
      <c r="B546" s="32"/>
      <c r="C546" s="37"/>
      <c r="D546" s="38"/>
      <c r="E546" s="39" t="str">
        <f t="shared" si="8"/>
        <v/>
      </c>
      <c r="F546" s="37"/>
      <c r="G546" s="40"/>
      <c r="H546" s="32"/>
    </row>
    <row r="547" spans="1:8" x14ac:dyDescent="0.25">
      <c r="A547" s="32"/>
      <c r="B547" s="32"/>
      <c r="C547" s="37"/>
      <c r="D547" s="38"/>
      <c r="E547" s="39" t="str">
        <f t="shared" si="8"/>
        <v/>
      </c>
      <c r="F547" s="37"/>
      <c r="G547" s="40"/>
      <c r="H547" s="32"/>
    </row>
    <row r="548" spans="1:8" x14ac:dyDescent="0.25">
      <c r="A548" s="32"/>
      <c r="B548" s="32"/>
      <c r="C548" s="37"/>
      <c r="D548" s="38"/>
      <c r="E548" s="39" t="str">
        <f t="shared" si="8"/>
        <v/>
      </c>
      <c r="F548" s="37"/>
      <c r="G548" s="40"/>
      <c r="H548" s="32"/>
    </row>
    <row r="549" spans="1:8" x14ac:dyDescent="0.25">
      <c r="A549" s="32"/>
      <c r="B549" s="32"/>
      <c r="C549" s="37"/>
      <c r="D549" s="38"/>
      <c r="E549" s="39" t="str">
        <f t="shared" si="8"/>
        <v/>
      </c>
      <c r="F549" s="37"/>
      <c r="G549" s="40"/>
      <c r="H549" s="32"/>
    </row>
    <row r="550" spans="1:8" x14ac:dyDescent="0.25">
      <c r="A550" s="32"/>
      <c r="B550" s="32"/>
      <c r="C550" s="37"/>
      <c r="D550" s="38"/>
      <c r="E550" s="39" t="str">
        <f t="shared" si="8"/>
        <v/>
      </c>
      <c r="F550" s="37"/>
      <c r="G550" s="40"/>
      <c r="H550" s="32"/>
    </row>
    <row r="551" spans="1:8" x14ac:dyDescent="0.25">
      <c r="A551" s="32"/>
      <c r="B551" s="32"/>
      <c r="C551" s="37"/>
      <c r="D551" s="38"/>
      <c r="E551" s="39" t="str">
        <f t="shared" si="8"/>
        <v/>
      </c>
      <c r="F551" s="37"/>
      <c r="G551" s="40"/>
      <c r="H551" s="32"/>
    </row>
    <row r="552" spans="1:8" x14ac:dyDescent="0.25">
      <c r="A552" s="32"/>
      <c r="B552" s="32"/>
      <c r="C552" s="37"/>
      <c r="D552" s="38"/>
      <c r="E552" s="39" t="str">
        <f t="shared" si="8"/>
        <v/>
      </c>
      <c r="F552" s="37"/>
      <c r="G552" s="40"/>
      <c r="H552" s="32"/>
    </row>
    <row r="553" spans="1:8" x14ac:dyDescent="0.25">
      <c r="A553" s="32"/>
      <c r="B553" s="32"/>
      <c r="C553" s="37"/>
      <c r="D553" s="38"/>
      <c r="E553" s="39" t="str">
        <f t="shared" si="8"/>
        <v/>
      </c>
      <c r="F553" s="37"/>
      <c r="G553" s="40"/>
      <c r="H553" s="32"/>
    </row>
    <row r="554" spans="1:8" x14ac:dyDescent="0.25">
      <c r="A554" s="32"/>
      <c r="B554" s="32"/>
      <c r="C554" s="37"/>
      <c r="D554" s="38"/>
      <c r="E554" s="39" t="str">
        <f t="shared" si="8"/>
        <v/>
      </c>
      <c r="F554" s="37"/>
      <c r="G554" s="40"/>
      <c r="H554" s="32"/>
    </row>
    <row r="555" spans="1:8" x14ac:dyDescent="0.25">
      <c r="A555" s="32"/>
      <c r="B555" s="32"/>
      <c r="C555" s="37"/>
      <c r="D555" s="38"/>
      <c r="E555" s="39" t="str">
        <f t="shared" si="8"/>
        <v/>
      </c>
      <c r="F555" s="37"/>
      <c r="G555" s="40"/>
      <c r="H555" s="32"/>
    </row>
    <row r="556" spans="1:8" x14ac:dyDescent="0.25">
      <c r="A556" s="32"/>
      <c r="B556" s="32"/>
      <c r="C556" s="37"/>
      <c r="D556" s="38"/>
      <c r="E556" s="39" t="str">
        <f t="shared" si="8"/>
        <v/>
      </c>
      <c r="F556" s="37"/>
      <c r="G556" s="40"/>
      <c r="H556" s="32"/>
    </row>
    <row r="557" spans="1:8" x14ac:dyDescent="0.25">
      <c r="A557" s="32"/>
      <c r="B557" s="32"/>
      <c r="C557" s="37"/>
      <c r="D557" s="38"/>
      <c r="E557" s="39" t="str">
        <f t="shared" si="8"/>
        <v/>
      </c>
      <c r="F557" s="37"/>
      <c r="G557" s="40"/>
      <c r="H557" s="32"/>
    </row>
    <row r="558" spans="1:8" x14ac:dyDescent="0.25">
      <c r="A558" s="32"/>
      <c r="B558" s="32"/>
      <c r="C558" s="37"/>
      <c r="D558" s="38"/>
      <c r="E558" s="39" t="str">
        <f t="shared" si="8"/>
        <v/>
      </c>
      <c r="F558" s="37"/>
      <c r="G558" s="40"/>
      <c r="H558" s="32"/>
    </row>
    <row r="559" spans="1:8" x14ac:dyDescent="0.25">
      <c r="A559" s="32"/>
      <c r="B559" s="32"/>
      <c r="C559" s="37"/>
      <c r="D559" s="38"/>
      <c r="E559" s="39" t="str">
        <f t="shared" si="8"/>
        <v/>
      </c>
      <c r="F559" s="37"/>
      <c r="G559" s="40"/>
      <c r="H559" s="32"/>
    </row>
    <row r="560" spans="1:8" x14ac:dyDescent="0.25">
      <c r="A560" s="32"/>
      <c r="B560" s="32"/>
      <c r="C560" s="37"/>
      <c r="D560" s="38"/>
      <c r="E560" s="39" t="str">
        <f t="shared" si="8"/>
        <v/>
      </c>
      <c r="F560" s="37"/>
      <c r="G560" s="40"/>
      <c r="H560" s="32"/>
    </row>
    <row r="561" spans="1:8" x14ac:dyDescent="0.25">
      <c r="A561" s="32"/>
      <c r="B561" s="32"/>
      <c r="C561" s="37"/>
      <c r="D561" s="38"/>
      <c r="E561" s="39" t="str">
        <f t="shared" si="8"/>
        <v/>
      </c>
      <c r="F561" s="37"/>
      <c r="G561" s="40"/>
      <c r="H561" s="32"/>
    </row>
    <row r="562" spans="1:8" x14ac:dyDescent="0.25">
      <c r="A562" s="32"/>
      <c r="B562" s="32"/>
      <c r="C562" s="37"/>
      <c r="D562" s="38"/>
      <c r="E562" s="39" t="str">
        <f t="shared" si="8"/>
        <v/>
      </c>
      <c r="F562" s="37"/>
      <c r="G562" s="40"/>
      <c r="H562" s="32"/>
    </row>
    <row r="563" spans="1:8" x14ac:dyDescent="0.25">
      <c r="A563" s="32"/>
      <c r="B563" s="32"/>
      <c r="C563" s="37"/>
      <c r="D563" s="38"/>
      <c r="E563" s="39" t="str">
        <f t="shared" si="8"/>
        <v/>
      </c>
      <c r="F563" s="37"/>
      <c r="G563" s="40"/>
      <c r="H563" s="32"/>
    </row>
    <row r="564" spans="1:8" x14ac:dyDescent="0.25">
      <c r="A564" s="32"/>
      <c r="B564" s="32"/>
      <c r="C564" s="37"/>
      <c r="D564" s="38"/>
      <c r="E564" s="39" t="str">
        <f t="shared" si="8"/>
        <v/>
      </c>
      <c r="F564" s="37"/>
      <c r="G564" s="40"/>
      <c r="H564" s="32"/>
    </row>
    <row r="565" spans="1:8" x14ac:dyDescent="0.25">
      <c r="A565" s="32"/>
      <c r="B565" s="32"/>
      <c r="C565" s="37"/>
      <c r="D565" s="38"/>
      <c r="E565" s="39" t="str">
        <f t="shared" si="8"/>
        <v/>
      </c>
      <c r="F565" s="37"/>
      <c r="G565" s="40"/>
      <c r="H565" s="32"/>
    </row>
    <row r="566" spans="1:8" x14ac:dyDescent="0.25">
      <c r="A566" s="32"/>
      <c r="B566" s="32"/>
      <c r="C566" s="37"/>
      <c r="D566" s="38"/>
      <c r="E566" s="39" t="str">
        <f t="shared" si="8"/>
        <v/>
      </c>
      <c r="F566" s="37"/>
      <c r="G566" s="40"/>
      <c r="H566" s="32"/>
    </row>
    <row r="567" spans="1:8" x14ac:dyDescent="0.25">
      <c r="A567" s="32"/>
      <c r="B567" s="32"/>
      <c r="C567" s="37"/>
      <c r="D567" s="38"/>
      <c r="E567" s="39" t="str">
        <f t="shared" si="8"/>
        <v/>
      </c>
      <c r="F567" s="37"/>
      <c r="G567" s="40"/>
      <c r="H567" s="32"/>
    </row>
    <row r="568" spans="1:8" x14ac:dyDescent="0.25">
      <c r="A568" s="32"/>
      <c r="B568" s="32"/>
      <c r="C568" s="37"/>
      <c r="D568" s="38"/>
      <c r="E568" s="39" t="str">
        <f t="shared" si="8"/>
        <v/>
      </c>
      <c r="F568" s="37"/>
      <c r="G568" s="40"/>
      <c r="H568" s="32"/>
    </row>
    <row r="569" spans="1:8" x14ac:dyDescent="0.25">
      <c r="A569" s="32"/>
      <c r="B569" s="32"/>
      <c r="C569" s="37"/>
      <c r="D569" s="38"/>
      <c r="E569" s="39" t="str">
        <f t="shared" si="8"/>
        <v/>
      </c>
      <c r="F569" s="37"/>
      <c r="G569" s="40"/>
      <c r="H569" s="32"/>
    </row>
    <row r="570" spans="1:8" x14ac:dyDescent="0.25">
      <c r="A570" s="32"/>
      <c r="B570" s="32"/>
      <c r="C570" s="37"/>
      <c r="D570" s="38"/>
      <c r="E570" s="39" t="str">
        <f t="shared" si="8"/>
        <v/>
      </c>
      <c r="F570" s="37"/>
      <c r="G570" s="40"/>
      <c r="H570" s="32"/>
    </row>
    <row r="571" spans="1:8" x14ac:dyDescent="0.25">
      <c r="A571" s="32"/>
      <c r="B571" s="32"/>
      <c r="C571" s="37"/>
      <c r="D571" s="38"/>
      <c r="E571" s="39" t="str">
        <f t="shared" si="8"/>
        <v/>
      </c>
      <c r="F571" s="37"/>
      <c r="G571" s="40"/>
      <c r="H571" s="32"/>
    </row>
    <row r="572" spans="1:8" x14ac:dyDescent="0.25">
      <c r="A572" s="32"/>
      <c r="B572" s="32"/>
      <c r="C572" s="37"/>
      <c r="D572" s="38"/>
      <c r="E572" s="39" t="str">
        <f t="shared" si="8"/>
        <v/>
      </c>
      <c r="F572" s="37"/>
      <c r="G572" s="40"/>
      <c r="H572" s="32"/>
    </row>
    <row r="573" spans="1:8" x14ac:dyDescent="0.25">
      <c r="A573" s="32"/>
      <c r="B573" s="32"/>
      <c r="C573" s="37"/>
      <c r="D573" s="38"/>
      <c r="E573" s="39" t="str">
        <f t="shared" si="8"/>
        <v/>
      </c>
      <c r="F573" s="37"/>
      <c r="G573" s="40"/>
      <c r="H573" s="32"/>
    </row>
    <row r="574" spans="1:8" x14ac:dyDescent="0.25">
      <c r="A574" s="32"/>
      <c r="B574" s="32"/>
      <c r="C574" s="37"/>
      <c r="D574" s="38"/>
      <c r="E574" s="39" t="str">
        <f t="shared" si="8"/>
        <v/>
      </c>
      <c r="F574" s="37"/>
      <c r="G574" s="40"/>
      <c r="H574" s="32"/>
    </row>
    <row r="575" spans="1:8" x14ac:dyDescent="0.25">
      <c r="A575" s="32"/>
      <c r="B575" s="32"/>
      <c r="C575" s="37"/>
      <c r="D575" s="38"/>
      <c r="E575" s="39" t="str">
        <f t="shared" si="8"/>
        <v/>
      </c>
      <c r="F575" s="37"/>
      <c r="G575" s="40"/>
      <c r="H575" s="32"/>
    </row>
    <row r="576" spans="1:8" x14ac:dyDescent="0.25">
      <c r="A576" s="32"/>
      <c r="B576" s="32"/>
      <c r="C576" s="37"/>
      <c r="D576" s="38"/>
      <c r="E576" s="39" t="str">
        <f t="shared" si="8"/>
        <v/>
      </c>
      <c r="F576" s="37"/>
      <c r="G576" s="40"/>
      <c r="H576" s="32"/>
    </row>
    <row r="577" spans="1:8" x14ac:dyDescent="0.25">
      <c r="A577" s="32"/>
      <c r="B577" s="32"/>
      <c r="C577" s="37"/>
      <c r="D577" s="38"/>
      <c r="E577" s="39" t="str">
        <f t="shared" si="8"/>
        <v/>
      </c>
      <c r="F577" s="37"/>
      <c r="G577" s="40"/>
      <c r="H577" s="32"/>
    </row>
    <row r="578" spans="1:8" x14ac:dyDescent="0.25">
      <c r="A578" s="32"/>
      <c r="B578" s="32"/>
      <c r="C578" s="37"/>
      <c r="D578" s="38"/>
      <c r="E578" s="39" t="str">
        <f t="shared" si="8"/>
        <v/>
      </c>
      <c r="F578" s="37"/>
      <c r="G578" s="40"/>
      <c r="H578" s="32"/>
    </row>
    <row r="579" spans="1:8" x14ac:dyDescent="0.25">
      <c r="A579" s="32"/>
      <c r="B579" s="32"/>
      <c r="C579" s="37"/>
      <c r="D579" s="38"/>
      <c r="E579" s="39" t="str">
        <f t="shared" si="8"/>
        <v/>
      </c>
      <c r="F579" s="37"/>
      <c r="G579" s="40"/>
      <c r="H579" s="32"/>
    </row>
    <row r="580" spans="1:8" x14ac:dyDescent="0.25">
      <c r="A580" s="32"/>
      <c r="B580" s="32"/>
      <c r="C580" s="37"/>
      <c r="D580" s="38"/>
      <c r="E580" s="39" t="str">
        <f t="shared" si="8"/>
        <v/>
      </c>
      <c r="F580" s="37"/>
      <c r="G580" s="40"/>
      <c r="H580" s="32"/>
    </row>
    <row r="581" spans="1:8" x14ac:dyDescent="0.25">
      <c r="A581" s="32"/>
      <c r="B581" s="32"/>
      <c r="C581" s="37"/>
      <c r="D581" s="38"/>
      <c r="E581" s="39" t="str">
        <f t="shared" ref="E581:E644" si="9">IF(OR(A581="",C581=""),"",C581*(1+D581))</f>
        <v/>
      </c>
      <c r="F581" s="37"/>
      <c r="G581" s="40"/>
      <c r="H581" s="32"/>
    </row>
    <row r="582" spans="1:8" x14ac:dyDescent="0.25">
      <c r="A582" s="32"/>
      <c r="B582" s="32"/>
      <c r="C582" s="37"/>
      <c r="D582" s="38"/>
      <c r="E582" s="39" t="str">
        <f t="shared" si="9"/>
        <v/>
      </c>
      <c r="F582" s="37"/>
      <c r="G582" s="40"/>
      <c r="H582" s="32"/>
    </row>
    <row r="583" spans="1:8" x14ac:dyDescent="0.25">
      <c r="A583" s="32"/>
      <c r="B583" s="32"/>
      <c r="C583" s="37"/>
      <c r="D583" s="38"/>
      <c r="E583" s="39" t="str">
        <f t="shared" si="9"/>
        <v/>
      </c>
      <c r="F583" s="37"/>
      <c r="G583" s="40"/>
      <c r="H583" s="32"/>
    </row>
    <row r="584" spans="1:8" x14ac:dyDescent="0.25">
      <c r="A584" s="32"/>
      <c r="B584" s="32"/>
      <c r="C584" s="37"/>
      <c r="D584" s="38"/>
      <c r="E584" s="39" t="str">
        <f t="shared" si="9"/>
        <v/>
      </c>
      <c r="F584" s="37"/>
      <c r="G584" s="40"/>
      <c r="H584" s="32"/>
    </row>
    <row r="585" spans="1:8" x14ac:dyDescent="0.25">
      <c r="A585" s="32"/>
      <c r="B585" s="32"/>
      <c r="C585" s="37"/>
      <c r="D585" s="38"/>
      <c r="E585" s="39" t="str">
        <f t="shared" si="9"/>
        <v/>
      </c>
      <c r="F585" s="37"/>
      <c r="G585" s="40"/>
      <c r="H585" s="32"/>
    </row>
    <row r="586" spans="1:8" x14ac:dyDescent="0.25">
      <c r="A586" s="32"/>
      <c r="B586" s="32"/>
      <c r="C586" s="37"/>
      <c r="D586" s="38"/>
      <c r="E586" s="39" t="str">
        <f t="shared" si="9"/>
        <v/>
      </c>
      <c r="F586" s="37"/>
      <c r="G586" s="40"/>
      <c r="H586" s="32"/>
    </row>
    <row r="587" spans="1:8" x14ac:dyDescent="0.25">
      <c r="A587" s="32"/>
      <c r="B587" s="32"/>
      <c r="C587" s="37"/>
      <c r="D587" s="38"/>
      <c r="E587" s="39" t="str">
        <f t="shared" si="9"/>
        <v/>
      </c>
      <c r="F587" s="37"/>
      <c r="G587" s="40"/>
      <c r="H587" s="32"/>
    </row>
    <row r="588" spans="1:8" x14ac:dyDescent="0.25">
      <c r="A588" s="32"/>
      <c r="B588" s="32"/>
      <c r="C588" s="37"/>
      <c r="D588" s="38"/>
      <c r="E588" s="39" t="str">
        <f t="shared" si="9"/>
        <v/>
      </c>
      <c r="F588" s="37"/>
      <c r="G588" s="40"/>
      <c r="H588" s="32"/>
    </row>
    <row r="589" spans="1:8" x14ac:dyDescent="0.25">
      <c r="A589" s="32"/>
      <c r="B589" s="32"/>
      <c r="C589" s="37"/>
      <c r="D589" s="38"/>
      <c r="E589" s="39" t="str">
        <f t="shared" si="9"/>
        <v/>
      </c>
      <c r="F589" s="37"/>
      <c r="G589" s="40"/>
      <c r="H589" s="32"/>
    </row>
    <row r="590" spans="1:8" x14ac:dyDescent="0.25">
      <c r="A590" s="32"/>
      <c r="B590" s="32"/>
      <c r="C590" s="37"/>
      <c r="D590" s="38"/>
      <c r="E590" s="39" t="str">
        <f t="shared" si="9"/>
        <v/>
      </c>
      <c r="F590" s="37"/>
      <c r="G590" s="40"/>
      <c r="H590" s="32"/>
    </row>
    <row r="591" spans="1:8" x14ac:dyDescent="0.25">
      <c r="A591" s="32"/>
      <c r="B591" s="32"/>
      <c r="C591" s="37"/>
      <c r="D591" s="38"/>
      <c r="E591" s="39" t="str">
        <f t="shared" si="9"/>
        <v/>
      </c>
      <c r="F591" s="37"/>
      <c r="G591" s="40"/>
      <c r="H591" s="32"/>
    </row>
    <row r="592" spans="1:8" x14ac:dyDescent="0.25">
      <c r="A592" s="32"/>
      <c r="B592" s="32"/>
      <c r="C592" s="37"/>
      <c r="D592" s="38"/>
      <c r="E592" s="39" t="str">
        <f t="shared" si="9"/>
        <v/>
      </c>
      <c r="F592" s="37"/>
      <c r="G592" s="40"/>
      <c r="H592" s="32"/>
    </row>
    <row r="593" spans="1:8" x14ac:dyDescent="0.25">
      <c r="A593" s="32"/>
      <c r="B593" s="32"/>
      <c r="C593" s="37"/>
      <c r="D593" s="38"/>
      <c r="E593" s="39" t="str">
        <f t="shared" si="9"/>
        <v/>
      </c>
      <c r="F593" s="37"/>
      <c r="G593" s="40"/>
      <c r="H593" s="32"/>
    </row>
    <row r="594" spans="1:8" x14ac:dyDescent="0.25">
      <c r="A594" s="32"/>
      <c r="B594" s="32"/>
      <c r="C594" s="37"/>
      <c r="D594" s="38"/>
      <c r="E594" s="39" t="str">
        <f t="shared" si="9"/>
        <v/>
      </c>
      <c r="F594" s="37"/>
      <c r="G594" s="40"/>
      <c r="H594" s="32"/>
    </row>
    <row r="595" spans="1:8" x14ac:dyDescent="0.25">
      <c r="A595" s="32"/>
      <c r="B595" s="32"/>
      <c r="C595" s="37"/>
      <c r="D595" s="38"/>
      <c r="E595" s="39" t="str">
        <f t="shared" si="9"/>
        <v/>
      </c>
      <c r="F595" s="37"/>
      <c r="G595" s="40"/>
      <c r="H595" s="32"/>
    </row>
    <row r="596" spans="1:8" x14ac:dyDescent="0.25">
      <c r="A596" s="32"/>
      <c r="B596" s="32"/>
      <c r="C596" s="37"/>
      <c r="D596" s="38"/>
      <c r="E596" s="39" t="str">
        <f t="shared" si="9"/>
        <v/>
      </c>
      <c r="F596" s="37"/>
      <c r="G596" s="40"/>
      <c r="H596" s="32"/>
    </row>
    <row r="597" spans="1:8" x14ac:dyDescent="0.25">
      <c r="A597" s="32"/>
      <c r="B597" s="32"/>
      <c r="C597" s="37"/>
      <c r="D597" s="38"/>
      <c r="E597" s="39" t="str">
        <f t="shared" si="9"/>
        <v/>
      </c>
      <c r="F597" s="37"/>
      <c r="G597" s="40"/>
      <c r="H597" s="32"/>
    </row>
    <row r="598" spans="1:8" x14ac:dyDescent="0.25">
      <c r="A598" s="32"/>
      <c r="B598" s="32"/>
      <c r="C598" s="37"/>
      <c r="D598" s="38"/>
      <c r="E598" s="39" t="str">
        <f t="shared" si="9"/>
        <v/>
      </c>
      <c r="F598" s="37"/>
      <c r="G598" s="40"/>
      <c r="H598" s="32"/>
    </row>
    <row r="599" spans="1:8" x14ac:dyDescent="0.25">
      <c r="A599" s="32"/>
      <c r="B599" s="32"/>
      <c r="C599" s="37"/>
      <c r="D599" s="38"/>
      <c r="E599" s="39" t="str">
        <f t="shared" si="9"/>
        <v/>
      </c>
      <c r="F599" s="37"/>
      <c r="G599" s="40"/>
      <c r="H599" s="32"/>
    </row>
    <row r="600" spans="1:8" x14ac:dyDescent="0.25">
      <c r="A600" s="32"/>
      <c r="B600" s="32"/>
      <c r="C600" s="37"/>
      <c r="D600" s="38"/>
      <c r="E600" s="39" t="str">
        <f t="shared" si="9"/>
        <v/>
      </c>
      <c r="F600" s="37"/>
      <c r="G600" s="40"/>
      <c r="H600" s="32"/>
    </row>
    <row r="601" spans="1:8" x14ac:dyDescent="0.25">
      <c r="A601" s="32"/>
      <c r="B601" s="32"/>
      <c r="C601" s="37"/>
      <c r="D601" s="38"/>
      <c r="E601" s="39" t="str">
        <f t="shared" si="9"/>
        <v/>
      </c>
      <c r="F601" s="37"/>
      <c r="G601" s="40"/>
      <c r="H601" s="32"/>
    </row>
    <row r="602" spans="1:8" x14ac:dyDescent="0.25">
      <c r="A602" s="32"/>
      <c r="B602" s="32"/>
      <c r="C602" s="37"/>
      <c r="D602" s="38"/>
      <c r="E602" s="39" t="str">
        <f t="shared" si="9"/>
        <v/>
      </c>
      <c r="F602" s="37"/>
      <c r="G602" s="40"/>
      <c r="H602" s="32"/>
    </row>
    <row r="603" spans="1:8" x14ac:dyDescent="0.25">
      <c r="A603" s="32"/>
      <c r="B603" s="32"/>
      <c r="C603" s="37"/>
      <c r="D603" s="38"/>
      <c r="E603" s="39" t="str">
        <f t="shared" si="9"/>
        <v/>
      </c>
      <c r="F603" s="37"/>
      <c r="G603" s="40"/>
      <c r="H603" s="32"/>
    </row>
    <row r="604" spans="1:8" x14ac:dyDescent="0.25">
      <c r="A604" s="32"/>
      <c r="B604" s="32"/>
      <c r="C604" s="37"/>
      <c r="D604" s="38"/>
      <c r="E604" s="39" t="str">
        <f t="shared" si="9"/>
        <v/>
      </c>
      <c r="F604" s="37"/>
      <c r="G604" s="40"/>
      <c r="H604" s="32"/>
    </row>
    <row r="605" spans="1:8" x14ac:dyDescent="0.25">
      <c r="A605" s="32"/>
      <c r="B605" s="32"/>
      <c r="C605" s="37"/>
      <c r="D605" s="38"/>
      <c r="E605" s="39" t="str">
        <f t="shared" si="9"/>
        <v/>
      </c>
      <c r="F605" s="37"/>
      <c r="G605" s="40"/>
      <c r="H605" s="32"/>
    </row>
    <row r="606" spans="1:8" x14ac:dyDescent="0.25">
      <c r="A606" s="32"/>
      <c r="B606" s="32"/>
      <c r="C606" s="37"/>
      <c r="D606" s="38"/>
      <c r="E606" s="39" t="str">
        <f t="shared" si="9"/>
        <v/>
      </c>
      <c r="F606" s="37"/>
      <c r="G606" s="40"/>
      <c r="H606" s="32"/>
    </row>
    <row r="607" spans="1:8" x14ac:dyDescent="0.25">
      <c r="A607" s="32"/>
      <c r="B607" s="32"/>
      <c r="C607" s="37"/>
      <c r="D607" s="38"/>
      <c r="E607" s="39" t="str">
        <f t="shared" si="9"/>
        <v/>
      </c>
      <c r="F607" s="37"/>
      <c r="G607" s="40"/>
      <c r="H607" s="32"/>
    </row>
    <row r="608" spans="1:8" x14ac:dyDescent="0.25">
      <c r="A608" s="32"/>
      <c r="B608" s="32"/>
      <c r="C608" s="37"/>
      <c r="D608" s="38"/>
      <c r="E608" s="39" t="str">
        <f t="shared" si="9"/>
        <v/>
      </c>
      <c r="F608" s="37"/>
      <c r="G608" s="40"/>
      <c r="H608" s="32"/>
    </row>
    <row r="609" spans="1:8" x14ac:dyDescent="0.25">
      <c r="A609" s="32"/>
      <c r="B609" s="32"/>
      <c r="C609" s="37"/>
      <c r="D609" s="38"/>
      <c r="E609" s="39" t="str">
        <f t="shared" si="9"/>
        <v/>
      </c>
      <c r="F609" s="37"/>
      <c r="G609" s="40"/>
      <c r="H609" s="32"/>
    </row>
    <row r="610" spans="1:8" x14ac:dyDescent="0.25">
      <c r="A610" s="32"/>
      <c r="B610" s="32"/>
      <c r="C610" s="37"/>
      <c r="D610" s="38"/>
      <c r="E610" s="39" t="str">
        <f t="shared" si="9"/>
        <v/>
      </c>
      <c r="F610" s="37"/>
      <c r="G610" s="40"/>
      <c r="H610" s="32"/>
    </row>
    <row r="611" spans="1:8" x14ac:dyDescent="0.25">
      <c r="A611" s="32"/>
      <c r="B611" s="32"/>
      <c r="C611" s="37"/>
      <c r="D611" s="38"/>
      <c r="E611" s="39" t="str">
        <f t="shared" si="9"/>
        <v/>
      </c>
      <c r="F611" s="37"/>
      <c r="G611" s="40"/>
      <c r="H611" s="32"/>
    </row>
    <row r="612" spans="1:8" x14ac:dyDescent="0.25">
      <c r="A612" s="32"/>
      <c r="B612" s="32"/>
      <c r="C612" s="37"/>
      <c r="D612" s="38"/>
      <c r="E612" s="39" t="str">
        <f t="shared" si="9"/>
        <v/>
      </c>
      <c r="F612" s="37"/>
      <c r="G612" s="40"/>
      <c r="H612" s="32"/>
    </row>
    <row r="613" spans="1:8" x14ac:dyDescent="0.25">
      <c r="A613" s="32"/>
      <c r="B613" s="32"/>
      <c r="C613" s="37"/>
      <c r="D613" s="38"/>
      <c r="E613" s="39" t="str">
        <f t="shared" si="9"/>
        <v/>
      </c>
      <c r="F613" s="37"/>
      <c r="G613" s="40"/>
      <c r="H613" s="32"/>
    </row>
    <row r="614" spans="1:8" x14ac:dyDescent="0.25">
      <c r="A614" s="32"/>
      <c r="B614" s="32"/>
      <c r="C614" s="37"/>
      <c r="D614" s="38"/>
      <c r="E614" s="39" t="str">
        <f t="shared" si="9"/>
        <v/>
      </c>
      <c r="F614" s="37"/>
      <c r="G614" s="40"/>
      <c r="H614" s="32"/>
    </row>
    <row r="615" spans="1:8" x14ac:dyDescent="0.25">
      <c r="A615" s="32"/>
      <c r="B615" s="32"/>
      <c r="C615" s="37"/>
      <c r="D615" s="38"/>
      <c r="E615" s="39" t="str">
        <f t="shared" si="9"/>
        <v/>
      </c>
      <c r="F615" s="37"/>
      <c r="G615" s="40"/>
      <c r="H615" s="32"/>
    </row>
    <row r="616" spans="1:8" x14ac:dyDescent="0.25">
      <c r="A616" s="32"/>
      <c r="B616" s="32"/>
      <c r="C616" s="37"/>
      <c r="D616" s="38"/>
      <c r="E616" s="39" t="str">
        <f t="shared" si="9"/>
        <v/>
      </c>
      <c r="F616" s="37"/>
      <c r="G616" s="40"/>
      <c r="H616" s="32"/>
    </row>
    <row r="617" spans="1:8" x14ac:dyDescent="0.25">
      <c r="A617" s="32"/>
      <c r="B617" s="32"/>
      <c r="C617" s="37"/>
      <c r="D617" s="38"/>
      <c r="E617" s="39" t="str">
        <f t="shared" si="9"/>
        <v/>
      </c>
      <c r="F617" s="37"/>
      <c r="G617" s="40"/>
      <c r="H617" s="32"/>
    </row>
    <row r="618" spans="1:8" x14ac:dyDescent="0.25">
      <c r="A618" s="32"/>
      <c r="B618" s="32"/>
      <c r="C618" s="37"/>
      <c r="D618" s="38"/>
      <c r="E618" s="39" t="str">
        <f t="shared" si="9"/>
        <v/>
      </c>
      <c r="F618" s="37"/>
      <c r="G618" s="40"/>
      <c r="H618" s="32"/>
    </row>
    <row r="619" spans="1:8" x14ac:dyDescent="0.25">
      <c r="A619" s="32"/>
      <c r="B619" s="32"/>
      <c r="C619" s="37"/>
      <c r="D619" s="38"/>
      <c r="E619" s="39" t="str">
        <f t="shared" si="9"/>
        <v/>
      </c>
      <c r="F619" s="37"/>
      <c r="G619" s="40"/>
      <c r="H619" s="32"/>
    </row>
    <row r="620" spans="1:8" x14ac:dyDescent="0.25">
      <c r="A620" s="32"/>
      <c r="B620" s="32"/>
      <c r="C620" s="37"/>
      <c r="D620" s="38"/>
      <c r="E620" s="39" t="str">
        <f t="shared" si="9"/>
        <v/>
      </c>
      <c r="F620" s="37"/>
      <c r="G620" s="40"/>
      <c r="H620" s="32"/>
    </row>
    <row r="621" spans="1:8" x14ac:dyDescent="0.25">
      <c r="A621" s="32"/>
      <c r="B621" s="32"/>
      <c r="C621" s="37"/>
      <c r="D621" s="38"/>
      <c r="E621" s="39" t="str">
        <f t="shared" si="9"/>
        <v/>
      </c>
      <c r="F621" s="37"/>
      <c r="G621" s="40"/>
      <c r="H621" s="32"/>
    </row>
    <row r="622" spans="1:8" x14ac:dyDescent="0.25">
      <c r="A622" s="32"/>
      <c r="B622" s="32"/>
      <c r="C622" s="37"/>
      <c r="D622" s="38"/>
      <c r="E622" s="39" t="str">
        <f t="shared" si="9"/>
        <v/>
      </c>
      <c r="F622" s="37"/>
      <c r="G622" s="40"/>
      <c r="H622" s="32"/>
    </row>
    <row r="623" spans="1:8" x14ac:dyDescent="0.25">
      <c r="A623" s="32"/>
      <c r="B623" s="32"/>
      <c r="C623" s="37"/>
      <c r="D623" s="38"/>
      <c r="E623" s="39" t="str">
        <f t="shared" si="9"/>
        <v/>
      </c>
      <c r="F623" s="37"/>
      <c r="G623" s="40"/>
      <c r="H623" s="32"/>
    </row>
    <row r="624" spans="1:8" x14ac:dyDescent="0.25">
      <c r="A624" s="32"/>
      <c r="B624" s="32"/>
      <c r="C624" s="37"/>
      <c r="D624" s="38"/>
      <c r="E624" s="39" t="str">
        <f t="shared" si="9"/>
        <v/>
      </c>
      <c r="F624" s="37"/>
      <c r="G624" s="40"/>
      <c r="H624" s="32"/>
    </row>
    <row r="625" spans="1:8" x14ac:dyDescent="0.25">
      <c r="A625" s="32"/>
      <c r="B625" s="32"/>
      <c r="C625" s="37"/>
      <c r="D625" s="38"/>
      <c r="E625" s="39" t="str">
        <f t="shared" si="9"/>
        <v/>
      </c>
      <c r="F625" s="37"/>
      <c r="G625" s="40"/>
      <c r="H625" s="32"/>
    </row>
    <row r="626" spans="1:8" x14ac:dyDescent="0.25">
      <c r="A626" s="32"/>
      <c r="B626" s="32"/>
      <c r="C626" s="37"/>
      <c r="D626" s="38"/>
      <c r="E626" s="39" t="str">
        <f t="shared" si="9"/>
        <v/>
      </c>
      <c r="F626" s="37"/>
      <c r="G626" s="40"/>
      <c r="H626" s="32"/>
    </row>
    <row r="627" spans="1:8" x14ac:dyDescent="0.25">
      <c r="A627" s="32"/>
      <c r="B627" s="32"/>
      <c r="C627" s="37"/>
      <c r="D627" s="38"/>
      <c r="E627" s="39" t="str">
        <f t="shared" si="9"/>
        <v/>
      </c>
      <c r="F627" s="37"/>
      <c r="G627" s="40"/>
      <c r="H627" s="32"/>
    </row>
    <row r="628" spans="1:8" x14ac:dyDescent="0.25">
      <c r="A628" s="32"/>
      <c r="B628" s="32"/>
      <c r="C628" s="37"/>
      <c r="D628" s="38"/>
      <c r="E628" s="39" t="str">
        <f t="shared" si="9"/>
        <v/>
      </c>
      <c r="F628" s="37"/>
      <c r="G628" s="40"/>
      <c r="H628" s="32"/>
    </row>
    <row r="629" spans="1:8" x14ac:dyDescent="0.25">
      <c r="A629" s="32"/>
      <c r="B629" s="32"/>
      <c r="C629" s="37"/>
      <c r="D629" s="38"/>
      <c r="E629" s="39" t="str">
        <f t="shared" si="9"/>
        <v/>
      </c>
      <c r="F629" s="37"/>
      <c r="G629" s="40"/>
      <c r="H629" s="32"/>
    </row>
    <row r="630" spans="1:8" x14ac:dyDescent="0.25">
      <c r="A630" s="32"/>
      <c r="B630" s="32"/>
      <c r="C630" s="37"/>
      <c r="D630" s="38"/>
      <c r="E630" s="39" t="str">
        <f t="shared" si="9"/>
        <v/>
      </c>
      <c r="F630" s="37"/>
      <c r="G630" s="40"/>
      <c r="H630" s="32"/>
    </row>
    <row r="631" spans="1:8" x14ac:dyDescent="0.25">
      <c r="A631" s="32"/>
      <c r="B631" s="32"/>
      <c r="C631" s="37"/>
      <c r="D631" s="38"/>
      <c r="E631" s="39" t="str">
        <f t="shared" si="9"/>
        <v/>
      </c>
      <c r="F631" s="37"/>
      <c r="G631" s="40"/>
      <c r="H631" s="32"/>
    </row>
    <row r="632" spans="1:8" x14ac:dyDescent="0.25">
      <c r="A632" s="32"/>
      <c r="B632" s="32"/>
      <c r="C632" s="37"/>
      <c r="D632" s="38"/>
      <c r="E632" s="39" t="str">
        <f t="shared" si="9"/>
        <v/>
      </c>
      <c r="F632" s="37"/>
      <c r="G632" s="40"/>
      <c r="H632" s="32"/>
    </row>
    <row r="633" spans="1:8" x14ac:dyDescent="0.25">
      <c r="A633" s="32"/>
      <c r="B633" s="32"/>
      <c r="C633" s="37"/>
      <c r="D633" s="38"/>
      <c r="E633" s="39" t="str">
        <f t="shared" si="9"/>
        <v/>
      </c>
      <c r="F633" s="37"/>
      <c r="G633" s="40"/>
      <c r="H633" s="32"/>
    </row>
    <row r="634" spans="1:8" x14ac:dyDescent="0.25">
      <c r="A634" s="32"/>
      <c r="B634" s="32"/>
      <c r="C634" s="37"/>
      <c r="D634" s="38"/>
      <c r="E634" s="39" t="str">
        <f t="shared" si="9"/>
        <v/>
      </c>
      <c r="F634" s="37"/>
      <c r="G634" s="40"/>
      <c r="H634" s="32"/>
    </row>
    <row r="635" spans="1:8" x14ac:dyDescent="0.25">
      <c r="A635" s="32"/>
      <c r="B635" s="32"/>
      <c r="C635" s="37"/>
      <c r="D635" s="38"/>
      <c r="E635" s="39" t="str">
        <f t="shared" si="9"/>
        <v/>
      </c>
      <c r="F635" s="37"/>
      <c r="G635" s="40"/>
      <c r="H635" s="32"/>
    </row>
    <row r="636" spans="1:8" x14ac:dyDescent="0.25">
      <c r="A636" s="32"/>
      <c r="B636" s="32"/>
      <c r="C636" s="37"/>
      <c r="D636" s="38"/>
      <c r="E636" s="39" t="str">
        <f t="shared" si="9"/>
        <v/>
      </c>
      <c r="F636" s="37"/>
      <c r="G636" s="40"/>
      <c r="H636" s="32"/>
    </row>
    <row r="637" spans="1:8" x14ac:dyDescent="0.25">
      <c r="A637" s="32"/>
      <c r="B637" s="32"/>
      <c r="C637" s="37"/>
      <c r="D637" s="38"/>
      <c r="E637" s="39" t="str">
        <f t="shared" si="9"/>
        <v/>
      </c>
      <c r="F637" s="37"/>
      <c r="G637" s="40"/>
      <c r="H637" s="32"/>
    </row>
    <row r="638" spans="1:8" x14ac:dyDescent="0.25">
      <c r="A638" s="32"/>
      <c r="B638" s="32"/>
      <c r="C638" s="37"/>
      <c r="D638" s="38"/>
      <c r="E638" s="39" t="str">
        <f t="shared" si="9"/>
        <v/>
      </c>
      <c r="F638" s="37"/>
      <c r="G638" s="40"/>
      <c r="H638" s="32"/>
    </row>
    <row r="639" spans="1:8" x14ac:dyDescent="0.25">
      <c r="A639" s="32"/>
      <c r="B639" s="32"/>
      <c r="C639" s="37"/>
      <c r="D639" s="38"/>
      <c r="E639" s="39" t="str">
        <f t="shared" si="9"/>
        <v/>
      </c>
      <c r="F639" s="37"/>
      <c r="G639" s="40"/>
      <c r="H639" s="32"/>
    </row>
    <row r="640" spans="1:8" x14ac:dyDescent="0.25">
      <c r="A640" s="32"/>
      <c r="B640" s="32"/>
      <c r="C640" s="37"/>
      <c r="D640" s="38"/>
      <c r="E640" s="39" t="str">
        <f t="shared" si="9"/>
        <v/>
      </c>
      <c r="F640" s="37"/>
      <c r="G640" s="40"/>
      <c r="H640" s="32"/>
    </row>
    <row r="641" spans="1:8" x14ac:dyDescent="0.25">
      <c r="A641" s="32"/>
      <c r="B641" s="32"/>
      <c r="C641" s="37"/>
      <c r="D641" s="38"/>
      <c r="E641" s="39" t="str">
        <f t="shared" si="9"/>
        <v/>
      </c>
      <c r="F641" s="37"/>
      <c r="G641" s="40"/>
      <c r="H641" s="32"/>
    </row>
    <row r="642" spans="1:8" x14ac:dyDescent="0.25">
      <c r="A642" s="32"/>
      <c r="B642" s="32"/>
      <c r="C642" s="37"/>
      <c r="D642" s="38"/>
      <c r="E642" s="39" t="str">
        <f t="shared" si="9"/>
        <v/>
      </c>
      <c r="F642" s="37"/>
      <c r="G642" s="40"/>
      <c r="H642" s="32"/>
    </row>
    <row r="643" spans="1:8" x14ac:dyDescent="0.25">
      <c r="A643" s="32"/>
      <c r="B643" s="32"/>
      <c r="C643" s="37"/>
      <c r="D643" s="38"/>
      <c r="E643" s="39" t="str">
        <f t="shared" si="9"/>
        <v/>
      </c>
      <c r="F643" s="37"/>
      <c r="G643" s="40"/>
      <c r="H643" s="32"/>
    </row>
    <row r="644" spans="1:8" x14ac:dyDescent="0.25">
      <c r="A644" s="32"/>
      <c r="B644" s="32"/>
      <c r="C644" s="37"/>
      <c r="D644" s="38"/>
      <c r="E644" s="39" t="str">
        <f t="shared" si="9"/>
        <v/>
      </c>
      <c r="F644" s="37"/>
      <c r="G644" s="40"/>
      <c r="H644" s="32"/>
    </row>
    <row r="645" spans="1:8" x14ac:dyDescent="0.25">
      <c r="A645" s="32"/>
      <c r="B645" s="32"/>
      <c r="C645" s="37"/>
      <c r="D645" s="38"/>
      <c r="E645" s="39" t="str">
        <f t="shared" ref="E645:E708" si="10">IF(OR(A645="",C645=""),"",C645*(1+D645))</f>
        <v/>
      </c>
      <c r="F645" s="37"/>
      <c r="G645" s="40"/>
      <c r="H645" s="32"/>
    </row>
    <row r="646" spans="1:8" x14ac:dyDescent="0.25">
      <c r="A646" s="32"/>
      <c r="B646" s="32"/>
      <c r="C646" s="37"/>
      <c r="D646" s="38"/>
      <c r="E646" s="39" t="str">
        <f t="shared" si="10"/>
        <v/>
      </c>
      <c r="F646" s="37"/>
      <c r="G646" s="40"/>
      <c r="H646" s="32"/>
    </row>
    <row r="647" spans="1:8" x14ac:dyDescent="0.25">
      <c r="A647" s="32"/>
      <c r="B647" s="32"/>
      <c r="C647" s="37"/>
      <c r="D647" s="38"/>
      <c r="E647" s="39" t="str">
        <f t="shared" si="10"/>
        <v/>
      </c>
      <c r="F647" s="37"/>
      <c r="G647" s="40"/>
      <c r="H647" s="32"/>
    </row>
    <row r="648" spans="1:8" x14ac:dyDescent="0.25">
      <c r="A648" s="32"/>
      <c r="B648" s="32"/>
      <c r="C648" s="37"/>
      <c r="D648" s="38"/>
      <c r="E648" s="39" t="str">
        <f t="shared" si="10"/>
        <v/>
      </c>
      <c r="F648" s="37"/>
      <c r="G648" s="40"/>
      <c r="H648" s="32"/>
    </row>
    <row r="649" spans="1:8" x14ac:dyDescent="0.25">
      <c r="A649" s="32"/>
      <c r="B649" s="32"/>
      <c r="C649" s="37"/>
      <c r="D649" s="38"/>
      <c r="E649" s="39" t="str">
        <f t="shared" si="10"/>
        <v/>
      </c>
      <c r="F649" s="37"/>
      <c r="G649" s="40"/>
      <c r="H649" s="32"/>
    </row>
    <row r="650" spans="1:8" x14ac:dyDescent="0.25">
      <c r="A650" s="32"/>
      <c r="B650" s="32"/>
      <c r="C650" s="37"/>
      <c r="D650" s="38"/>
      <c r="E650" s="39" t="str">
        <f t="shared" si="10"/>
        <v/>
      </c>
      <c r="F650" s="37"/>
      <c r="G650" s="40"/>
      <c r="H650" s="32"/>
    </row>
    <row r="651" spans="1:8" x14ac:dyDescent="0.25">
      <c r="A651" s="32"/>
      <c r="B651" s="32"/>
      <c r="C651" s="37"/>
      <c r="D651" s="38"/>
      <c r="E651" s="39" t="str">
        <f t="shared" si="10"/>
        <v/>
      </c>
      <c r="F651" s="37"/>
      <c r="G651" s="40"/>
      <c r="H651" s="32"/>
    </row>
    <row r="652" spans="1:8" x14ac:dyDescent="0.25">
      <c r="A652" s="32"/>
      <c r="B652" s="32"/>
      <c r="C652" s="37"/>
      <c r="D652" s="38"/>
      <c r="E652" s="39" t="str">
        <f t="shared" si="10"/>
        <v/>
      </c>
      <c r="F652" s="37"/>
      <c r="G652" s="40"/>
      <c r="H652" s="32"/>
    </row>
    <row r="653" spans="1:8" x14ac:dyDescent="0.25">
      <c r="A653" s="32"/>
      <c r="B653" s="32"/>
      <c r="C653" s="37"/>
      <c r="D653" s="38"/>
      <c r="E653" s="39" t="str">
        <f t="shared" si="10"/>
        <v/>
      </c>
      <c r="F653" s="37"/>
      <c r="G653" s="40"/>
      <c r="H653" s="32"/>
    </row>
    <row r="654" spans="1:8" x14ac:dyDescent="0.25">
      <c r="A654" s="32"/>
      <c r="B654" s="32"/>
      <c r="C654" s="37"/>
      <c r="D654" s="38"/>
      <c r="E654" s="39" t="str">
        <f t="shared" si="10"/>
        <v/>
      </c>
      <c r="F654" s="37"/>
      <c r="G654" s="40"/>
      <c r="H654" s="32"/>
    </row>
    <row r="655" spans="1:8" x14ac:dyDescent="0.25">
      <c r="A655" s="32"/>
      <c r="B655" s="32"/>
      <c r="C655" s="37"/>
      <c r="D655" s="38"/>
      <c r="E655" s="39" t="str">
        <f t="shared" si="10"/>
        <v/>
      </c>
      <c r="F655" s="37"/>
      <c r="G655" s="40"/>
      <c r="H655" s="32"/>
    </row>
    <row r="656" spans="1:8" x14ac:dyDescent="0.25">
      <c r="A656" s="32"/>
      <c r="B656" s="32"/>
      <c r="C656" s="37"/>
      <c r="D656" s="38"/>
      <c r="E656" s="39" t="str">
        <f t="shared" si="10"/>
        <v/>
      </c>
      <c r="F656" s="37"/>
      <c r="G656" s="40"/>
      <c r="H656" s="32"/>
    </row>
    <row r="657" spans="1:8" x14ac:dyDescent="0.25">
      <c r="A657" s="32"/>
      <c r="B657" s="32"/>
      <c r="C657" s="37"/>
      <c r="D657" s="38"/>
      <c r="E657" s="39" t="str">
        <f t="shared" si="10"/>
        <v/>
      </c>
      <c r="F657" s="37"/>
      <c r="G657" s="40"/>
      <c r="H657" s="32"/>
    </row>
    <row r="658" spans="1:8" x14ac:dyDescent="0.25">
      <c r="A658" s="32"/>
      <c r="B658" s="32"/>
      <c r="C658" s="37"/>
      <c r="D658" s="38"/>
      <c r="E658" s="39" t="str">
        <f t="shared" si="10"/>
        <v/>
      </c>
      <c r="F658" s="37"/>
      <c r="G658" s="40"/>
      <c r="H658" s="32"/>
    </row>
    <row r="659" spans="1:8" x14ac:dyDescent="0.25">
      <c r="A659" s="32"/>
      <c r="B659" s="32"/>
      <c r="C659" s="37"/>
      <c r="D659" s="38"/>
      <c r="E659" s="39" t="str">
        <f t="shared" si="10"/>
        <v/>
      </c>
      <c r="F659" s="37"/>
      <c r="G659" s="40"/>
      <c r="H659" s="32"/>
    </row>
    <row r="660" spans="1:8" x14ac:dyDescent="0.25">
      <c r="A660" s="32"/>
      <c r="B660" s="32"/>
      <c r="C660" s="37"/>
      <c r="D660" s="38"/>
      <c r="E660" s="39" t="str">
        <f t="shared" si="10"/>
        <v/>
      </c>
      <c r="F660" s="37"/>
      <c r="G660" s="40"/>
      <c r="H660" s="32"/>
    </row>
    <row r="661" spans="1:8" x14ac:dyDescent="0.25">
      <c r="A661" s="32"/>
      <c r="B661" s="32"/>
      <c r="C661" s="37"/>
      <c r="D661" s="38"/>
      <c r="E661" s="39" t="str">
        <f t="shared" si="10"/>
        <v/>
      </c>
      <c r="F661" s="37"/>
      <c r="G661" s="40"/>
      <c r="H661" s="32"/>
    </row>
    <row r="662" spans="1:8" x14ac:dyDescent="0.25">
      <c r="A662" s="32"/>
      <c r="B662" s="32"/>
      <c r="C662" s="37"/>
      <c r="D662" s="38"/>
      <c r="E662" s="39" t="str">
        <f t="shared" si="10"/>
        <v/>
      </c>
      <c r="F662" s="37"/>
      <c r="G662" s="40"/>
      <c r="H662" s="32"/>
    </row>
    <row r="663" spans="1:8" x14ac:dyDescent="0.25">
      <c r="A663" s="32"/>
      <c r="B663" s="32"/>
      <c r="C663" s="37"/>
      <c r="D663" s="38"/>
      <c r="E663" s="39" t="str">
        <f t="shared" si="10"/>
        <v/>
      </c>
      <c r="F663" s="37"/>
      <c r="G663" s="40"/>
      <c r="H663" s="32"/>
    </row>
    <row r="664" spans="1:8" x14ac:dyDescent="0.25">
      <c r="A664" s="32"/>
      <c r="B664" s="32"/>
      <c r="C664" s="37"/>
      <c r="D664" s="38"/>
      <c r="E664" s="39" t="str">
        <f t="shared" si="10"/>
        <v/>
      </c>
      <c r="F664" s="37"/>
      <c r="G664" s="40"/>
      <c r="H664" s="32"/>
    </row>
    <row r="665" spans="1:8" x14ac:dyDescent="0.25">
      <c r="A665" s="32"/>
      <c r="B665" s="32"/>
      <c r="C665" s="37"/>
      <c r="D665" s="38"/>
      <c r="E665" s="39" t="str">
        <f t="shared" si="10"/>
        <v/>
      </c>
      <c r="F665" s="37"/>
      <c r="G665" s="40"/>
      <c r="H665" s="32"/>
    </row>
    <row r="666" spans="1:8" x14ac:dyDescent="0.25">
      <c r="A666" s="32"/>
      <c r="B666" s="32"/>
      <c r="C666" s="37"/>
      <c r="D666" s="38"/>
      <c r="E666" s="39" t="str">
        <f t="shared" si="10"/>
        <v/>
      </c>
      <c r="F666" s="37"/>
      <c r="G666" s="40"/>
      <c r="H666" s="32"/>
    </row>
    <row r="667" spans="1:8" x14ac:dyDescent="0.25">
      <c r="A667" s="32"/>
      <c r="B667" s="32"/>
      <c r="C667" s="37"/>
      <c r="D667" s="38"/>
      <c r="E667" s="39" t="str">
        <f t="shared" si="10"/>
        <v/>
      </c>
      <c r="F667" s="37"/>
      <c r="G667" s="40"/>
      <c r="H667" s="32"/>
    </row>
    <row r="668" spans="1:8" x14ac:dyDescent="0.25">
      <c r="A668" s="32"/>
      <c r="B668" s="32"/>
      <c r="C668" s="37"/>
      <c r="D668" s="38"/>
      <c r="E668" s="39" t="str">
        <f t="shared" si="10"/>
        <v/>
      </c>
      <c r="F668" s="37"/>
      <c r="G668" s="40"/>
      <c r="H668" s="32"/>
    </row>
    <row r="669" spans="1:8" x14ac:dyDescent="0.25">
      <c r="A669" s="32"/>
      <c r="B669" s="32"/>
      <c r="C669" s="37"/>
      <c r="D669" s="38"/>
      <c r="E669" s="39" t="str">
        <f t="shared" si="10"/>
        <v/>
      </c>
      <c r="F669" s="37"/>
      <c r="G669" s="40"/>
      <c r="H669" s="32"/>
    </row>
    <row r="670" spans="1:8" x14ac:dyDescent="0.25">
      <c r="A670" s="32"/>
      <c r="B670" s="32"/>
      <c r="C670" s="37"/>
      <c r="D670" s="38"/>
      <c r="E670" s="39" t="str">
        <f t="shared" si="10"/>
        <v/>
      </c>
      <c r="F670" s="37"/>
      <c r="G670" s="40"/>
      <c r="H670" s="32"/>
    </row>
    <row r="671" spans="1:8" x14ac:dyDescent="0.25">
      <c r="A671" s="32"/>
      <c r="B671" s="32"/>
      <c r="C671" s="37"/>
      <c r="D671" s="38"/>
      <c r="E671" s="39" t="str">
        <f t="shared" si="10"/>
        <v/>
      </c>
      <c r="F671" s="37"/>
      <c r="G671" s="40"/>
      <c r="H671" s="32"/>
    </row>
    <row r="672" spans="1:8" x14ac:dyDescent="0.25">
      <c r="A672" s="32"/>
      <c r="B672" s="32"/>
      <c r="C672" s="37"/>
      <c r="D672" s="38"/>
      <c r="E672" s="39" t="str">
        <f t="shared" si="10"/>
        <v/>
      </c>
      <c r="F672" s="37"/>
      <c r="G672" s="40"/>
      <c r="H672" s="32"/>
    </row>
    <row r="673" spans="1:8" x14ac:dyDescent="0.25">
      <c r="A673" s="32"/>
      <c r="B673" s="32"/>
      <c r="C673" s="37"/>
      <c r="D673" s="38"/>
      <c r="E673" s="39" t="str">
        <f t="shared" si="10"/>
        <v/>
      </c>
      <c r="F673" s="37"/>
      <c r="G673" s="40"/>
      <c r="H673" s="32"/>
    </row>
    <row r="674" spans="1:8" x14ac:dyDescent="0.25">
      <c r="A674" s="32"/>
      <c r="B674" s="32"/>
      <c r="C674" s="37"/>
      <c r="D674" s="38"/>
      <c r="E674" s="39" t="str">
        <f t="shared" si="10"/>
        <v/>
      </c>
      <c r="F674" s="37"/>
      <c r="G674" s="40"/>
      <c r="H674" s="32"/>
    </row>
    <row r="675" spans="1:8" x14ac:dyDescent="0.25">
      <c r="A675" s="32"/>
      <c r="B675" s="32"/>
      <c r="C675" s="37"/>
      <c r="D675" s="38"/>
      <c r="E675" s="39" t="str">
        <f t="shared" si="10"/>
        <v/>
      </c>
      <c r="F675" s="37"/>
      <c r="G675" s="40"/>
      <c r="H675" s="32"/>
    </row>
    <row r="676" spans="1:8" x14ac:dyDescent="0.25">
      <c r="A676" s="32"/>
      <c r="B676" s="32"/>
      <c r="C676" s="37"/>
      <c r="D676" s="38"/>
      <c r="E676" s="39" t="str">
        <f t="shared" si="10"/>
        <v/>
      </c>
      <c r="F676" s="37"/>
      <c r="G676" s="40"/>
      <c r="H676" s="32"/>
    </row>
    <row r="677" spans="1:8" x14ac:dyDescent="0.25">
      <c r="A677" s="32"/>
      <c r="B677" s="32"/>
      <c r="C677" s="37"/>
      <c r="D677" s="38"/>
      <c r="E677" s="39" t="str">
        <f t="shared" si="10"/>
        <v/>
      </c>
      <c r="F677" s="37"/>
      <c r="G677" s="40"/>
      <c r="H677" s="32"/>
    </row>
    <row r="678" spans="1:8" x14ac:dyDescent="0.25">
      <c r="A678" s="32"/>
      <c r="B678" s="32"/>
      <c r="C678" s="37"/>
      <c r="D678" s="38"/>
      <c r="E678" s="39" t="str">
        <f t="shared" si="10"/>
        <v/>
      </c>
      <c r="F678" s="37"/>
      <c r="G678" s="40"/>
      <c r="H678" s="32"/>
    </row>
    <row r="679" spans="1:8" x14ac:dyDescent="0.25">
      <c r="A679" s="32"/>
      <c r="B679" s="32"/>
      <c r="C679" s="37"/>
      <c r="D679" s="38"/>
      <c r="E679" s="39" t="str">
        <f t="shared" si="10"/>
        <v/>
      </c>
      <c r="F679" s="37"/>
      <c r="G679" s="40"/>
      <c r="H679" s="32"/>
    </row>
    <row r="680" spans="1:8" x14ac:dyDescent="0.25">
      <c r="A680" s="32"/>
      <c r="B680" s="32"/>
      <c r="C680" s="37"/>
      <c r="D680" s="38"/>
      <c r="E680" s="39" t="str">
        <f t="shared" si="10"/>
        <v/>
      </c>
      <c r="F680" s="37"/>
      <c r="G680" s="40"/>
      <c r="H680" s="32"/>
    </row>
    <row r="681" spans="1:8" x14ac:dyDescent="0.25">
      <c r="A681" s="32"/>
      <c r="B681" s="32"/>
      <c r="C681" s="37"/>
      <c r="D681" s="38"/>
      <c r="E681" s="39" t="str">
        <f t="shared" si="10"/>
        <v/>
      </c>
      <c r="F681" s="37"/>
      <c r="G681" s="40"/>
      <c r="H681" s="32"/>
    </row>
    <row r="682" spans="1:8" x14ac:dyDescent="0.25">
      <c r="A682" s="32"/>
      <c r="B682" s="32"/>
      <c r="C682" s="37"/>
      <c r="D682" s="38"/>
      <c r="E682" s="39" t="str">
        <f t="shared" si="10"/>
        <v/>
      </c>
      <c r="F682" s="37"/>
      <c r="G682" s="40"/>
      <c r="H682" s="32"/>
    </row>
    <row r="683" spans="1:8" x14ac:dyDescent="0.25">
      <c r="A683" s="32"/>
      <c r="B683" s="32"/>
      <c r="C683" s="37"/>
      <c r="D683" s="38"/>
      <c r="E683" s="39" t="str">
        <f t="shared" si="10"/>
        <v/>
      </c>
      <c r="F683" s="37"/>
      <c r="G683" s="40"/>
      <c r="H683" s="32"/>
    </row>
    <row r="684" spans="1:8" x14ac:dyDescent="0.25">
      <c r="A684" s="32"/>
      <c r="B684" s="32"/>
      <c r="C684" s="37"/>
      <c r="D684" s="38"/>
      <c r="E684" s="39" t="str">
        <f t="shared" si="10"/>
        <v/>
      </c>
      <c r="F684" s="37"/>
      <c r="G684" s="40"/>
      <c r="H684" s="32"/>
    </row>
    <row r="685" spans="1:8" x14ac:dyDescent="0.25">
      <c r="A685" s="32"/>
      <c r="B685" s="32"/>
      <c r="C685" s="37"/>
      <c r="D685" s="38"/>
      <c r="E685" s="39" t="str">
        <f t="shared" si="10"/>
        <v/>
      </c>
      <c r="F685" s="37"/>
      <c r="G685" s="40"/>
      <c r="H685" s="32"/>
    </row>
    <row r="686" spans="1:8" x14ac:dyDescent="0.25">
      <c r="A686" s="32"/>
      <c r="B686" s="32"/>
      <c r="C686" s="37"/>
      <c r="D686" s="38"/>
      <c r="E686" s="39" t="str">
        <f t="shared" si="10"/>
        <v/>
      </c>
      <c r="F686" s="37"/>
      <c r="G686" s="40"/>
      <c r="H686" s="32"/>
    </row>
    <row r="687" spans="1:8" x14ac:dyDescent="0.25">
      <c r="A687" s="32"/>
      <c r="B687" s="32"/>
      <c r="C687" s="37"/>
      <c r="D687" s="38"/>
      <c r="E687" s="39" t="str">
        <f t="shared" si="10"/>
        <v/>
      </c>
      <c r="F687" s="37"/>
      <c r="G687" s="40"/>
      <c r="H687" s="32"/>
    </row>
    <row r="688" spans="1:8" x14ac:dyDescent="0.25">
      <c r="A688" s="32"/>
      <c r="B688" s="32"/>
      <c r="C688" s="37"/>
      <c r="D688" s="38"/>
      <c r="E688" s="39" t="str">
        <f t="shared" si="10"/>
        <v/>
      </c>
      <c r="F688" s="37"/>
      <c r="G688" s="40"/>
      <c r="H688" s="32"/>
    </row>
    <row r="689" spans="1:8" x14ac:dyDescent="0.25">
      <c r="A689" s="32"/>
      <c r="B689" s="32"/>
      <c r="C689" s="37"/>
      <c r="D689" s="38"/>
      <c r="E689" s="39" t="str">
        <f t="shared" si="10"/>
        <v/>
      </c>
      <c r="F689" s="37"/>
      <c r="G689" s="40"/>
      <c r="H689" s="32"/>
    </row>
    <row r="690" spans="1:8" x14ac:dyDescent="0.25">
      <c r="A690" s="32"/>
      <c r="B690" s="32"/>
      <c r="C690" s="37"/>
      <c r="D690" s="38"/>
      <c r="E690" s="39" t="str">
        <f t="shared" si="10"/>
        <v/>
      </c>
      <c r="F690" s="37"/>
      <c r="G690" s="40"/>
      <c r="H690" s="32"/>
    </row>
    <row r="691" spans="1:8" x14ac:dyDescent="0.25">
      <c r="A691" s="32"/>
      <c r="B691" s="32"/>
      <c r="C691" s="37"/>
      <c r="D691" s="38"/>
      <c r="E691" s="39" t="str">
        <f t="shared" si="10"/>
        <v/>
      </c>
      <c r="F691" s="37"/>
      <c r="G691" s="40"/>
      <c r="H691" s="32"/>
    </row>
    <row r="692" spans="1:8" x14ac:dyDescent="0.25">
      <c r="A692" s="32"/>
      <c r="B692" s="32"/>
      <c r="C692" s="37"/>
      <c r="D692" s="38"/>
      <c r="E692" s="39" t="str">
        <f t="shared" si="10"/>
        <v/>
      </c>
      <c r="F692" s="37"/>
      <c r="G692" s="40"/>
      <c r="H692" s="32"/>
    </row>
    <row r="693" spans="1:8" x14ac:dyDescent="0.25">
      <c r="A693" s="32"/>
      <c r="B693" s="32"/>
      <c r="C693" s="37"/>
      <c r="D693" s="38"/>
      <c r="E693" s="39" t="str">
        <f t="shared" si="10"/>
        <v/>
      </c>
      <c r="F693" s="37"/>
      <c r="G693" s="40"/>
      <c r="H693" s="32"/>
    </row>
    <row r="694" spans="1:8" x14ac:dyDescent="0.25">
      <c r="A694" s="32"/>
      <c r="B694" s="32"/>
      <c r="C694" s="37"/>
      <c r="D694" s="38"/>
      <c r="E694" s="39" t="str">
        <f t="shared" si="10"/>
        <v/>
      </c>
      <c r="F694" s="37"/>
      <c r="G694" s="40"/>
      <c r="H694" s="32"/>
    </row>
    <row r="695" spans="1:8" x14ac:dyDescent="0.25">
      <c r="A695" s="32"/>
      <c r="B695" s="32"/>
      <c r="C695" s="37"/>
      <c r="D695" s="38"/>
      <c r="E695" s="39" t="str">
        <f t="shared" si="10"/>
        <v/>
      </c>
      <c r="F695" s="37"/>
      <c r="G695" s="40"/>
      <c r="H695" s="32"/>
    </row>
    <row r="696" spans="1:8" x14ac:dyDescent="0.25">
      <c r="A696" s="32"/>
      <c r="B696" s="32"/>
      <c r="C696" s="37"/>
      <c r="D696" s="38"/>
      <c r="E696" s="39" t="str">
        <f t="shared" si="10"/>
        <v/>
      </c>
      <c r="F696" s="37"/>
      <c r="G696" s="40"/>
      <c r="H696" s="32"/>
    </row>
    <row r="697" spans="1:8" x14ac:dyDescent="0.25">
      <c r="A697" s="32"/>
      <c r="B697" s="32"/>
      <c r="C697" s="37"/>
      <c r="D697" s="38"/>
      <c r="E697" s="39" t="str">
        <f t="shared" si="10"/>
        <v/>
      </c>
      <c r="F697" s="37"/>
      <c r="G697" s="40"/>
      <c r="H697" s="32"/>
    </row>
    <row r="698" spans="1:8" x14ac:dyDescent="0.25">
      <c r="A698" s="32"/>
      <c r="B698" s="32"/>
      <c r="C698" s="37"/>
      <c r="D698" s="38"/>
      <c r="E698" s="39" t="str">
        <f t="shared" si="10"/>
        <v/>
      </c>
      <c r="F698" s="37"/>
      <c r="G698" s="40"/>
      <c r="H698" s="32"/>
    </row>
    <row r="699" spans="1:8" x14ac:dyDescent="0.25">
      <c r="A699" s="32"/>
      <c r="B699" s="32"/>
      <c r="C699" s="37"/>
      <c r="D699" s="38"/>
      <c r="E699" s="39" t="str">
        <f t="shared" si="10"/>
        <v/>
      </c>
      <c r="F699" s="37"/>
      <c r="G699" s="40"/>
      <c r="H699" s="32"/>
    </row>
    <row r="700" spans="1:8" x14ac:dyDescent="0.25">
      <c r="A700" s="32"/>
      <c r="B700" s="32"/>
      <c r="C700" s="37"/>
      <c r="D700" s="38"/>
      <c r="E700" s="39" t="str">
        <f t="shared" si="10"/>
        <v/>
      </c>
      <c r="F700" s="37"/>
      <c r="G700" s="40"/>
      <c r="H700" s="32"/>
    </row>
    <row r="701" spans="1:8" x14ac:dyDescent="0.25">
      <c r="A701" s="32"/>
      <c r="B701" s="32"/>
      <c r="C701" s="37"/>
      <c r="D701" s="38"/>
      <c r="E701" s="39" t="str">
        <f t="shared" si="10"/>
        <v/>
      </c>
      <c r="F701" s="37"/>
      <c r="G701" s="40"/>
      <c r="H701" s="32"/>
    </row>
    <row r="702" spans="1:8" x14ac:dyDescent="0.25">
      <c r="A702" s="32"/>
      <c r="B702" s="32"/>
      <c r="C702" s="37"/>
      <c r="D702" s="38"/>
      <c r="E702" s="39" t="str">
        <f t="shared" si="10"/>
        <v/>
      </c>
      <c r="F702" s="37"/>
      <c r="G702" s="40"/>
      <c r="H702" s="32"/>
    </row>
    <row r="703" spans="1:8" x14ac:dyDescent="0.25">
      <c r="A703" s="32"/>
      <c r="B703" s="32"/>
      <c r="C703" s="37"/>
      <c r="D703" s="38"/>
      <c r="E703" s="39" t="str">
        <f t="shared" si="10"/>
        <v/>
      </c>
      <c r="F703" s="37"/>
      <c r="G703" s="40"/>
      <c r="H703" s="32"/>
    </row>
    <row r="704" spans="1:8" x14ac:dyDescent="0.25">
      <c r="A704" s="32"/>
      <c r="B704" s="32"/>
      <c r="C704" s="37"/>
      <c r="D704" s="38"/>
      <c r="E704" s="39" t="str">
        <f t="shared" si="10"/>
        <v/>
      </c>
      <c r="F704" s="37"/>
      <c r="G704" s="40"/>
      <c r="H704" s="32"/>
    </row>
    <row r="705" spans="1:8" x14ac:dyDescent="0.25">
      <c r="A705" s="32"/>
      <c r="B705" s="32"/>
      <c r="C705" s="37"/>
      <c r="D705" s="38"/>
      <c r="E705" s="39" t="str">
        <f t="shared" si="10"/>
        <v/>
      </c>
      <c r="F705" s="37"/>
      <c r="G705" s="40"/>
      <c r="H705" s="32"/>
    </row>
    <row r="706" spans="1:8" x14ac:dyDescent="0.25">
      <c r="A706" s="32"/>
      <c r="B706" s="32"/>
      <c r="C706" s="37"/>
      <c r="D706" s="38"/>
      <c r="E706" s="39" t="str">
        <f t="shared" si="10"/>
        <v/>
      </c>
      <c r="F706" s="37"/>
      <c r="G706" s="40"/>
      <c r="H706" s="32"/>
    </row>
    <row r="707" spans="1:8" x14ac:dyDescent="0.25">
      <c r="A707" s="32"/>
      <c r="B707" s="32"/>
      <c r="C707" s="37"/>
      <c r="D707" s="38"/>
      <c r="E707" s="39" t="str">
        <f t="shared" si="10"/>
        <v/>
      </c>
      <c r="F707" s="37"/>
      <c r="G707" s="40"/>
      <c r="H707" s="32"/>
    </row>
    <row r="708" spans="1:8" x14ac:dyDescent="0.25">
      <c r="A708" s="32"/>
      <c r="B708" s="32"/>
      <c r="C708" s="37"/>
      <c r="D708" s="38"/>
      <c r="E708" s="39" t="str">
        <f t="shared" si="10"/>
        <v/>
      </c>
      <c r="F708" s="37"/>
      <c r="G708" s="40"/>
      <c r="H708" s="32"/>
    </row>
    <row r="709" spans="1:8" x14ac:dyDescent="0.25">
      <c r="A709" s="32"/>
      <c r="B709" s="32"/>
      <c r="C709" s="37"/>
      <c r="D709" s="38"/>
      <c r="E709" s="39" t="str">
        <f t="shared" ref="E709:E772" si="11">IF(OR(A709="",C709=""),"",C709*(1+D709))</f>
        <v/>
      </c>
      <c r="F709" s="37"/>
      <c r="G709" s="40"/>
      <c r="H709" s="32"/>
    </row>
    <row r="710" spans="1:8" x14ac:dyDescent="0.25">
      <c r="A710" s="32"/>
      <c r="B710" s="32"/>
      <c r="C710" s="37"/>
      <c r="D710" s="38"/>
      <c r="E710" s="39" t="str">
        <f t="shared" si="11"/>
        <v/>
      </c>
      <c r="F710" s="37"/>
      <c r="G710" s="40"/>
      <c r="H710" s="32"/>
    </row>
    <row r="711" spans="1:8" x14ac:dyDescent="0.25">
      <c r="A711" s="32"/>
      <c r="B711" s="32"/>
      <c r="C711" s="37"/>
      <c r="D711" s="38"/>
      <c r="E711" s="39" t="str">
        <f t="shared" si="11"/>
        <v/>
      </c>
      <c r="F711" s="37"/>
      <c r="G711" s="40"/>
      <c r="H711" s="32"/>
    </row>
    <row r="712" spans="1:8" x14ac:dyDescent="0.25">
      <c r="A712" s="32"/>
      <c r="B712" s="32"/>
      <c r="C712" s="37"/>
      <c r="D712" s="38"/>
      <c r="E712" s="39" t="str">
        <f t="shared" si="11"/>
        <v/>
      </c>
      <c r="F712" s="37"/>
      <c r="G712" s="40"/>
      <c r="H712" s="32"/>
    </row>
    <row r="713" spans="1:8" x14ac:dyDescent="0.25">
      <c r="A713" s="32"/>
      <c r="B713" s="32"/>
      <c r="C713" s="37"/>
      <c r="D713" s="38"/>
      <c r="E713" s="39" t="str">
        <f t="shared" si="11"/>
        <v/>
      </c>
      <c r="F713" s="37"/>
      <c r="G713" s="40"/>
      <c r="H713" s="32"/>
    </row>
    <row r="714" spans="1:8" x14ac:dyDescent="0.25">
      <c r="A714" s="32"/>
      <c r="B714" s="32"/>
      <c r="C714" s="37"/>
      <c r="D714" s="38"/>
      <c r="E714" s="39" t="str">
        <f t="shared" si="11"/>
        <v/>
      </c>
      <c r="F714" s="37"/>
      <c r="G714" s="40"/>
      <c r="H714" s="32"/>
    </row>
    <row r="715" spans="1:8" x14ac:dyDescent="0.25">
      <c r="A715" s="32"/>
      <c r="B715" s="32"/>
      <c r="C715" s="37"/>
      <c r="D715" s="38"/>
      <c r="E715" s="39" t="str">
        <f t="shared" si="11"/>
        <v/>
      </c>
      <c r="F715" s="37"/>
      <c r="G715" s="40"/>
      <c r="H715" s="32"/>
    </row>
    <row r="716" spans="1:8" x14ac:dyDescent="0.25">
      <c r="A716" s="32"/>
      <c r="B716" s="32"/>
      <c r="C716" s="37"/>
      <c r="D716" s="38"/>
      <c r="E716" s="39" t="str">
        <f t="shared" si="11"/>
        <v/>
      </c>
      <c r="F716" s="37"/>
      <c r="G716" s="40"/>
      <c r="H716" s="32"/>
    </row>
    <row r="717" spans="1:8" x14ac:dyDescent="0.25">
      <c r="A717" s="32"/>
      <c r="B717" s="32"/>
      <c r="C717" s="37"/>
      <c r="D717" s="38"/>
      <c r="E717" s="39" t="str">
        <f t="shared" si="11"/>
        <v/>
      </c>
      <c r="F717" s="37"/>
      <c r="G717" s="40"/>
      <c r="H717" s="32"/>
    </row>
    <row r="718" spans="1:8" x14ac:dyDescent="0.25">
      <c r="A718" s="32"/>
      <c r="B718" s="32"/>
      <c r="C718" s="37"/>
      <c r="D718" s="38"/>
      <c r="E718" s="39" t="str">
        <f t="shared" si="11"/>
        <v/>
      </c>
      <c r="F718" s="37"/>
      <c r="G718" s="40"/>
      <c r="H718" s="32"/>
    </row>
    <row r="719" spans="1:8" x14ac:dyDescent="0.25">
      <c r="A719" s="32"/>
      <c r="B719" s="32"/>
      <c r="C719" s="37"/>
      <c r="D719" s="38"/>
      <c r="E719" s="39" t="str">
        <f t="shared" si="11"/>
        <v/>
      </c>
      <c r="F719" s="37"/>
      <c r="G719" s="40"/>
      <c r="H719" s="32"/>
    </row>
    <row r="720" spans="1:8" x14ac:dyDescent="0.25">
      <c r="A720" s="32"/>
      <c r="B720" s="32"/>
      <c r="C720" s="37"/>
      <c r="D720" s="38"/>
      <c r="E720" s="39" t="str">
        <f t="shared" si="11"/>
        <v/>
      </c>
      <c r="F720" s="37"/>
      <c r="G720" s="40"/>
      <c r="H720" s="32"/>
    </row>
    <row r="721" spans="1:8" x14ac:dyDescent="0.25">
      <c r="A721" s="32"/>
      <c r="B721" s="32"/>
      <c r="C721" s="37"/>
      <c r="D721" s="38"/>
      <c r="E721" s="39" t="str">
        <f t="shared" si="11"/>
        <v/>
      </c>
      <c r="F721" s="37"/>
      <c r="G721" s="40"/>
      <c r="H721" s="32"/>
    </row>
    <row r="722" spans="1:8" x14ac:dyDescent="0.25">
      <c r="A722" s="32"/>
      <c r="B722" s="32"/>
      <c r="C722" s="37"/>
      <c r="D722" s="38"/>
      <c r="E722" s="39" t="str">
        <f t="shared" si="11"/>
        <v/>
      </c>
      <c r="F722" s="37"/>
      <c r="G722" s="40"/>
      <c r="H722" s="32"/>
    </row>
    <row r="723" spans="1:8" x14ac:dyDescent="0.25">
      <c r="A723" s="32"/>
      <c r="B723" s="32"/>
      <c r="C723" s="37"/>
      <c r="D723" s="38"/>
      <c r="E723" s="39" t="str">
        <f t="shared" si="11"/>
        <v/>
      </c>
      <c r="F723" s="37"/>
      <c r="G723" s="40"/>
      <c r="H723" s="32"/>
    </row>
    <row r="724" spans="1:8" x14ac:dyDescent="0.25">
      <c r="A724" s="32"/>
      <c r="B724" s="32"/>
      <c r="C724" s="37"/>
      <c r="D724" s="38"/>
      <c r="E724" s="39" t="str">
        <f t="shared" si="11"/>
        <v/>
      </c>
      <c r="F724" s="37"/>
      <c r="G724" s="40"/>
      <c r="H724" s="32"/>
    </row>
    <row r="725" spans="1:8" x14ac:dyDescent="0.25">
      <c r="A725" s="32"/>
      <c r="B725" s="32"/>
      <c r="C725" s="37"/>
      <c r="D725" s="38"/>
      <c r="E725" s="39" t="str">
        <f t="shared" si="11"/>
        <v/>
      </c>
      <c r="F725" s="37"/>
      <c r="G725" s="40"/>
      <c r="H725" s="32"/>
    </row>
    <row r="726" spans="1:8" x14ac:dyDescent="0.25">
      <c r="A726" s="32"/>
      <c r="B726" s="32"/>
      <c r="C726" s="37"/>
      <c r="D726" s="38"/>
      <c r="E726" s="39" t="str">
        <f t="shared" si="11"/>
        <v/>
      </c>
      <c r="F726" s="37"/>
      <c r="G726" s="40"/>
      <c r="H726" s="32"/>
    </row>
    <row r="727" spans="1:8" x14ac:dyDescent="0.25">
      <c r="A727" s="32"/>
      <c r="B727" s="32"/>
      <c r="C727" s="37"/>
      <c r="D727" s="38"/>
      <c r="E727" s="39" t="str">
        <f t="shared" si="11"/>
        <v/>
      </c>
      <c r="F727" s="37"/>
      <c r="G727" s="40"/>
      <c r="H727" s="32"/>
    </row>
    <row r="728" spans="1:8" x14ac:dyDescent="0.25">
      <c r="A728" s="32"/>
      <c r="B728" s="32"/>
      <c r="C728" s="37"/>
      <c r="D728" s="38"/>
      <c r="E728" s="39" t="str">
        <f t="shared" si="11"/>
        <v/>
      </c>
      <c r="F728" s="37"/>
      <c r="G728" s="40"/>
      <c r="H728" s="32"/>
    </row>
    <row r="729" spans="1:8" x14ac:dyDescent="0.25">
      <c r="A729" s="32"/>
      <c r="B729" s="32"/>
      <c r="C729" s="37"/>
      <c r="D729" s="38"/>
      <c r="E729" s="39" t="str">
        <f t="shared" si="11"/>
        <v/>
      </c>
      <c r="F729" s="37"/>
      <c r="G729" s="40"/>
      <c r="H729" s="32"/>
    </row>
    <row r="730" spans="1:8" x14ac:dyDescent="0.25">
      <c r="A730" s="32"/>
      <c r="B730" s="32"/>
      <c r="C730" s="37"/>
      <c r="D730" s="38"/>
      <c r="E730" s="39" t="str">
        <f t="shared" si="11"/>
        <v/>
      </c>
      <c r="F730" s="37"/>
      <c r="G730" s="40"/>
      <c r="H730" s="32"/>
    </row>
    <row r="731" spans="1:8" x14ac:dyDescent="0.25">
      <c r="A731" s="32"/>
      <c r="B731" s="32"/>
      <c r="C731" s="37"/>
      <c r="D731" s="38"/>
      <c r="E731" s="39" t="str">
        <f t="shared" si="11"/>
        <v/>
      </c>
      <c r="F731" s="37"/>
      <c r="G731" s="40"/>
      <c r="H731" s="32"/>
    </row>
    <row r="732" spans="1:8" x14ac:dyDescent="0.25">
      <c r="A732" s="32"/>
      <c r="B732" s="32"/>
      <c r="C732" s="37"/>
      <c r="D732" s="38"/>
      <c r="E732" s="39" t="str">
        <f t="shared" si="11"/>
        <v/>
      </c>
      <c r="F732" s="37"/>
      <c r="G732" s="40"/>
      <c r="H732" s="32"/>
    </row>
    <row r="733" spans="1:8" x14ac:dyDescent="0.25">
      <c r="A733" s="32"/>
      <c r="B733" s="32"/>
      <c r="C733" s="37"/>
      <c r="D733" s="38"/>
      <c r="E733" s="39" t="str">
        <f t="shared" si="11"/>
        <v/>
      </c>
      <c r="F733" s="37"/>
      <c r="G733" s="40"/>
      <c r="H733" s="32"/>
    </row>
    <row r="734" spans="1:8" x14ac:dyDescent="0.25">
      <c r="A734" s="32"/>
      <c r="B734" s="32"/>
      <c r="C734" s="37"/>
      <c r="D734" s="38"/>
      <c r="E734" s="39" t="str">
        <f t="shared" si="11"/>
        <v/>
      </c>
      <c r="F734" s="37"/>
      <c r="G734" s="40"/>
      <c r="H734" s="32"/>
    </row>
    <row r="735" spans="1:8" x14ac:dyDescent="0.25">
      <c r="A735" s="32"/>
      <c r="B735" s="32"/>
      <c r="C735" s="37"/>
      <c r="D735" s="38"/>
      <c r="E735" s="39" t="str">
        <f t="shared" si="11"/>
        <v/>
      </c>
      <c r="F735" s="37"/>
      <c r="G735" s="40"/>
      <c r="H735" s="32"/>
    </row>
    <row r="736" spans="1:8" x14ac:dyDescent="0.25">
      <c r="A736" s="32"/>
      <c r="B736" s="32"/>
      <c r="C736" s="37"/>
      <c r="D736" s="38"/>
      <c r="E736" s="39" t="str">
        <f t="shared" si="11"/>
        <v/>
      </c>
      <c r="F736" s="37"/>
      <c r="G736" s="40"/>
      <c r="H736" s="32"/>
    </row>
    <row r="737" spans="1:8" x14ac:dyDescent="0.25">
      <c r="A737" s="32"/>
      <c r="B737" s="32"/>
      <c r="C737" s="37"/>
      <c r="D737" s="38"/>
      <c r="E737" s="39" t="str">
        <f t="shared" si="11"/>
        <v/>
      </c>
      <c r="F737" s="37"/>
      <c r="G737" s="40"/>
      <c r="H737" s="32"/>
    </row>
    <row r="738" spans="1:8" x14ac:dyDescent="0.25">
      <c r="A738" s="32"/>
      <c r="B738" s="32"/>
      <c r="C738" s="37"/>
      <c r="D738" s="38"/>
      <c r="E738" s="39" t="str">
        <f t="shared" si="11"/>
        <v/>
      </c>
      <c r="F738" s="37"/>
      <c r="G738" s="40"/>
      <c r="H738" s="32"/>
    </row>
    <row r="739" spans="1:8" x14ac:dyDescent="0.25">
      <c r="A739" s="32"/>
      <c r="B739" s="32"/>
      <c r="C739" s="37"/>
      <c r="D739" s="38"/>
      <c r="E739" s="39" t="str">
        <f t="shared" si="11"/>
        <v/>
      </c>
      <c r="F739" s="37"/>
      <c r="G739" s="40"/>
      <c r="H739" s="32"/>
    </row>
    <row r="740" spans="1:8" x14ac:dyDescent="0.25">
      <c r="A740" s="32"/>
      <c r="B740" s="32"/>
      <c r="C740" s="37"/>
      <c r="D740" s="38"/>
      <c r="E740" s="39" t="str">
        <f t="shared" si="11"/>
        <v/>
      </c>
      <c r="F740" s="37"/>
      <c r="G740" s="40"/>
      <c r="H740" s="32"/>
    </row>
    <row r="741" spans="1:8" x14ac:dyDescent="0.25">
      <c r="A741" s="32"/>
      <c r="B741" s="32"/>
      <c r="C741" s="37"/>
      <c r="D741" s="38"/>
      <c r="E741" s="39" t="str">
        <f t="shared" si="11"/>
        <v/>
      </c>
      <c r="F741" s="37"/>
      <c r="G741" s="40"/>
      <c r="H741" s="32"/>
    </row>
    <row r="742" spans="1:8" x14ac:dyDescent="0.25">
      <c r="A742" s="32"/>
      <c r="B742" s="32"/>
      <c r="C742" s="37"/>
      <c r="D742" s="38"/>
      <c r="E742" s="39" t="str">
        <f t="shared" si="11"/>
        <v/>
      </c>
      <c r="F742" s="37"/>
      <c r="G742" s="40"/>
      <c r="H742" s="32"/>
    </row>
    <row r="743" spans="1:8" x14ac:dyDescent="0.25">
      <c r="A743" s="32"/>
      <c r="B743" s="32"/>
      <c r="C743" s="37"/>
      <c r="D743" s="38"/>
      <c r="E743" s="39" t="str">
        <f t="shared" si="11"/>
        <v/>
      </c>
      <c r="F743" s="37"/>
      <c r="G743" s="40"/>
      <c r="H743" s="32"/>
    </row>
    <row r="744" spans="1:8" x14ac:dyDescent="0.25">
      <c r="A744" s="32"/>
      <c r="B744" s="32"/>
      <c r="C744" s="37"/>
      <c r="D744" s="38"/>
      <c r="E744" s="39" t="str">
        <f t="shared" si="11"/>
        <v/>
      </c>
      <c r="F744" s="37"/>
      <c r="G744" s="40"/>
      <c r="H744" s="32"/>
    </row>
    <row r="745" spans="1:8" x14ac:dyDescent="0.25">
      <c r="A745" s="32"/>
      <c r="B745" s="32"/>
      <c r="C745" s="37"/>
      <c r="D745" s="38"/>
      <c r="E745" s="39" t="str">
        <f t="shared" si="11"/>
        <v/>
      </c>
      <c r="F745" s="37"/>
      <c r="G745" s="40"/>
      <c r="H745" s="32"/>
    </row>
    <row r="746" spans="1:8" x14ac:dyDescent="0.25">
      <c r="A746" s="32"/>
      <c r="B746" s="32"/>
      <c r="C746" s="37"/>
      <c r="D746" s="38"/>
      <c r="E746" s="39" t="str">
        <f t="shared" si="11"/>
        <v/>
      </c>
      <c r="F746" s="37"/>
      <c r="G746" s="40"/>
      <c r="H746" s="32"/>
    </row>
    <row r="747" spans="1:8" x14ac:dyDescent="0.25">
      <c r="A747" s="32"/>
      <c r="B747" s="32"/>
      <c r="C747" s="37"/>
      <c r="D747" s="38"/>
      <c r="E747" s="39" t="str">
        <f t="shared" si="11"/>
        <v/>
      </c>
      <c r="F747" s="37"/>
      <c r="G747" s="40"/>
      <c r="H747" s="32"/>
    </row>
    <row r="748" spans="1:8" x14ac:dyDescent="0.25">
      <c r="A748" s="32"/>
      <c r="B748" s="32"/>
      <c r="C748" s="37"/>
      <c r="D748" s="38"/>
      <c r="E748" s="39" t="str">
        <f t="shared" si="11"/>
        <v/>
      </c>
      <c r="F748" s="37"/>
      <c r="G748" s="40"/>
      <c r="H748" s="32"/>
    </row>
    <row r="749" spans="1:8" x14ac:dyDescent="0.25">
      <c r="A749" s="32"/>
      <c r="B749" s="32"/>
      <c r="C749" s="37"/>
      <c r="D749" s="38"/>
      <c r="E749" s="39" t="str">
        <f t="shared" si="11"/>
        <v/>
      </c>
      <c r="F749" s="37"/>
      <c r="G749" s="40"/>
      <c r="H749" s="32"/>
    </row>
    <row r="750" spans="1:8" x14ac:dyDescent="0.25">
      <c r="A750" s="32"/>
      <c r="B750" s="32"/>
      <c r="C750" s="37"/>
      <c r="D750" s="38"/>
      <c r="E750" s="39" t="str">
        <f t="shared" si="11"/>
        <v/>
      </c>
      <c r="F750" s="37"/>
      <c r="G750" s="40"/>
      <c r="H750" s="32"/>
    </row>
    <row r="751" spans="1:8" x14ac:dyDescent="0.25">
      <c r="A751" s="32"/>
      <c r="B751" s="32"/>
      <c r="C751" s="37"/>
      <c r="D751" s="38"/>
      <c r="E751" s="39" t="str">
        <f t="shared" si="11"/>
        <v/>
      </c>
      <c r="F751" s="37"/>
      <c r="G751" s="40"/>
      <c r="H751" s="32"/>
    </row>
    <row r="752" spans="1:8" x14ac:dyDescent="0.25">
      <c r="A752" s="32"/>
      <c r="B752" s="32"/>
      <c r="C752" s="37"/>
      <c r="D752" s="38"/>
      <c r="E752" s="39" t="str">
        <f t="shared" si="11"/>
        <v/>
      </c>
      <c r="F752" s="37"/>
      <c r="G752" s="40"/>
      <c r="H752" s="32"/>
    </row>
    <row r="753" spans="1:8" x14ac:dyDescent="0.25">
      <c r="A753" s="32"/>
      <c r="B753" s="32"/>
      <c r="C753" s="37"/>
      <c r="D753" s="38"/>
      <c r="E753" s="39" t="str">
        <f t="shared" si="11"/>
        <v/>
      </c>
      <c r="F753" s="37"/>
      <c r="G753" s="40"/>
      <c r="H753" s="32"/>
    </row>
    <row r="754" spans="1:8" x14ac:dyDescent="0.25">
      <c r="A754" s="32"/>
      <c r="B754" s="32"/>
      <c r="C754" s="37"/>
      <c r="D754" s="38"/>
      <c r="E754" s="39" t="str">
        <f t="shared" si="11"/>
        <v/>
      </c>
      <c r="F754" s="37"/>
      <c r="G754" s="40"/>
      <c r="H754" s="32"/>
    </row>
    <row r="755" spans="1:8" x14ac:dyDescent="0.25">
      <c r="A755" s="32"/>
      <c r="B755" s="32"/>
      <c r="C755" s="37"/>
      <c r="D755" s="38"/>
      <c r="E755" s="39" t="str">
        <f t="shared" si="11"/>
        <v/>
      </c>
      <c r="F755" s="37"/>
      <c r="G755" s="40"/>
      <c r="H755" s="32"/>
    </row>
    <row r="756" spans="1:8" x14ac:dyDescent="0.25">
      <c r="A756" s="32"/>
      <c r="B756" s="32"/>
      <c r="C756" s="37"/>
      <c r="D756" s="38"/>
      <c r="E756" s="39" t="str">
        <f t="shared" si="11"/>
        <v/>
      </c>
      <c r="F756" s="37"/>
      <c r="G756" s="40"/>
      <c r="H756" s="32"/>
    </row>
    <row r="757" spans="1:8" x14ac:dyDescent="0.25">
      <c r="A757" s="32"/>
      <c r="B757" s="32"/>
      <c r="C757" s="37"/>
      <c r="D757" s="38"/>
      <c r="E757" s="39" t="str">
        <f t="shared" si="11"/>
        <v/>
      </c>
      <c r="F757" s="37"/>
      <c r="G757" s="40"/>
      <c r="H757" s="32"/>
    </row>
    <row r="758" spans="1:8" x14ac:dyDescent="0.25">
      <c r="A758" s="32"/>
      <c r="B758" s="32"/>
      <c r="C758" s="37"/>
      <c r="D758" s="38"/>
      <c r="E758" s="39" t="str">
        <f t="shared" si="11"/>
        <v/>
      </c>
      <c r="F758" s="37"/>
      <c r="G758" s="40"/>
      <c r="H758" s="32"/>
    </row>
    <row r="759" spans="1:8" x14ac:dyDescent="0.25">
      <c r="A759" s="32"/>
      <c r="B759" s="32"/>
      <c r="C759" s="37"/>
      <c r="D759" s="38"/>
      <c r="E759" s="39" t="str">
        <f t="shared" si="11"/>
        <v/>
      </c>
      <c r="F759" s="37"/>
      <c r="G759" s="40"/>
      <c r="H759" s="32"/>
    </row>
    <row r="760" spans="1:8" x14ac:dyDescent="0.25">
      <c r="A760" s="32"/>
      <c r="B760" s="32"/>
      <c r="C760" s="37"/>
      <c r="D760" s="38"/>
      <c r="E760" s="39" t="str">
        <f t="shared" si="11"/>
        <v/>
      </c>
      <c r="F760" s="37"/>
      <c r="G760" s="40"/>
      <c r="H760" s="32"/>
    </row>
    <row r="761" spans="1:8" x14ac:dyDescent="0.25">
      <c r="A761" s="32"/>
      <c r="B761" s="32"/>
      <c r="C761" s="37"/>
      <c r="D761" s="38"/>
      <c r="E761" s="39" t="str">
        <f t="shared" si="11"/>
        <v/>
      </c>
      <c r="F761" s="37"/>
      <c r="G761" s="40"/>
      <c r="H761" s="32"/>
    </row>
    <row r="762" spans="1:8" x14ac:dyDescent="0.25">
      <c r="A762" s="32"/>
      <c r="B762" s="32"/>
      <c r="C762" s="37"/>
      <c r="D762" s="38"/>
      <c r="E762" s="39" t="str">
        <f t="shared" si="11"/>
        <v/>
      </c>
      <c r="F762" s="37"/>
      <c r="G762" s="40"/>
      <c r="H762" s="32"/>
    </row>
    <row r="763" spans="1:8" x14ac:dyDescent="0.25">
      <c r="A763" s="32"/>
      <c r="B763" s="32"/>
      <c r="C763" s="37"/>
      <c r="D763" s="38"/>
      <c r="E763" s="39" t="str">
        <f t="shared" si="11"/>
        <v/>
      </c>
      <c r="F763" s="37"/>
      <c r="G763" s="40"/>
      <c r="H763" s="32"/>
    </row>
    <row r="764" spans="1:8" x14ac:dyDescent="0.25">
      <c r="A764" s="32"/>
      <c r="B764" s="32"/>
      <c r="C764" s="37"/>
      <c r="D764" s="38"/>
      <c r="E764" s="39" t="str">
        <f t="shared" si="11"/>
        <v/>
      </c>
      <c r="F764" s="37"/>
      <c r="G764" s="40"/>
      <c r="H764" s="32"/>
    </row>
    <row r="765" spans="1:8" x14ac:dyDescent="0.25">
      <c r="A765" s="32"/>
      <c r="B765" s="32"/>
      <c r="C765" s="37"/>
      <c r="D765" s="38"/>
      <c r="E765" s="39" t="str">
        <f t="shared" si="11"/>
        <v/>
      </c>
      <c r="F765" s="37"/>
      <c r="G765" s="40"/>
      <c r="H765" s="32"/>
    </row>
    <row r="766" spans="1:8" x14ac:dyDescent="0.25">
      <c r="A766" s="32"/>
      <c r="B766" s="32"/>
      <c r="C766" s="37"/>
      <c r="D766" s="38"/>
      <c r="E766" s="39" t="str">
        <f t="shared" si="11"/>
        <v/>
      </c>
      <c r="F766" s="37"/>
      <c r="G766" s="40"/>
      <c r="H766" s="32"/>
    </row>
    <row r="767" spans="1:8" x14ac:dyDescent="0.25">
      <c r="A767" s="32"/>
      <c r="B767" s="32"/>
      <c r="C767" s="37"/>
      <c r="D767" s="38"/>
      <c r="E767" s="39" t="str">
        <f t="shared" si="11"/>
        <v/>
      </c>
      <c r="F767" s="37"/>
      <c r="G767" s="40"/>
      <c r="H767" s="32"/>
    </row>
    <row r="768" spans="1:8" x14ac:dyDescent="0.25">
      <c r="A768" s="32"/>
      <c r="B768" s="32"/>
      <c r="C768" s="37"/>
      <c r="D768" s="38"/>
      <c r="E768" s="39" t="str">
        <f t="shared" si="11"/>
        <v/>
      </c>
      <c r="F768" s="37"/>
      <c r="G768" s="40"/>
      <c r="H768" s="32"/>
    </row>
    <row r="769" spans="1:8" x14ac:dyDescent="0.25">
      <c r="A769" s="32"/>
      <c r="B769" s="32"/>
      <c r="C769" s="37"/>
      <c r="D769" s="38"/>
      <c r="E769" s="39" t="str">
        <f t="shared" si="11"/>
        <v/>
      </c>
      <c r="F769" s="37"/>
      <c r="G769" s="40"/>
      <c r="H769" s="32"/>
    </row>
    <row r="770" spans="1:8" x14ac:dyDescent="0.25">
      <c r="A770" s="32"/>
      <c r="B770" s="32"/>
      <c r="C770" s="37"/>
      <c r="D770" s="38"/>
      <c r="E770" s="39" t="str">
        <f t="shared" si="11"/>
        <v/>
      </c>
      <c r="F770" s="37"/>
      <c r="G770" s="40"/>
      <c r="H770" s="32"/>
    </row>
    <row r="771" spans="1:8" x14ac:dyDescent="0.25">
      <c r="A771" s="32"/>
      <c r="B771" s="32"/>
      <c r="C771" s="37"/>
      <c r="D771" s="38"/>
      <c r="E771" s="39" t="str">
        <f t="shared" si="11"/>
        <v/>
      </c>
      <c r="F771" s="37"/>
      <c r="G771" s="40"/>
      <c r="H771" s="32"/>
    </row>
    <row r="772" spans="1:8" x14ac:dyDescent="0.25">
      <c r="A772" s="32"/>
      <c r="B772" s="32"/>
      <c r="C772" s="37"/>
      <c r="D772" s="38"/>
      <c r="E772" s="39" t="str">
        <f t="shared" si="11"/>
        <v/>
      </c>
      <c r="F772" s="37"/>
      <c r="G772" s="40"/>
      <c r="H772" s="32"/>
    </row>
    <row r="773" spans="1:8" x14ac:dyDescent="0.25">
      <c r="A773" s="32"/>
      <c r="B773" s="32"/>
      <c r="C773" s="37"/>
      <c r="D773" s="38"/>
      <c r="E773" s="39" t="str">
        <f t="shared" ref="E773:E836" si="12">IF(OR(A773="",C773=""),"",C773*(1+D773))</f>
        <v/>
      </c>
      <c r="F773" s="37"/>
      <c r="G773" s="40"/>
      <c r="H773" s="32"/>
    </row>
    <row r="774" spans="1:8" x14ac:dyDescent="0.25">
      <c r="A774" s="32"/>
      <c r="B774" s="32"/>
      <c r="C774" s="37"/>
      <c r="D774" s="38"/>
      <c r="E774" s="39" t="str">
        <f t="shared" si="12"/>
        <v/>
      </c>
      <c r="F774" s="37"/>
      <c r="G774" s="40"/>
      <c r="H774" s="32"/>
    </row>
    <row r="775" spans="1:8" x14ac:dyDescent="0.25">
      <c r="A775" s="32"/>
      <c r="B775" s="32"/>
      <c r="C775" s="37"/>
      <c r="D775" s="38"/>
      <c r="E775" s="39" t="str">
        <f t="shared" si="12"/>
        <v/>
      </c>
      <c r="F775" s="37"/>
      <c r="G775" s="40"/>
      <c r="H775" s="32"/>
    </row>
    <row r="776" spans="1:8" x14ac:dyDescent="0.25">
      <c r="A776" s="32"/>
      <c r="B776" s="32"/>
      <c r="C776" s="37"/>
      <c r="D776" s="38"/>
      <c r="E776" s="39" t="str">
        <f t="shared" si="12"/>
        <v/>
      </c>
      <c r="F776" s="37"/>
      <c r="G776" s="40"/>
      <c r="H776" s="32"/>
    </row>
    <row r="777" spans="1:8" x14ac:dyDescent="0.25">
      <c r="A777" s="32"/>
      <c r="B777" s="32"/>
      <c r="C777" s="37"/>
      <c r="D777" s="38"/>
      <c r="E777" s="39" t="str">
        <f t="shared" si="12"/>
        <v/>
      </c>
      <c r="F777" s="37"/>
      <c r="G777" s="40"/>
      <c r="H777" s="32"/>
    </row>
    <row r="778" spans="1:8" x14ac:dyDescent="0.25">
      <c r="A778" s="32"/>
      <c r="B778" s="32"/>
      <c r="C778" s="37"/>
      <c r="D778" s="38"/>
      <c r="E778" s="39" t="str">
        <f t="shared" si="12"/>
        <v/>
      </c>
      <c r="F778" s="37"/>
      <c r="G778" s="40"/>
      <c r="H778" s="32"/>
    </row>
    <row r="779" spans="1:8" x14ac:dyDescent="0.25">
      <c r="A779" s="32"/>
      <c r="B779" s="32"/>
      <c r="C779" s="37"/>
      <c r="D779" s="38"/>
      <c r="E779" s="39" t="str">
        <f t="shared" si="12"/>
        <v/>
      </c>
      <c r="F779" s="37"/>
      <c r="G779" s="40"/>
      <c r="H779" s="32"/>
    </row>
    <row r="780" spans="1:8" x14ac:dyDescent="0.25">
      <c r="A780" s="32"/>
      <c r="B780" s="32"/>
      <c r="C780" s="37"/>
      <c r="D780" s="38"/>
      <c r="E780" s="39" t="str">
        <f t="shared" si="12"/>
        <v/>
      </c>
      <c r="F780" s="37"/>
      <c r="G780" s="40"/>
      <c r="H780" s="32"/>
    </row>
    <row r="781" spans="1:8" x14ac:dyDescent="0.25">
      <c r="A781" s="32"/>
      <c r="B781" s="32"/>
      <c r="C781" s="37"/>
      <c r="D781" s="38"/>
      <c r="E781" s="39" t="str">
        <f t="shared" si="12"/>
        <v/>
      </c>
      <c r="F781" s="37"/>
      <c r="G781" s="40"/>
      <c r="H781" s="32"/>
    </row>
    <row r="782" spans="1:8" x14ac:dyDescent="0.25">
      <c r="A782" s="32"/>
      <c r="B782" s="32"/>
      <c r="C782" s="37"/>
      <c r="D782" s="38"/>
      <c r="E782" s="39" t="str">
        <f t="shared" si="12"/>
        <v/>
      </c>
      <c r="F782" s="37"/>
      <c r="G782" s="40"/>
      <c r="H782" s="32"/>
    </row>
    <row r="783" spans="1:8" x14ac:dyDescent="0.25">
      <c r="A783" s="32"/>
      <c r="B783" s="32"/>
      <c r="C783" s="37"/>
      <c r="D783" s="38"/>
      <c r="E783" s="39" t="str">
        <f t="shared" si="12"/>
        <v/>
      </c>
      <c r="F783" s="37"/>
      <c r="G783" s="40"/>
      <c r="H783" s="32"/>
    </row>
    <row r="784" spans="1:8" x14ac:dyDescent="0.25">
      <c r="A784" s="32"/>
      <c r="B784" s="32"/>
      <c r="C784" s="37"/>
      <c r="D784" s="38"/>
      <c r="E784" s="39" t="str">
        <f t="shared" si="12"/>
        <v/>
      </c>
      <c r="F784" s="37"/>
      <c r="G784" s="40"/>
      <c r="H784" s="32"/>
    </row>
    <row r="785" spans="1:8" x14ac:dyDescent="0.25">
      <c r="A785" s="32"/>
      <c r="B785" s="32"/>
      <c r="C785" s="37"/>
      <c r="D785" s="38"/>
      <c r="E785" s="39" t="str">
        <f t="shared" si="12"/>
        <v/>
      </c>
      <c r="F785" s="37"/>
      <c r="G785" s="40"/>
      <c r="H785" s="32"/>
    </row>
    <row r="786" spans="1:8" x14ac:dyDescent="0.25">
      <c r="A786" s="32"/>
      <c r="B786" s="32"/>
      <c r="C786" s="37"/>
      <c r="D786" s="38"/>
      <c r="E786" s="39" t="str">
        <f t="shared" si="12"/>
        <v/>
      </c>
      <c r="F786" s="37"/>
      <c r="G786" s="40"/>
      <c r="H786" s="32"/>
    </row>
    <row r="787" spans="1:8" x14ac:dyDescent="0.25">
      <c r="A787" s="32"/>
      <c r="B787" s="32"/>
      <c r="C787" s="37"/>
      <c r="D787" s="38"/>
      <c r="E787" s="39" t="str">
        <f t="shared" si="12"/>
        <v/>
      </c>
      <c r="F787" s="37"/>
      <c r="G787" s="40"/>
      <c r="H787" s="32"/>
    </row>
    <row r="788" spans="1:8" x14ac:dyDescent="0.25">
      <c r="A788" s="32"/>
      <c r="B788" s="32"/>
      <c r="C788" s="37"/>
      <c r="D788" s="38"/>
      <c r="E788" s="39" t="str">
        <f t="shared" si="12"/>
        <v/>
      </c>
      <c r="F788" s="37"/>
      <c r="G788" s="40"/>
      <c r="H788" s="32"/>
    </row>
    <row r="789" spans="1:8" x14ac:dyDescent="0.25">
      <c r="A789" s="32"/>
      <c r="B789" s="32"/>
      <c r="C789" s="37"/>
      <c r="D789" s="38"/>
      <c r="E789" s="39" t="str">
        <f t="shared" si="12"/>
        <v/>
      </c>
      <c r="F789" s="37"/>
      <c r="G789" s="40"/>
      <c r="H789" s="32"/>
    </row>
    <row r="790" spans="1:8" x14ac:dyDescent="0.25">
      <c r="A790" s="32"/>
      <c r="B790" s="32"/>
      <c r="C790" s="37"/>
      <c r="D790" s="38"/>
      <c r="E790" s="39" t="str">
        <f t="shared" si="12"/>
        <v/>
      </c>
      <c r="F790" s="37"/>
      <c r="G790" s="40"/>
      <c r="H790" s="32"/>
    </row>
    <row r="791" spans="1:8" x14ac:dyDescent="0.25">
      <c r="A791" s="32"/>
      <c r="B791" s="32"/>
      <c r="C791" s="37"/>
      <c r="D791" s="38"/>
      <c r="E791" s="39" t="str">
        <f t="shared" si="12"/>
        <v/>
      </c>
      <c r="F791" s="37"/>
      <c r="G791" s="40"/>
      <c r="H791" s="32"/>
    </row>
    <row r="792" spans="1:8" x14ac:dyDescent="0.25">
      <c r="A792" s="32"/>
      <c r="B792" s="32"/>
      <c r="C792" s="37"/>
      <c r="D792" s="38"/>
      <c r="E792" s="39" t="str">
        <f t="shared" si="12"/>
        <v/>
      </c>
      <c r="F792" s="37"/>
      <c r="G792" s="40"/>
      <c r="H792" s="32"/>
    </row>
    <row r="793" spans="1:8" x14ac:dyDescent="0.25">
      <c r="A793" s="32"/>
      <c r="B793" s="32"/>
      <c r="C793" s="37"/>
      <c r="D793" s="38"/>
      <c r="E793" s="39" t="str">
        <f t="shared" si="12"/>
        <v/>
      </c>
      <c r="F793" s="37"/>
      <c r="G793" s="40"/>
      <c r="H793" s="32"/>
    </row>
    <row r="794" spans="1:8" x14ac:dyDescent="0.25">
      <c r="A794" s="32"/>
      <c r="B794" s="32"/>
      <c r="C794" s="37"/>
      <c r="D794" s="38"/>
      <c r="E794" s="39" t="str">
        <f t="shared" si="12"/>
        <v/>
      </c>
      <c r="F794" s="37"/>
      <c r="G794" s="40"/>
      <c r="H794" s="32"/>
    </row>
    <row r="795" spans="1:8" x14ac:dyDescent="0.25">
      <c r="A795" s="32"/>
      <c r="B795" s="32"/>
      <c r="C795" s="37"/>
      <c r="D795" s="38"/>
      <c r="E795" s="39" t="str">
        <f t="shared" si="12"/>
        <v/>
      </c>
      <c r="F795" s="37"/>
      <c r="G795" s="40"/>
      <c r="H795" s="32"/>
    </row>
    <row r="796" spans="1:8" x14ac:dyDescent="0.25">
      <c r="A796" s="32"/>
      <c r="B796" s="32"/>
      <c r="C796" s="37"/>
      <c r="D796" s="38"/>
      <c r="E796" s="39" t="str">
        <f t="shared" si="12"/>
        <v/>
      </c>
      <c r="F796" s="37"/>
      <c r="G796" s="40"/>
      <c r="H796" s="32"/>
    </row>
    <row r="797" spans="1:8" x14ac:dyDescent="0.25">
      <c r="A797" s="32"/>
      <c r="B797" s="32"/>
      <c r="C797" s="37"/>
      <c r="D797" s="38"/>
      <c r="E797" s="39" t="str">
        <f t="shared" si="12"/>
        <v/>
      </c>
      <c r="F797" s="37"/>
      <c r="G797" s="40"/>
      <c r="H797" s="32"/>
    </row>
    <row r="798" spans="1:8" x14ac:dyDescent="0.25">
      <c r="A798" s="32"/>
      <c r="B798" s="32"/>
      <c r="C798" s="37"/>
      <c r="D798" s="38"/>
      <c r="E798" s="39" t="str">
        <f t="shared" si="12"/>
        <v/>
      </c>
      <c r="F798" s="37"/>
      <c r="G798" s="40"/>
      <c r="H798" s="32"/>
    </row>
    <row r="799" spans="1:8" x14ac:dyDescent="0.25">
      <c r="A799" s="32"/>
      <c r="B799" s="32"/>
      <c r="C799" s="37"/>
      <c r="D799" s="38"/>
      <c r="E799" s="39" t="str">
        <f t="shared" si="12"/>
        <v/>
      </c>
      <c r="F799" s="37"/>
      <c r="G799" s="40"/>
      <c r="H799" s="32"/>
    </row>
    <row r="800" spans="1:8" x14ac:dyDescent="0.25">
      <c r="A800" s="32"/>
      <c r="B800" s="32"/>
      <c r="C800" s="37"/>
      <c r="D800" s="38"/>
      <c r="E800" s="39" t="str">
        <f t="shared" si="12"/>
        <v/>
      </c>
      <c r="F800" s="37"/>
      <c r="G800" s="40"/>
      <c r="H800" s="32"/>
    </row>
    <row r="801" spans="1:8" x14ac:dyDescent="0.25">
      <c r="A801" s="32"/>
      <c r="B801" s="32"/>
      <c r="C801" s="37"/>
      <c r="D801" s="38"/>
      <c r="E801" s="39" t="str">
        <f t="shared" si="12"/>
        <v/>
      </c>
      <c r="F801" s="37"/>
      <c r="G801" s="40"/>
      <c r="H801" s="32"/>
    </row>
    <row r="802" spans="1:8" x14ac:dyDescent="0.25">
      <c r="A802" s="32"/>
      <c r="B802" s="32"/>
      <c r="C802" s="37"/>
      <c r="D802" s="38"/>
      <c r="E802" s="39" t="str">
        <f t="shared" si="12"/>
        <v/>
      </c>
      <c r="F802" s="37"/>
      <c r="G802" s="40"/>
      <c r="H802" s="32"/>
    </row>
    <row r="803" spans="1:8" x14ac:dyDescent="0.25">
      <c r="A803" s="32"/>
      <c r="B803" s="32"/>
      <c r="C803" s="37"/>
      <c r="D803" s="38"/>
      <c r="E803" s="39" t="str">
        <f t="shared" si="12"/>
        <v/>
      </c>
      <c r="F803" s="37"/>
      <c r="G803" s="40"/>
      <c r="H803" s="32"/>
    </row>
    <row r="804" spans="1:8" x14ac:dyDescent="0.25">
      <c r="A804" s="32"/>
      <c r="B804" s="32"/>
      <c r="C804" s="37"/>
      <c r="D804" s="38"/>
      <c r="E804" s="39" t="str">
        <f t="shared" si="12"/>
        <v/>
      </c>
      <c r="F804" s="37"/>
      <c r="G804" s="40"/>
      <c r="H804" s="32"/>
    </row>
    <row r="805" spans="1:8" x14ac:dyDescent="0.25">
      <c r="A805" s="32"/>
      <c r="B805" s="32"/>
      <c r="C805" s="37"/>
      <c r="D805" s="38"/>
      <c r="E805" s="39" t="str">
        <f t="shared" si="12"/>
        <v/>
      </c>
      <c r="F805" s="37"/>
      <c r="G805" s="40"/>
      <c r="H805" s="32"/>
    </row>
    <row r="806" spans="1:8" x14ac:dyDescent="0.25">
      <c r="A806" s="32"/>
      <c r="B806" s="32"/>
      <c r="C806" s="37"/>
      <c r="D806" s="38"/>
      <c r="E806" s="39" t="str">
        <f t="shared" si="12"/>
        <v/>
      </c>
      <c r="F806" s="37"/>
      <c r="G806" s="40"/>
      <c r="H806" s="32"/>
    </row>
    <row r="807" spans="1:8" x14ac:dyDescent="0.25">
      <c r="A807" s="32"/>
      <c r="B807" s="32"/>
      <c r="C807" s="37"/>
      <c r="D807" s="38"/>
      <c r="E807" s="39" t="str">
        <f t="shared" si="12"/>
        <v/>
      </c>
      <c r="F807" s="37"/>
      <c r="G807" s="40"/>
      <c r="H807" s="32"/>
    </row>
    <row r="808" spans="1:8" x14ac:dyDescent="0.25">
      <c r="A808" s="32"/>
      <c r="B808" s="32"/>
      <c r="C808" s="37"/>
      <c r="D808" s="38"/>
      <c r="E808" s="39" t="str">
        <f t="shared" si="12"/>
        <v/>
      </c>
      <c r="F808" s="37"/>
      <c r="G808" s="40"/>
      <c r="H808" s="32"/>
    </row>
    <row r="809" spans="1:8" x14ac:dyDescent="0.25">
      <c r="A809" s="32"/>
      <c r="B809" s="32"/>
      <c r="C809" s="37"/>
      <c r="D809" s="38"/>
      <c r="E809" s="39" t="str">
        <f t="shared" si="12"/>
        <v/>
      </c>
      <c r="F809" s="37"/>
      <c r="G809" s="40"/>
      <c r="H809" s="32"/>
    </row>
    <row r="810" spans="1:8" x14ac:dyDescent="0.25">
      <c r="A810" s="32"/>
      <c r="B810" s="32"/>
      <c r="C810" s="37"/>
      <c r="D810" s="38"/>
      <c r="E810" s="39" t="str">
        <f t="shared" si="12"/>
        <v/>
      </c>
      <c r="F810" s="37"/>
      <c r="G810" s="40"/>
      <c r="H810" s="32"/>
    </row>
    <row r="811" spans="1:8" x14ac:dyDescent="0.25">
      <c r="A811" s="32"/>
      <c r="B811" s="32"/>
      <c r="C811" s="37"/>
      <c r="D811" s="38"/>
      <c r="E811" s="39" t="str">
        <f t="shared" si="12"/>
        <v/>
      </c>
      <c r="F811" s="37"/>
      <c r="G811" s="40"/>
      <c r="H811" s="32"/>
    </row>
    <row r="812" spans="1:8" x14ac:dyDescent="0.25">
      <c r="A812" s="32"/>
      <c r="B812" s="32"/>
      <c r="C812" s="37"/>
      <c r="D812" s="38"/>
      <c r="E812" s="39" t="str">
        <f t="shared" si="12"/>
        <v/>
      </c>
      <c r="F812" s="37"/>
      <c r="G812" s="40"/>
      <c r="H812" s="32"/>
    </row>
    <row r="813" spans="1:8" x14ac:dyDescent="0.25">
      <c r="A813" s="32"/>
      <c r="B813" s="32"/>
      <c r="C813" s="37"/>
      <c r="D813" s="38"/>
      <c r="E813" s="39" t="str">
        <f t="shared" si="12"/>
        <v/>
      </c>
      <c r="F813" s="37"/>
      <c r="G813" s="40"/>
      <c r="H813" s="32"/>
    </row>
    <row r="814" spans="1:8" x14ac:dyDescent="0.25">
      <c r="A814" s="32"/>
      <c r="B814" s="32"/>
      <c r="C814" s="37"/>
      <c r="D814" s="38"/>
      <c r="E814" s="39" t="str">
        <f t="shared" si="12"/>
        <v/>
      </c>
      <c r="F814" s="37"/>
      <c r="G814" s="40"/>
      <c r="H814" s="32"/>
    </row>
    <row r="815" spans="1:8" x14ac:dyDescent="0.25">
      <c r="A815" s="32"/>
      <c r="B815" s="32"/>
      <c r="C815" s="37"/>
      <c r="D815" s="38"/>
      <c r="E815" s="39" t="str">
        <f t="shared" si="12"/>
        <v/>
      </c>
      <c r="F815" s="37"/>
      <c r="G815" s="40"/>
      <c r="H815" s="32"/>
    </row>
    <row r="816" spans="1:8" x14ac:dyDescent="0.25">
      <c r="A816" s="32"/>
      <c r="B816" s="32"/>
      <c r="C816" s="37"/>
      <c r="D816" s="38"/>
      <c r="E816" s="39" t="str">
        <f t="shared" si="12"/>
        <v/>
      </c>
      <c r="F816" s="37"/>
      <c r="G816" s="40"/>
      <c r="H816" s="32"/>
    </row>
    <row r="817" spans="1:8" x14ac:dyDescent="0.25">
      <c r="A817" s="32"/>
      <c r="B817" s="32"/>
      <c r="C817" s="37"/>
      <c r="D817" s="38"/>
      <c r="E817" s="39" t="str">
        <f t="shared" si="12"/>
        <v/>
      </c>
      <c r="F817" s="37"/>
      <c r="G817" s="40"/>
      <c r="H817" s="32"/>
    </row>
    <row r="818" spans="1:8" x14ac:dyDescent="0.25">
      <c r="A818" s="32"/>
      <c r="B818" s="32"/>
      <c r="C818" s="37"/>
      <c r="D818" s="38"/>
      <c r="E818" s="39" t="str">
        <f t="shared" si="12"/>
        <v/>
      </c>
      <c r="F818" s="37"/>
      <c r="G818" s="40"/>
      <c r="H818" s="32"/>
    </row>
    <row r="819" spans="1:8" x14ac:dyDescent="0.25">
      <c r="A819" s="32"/>
      <c r="B819" s="32"/>
      <c r="C819" s="37"/>
      <c r="D819" s="38"/>
      <c r="E819" s="39" t="str">
        <f t="shared" si="12"/>
        <v/>
      </c>
      <c r="F819" s="37"/>
      <c r="G819" s="40"/>
      <c r="H819" s="32"/>
    </row>
    <row r="820" spans="1:8" x14ac:dyDescent="0.25">
      <c r="A820" s="32"/>
      <c r="B820" s="32"/>
      <c r="C820" s="37"/>
      <c r="D820" s="38"/>
      <c r="E820" s="39" t="str">
        <f t="shared" si="12"/>
        <v/>
      </c>
      <c r="F820" s="37"/>
      <c r="G820" s="40"/>
      <c r="H820" s="32"/>
    </row>
    <row r="821" spans="1:8" x14ac:dyDescent="0.25">
      <c r="A821" s="32"/>
      <c r="B821" s="32"/>
      <c r="C821" s="37"/>
      <c r="D821" s="38"/>
      <c r="E821" s="39" t="str">
        <f t="shared" si="12"/>
        <v/>
      </c>
      <c r="F821" s="37"/>
      <c r="G821" s="40"/>
      <c r="H821" s="32"/>
    </row>
    <row r="822" spans="1:8" x14ac:dyDescent="0.25">
      <c r="A822" s="32"/>
      <c r="B822" s="32"/>
      <c r="C822" s="37"/>
      <c r="D822" s="38"/>
      <c r="E822" s="39" t="str">
        <f t="shared" si="12"/>
        <v/>
      </c>
      <c r="F822" s="37"/>
      <c r="G822" s="40"/>
      <c r="H822" s="32"/>
    </row>
    <row r="823" spans="1:8" x14ac:dyDescent="0.25">
      <c r="A823" s="32"/>
      <c r="B823" s="32"/>
      <c r="C823" s="37"/>
      <c r="D823" s="38"/>
      <c r="E823" s="39" t="str">
        <f t="shared" si="12"/>
        <v/>
      </c>
      <c r="F823" s="37"/>
      <c r="G823" s="40"/>
      <c r="H823" s="32"/>
    </row>
    <row r="824" spans="1:8" x14ac:dyDescent="0.25">
      <c r="A824" s="32"/>
      <c r="B824" s="32"/>
      <c r="C824" s="37"/>
      <c r="D824" s="38"/>
      <c r="E824" s="39" t="str">
        <f t="shared" si="12"/>
        <v/>
      </c>
      <c r="F824" s="37"/>
      <c r="G824" s="40"/>
      <c r="H824" s="32"/>
    </row>
    <row r="825" spans="1:8" x14ac:dyDescent="0.25">
      <c r="A825" s="32"/>
      <c r="B825" s="32"/>
      <c r="C825" s="37"/>
      <c r="D825" s="38"/>
      <c r="E825" s="39" t="str">
        <f t="shared" si="12"/>
        <v/>
      </c>
      <c r="F825" s="37"/>
      <c r="G825" s="40"/>
      <c r="H825" s="32"/>
    </row>
    <row r="826" spans="1:8" x14ac:dyDescent="0.25">
      <c r="A826" s="32"/>
      <c r="B826" s="32"/>
      <c r="C826" s="37"/>
      <c r="D826" s="38"/>
      <c r="E826" s="39" t="str">
        <f t="shared" si="12"/>
        <v/>
      </c>
      <c r="F826" s="37"/>
      <c r="G826" s="40"/>
      <c r="H826" s="32"/>
    </row>
    <row r="827" spans="1:8" x14ac:dyDescent="0.25">
      <c r="A827" s="32"/>
      <c r="B827" s="32"/>
      <c r="C827" s="37"/>
      <c r="D827" s="38"/>
      <c r="E827" s="39" t="str">
        <f t="shared" si="12"/>
        <v/>
      </c>
      <c r="F827" s="37"/>
      <c r="G827" s="40"/>
      <c r="H827" s="32"/>
    </row>
    <row r="828" spans="1:8" x14ac:dyDescent="0.25">
      <c r="A828" s="32"/>
      <c r="B828" s="32"/>
      <c r="C828" s="37"/>
      <c r="D828" s="38"/>
      <c r="E828" s="39" t="str">
        <f t="shared" si="12"/>
        <v/>
      </c>
      <c r="F828" s="37"/>
      <c r="G828" s="40"/>
      <c r="H828" s="32"/>
    </row>
    <row r="829" spans="1:8" x14ac:dyDescent="0.25">
      <c r="A829" s="32"/>
      <c r="B829" s="32"/>
      <c r="C829" s="37"/>
      <c r="D829" s="38"/>
      <c r="E829" s="39" t="str">
        <f t="shared" si="12"/>
        <v/>
      </c>
      <c r="F829" s="37"/>
      <c r="G829" s="40"/>
      <c r="H829" s="32"/>
    </row>
    <row r="830" spans="1:8" x14ac:dyDescent="0.25">
      <c r="A830" s="32"/>
      <c r="B830" s="32"/>
      <c r="C830" s="37"/>
      <c r="D830" s="38"/>
      <c r="E830" s="39" t="str">
        <f t="shared" si="12"/>
        <v/>
      </c>
      <c r="F830" s="37"/>
      <c r="G830" s="40"/>
      <c r="H830" s="32"/>
    </row>
    <row r="831" spans="1:8" x14ac:dyDescent="0.25">
      <c r="A831" s="32"/>
      <c r="B831" s="32"/>
      <c r="C831" s="37"/>
      <c r="D831" s="38"/>
      <c r="E831" s="39" t="str">
        <f t="shared" si="12"/>
        <v/>
      </c>
      <c r="F831" s="37"/>
      <c r="G831" s="40"/>
      <c r="H831" s="32"/>
    </row>
    <row r="832" spans="1:8" x14ac:dyDescent="0.25">
      <c r="A832" s="32"/>
      <c r="B832" s="32"/>
      <c r="C832" s="37"/>
      <c r="D832" s="38"/>
      <c r="E832" s="39" t="str">
        <f t="shared" si="12"/>
        <v/>
      </c>
      <c r="F832" s="37"/>
      <c r="G832" s="40"/>
      <c r="H832" s="32"/>
    </row>
    <row r="833" spans="1:8" x14ac:dyDescent="0.25">
      <c r="A833" s="32"/>
      <c r="B833" s="32"/>
      <c r="C833" s="37"/>
      <c r="D833" s="38"/>
      <c r="E833" s="39" t="str">
        <f t="shared" si="12"/>
        <v/>
      </c>
      <c r="F833" s="37"/>
      <c r="G833" s="40"/>
      <c r="H833" s="32"/>
    </row>
    <row r="834" spans="1:8" x14ac:dyDescent="0.25">
      <c r="A834" s="32"/>
      <c r="B834" s="32"/>
      <c r="C834" s="37"/>
      <c r="D834" s="38"/>
      <c r="E834" s="39" t="str">
        <f t="shared" si="12"/>
        <v/>
      </c>
      <c r="F834" s="37"/>
      <c r="G834" s="40"/>
      <c r="H834" s="32"/>
    </row>
    <row r="835" spans="1:8" x14ac:dyDescent="0.25">
      <c r="A835" s="32"/>
      <c r="B835" s="32"/>
      <c r="C835" s="37"/>
      <c r="D835" s="38"/>
      <c r="E835" s="39" t="str">
        <f t="shared" si="12"/>
        <v/>
      </c>
      <c r="F835" s="37"/>
      <c r="G835" s="40"/>
      <c r="H835" s="32"/>
    </row>
    <row r="836" spans="1:8" x14ac:dyDescent="0.25">
      <c r="A836" s="32"/>
      <c r="B836" s="32"/>
      <c r="C836" s="37"/>
      <c r="D836" s="38"/>
      <c r="E836" s="39" t="str">
        <f t="shared" si="12"/>
        <v/>
      </c>
      <c r="F836" s="37"/>
      <c r="G836" s="40"/>
      <c r="H836" s="32"/>
    </row>
    <row r="837" spans="1:8" x14ac:dyDescent="0.25">
      <c r="A837" s="32"/>
      <c r="B837" s="32"/>
      <c r="C837" s="37"/>
      <c r="D837" s="38"/>
      <c r="E837" s="39" t="str">
        <f t="shared" ref="E837:E900" si="13">IF(OR(A837="",C837=""),"",C837*(1+D837))</f>
        <v/>
      </c>
      <c r="F837" s="37"/>
      <c r="G837" s="40"/>
      <c r="H837" s="32"/>
    </row>
    <row r="838" spans="1:8" x14ac:dyDescent="0.25">
      <c r="A838" s="32"/>
      <c r="B838" s="32"/>
      <c r="C838" s="37"/>
      <c r="D838" s="38"/>
      <c r="E838" s="39" t="str">
        <f t="shared" si="13"/>
        <v/>
      </c>
      <c r="F838" s="37"/>
      <c r="G838" s="40"/>
      <c r="H838" s="32"/>
    </row>
    <row r="839" spans="1:8" x14ac:dyDescent="0.25">
      <c r="A839" s="32"/>
      <c r="B839" s="32"/>
      <c r="C839" s="37"/>
      <c r="D839" s="38"/>
      <c r="E839" s="39" t="str">
        <f t="shared" si="13"/>
        <v/>
      </c>
      <c r="F839" s="37"/>
      <c r="G839" s="40"/>
      <c r="H839" s="32"/>
    </row>
    <row r="840" spans="1:8" x14ac:dyDescent="0.25">
      <c r="A840" s="32"/>
      <c r="B840" s="32"/>
      <c r="C840" s="37"/>
      <c r="D840" s="38"/>
      <c r="E840" s="39" t="str">
        <f t="shared" si="13"/>
        <v/>
      </c>
      <c r="F840" s="37"/>
      <c r="G840" s="40"/>
      <c r="H840" s="32"/>
    </row>
    <row r="841" spans="1:8" x14ac:dyDescent="0.25">
      <c r="A841" s="32"/>
      <c r="B841" s="32"/>
      <c r="C841" s="37"/>
      <c r="D841" s="38"/>
      <c r="E841" s="39" t="str">
        <f t="shared" si="13"/>
        <v/>
      </c>
      <c r="F841" s="37"/>
      <c r="G841" s="40"/>
      <c r="H841" s="32"/>
    </row>
    <row r="842" spans="1:8" x14ac:dyDescent="0.25">
      <c r="A842" s="32"/>
      <c r="B842" s="32"/>
      <c r="C842" s="37"/>
      <c r="D842" s="38"/>
      <c r="E842" s="39" t="str">
        <f t="shared" si="13"/>
        <v/>
      </c>
      <c r="F842" s="37"/>
      <c r="G842" s="40"/>
      <c r="H842" s="32"/>
    </row>
    <row r="843" spans="1:8" x14ac:dyDescent="0.25">
      <c r="A843" s="32"/>
      <c r="B843" s="32"/>
      <c r="C843" s="37"/>
      <c r="D843" s="38"/>
      <c r="E843" s="39" t="str">
        <f t="shared" si="13"/>
        <v/>
      </c>
      <c r="F843" s="37"/>
      <c r="G843" s="40"/>
      <c r="H843" s="32"/>
    </row>
    <row r="844" spans="1:8" x14ac:dyDescent="0.25">
      <c r="A844" s="32"/>
      <c r="B844" s="32"/>
      <c r="C844" s="37"/>
      <c r="D844" s="38"/>
      <c r="E844" s="39" t="str">
        <f t="shared" si="13"/>
        <v/>
      </c>
      <c r="F844" s="37"/>
      <c r="G844" s="40"/>
      <c r="H844" s="32"/>
    </row>
    <row r="845" spans="1:8" x14ac:dyDescent="0.25">
      <c r="A845" s="32"/>
      <c r="B845" s="32"/>
      <c r="C845" s="37"/>
      <c r="D845" s="38"/>
      <c r="E845" s="39" t="str">
        <f t="shared" si="13"/>
        <v/>
      </c>
      <c r="F845" s="37"/>
      <c r="G845" s="40"/>
      <c r="H845" s="32"/>
    </row>
    <row r="846" spans="1:8" x14ac:dyDescent="0.25">
      <c r="A846" s="32"/>
      <c r="B846" s="32"/>
      <c r="C846" s="37"/>
      <c r="D846" s="38"/>
      <c r="E846" s="39" t="str">
        <f t="shared" si="13"/>
        <v/>
      </c>
      <c r="F846" s="37"/>
      <c r="G846" s="40"/>
      <c r="H846" s="32"/>
    </row>
    <row r="847" spans="1:8" x14ac:dyDescent="0.25">
      <c r="A847" s="32"/>
      <c r="B847" s="32"/>
      <c r="C847" s="37"/>
      <c r="D847" s="38"/>
      <c r="E847" s="39" t="str">
        <f t="shared" si="13"/>
        <v/>
      </c>
      <c r="F847" s="37"/>
      <c r="G847" s="40"/>
      <c r="H847" s="32"/>
    </row>
    <row r="848" spans="1:8" x14ac:dyDescent="0.25">
      <c r="A848" s="32"/>
      <c r="B848" s="32"/>
      <c r="C848" s="37"/>
      <c r="D848" s="38"/>
      <c r="E848" s="39" t="str">
        <f t="shared" si="13"/>
        <v/>
      </c>
      <c r="F848" s="37"/>
      <c r="G848" s="40"/>
      <c r="H848" s="32"/>
    </row>
    <row r="849" spans="1:8" x14ac:dyDescent="0.25">
      <c r="A849" s="32"/>
      <c r="B849" s="32"/>
      <c r="C849" s="37"/>
      <c r="D849" s="38"/>
      <c r="E849" s="39" t="str">
        <f t="shared" si="13"/>
        <v/>
      </c>
      <c r="F849" s="37"/>
      <c r="G849" s="40"/>
      <c r="H849" s="32"/>
    </row>
    <row r="850" spans="1:8" x14ac:dyDescent="0.25">
      <c r="A850" s="32"/>
      <c r="B850" s="32"/>
      <c r="C850" s="37"/>
      <c r="D850" s="38"/>
      <c r="E850" s="39" t="str">
        <f t="shared" si="13"/>
        <v/>
      </c>
      <c r="F850" s="37"/>
      <c r="G850" s="40"/>
      <c r="H850" s="32"/>
    </row>
    <row r="851" spans="1:8" x14ac:dyDescent="0.25">
      <c r="A851" s="32"/>
      <c r="B851" s="32"/>
      <c r="C851" s="37"/>
      <c r="D851" s="38"/>
      <c r="E851" s="39" t="str">
        <f t="shared" si="13"/>
        <v/>
      </c>
      <c r="F851" s="37"/>
      <c r="G851" s="40"/>
      <c r="H851" s="32"/>
    </row>
    <row r="852" spans="1:8" x14ac:dyDescent="0.25">
      <c r="A852" s="32"/>
      <c r="B852" s="32"/>
      <c r="C852" s="37"/>
      <c r="D852" s="38"/>
      <c r="E852" s="39" t="str">
        <f t="shared" si="13"/>
        <v/>
      </c>
      <c r="F852" s="37"/>
      <c r="G852" s="40"/>
      <c r="H852" s="32"/>
    </row>
    <row r="853" spans="1:8" x14ac:dyDescent="0.25">
      <c r="A853" s="32"/>
      <c r="B853" s="32"/>
      <c r="C853" s="37"/>
      <c r="D853" s="38"/>
      <c r="E853" s="39" t="str">
        <f t="shared" si="13"/>
        <v/>
      </c>
      <c r="F853" s="37"/>
      <c r="G853" s="40"/>
      <c r="H853" s="32"/>
    </row>
    <row r="854" spans="1:8" x14ac:dyDescent="0.25">
      <c r="A854" s="32"/>
      <c r="B854" s="32"/>
      <c r="C854" s="37"/>
      <c r="D854" s="38"/>
      <c r="E854" s="39" t="str">
        <f t="shared" si="13"/>
        <v/>
      </c>
      <c r="F854" s="37"/>
      <c r="G854" s="40"/>
      <c r="H854" s="32"/>
    </row>
    <row r="855" spans="1:8" x14ac:dyDescent="0.25">
      <c r="A855" s="32"/>
      <c r="B855" s="32"/>
      <c r="C855" s="37"/>
      <c r="D855" s="38"/>
      <c r="E855" s="39" t="str">
        <f t="shared" si="13"/>
        <v/>
      </c>
      <c r="F855" s="37"/>
      <c r="G855" s="40"/>
      <c r="H855" s="32"/>
    </row>
    <row r="856" spans="1:8" x14ac:dyDescent="0.25">
      <c r="A856" s="32"/>
      <c r="B856" s="32"/>
      <c r="C856" s="37"/>
      <c r="D856" s="38"/>
      <c r="E856" s="39" t="str">
        <f t="shared" si="13"/>
        <v/>
      </c>
      <c r="F856" s="37"/>
      <c r="G856" s="40"/>
      <c r="H856" s="32"/>
    </row>
    <row r="857" spans="1:8" x14ac:dyDescent="0.25">
      <c r="A857" s="32"/>
      <c r="B857" s="32"/>
      <c r="C857" s="37"/>
      <c r="D857" s="38"/>
      <c r="E857" s="39" t="str">
        <f t="shared" si="13"/>
        <v/>
      </c>
      <c r="F857" s="37"/>
      <c r="G857" s="40"/>
      <c r="H857" s="32"/>
    </row>
    <row r="858" spans="1:8" x14ac:dyDescent="0.25">
      <c r="A858" s="32"/>
      <c r="B858" s="32"/>
      <c r="C858" s="37"/>
      <c r="D858" s="38"/>
      <c r="E858" s="39" t="str">
        <f t="shared" si="13"/>
        <v/>
      </c>
      <c r="F858" s="37"/>
      <c r="G858" s="40"/>
      <c r="H858" s="32"/>
    </row>
    <row r="859" spans="1:8" x14ac:dyDescent="0.25">
      <c r="A859" s="32"/>
      <c r="B859" s="32"/>
      <c r="C859" s="37"/>
      <c r="D859" s="38"/>
      <c r="E859" s="39" t="str">
        <f t="shared" si="13"/>
        <v/>
      </c>
      <c r="F859" s="37"/>
      <c r="G859" s="40"/>
      <c r="H859" s="32"/>
    </row>
    <row r="860" spans="1:8" x14ac:dyDescent="0.25">
      <c r="A860" s="32"/>
      <c r="B860" s="32"/>
      <c r="C860" s="37"/>
      <c r="D860" s="38"/>
      <c r="E860" s="39" t="str">
        <f t="shared" si="13"/>
        <v/>
      </c>
      <c r="F860" s="37"/>
      <c r="G860" s="40"/>
      <c r="H860" s="32"/>
    </row>
    <row r="861" spans="1:8" x14ac:dyDescent="0.25">
      <c r="A861" s="32"/>
      <c r="B861" s="32"/>
      <c r="C861" s="37"/>
      <c r="D861" s="38"/>
      <c r="E861" s="39" t="str">
        <f t="shared" si="13"/>
        <v/>
      </c>
      <c r="F861" s="37"/>
      <c r="G861" s="40"/>
      <c r="H861" s="32"/>
    </row>
    <row r="862" spans="1:8" x14ac:dyDescent="0.25">
      <c r="A862" s="32"/>
      <c r="B862" s="32"/>
      <c r="C862" s="37"/>
      <c r="D862" s="38"/>
      <c r="E862" s="39" t="str">
        <f t="shared" si="13"/>
        <v/>
      </c>
      <c r="F862" s="37"/>
      <c r="G862" s="40"/>
      <c r="H862" s="32"/>
    </row>
    <row r="863" spans="1:8" x14ac:dyDescent="0.25">
      <c r="A863" s="32"/>
      <c r="B863" s="32"/>
      <c r="C863" s="37"/>
      <c r="D863" s="38"/>
      <c r="E863" s="39" t="str">
        <f t="shared" si="13"/>
        <v/>
      </c>
      <c r="F863" s="37"/>
      <c r="G863" s="40"/>
      <c r="H863" s="32"/>
    </row>
    <row r="864" spans="1:8" x14ac:dyDescent="0.25">
      <c r="A864" s="32"/>
      <c r="B864" s="32"/>
      <c r="C864" s="37"/>
      <c r="D864" s="38"/>
      <c r="E864" s="39" t="str">
        <f t="shared" si="13"/>
        <v/>
      </c>
      <c r="F864" s="37"/>
      <c r="G864" s="40"/>
      <c r="H864" s="32"/>
    </row>
    <row r="865" spans="1:8" x14ac:dyDescent="0.25">
      <c r="A865" s="32"/>
      <c r="B865" s="32"/>
      <c r="C865" s="37"/>
      <c r="D865" s="38"/>
      <c r="E865" s="39" t="str">
        <f t="shared" si="13"/>
        <v/>
      </c>
      <c r="F865" s="37"/>
      <c r="G865" s="40"/>
      <c r="H865" s="32"/>
    </row>
    <row r="866" spans="1:8" x14ac:dyDescent="0.25">
      <c r="A866" s="32"/>
      <c r="B866" s="32"/>
      <c r="C866" s="37"/>
      <c r="D866" s="38"/>
      <c r="E866" s="39" t="str">
        <f t="shared" si="13"/>
        <v/>
      </c>
      <c r="F866" s="37"/>
      <c r="G866" s="40"/>
      <c r="H866" s="32"/>
    </row>
    <row r="867" spans="1:8" x14ac:dyDescent="0.25">
      <c r="A867" s="32"/>
      <c r="B867" s="32"/>
      <c r="C867" s="37"/>
      <c r="D867" s="38"/>
      <c r="E867" s="39" t="str">
        <f t="shared" si="13"/>
        <v/>
      </c>
      <c r="F867" s="37"/>
      <c r="G867" s="40"/>
      <c r="H867" s="32"/>
    </row>
    <row r="868" spans="1:8" x14ac:dyDescent="0.25">
      <c r="A868" s="32"/>
      <c r="B868" s="32"/>
      <c r="C868" s="37"/>
      <c r="D868" s="38"/>
      <c r="E868" s="39" t="str">
        <f t="shared" si="13"/>
        <v/>
      </c>
      <c r="F868" s="37"/>
      <c r="G868" s="40"/>
      <c r="H868" s="32"/>
    </row>
    <row r="869" spans="1:8" x14ac:dyDescent="0.25">
      <c r="A869" s="32"/>
      <c r="B869" s="32"/>
      <c r="C869" s="37"/>
      <c r="D869" s="38"/>
      <c r="E869" s="39" t="str">
        <f t="shared" si="13"/>
        <v/>
      </c>
      <c r="F869" s="37"/>
      <c r="G869" s="40"/>
      <c r="H869" s="32"/>
    </row>
    <row r="870" spans="1:8" x14ac:dyDescent="0.25">
      <c r="A870" s="32"/>
      <c r="B870" s="32"/>
      <c r="C870" s="37"/>
      <c r="D870" s="38"/>
      <c r="E870" s="39" t="str">
        <f t="shared" si="13"/>
        <v/>
      </c>
      <c r="F870" s="37"/>
      <c r="G870" s="40"/>
      <c r="H870" s="32"/>
    </row>
    <row r="871" spans="1:8" x14ac:dyDescent="0.25">
      <c r="A871" s="32"/>
      <c r="B871" s="32"/>
      <c r="C871" s="37"/>
      <c r="D871" s="38"/>
      <c r="E871" s="39" t="str">
        <f t="shared" si="13"/>
        <v/>
      </c>
      <c r="F871" s="37"/>
      <c r="G871" s="40"/>
      <c r="H871" s="32"/>
    </row>
    <row r="872" spans="1:8" x14ac:dyDescent="0.25">
      <c r="A872" s="32"/>
      <c r="B872" s="32"/>
      <c r="C872" s="37"/>
      <c r="D872" s="38"/>
      <c r="E872" s="39" t="str">
        <f t="shared" si="13"/>
        <v/>
      </c>
      <c r="F872" s="37"/>
      <c r="G872" s="40"/>
      <c r="H872" s="32"/>
    </row>
    <row r="873" spans="1:8" x14ac:dyDescent="0.25">
      <c r="A873" s="32"/>
      <c r="B873" s="32"/>
      <c r="C873" s="37"/>
      <c r="D873" s="38"/>
      <c r="E873" s="39" t="str">
        <f t="shared" si="13"/>
        <v/>
      </c>
      <c r="F873" s="37"/>
      <c r="G873" s="40"/>
      <c r="H873" s="32"/>
    </row>
    <row r="874" spans="1:8" x14ac:dyDescent="0.25">
      <c r="A874" s="32"/>
      <c r="B874" s="32"/>
      <c r="C874" s="37"/>
      <c r="D874" s="38"/>
      <c r="E874" s="39" t="str">
        <f t="shared" si="13"/>
        <v/>
      </c>
      <c r="F874" s="37"/>
      <c r="G874" s="40"/>
      <c r="H874" s="32"/>
    </row>
    <row r="875" spans="1:8" x14ac:dyDescent="0.25">
      <c r="A875" s="32"/>
      <c r="B875" s="32"/>
      <c r="C875" s="37"/>
      <c r="D875" s="38"/>
      <c r="E875" s="39" t="str">
        <f t="shared" si="13"/>
        <v/>
      </c>
      <c r="F875" s="37"/>
      <c r="G875" s="40"/>
      <c r="H875" s="32"/>
    </row>
    <row r="876" spans="1:8" x14ac:dyDescent="0.25">
      <c r="A876" s="32"/>
      <c r="B876" s="32"/>
      <c r="C876" s="37"/>
      <c r="D876" s="38"/>
      <c r="E876" s="39" t="str">
        <f t="shared" si="13"/>
        <v/>
      </c>
      <c r="F876" s="37"/>
      <c r="G876" s="40"/>
      <c r="H876" s="32"/>
    </row>
    <row r="877" spans="1:8" x14ac:dyDescent="0.25">
      <c r="A877" s="32"/>
      <c r="B877" s="32"/>
      <c r="C877" s="37"/>
      <c r="D877" s="38"/>
      <c r="E877" s="39" t="str">
        <f t="shared" si="13"/>
        <v/>
      </c>
      <c r="F877" s="37"/>
      <c r="G877" s="40"/>
      <c r="H877" s="32"/>
    </row>
    <row r="878" spans="1:8" x14ac:dyDescent="0.25">
      <c r="A878" s="32"/>
      <c r="B878" s="32"/>
      <c r="C878" s="37"/>
      <c r="D878" s="38"/>
      <c r="E878" s="39" t="str">
        <f t="shared" si="13"/>
        <v/>
      </c>
      <c r="F878" s="37"/>
      <c r="G878" s="40"/>
      <c r="H878" s="32"/>
    </row>
    <row r="879" spans="1:8" x14ac:dyDescent="0.25">
      <c r="A879" s="32"/>
      <c r="B879" s="32"/>
      <c r="C879" s="37"/>
      <c r="D879" s="38"/>
      <c r="E879" s="39" t="str">
        <f t="shared" si="13"/>
        <v/>
      </c>
      <c r="F879" s="37"/>
      <c r="G879" s="40"/>
      <c r="H879" s="32"/>
    </row>
    <row r="880" spans="1:8" x14ac:dyDescent="0.25">
      <c r="A880" s="32"/>
      <c r="B880" s="32"/>
      <c r="C880" s="37"/>
      <c r="D880" s="38"/>
      <c r="E880" s="39" t="str">
        <f t="shared" si="13"/>
        <v/>
      </c>
      <c r="F880" s="37"/>
      <c r="G880" s="40"/>
      <c r="H880" s="32"/>
    </row>
    <row r="881" spans="1:8" x14ac:dyDescent="0.25">
      <c r="A881" s="32"/>
      <c r="B881" s="32"/>
      <c r="C881" s="37"/>
      <c r="D881" s="38"/>
      <c r="E881" s="39" t="str">
        <f t="shared" si="13"/>
        <v/>
      </c>
      <c r="F881" s="37"/>
      <c r="G881" s="40"/>
      <c r="H881" s="32"/>
    </row>
    <row r="882" spans="1:8" x14ac:dyDescent="0.25">
      <c r="A882" s="32"/>
      <c r="B882" s="32"/>
      <c r="C882" s="37"/>
      <c r="D882" s="38"/>
      <c r="E882" s="39" t="str">
        <f t="shared" si="13"/>
        <v/>
      </c>
      <c r="F882" s="37"/>
      <c r="G882" s="40"/>
      <c r="H882" s="32"/>
    </row>
    <row r="883" spans="1:8" x14ac:dyDescent="0.25">
      <c r="A883" s="32"/>
      <c r="B883" s="32"/>
      <c r="C883" s="37"/>
      <c r="D883" s="38"/>
      <c r="E883" s="39" t="str">
        <f t="shared" si="13"/>
        <v/>
      </c>
      <c r="F883" s="37"/>
      <c r="G883" s="40"/>
      <c r="H883" s="32"/>
    </row>
    <row r="884" spans="1:8" x14ac:dyDescent="0.25">
      <c r="A884" s="32"/>
      <c r="B884" s="32"/>
      <c r="C884" s="37"/>
      <c r="D884" s="38"/>
      <c r="E884" s="39" t="str">
        <f t="shared" si="13"/>
        <v/>
      </c>
      <c r="F884" s="37"/>
      <c r="G884" s="40"/>
      <c r="H884" s="32"/>
    </row>
    <row r="885" spans="1:8" x14ac:dyDescent="0.25">
      <c r="A885" s="32"/>
      <c r="B885" s="32"/>
      <c r="C885" s="37"/>
      <c r="D885" s="38"/>
      <c r="E885" s="39" t="str">
        <f t="shared" si="13"/>
        <v/>
      </c>
      <c r="F885" s="37"/>
      <c r="G885" s="40"/>
      <c r="H885" s="32"/>
    </row>
    <row r="886" spans="1:8" x14ac:dyDescent="0.25">
      <c r="A886" s="32"/>
      <c r="B886" s="32"/>
      <c r="C886" s="37"/>
      <c r="D886" s="38"/>
      <c r="E886" s="39" t="str">
        <f t="shared" si="13"/>
        <v/>
      </c>
      <c r="F886" s="37"/>
      <c r="G886" s="40"/>
      <c r="H886" s="32"/>
    </row>
    <row r="887" spans="1:8" x14ac:dyDescent="0.25">
      <c r="A887" s="32"/>
      <c r="B887" s="32"/>
      <c r="C887" s="37"/>
      <c r="D887" s="38"/>
      <c r="E887" s="39" t="str">
        <f t="shared" si="13"/>
        <v/>
      </c>
      <c r="F887" s="37"/>
      <c r="G887" s="40"/>
      <c r="H887" s="32"/>
    </row>
    <row r="888" spans="1:8" x14ac:dyDescent="0.25">
      <c r="A888" s="32"/>
      <c r="B888" s="32"/>
      <c r="C888" s="37"/>
      <c r="D888" s="38"/>
      <c r="E888" s="39" t="str">
        <f t="shared" si="13"/>
        <v/>
      </c>
      <c r="F888" s="37"/>
      <c r="G888" s="40"/>
      <c r="H888" s="32"/>
    </row>
    <row r="889" spans="1:8" x14ac:dyDescent="0.25">
      <c r="A889" s="32"/>
      <c r="B889" s="32"/>
      <c r="C889" s="37"/>
      <c r="D889" s="38"/>
      <c r="E889" s="39" t="str">
        <f t="shared" si="13"/>
        <v/>
      </c>
      <c r="F889" s="37"/>
      <c r="G889" s="40"/>
      <c r="H889" s="32"/>
    </row>
    <row r="890" spans="1:8" x14ac:dyDescent="0.25">
      <c r="A890" s="32"/>
      <c r="B890" s="32"/>
      <c r="C890" s="37"/>
      <c r="D890" s="38"/>
      <c r="E890" s="39" t="str">
        <f t="shared" si="13"/>
        <v/>
      </c>
      <c r="F890" s="37"/>
      <c r="G890" s="40"/>
      <c r="H890" s="32"/>
    </row>
    <row r="891" spans="1:8" x14ac:dyDescent="0.25">
      <c r="A891" s="32"/>
      <c r="B891" s="32"/>
      <c r="C891" s="37"/>
      <c r="D891" s="38"/>
      <c r="E891" s="39" t="str">
        <f t="shared" si="13"/>
        <v/>
      </c>
      <c r="F891" s="37"/>
      <c r="G891" s="40"/>
      <c r="H891" s="32"/>
    </row>
    <row r="892" spans="1:8" x14ac:dyDescent="0.25">
      <c r="A892" s="32"/>
      <c r="B892" s="32"/>
      <c r="C892" s="37"/>
      <c r="D892" s="38"/>
      <c r="E892" s="39" t="str">
        <f t="shared" si="13"/>
        <v/>
      </c>
      <c r="F892" s="37"/>
      <c r="G892" s="40"/>
      <c r="H892" s="32"/>
    </row>
    <row r="893" spans="1:8" x14ac:dyDescent="0.25">
      <c r="A893" s="32"/>
      <c r="B893" s="32"/>
      <c r="C893" s="37"/>
      <c r="D893" s="38"/>
      <c r="E893" s="39" t="str">
        <f t="shared" si="13"/>
        <v/>
      </c>
      <c r="F893" s="37"/>
      <c r="G893" s="40"/>
      <c r="H893" s="32"/>
    </row>
    <row r="894" spans="1:8" x14ac:dyDescent="0.25">
      <c r="A894" s="32"/>
      <c r="B894" s="32"/>
      <c r="C894" s="37"/>
      <c r="D894" s="38"/>
      <c r="E894" s="39" t="str">
        <f t="shared" si="13"/>
        <v/>
      </c>
      <c r="F894" s="37"/>
      <c r="G894" s="40"/>
      <c r="H894" s="32"/>
    </row>
    <row r="895" spans="1:8" x14ac:dyDescent="0.25">
      <c r="A895" s="32"/>
      <c r="B895" s="32"/>
      <c r="C895" s="37"/>
      <c r="D895" s="38"/>
      <c r="E895" s="39" t="str">
        <f t="shared" si="13"/>
        <v/>
      </c>
      <c r="F895" s="37"/>
      <c r="G895" s="40"/>
      <c r="H895" s="32"/>
    </row>
    <row r="896" spans="1:8" x14ac:dyDescent="0.25">
      <c r="A896" s="32"/>
      <c r="B896" s="32"/>
      <c r="C896" s="37"/>
      <c r="D896" s="38"/>
      <c r="E896" s="39" t="str">
        <f t="shared" si="13"/>
        <v/>
      </c>
      <c r="F896" s="37"/>
      <c r="G896" s="40"/>
      <c r="H896" s="32"/>
    </row>
    <row r="897" spans="1:8" x14ac:dyDescent="0.25">
      <c r="A897" s="32"/>
      <c r="B897" s="32"/>
      <c r="C897" s="37"/>
      <c r="D897" s="38"/>
      <c r="E897" s="39" t="str">
        <f t="shared" si="13"/>
        <v/>
      </c>
      <c r="F897" s="37"/>
      <c r="G897" s="40"/>
      <c r="H897" s="32"/>
    </row>
    <row r="898" spans="1:8" x14ac:dyDescent="0.25">
      <c r="A898" s="32"/>
      <c r="B898" s="32"/>
      <c r="C898" s="37"/>
      <c r="D898" s="38"/>
      <c r="E898" s="39" t="str">
        <f t="shared" si="13"/>
        <v/>
      </c>
      <c r="F898" s="37"/>
      <c r="G898" s="40"/>
      <c r="H898" s="32"/>
    </row>
    <row r="899" spans="1:8" x14ac:dyDescent="0.25">
      <c r="A899" s="32"/>
      <c r="B899" s="32"/>
      <c r="C899" s="37"/>
      <c r="D899" s="38"/>
      <c r="E899" s="39" t="str">
        <f t="shared" si="13"/>
        <v/>
      </c>
      <c r="F899" s="37"/>
      <c r="G899" s="40"/>
      <c r="H899" s="32"/>
    </row>
    <row r="900" spans="1:8" x14ac:dyDescent="0.25">
      <c r="A900" s="32"/>
      <c r="B900" s="32"/>
      <c r="C900" s="37"/>
      <c r="D900" s="38"/>
      <c r="E900" s="39" t="str">
        <f t="shared" si="13"/>
        <v/>
      </c>
      <c r="F900" s="37"/>
      <c r="G900" s="40"/>
      <c r="H900" s="32"/>
    </row>
    <row r="901" spans="1:8" x14ac:dyDescent="0.25">
      <c r="A901" s="32"/>
      <c r="B901" s="32"/>
      <c r="C901" s="37"/>
      <c r="D901" s="38"/>
      <c r="E901" s="39" t="str">
        <f t="shared" ref="E901:E964" si="14">IF(OR(A901="",C901=""),"",C901*(1+D901))</f>
        <v/>
      </c>
      <c r="F901" s="37"/>
      <c r="G901" s="40"/>
      <c r="H901" s="32"/>
    </row>
    <row r="902" spans="1:8" x14ac:dyDescent="0.25">
      <c r="A902" s="32"/>
      <c r="B902" s="32"/>
      <c r="C902" s="37"/>
      <c r="D902" s="38"/>
      <c r="E902" s="39" t="str">
        <f t="shared" si="14"/>
        <v/>
      </c>
      <c r="F902" s="37"/>
      <c r="G902" s="40"/>
      <c r="H902" s="32"/>
    </row>
    <row r="903" spans="1:8" x14ac:dyDescent="0.25">
      <c r="A903" s="32"/>
      <c r="B903" s="32"/>
      <c r="C903" s="37"/>
      <c r="D903" s="38"/>
      <c r="E903" s="39" t="str">
        <f t="shared" si="14"/>
        <v/>
      </c>
      <c r="F903" s="37"/>
      <c r="G903" s="40"/>
      <c r="H903" s="32"/>
    </row>
    <row r="904" spans="1:8" x14ac:dyDescent="0.25">
      <c r="A904" s="32"/>
      <c r="B904" s="32"/>
      <c r="C904" s="37"/>
      <c r="D904" s="38"/>
      <c r="E904" s="39" t="str">
        <f t="shared" si="14"/>
        <v/>
      </c>
      <c r="F904" s="37"/>
      <c r="G904" s="40"/>
      <c r="H904" s="32"/>
    </row>
    <row r="905" spans="1:8" x14ac:dyDescent="0.25">
      <c r="A905" s="32"/>
      <c r="B905" s="32"/>
      <c r="C905" s="37"/>
      <c r="D905" s="38"/>
      <c r="E905" s="39" t="str">
        <f t="shared" si="14"/>
        <v/>
      </c>
      <c r="F905" s="37"/>
      <c r="G905" s="40"/>
      <c r="H905" s="32"/>
    </row>
    <row r="906" spans="1:8" x14ac:dyDescent="0.25">
      <c r="A906" s="32"/>
      <c r="B906" s="32"/>
      <c r="C906" s="37"/>
      <c r="D906" s="38"/>
      <c r="E906" s="39" t="str">
        <f t="shared" si="14"/>
        <v/>
      </c>
      <c r="F906" s="37"/>
      <c r="G906" s="40"/>
      <c r="H906" s="32"/>
    </row>
    <row r="907" spans="1:8" x14ac:dyDescent="0.25">
      <c r="A907" s="32"/>
      <c r="B907" s="32"/>
      <c r="C907" s="37"/>
      <c r="D907" s="38"/>
      <c r="E907" s="39" t="str">
        <f t="shared" si="14"/>
        <v/>
      </c>
      <c r="F907" s="37"/>
      <c r="G907" s="40"/>
      <c r="H907" s="32"/>
    </row>
    <row r="908" spans="1:8" x14ac:dyDescent="0.25">
      <c r="A908" s="32"/>
      <c r="B908" s="32"/>
      <c r="C908" s="37"/>
      <c r="D908" s="38"/>
      <c r="E908" s="39" t="str">
        <f t="shared" si="14"/>
        <v/>
      </c>
      <c r="F908" s="37"/>
      <c r="G908" s="40"/>
      <c r="H908" s="32"/>
    </row>
    <row r="909" spans="1:8" x14ac:dyDescent="0.25">
      <c r="A909" s="32"/>
      <c r="B909" s="32"/>
      <c r="C909" s="37"/>
      <c r="D909" s="38"/>
      <c r="E909" s="39" t="str">
        <f t="shared" si="14"/>
        <v/>
      </c>
      <c r="F909" s="37"/>
      <c r="G909" s="40"/>
      <c r="H909" s="32"/>
    </row>
    <row r="910" spans="1:8" x14ac:dyDescent="0.25">
      <c r="A910" s="32"/>
      <c r="B910" s="32"/>
      <c r="C910" s="37"/>
      <c r="D910" s="38"/>
      <c r="E910" s="39" t="str">
        <f t="shared" si="14"/>
        <v/>
      </c>
      <c r="F910" s="37"/>
      <c r="G910" s="40"/>
      <c r="H910" s="32"/>
    </row>
    <row r="911" spans="1:8" x14ac:dyDescent="0.25">
      <c r="A911" s="32"/>
      <c r="B911" s="32"/>
      <c r="C911" s="37"/>
      <c r="D911" s="38"/>
      <c r="E911" s="39" t="str">
        <f t="shared" si="14"/>
        <v/>
      </c>
      <c r="F911" s="37"/>
      <c r="G911" s="40"/>
      <c r="H911" s="32"/>
    </row>
    <row r="912" spans="1:8" x14ac:dyDescent="0.25">
      <c r="A912" s="32"/>
      <c r="B912" s="32"/>
      <c r="C912" s="37"/>
      <c r="D912" s="38"/>
      <c r="E912" s="39" t="str">
        <f t="shared" si="14"/>
        <v/>
      </c>
      <c r="F912" s="37"/>
      <c r="G912" s="40"/>
      <c r="H912" s="32"/>
    </row>
    <row r="913" spans="1:8" x14ac:dyDescent="0.25">
      <c r="A913" s="32"/>
      <c r="B913" s="32"/>
      <c r="C913" s="37"/>
      <c r="D913" s="38"/>
      <c r="E913" s="39" t="str">
        <f t="shared" si="14"/>
        <v/>
      </c>
      <c r="F913" s="37"/>
      <c r="G913" s="40"/>
      <c r="H913" s="32"/>
    </row>
    <row r="914" spans="1:8" x14ac:dyDescent="0.25">
      <c r="A914" s="32"/>
      <c r="B914" s="32"/>
      <c r="C914" s="37"/>
      <c r="D914" s="38"/>
      <c r="E914" s="39" t="str">
        <f t="shared" si="14"/>
        <v/>
      </c>
      <c r="F914" s="37"/>
      <c r="G914" s="40"/>
      <c r="H914" s="32"/>
    </row>
    <row r="915" spans="1:8" x14ac:dyDescent="0.25">
      <c r="A915" s="32"/>
      <c r="B915" s="32"/>
      <c r="C915" s="37"/>
      <c r="D915" s="38"/>
      <c r="E915" s="39" t="str">
        <f t="shared" si="14"/>
        <v/>
      </c>
      <c r="F915" s="37"/>
      <c r="G915" s="40"/>
      <c r="H915" s="32"/>
    </row>
    <row r="916" spans="1:8" x14ac:dyDescent="0.25">
      <c r="A916" s="32"/>
      <c r="B916" s="32"/>
      <c r="C916" s="37"/>
      <c r="D916" s="38"/>
      <c r="E916" s="39" t="str">
        <f t="shared" si="14"/>
        <v/>
      </c>
      <c r="F916" s="37"/>
      <c r="G916" s="40"/>
      <c r="H916" s="32"/>
    </row>
    <row r="917" spans="1:8" x14ac:dyDescent="0.25">
      <c r="A917" s="32"/>
      <c r="B917" s="32"/>
      <c r="C917" s="37"/>
      <c r="D917" s="38"/>
      <c r="E917" s="39" t="str">
        <f t="shared" si="14"/>
        <v/>
      </c>
      <c r="F917" s="37"/>
      <c r="G917" s="40"/>
      <c r="H917" s="32"/>
    </row>
    <row r="918" spans="1:8" x14ac:dyDescent="0.25">
      <c r="A918" s="32"/>
      <c r="B918" s="32"/>
      <c r="C918" s="37"/>
      <c r="D918" s="38"/>
      <c r="E918" s="39" t="str">
        <f t="shared" si="14"/>
        <v/>
      </c>
      <c r="F918" s="37"/>
      <c r="G918" s="40"/>
      <c r="H918" s="32"/>
    </row>
    <row r="919" spans="1:8" x14ac:dyDescent="0.25">
      <c r="A919" s="32"/>
      <c r="B919" s="32"/>
      <c r="C919" s="37"/>
      <c r="D919" s="38"/>
      <c r="E919" s="39" t="str">
        <f t="shared" si="14"/>
        <v/>
      </c>
      <c r="F919" s="37"/>
      <c r="G919" s="40"/>
      <c r="H919" s="32"/>
    </row>
    <row r="920" spans="1:8" x14ac:dyDescent="0.25">
      <c r="A920" s="32"/>
      <c r="B920" s="32"/>
      <c r="C920" s="37"/>
      <c r="D920" s="38"/>
      <c r="E920" s="39" t="str">
        <f t="shared" si="14"/>
        <v/>
      </c>
      <c r="F920" s="37"/>
      <c r="G920" s="40"/>
      <c r="H920" s="32"/>
    </row>
    <row r="921" spans="1:8" x14ac:dyDescent="0.25">
      <c r="A921" s="32"/>
      <c r="B921" s="32"/>
      <c r="C921" s="37"/>
      <c r="D921" s="38"/>
      <c r="E921" s="39" t="str">
        <f t="shared" si="14"/>
        <v/>
      </c>
      <c r="F921" s="37"/>
      <c r="G921" s="40"/>
      <c r="H921" s="32"/>
    </row>
    <row r="922" spans="1:8" x14ac:dyDescent="0.25">
      <c r="A922" s="32"/>
      <c r="B922" s="32"/>
      <c r="C922" s="37"/>
      <c r="D922" s="38"/>
      <c r="E922" s="39" t="str">
        <f t="shared" si="14"/>
        <v/>
      </c>
      <c r="F922" s="37"/>
      <c r="G922" s="40"/>
      <c r="H922" s="32"/>
    </row>
    <row r="923" spans="1:8" x14ac:dyDescent="0.25">
      <c r="A923" s="32"/>
      <c r="B923" s="32"/>
      <c r="C923" s="37"/>
      <c r="D923" s="38"/>
      <c r="E923" s="39" t="str">
        <f t="shared" si="14"/>
        <v/>
      </c>
      <c r="F923" s="37"/>
      <c r="G923" s="40"/>
      <c r="H923" s="32"/>
    </row>
    <row r="924" spans="1:8" x14ac:dyDescent="0.25">
      <c r="A924" s="32"/>
      <c r="B924" s="32"/>
      <c r="C924" s="37"/>
      <c r="D924" s="38"/>
      <c r="E924" s="39" t="str">
        <f t="shared" si="14"/>
        <v/>
      </c>
      <c r="F924" s="37"/>
      <c r="G924" s="40"/>
      <c r="H924" s="32"/>
    </row>
    <row r="925" spans="1:8" x14ac:dyDescent="0.25">
      <c r="A925" s="32"/>
      <c r="B925" s="32"/>
      <c r="C925" s="37"/>
      <c r="D925" s="38"/>
      <c r="E925" s="39" t="str">
        <f t="shared" si="14"/>
        <v/>
      </c>
      <c r="F925" s="37"/>
      <c r="G925" s="40"/>
      <c r="H925" s="32"/>
    </row>
    <row r="926" spans="1:8" x14ac:dyDescent="0.25">
      <c r="A926" s="32"/>
      <c r="B926" s="32"/>
      <c r="C926" s="37"/>
      <c r="D926" s="38"/>
      <c r="E926" s="39" t="str">
        <f t="shared" si="14"/>
        <v/>
      </c>
      <c r="F926" s="37"/>
      <c r="G926" s="40"/>
      <c r="H926" s="32"/>
    </row>
    <row r="927" spans="1:8" x14ac:dyDescent="0.25">
      <c r="A927" s="32"/>
      <c r="B927" s="32"/>
      <c r="C927" s="37"/>
      <c r="D927" s="38"/>
      <c r="E927" s="39" t="str">
        <f t="shared" si="14"/>
        <v/>
      </c>
      <c r="F927" s="37"/>
      <c r="G927" s="40"/>
      <c r="H927" s="32"/>
    </row>
    <row r="928" spans="1:8" x14ac:dyDescent="0.25">
      <c r="A928" s="32"/>
      <c r="B928" s="32"/>
      <c r="C928" s="37"/>
      <c r="D928" s="38"/>
      <c r="E928" s="39" t="str">
        <f t="shared" si="14"/>
        <v/>
      </c>
      <c r="F928" s="37"/>
      <c r="G928" s="40"/>
      <c r="H928" s="32"/>
    </row>
    <row r="929" spans="1:8" x14ac:dyDescent="0.25">
      <c r="A929" s="32"/>
      <c r="B929" s="32"/>
      <c r="C929" s="37"/>
      <c r="D929" s="38"/>
      <c r="E929" s="39" t="str">
        <f t="shared" si="14"/>
        <v/>
      </c>
      <c r="F929" s="37"/>
      <c r="G929" s="40"/>
      <c r="H929" s="32"/>
    </row>
    <row r="930" spans="1:8" x14ac:dyDescent="0.25">
      <c r="A930" s="32"/>
      <c r="B930" s="32"/>
      <c r="C930" s="37"/>
      <c r="D930" s="38"/>
      <c r="E930" s="39" t="str">
        <f t="shared" si="14"/>
        <v/>
      </c>
      <c r="F930" s="37"/>
      <c r="G930" s="40"/>
      <c r="H930" s="32"/>
    </row>
    <row r="931" spans="1:8" x14ac:dyDescent="0.25">
      <c r="A931" s="32"/>
      <c r="B931" s="32"/>
      <c r="C931" s="37"/>
      <c r="D931" s="38"/>
      <c r="E931" s="39" t="str">
        <f t="shared" si="14"/>
        <v/>
      </c>
      <c r="F931" s="37"/>
      <c r="G931" s="40"/>
      <c r="H931" s="32"/>
    </row>
    <row r="932" spans="1:8" x14ac:dyDescent="0.25">
      <c r="A932" s="32"/>
      <c r="B932" s="32"/>
      <c r="C932" s="37"/>
      <c r="D932" s="38"/>
      <c r="E932" s="39" t="str">
        <f t="shared" si="14"/>
        <v/>
      </c>
      <c r="F932" s="37"/>
      <c r="G932" s="40"/>
      <c r="H932" s="32"/>
    </row>
    <row r="933" spans="1:8" x14ac:dyDescent="0.25">
      <c r="A933" s="32"/>
      <c r="B933" s="32"/>
      <c r="C933" s="37"/>
      <c r="D933" s="38"/>
      <c r="E933" s="39" t="str">
        <f t="shared" si="14"/>
        <v/>
      </c>
      <c r="F933" s="37"/>
      <c r="G933" s="40"/>
      <c r="H933" s="32"/>
    </row>
    <row r="934" spans="1:8" x14ac:dyDescent="0.25">
      <c r="A934" s="32"/>
      <c r="B934" s="32"/>
      <c r="C934" s="37"/>
      <c r="D934" s="38"/>
      <c r="E934" s="39" t="str">
        <f t="shared" si="14"/>
        <v/>
      </c>
      <c r="F934" s="37"/>
      <c r="G934" s="40"/>
      <c r="H934" s="32"/>
    </row>
    <row r="935" spans="1:8" x14ac:dyDescent="0.25">
      <c r="A935" s="32"/>
      <c r="B935" s="32"/>
      <c r="C935" s="37"/>
      <c r="D935" s="38"/>
      <c r="E935" s="39" t="str">
        <f t="shared" si="14"/>
        <v/>
      </c>
      <c r="F935" s="37"/>
      <c r="G935" s="40"/>
      <c r="H935" s="32"/>
    </row>
    <row r="936" spans="1:8" x14ac:dyDescent="0.25">
      <c r="A936" s="32"/>
      <c r="B936" s="32"/>
      <c r="C936" s="37"/>
      <c r="D936" s="38"/>
      <c r="E936" s="39" t="str">
        <f t="shared" si="14"/>
        <v/>
      </c>
      <c r="F936" s="37"/>
      <c r="G936" s="40"/>
      <c r="H936" s="32"/>
    </row>
    <row r="937" spans="1:8" x14ac:dyDescent="0.25">
      <c r="A937" s="32"/>
      <c r="B937" s="32"/>
      <c r="C937" s="37"/>
      <c r="D937" s="38"/>
      <c r="E937" s="39" t="str">
        <f t="shared" si="14"/>
        <v/>
      </c>
      <c r="F937" s="37"/>
      <c r="G937" s="40"/>
      <c r="H937" s="32"/>
    </row>
    <row r="938" spans="1:8" x14ac:dyDescent="0.25">
      <c r="A938" s="32"/>
      <c r="B938" s="32"/>
      <c r="C938" s="37"/>
      <c r="D938" s="38"/>
      <c r="E938" s="39" t="str">
        <f t="shared" si="14"/>
        <v/>
      </c>
      <c r="F938" s="37"/>
      <c r="G938" s="40"/>
      <c r="H938" s="32"/>
    </row>
    <row r="939" spans="1:8" x14ac:dyDescent="0.25">
      <c r="A939" s="32"/>
      <c r="B939" s="32"/>
      <c r="C939" s="37"/>
      <c r="D939" s="38"/>
      <c r="E939" s="39" t="str">
        <f t="shared" si="14"/>
        <v/>
      </c>
      <c r="F939" s="37"/>
      <c r="G939" s="40"/>
      <c r="H939" s="32"/>
    </row>
    <row r="940" spans="1:8" x14ac:dyDescent="0.25">
      <c r="A940" s="32"/>
      <c r="B940" s="32"/>
      <c r="C940" s="37"/>
      <c r="D940" s="38"/>
      <c r="E940" s="39" t="str">
        <f t="shared" si="14"/>
        <v/>
      </c>
      <c r="F940" s="37"/>
      <c r="G940" s="40"/>
      <c r="H940" s="32"/>
    </row>
    <row r="941" spans="1:8" x14ac:dyDescent="0.25">
      <c r="A941" s="32"/>
      <c r="B941" s="32"/>
      <c r="C941" s="37"/>
      <c r="D941" s="38"/>
      <c r="E941" s="39" t="str">
        <f t="shared" si="14"/>
        <v/>
      </c>
      <c r="F941" s="37"/>
      <c r="G941" s="40"/>
      <c r="H941" s="32"/>
    </row>
    <row r="942" spans="1:8" x14ac:dyDescent="0.25">
      <c r="A942" s="32"/>
      <c r="B942" s="32"/>
      <c r="C942" s="37"/>
      <c r="D942" s="38"/>
      <c r="E942" s="39" t="str">
        <f t="shared" si="14"/>
        <v/>
      </c>
      <c r="F942" s="37"/>
      <c r="G942" s="40"/>
      <c r="H942" s="32"/>
    </row>
    <row r="943" spans="1:8" x14ac:dyDescent="0.25">
      <c r="A943" s="32"/>
      <c r="B943" s="32"/>
      <c r="C943" s="37"/>
      <c r="D943" s="38"/>
      <c r="E943" s="39" t="str">
        <f t="shared" si="14"/>
        <v/>
      </c>
      <c r="F943" s="37"/>
      <c r="G943" s="40"/>
      <c r="H943" s="32"/>
    </row>
    <row r="944" spans="1:8" x14ac:dyDescent="0.25">
      <c r="A944" s="32"/>
      <c r="B944" s="32"/>
      <c r="C944" s="37"/>
      <c r="D944" s="38"/>
      <c r="E944" s="39" t="str">
        <f t="shared" si="14"/>
        <v/>
      </c>
      <c r="F944" s="37"/>
      <c r="G944" s="40"/>
      <c r="H944" s="32"/>
    </row>
    <row r="945" spans="1:8" x14ac:dyDescent="0.25">
      <c r="A945" s="32"/>
      <c r="B945" s="32"/>
      <c r="C945" s="37"/>
      <c r="D945" s="38"/>
      <c r="E945" s="39" t="str">
        <f t="shared" si="14"/>
        <v/>
      </c>
      <c r="F945" s="37"/>
      <c r="G945" s="40"/>
      <c r="H945" s="32"/>
    </row>
    <row r="946" spans="1:8" x14ac:dyDescent="0.25">
      <c r="A946" s="32"/>
      <c r="B946" s="32"/>
      <c r="C946" s="37"/>
      <c r="D946" s="38"/>
      <c r="E946" s="39" t="str">
        <f t="shared" si="14"/>
        <v/>
      </c>
      <c r="F946" s="37"/>
      <c r="G946" s="40"/>
      <c r="H946" s="32"/>
    </row>
    <row r="947" spans="1:8" x14ac:dyDescent="0.25">
      <c r="A947" s="32"/>
      <c r="B947" s="32"/>
      <c r="C947" s="37"/>
      <c r="D947" s="38"/>
      <c r="E947" s="39" t="str">
        <f t="shared" si="14"/>
        <v/>
      </c>
      <c r="F947" s="37"/>
      <c r="G947" s="40"/>
      <c r="H947" s="32"/>
    </row>
    <row r="948" spans="1:8" x14ac:dyDescent="0.25">
      <c r="A948" s="32"/>
      <c r="B948" s="32"/>
      <c r="C948" s="37"/>
      <c r="D948" s="38"/>
      <c r="E948" s="39" t="str">
        <f t="shared" si="14"/>
        <v/>
      </c>
      <c r="F948" s="37"/>
      <c r="G948" s="40"/>
      <c r="H948" s="32"/>
    </row>
    <row r="949" spans="1:8" x14ac:dyDescent="0.25">
      <c r="A949" s="32"/>
      <c r="B949" s="32"/>
      <c r="C949" s="37"/>
      <c r="D949" s="38"/>
      <c r="E949" s="39" t="str">
        <f t="shared" si="14"/>
        <v/>
      </c>
      <c r="F949" s="37"/>
      <c r="G949" s="40"/>
      <c r="H949" s="32"/>
    </row>
    <row r="950" spans="1:8" x14ac:dyDescent="0.25">
      <c r="A950" s="32"/>
      <c r="B950" s="32"/>
      <c r="C950" s="37"/>
      <c r="D950" s="38"/>
      <c r="E950" s="39" t="str">
        <f t="shared" si="14"/>
        <v/>
      </c>
      <c r="F950" s="37"/>
      <c r="G950" s="40"/>
      <c r="H950" s="32"/>
    </row>
    <row r="951" spans="1:8" x14ac:dyDescent="0.25">
      <c r="A951" s="32"/>
      <c r="B951" s="32"/>
      <c r="C951" s="37"/>
      <c r="D951" s="38"/>
      <c r="E951" s="39" t="str">
        <f t="shared" si="14"/>
        <v/>
      </c>
      <c r="F951" s="37"/>
      <c r="G951" s="40"/>
      <c r="H951" s="32"/>
    </row>
    <row r="952" spans="1:8" x14ac:dyDescent="0.25">
      <c r="A952" s="32"/>
      <c r="B952" s="32"/>
      <c r="C952" s="37"/>
      <c r="D952" s="38"/>
      <c r="E952" s="39" t="str">
        <f t="shared" si="14"/>
        <v/>
      </c>
      <c r="F952" s="37"/>
      <c r="G952" s="40"/>
      <c r="H952" s="32"/>
    </row>
    <row r="953" spans="1:8" x14ac:dyDescent="0.25">
      <c r="A953" s="32"/>
      <c r="B953" s="32"/>
      <c r="C953" s="37"/>
      <c r="D953" s="38"/>
      <c r="E953" s="39" t="str">
        <f t="shared" si="14"/>
        <v/>
      </c>
      <c r="F953" s="37"/>
      <c r="G953" s="40"/>
      <c r="H953" s="32"/>
    </row>
    <row r="954" spans="1:8" x14ac:dyDescent="0.25">
      <c r="A954" s="32"/>
      <c r="B954" s="32"/>
      <c r="C954" s="37"/>
      <c r="D954" s="38"/>
      <c r="E954" s="39" t="str">
        <f t="shared" si="14"/>
        <v/>
      </c>
      <c r="F954" s="37"/>
      <c r="G954" s="40"/>
      <c r="H954" s="32"/>
    </row>
    <row r="955" spans="1:8" x14ac:dyDescent="0.25">
      <c r="A955" s="32"/>
      <c r="B955" s="32"/>
      <c r="C955" s="37"/>
      <c r="D955" s="38"/>
      <c r="E955" s="39" t="str">
        <f t="shared" si="14"/>
        <v/>
      </c>
      <c r="F955" s="37"/>
      <c r="G955" s="40"/>
      <c r="H955" s="32"/>
    </row>
    <row r="956" spans="1:8" x14ac:dyDescent="0.25">
      <c r="A956" s="32"/>
      <c r="B956" s="32"/>
      <c r="C956" s="37"/>
      <c r="D956" s="38"/>
      <c r="E956" s="39" t="str">
        <f t="shared" si="14"/>
        <v/>
      </c>
      <c r="F956" s="37"/>
      <c r="G956" s="40"/>
      <c r="H956" s="32"/>
    </row>
    <row r="957" spans="1:8" x14ac:dyDescent="0.25">
      <c r="A957" s="32"/>
      <c r="B957" s="32"/>
      <c r="C957" s="37"/>
      <c r="D957" s="38"/>
      <c r="E957" s="39" t="str">
        <f t="shared" si="14"/>
        <v/>
      </c>
      <c r="F957" s="37"/>
      <c r="G957" s="40"/>
      <c r="H957" s="32"/>
    </row>
    <row r="958" spans="1:8" x14ac:dyDescent="0.25">
      <c r="A958" s="32"/>
      <c r="B958" s="32"/>
      <c r="C958" s="37"/>
      <c r="D958" s="38"/>
      <c r="E958" s="39" t="str">
        <f t="shared" si="14"/>
        <v/>
      </c>
      <c r="F958" s="37"/>
      <c r="G958" s="40"/>
      <c r="H958" s="32"/>
    </row>
    <row r="959" spans="1:8" x14ac:dyDescent="0.25">
      <c r="A959" s="32"/>
      <c r="B959" s="32"/>
      <c r="C959" s="37"/>
      <c r="D959" s="38"/>
      <c r="E959" s="39" t="str">
        <f t="shared" si="14"/>
        <v/>
      </c>
      <c r="F959" s="37"/>
      <c r="G959" s="40"/>
      <c r="H959" s="32"/>
    </row>
    <row r="960" spans="1:8" x14ac:dyDescent="0.25">
      <c r="A960" s="32"/>
      <c r="B960" s="32"/>
      <c r="C960" s="37"/>
      <c r="D960" s="38"/>
      <c r="E960" s="39" t="str">
        <f t="shared" si="14"/>
        <v/>
      </c>
      <c r="F960" s="37"/>
      <c r="G960" s="40"/>
      <c r="H960" s="32"/>
    </row>
    <row r="961" spans="1:8" x14ac:dyDescent="0.25">
      <c r="A961" s="32"/>
      <c r="B961" s="32"/>
      <c r="C961" s="37"/>
      <c r="D961" s="38"/>
      <c r="E961" s="39" t="str">
        <f t="shared" si="14"/>
        <v/>
      </c>
      <c r="F961" s="37"/>
      <c r="G961" s="40"/>
      <c r="H961" s="32"/>
    </row>
    <row r="962" spans="1:8" x14ac:dyDescent="0.25">
      <c r="A962" s="32"/>
      <c r="B962" s="32"/>
      <c r="C962" s="37"/>
      <c r="D962" s="38"/>
      <c r="E962" s="39" t="str">
        <f t="shared" si="14"/>
        <v/>
      </c>
      <c r="F962" s="37"/>
      <c r="G962" s="40"/>
      <c r="H962" s="32"/>
    </row>
    <row r="963" spans="1:8" x14ac:dyDescent="0.25">
      <c r="A963" s="32"/>
      <c r="B963" s="32"/>
      <c r="C963" s="37"/>
      <c r="D963" s="38"/>
      <c r="E963" s="39" t="str">
        <f t="shared" si="14"/>
        <v/>
      </c>
      <c r="F963" s="37"/>
      <c r="G963" s="40"/>
      <c r="H963" s="32"/>
    </row>
    <row r="964" spans="1:8" x14ac:dyDescent="0.25">
      <c r="A964" s="32"/>
      <c r="B964" s="32"/>
      <c r="C964" s="37"/>
      <c r="D964" s="38"/>
      <c r="E964" s="39" t="str">
        <f t="shared" si="14"/>
        <v/>
      </c>
      <c r="F964" s="37"/>
      <c r="G964" s="40"/>
      <c r="H964" s="32"/>
    </row>
    <row r="965" spans="1:8" x14ac:dyDescent="0.25">
      <c r="A965" s="32"/>
      <c r="B965" s="32"/>
      <c r="C965" s="37"/>
      <c r="D965" s="38"/>
      <c r="E965" s="39" t="str">
        <f t="shared" ref="E965:E1028" si="15">IF(OR(A965="",C965=""),"",C965*(1+D965))</f>
        <v/>
      </c>
      <c r="F965" s="37"/>
      <c r="G965" s="40"/>
      <c r="H965" s="32"/>
    </row>
    <row r="966" spans="1:8" x14ac:dyDescent="0.25">
      <c r="A966" s="32"/>
      <c r="B966" s="32"/>
      <c r="C966" s="37"/>
      <c r="D966" s="38"/>
      <c r="E966" s="39" t="str">
        <f t="shared" si="15"/>
        <v/>
      </c>
      <c r="F966" s="37"/>
      <c r="G966" s="40"/>
      <c r="H966" s="32"/>
    </row>
    <row r="967" spans="1:8" x14ac:dyDescent="0.25">
      <c r="A967" s="32"/>
      <c r="B967" s="32"/>
      <c r="C967" s="37"/>
      <c r="D967" s="38"/>
      <c r="E967" s="39" t="str">
        <f t="shared" si="15"/>
        <v/>
      </c>
      <c r="F967" s="37"/>
      <c r="G967" s="40"/>
      <c r="H967" s="32"/>
    </row>
    <row r="968" spans="1:8" x14ac:dyDescent="0.25">
      <c r="A968" s="32"/>
      <c r="B968" s="32"/>
      <c r="C968" s="37"/>
      <c r="D968" s="38"/>
      <c r="E968" s="39" t="str">
        <f t="shared" si="15"/>
        <v/>
      </c>
      <c r="F968" s="37"/>
      <c r="G968" s="40"/>
      <c r="H968" s="32"/>
    </row>
    <row r="969" spans="1:8" x14ac:dyDescent="0.25">
      <c r="A969" s="32"/>
      <c r="B969" s="32"/>
      <c r="C969" s="37"/>
      <c r="D969" s="38"/>
      <c r="E969" s="39" t="str">
        <f t="shared" si="15"/>
        <v/>
      </c>
      <c r="F969" s="37"/>
      <c r="G969" s="40"/>
      <c r="H969" s="32"/>
    </row>
    <row r="970" spans="1:8" x14ac:dyDescent="0.25">
      <c r="A970" s="32"/>
      <c r="B970" s="32"/>
      <c r="C970" s="37"/>
      <c r="D970" s="38"/>
      <c r="E970" s="39" t="str">
        <f t="shared" si="15"/>
        <v/>
      </c>
      <c r="F970" s="37"/>
      <c r="G970" s="40"/>
      <c r="H970" s="32"/>
    </row>
    <row r="971" spans="1:8" x14ac:dyDescent="0.25">
      <c r="A971" s="32"/>
      <c r="B971" s="32"/>
      <c r="C971" s="37"/>
      <c r="D971" s="38"/>
      <c r="E971" s="39" t="str">
        <f t="shared" si="15"/>
        <v/>
      </c>
      <c r="F971" s="37"/>
      <c r="G971" s="40"/>
      <c r="H971" s="32"/>
    </row>
    <row r="972" spans="1:8" x14ac:dyDescent="0.25">
      <c r="A972" s="32"/>
      <c r="B972" s="32"/>
      <c r="C972" s="37"/>
      <c r="D972" s="38"/>
      <c r="E972" s="39" t="str">
        <f t="shared" si="15"/>
        <v/>
      </c>
      <c r="F972" s="37"/>
      <c r="G972" s="40"/>
      <c r="H972" s="32"/>
    </row>
    <row r="973" spans="1:8" x14ac:dyDescent="0.25">
      <c r="A973" s="32"/>
      <c r="B973" s="32"/>
      <c r="C973" s="37"/>
      <c r="D973" s="38"/>
      <c r="E973" s="39" t="str">
        <f t="shared" si="15"/>
        <v/>
      </c>
      <c r="F973" s="37"/>
      <c r="G973" s="40"/>
      <c r="H973" s="32"/>
    </row>
    <row r="974" spans="1:8" x14ac:dyDescent="0.25">
      <c r="A974" s="32"/>
      <c r="B974" s="32"/>
      <c r="C974" s="37"/>
      <c r="D974" s="38"/>
      <c r="E974" s="39" t="str">
        <f t="shared" si="15"/>
        <v/>
      </c>
      <c r="F974" s="37"/>
      <c r="G974" s="40"/>
      <c r="H974" s="32"/>
    </row>
    <row r="975" spans="1:8" x14ac:dyDescent="0.25">
      <c r="A975" s="32"/>
      <c r="B975" s="32"/>
      <c r="C975" s="37"/>
      <c r="D975" s="38"/>
      <c r="E975" s="39" t="str">
        <f t="shared" si="15"/>
        <v/>
      </c>
      <c r="F975" s="37"/>
      <c r="G975" s="40"/>
      <c r="H975" s="32"/>
    </row>
    <row r="976" spans="1:8" x14ac:dyDescent="0.25">
      <c r="A976" s="32"/>
      <c r="B976" s="32"/>
      <c r="C976" s="37"/>
      <c r="D976" s="38"/>
      <c r="E976" s="39" t="str">
        <f t="shared" si="15"/>
        <v/>
      </c>
      <c r="F976" s="37"/>
      <c r="G976" s="40"/>
      <c r="H976" s="32"/>
    </row>
    <row r="977" spans="1:8" x14ac:dyDescent="0.25">
      <c r="A977" s="32"/>
      <c r="B977" s="32"/>
      <c r="C977" s="37"/>
      <c r="D977" s="38"/>
      <c r="E977" s="39" t="str">
        <f t="shared" si="15"/>
        <v/>
      </c>
      <c r="F977" s="37"/>
      <c r="G977" s="40"/>
      <c r="H977" s="32"/>
    </row>
    <row r="978" spans="1:8" x14ac:dyDescent="0.25">
      <c r="A978" s="32"/>
      <c r="B978" s="32"/>
      <c r="C978" s="37"/>
      <c r="D978" s="38"/>
      <c r="E978" s="39" t="str">
        <f t="shared" si="15"/>
        <v/>
      </c>
      <c r="F978" s="37"/>
      <c r="G978" s="40"/>
      <c r="H978" s="32"/>
    </row>
    <row r="979" spans="1:8" x14ac:dyDescent="0.25">
      <c r="A979" s="32"/>
      <c r="B979" s="32"/>
      <c r="C979" s="37"/>
      <c r="D979" s="38"/>
      <c r="E979" s="39" t="str">
        <f t="shared" si="15"/>
        <v/>
      </c>
      <c r="F979" s="37"/>
      <c r="G979" s="40"/>
      <c r="H979" s="32"/>
    </row>
    <row r="980" spans="1:8" x14ac:dyDescent="0.25">
      <c r="A980" s="32"/>
      <c r="B980" s="32"/>
      <c r="C980" s="37"/>
      <c r="D980" s="38"/>
      <c r="E980" s="39" t="str">
        <f t="shared" si="15"/>
        <v/>
      </c>
      <c r="F980" s="37"/>
      <c r="G980" s="40"/>
      <c r="H980" s="32"/>
    </row>
    <row r="981" spans="1:8" x14ac:dyDescent="0.25">
      <c r="A981" s="32"/>
      <c r="B981" s="32"/>
      <c r="C981" s="37"/>
      <c r="D981" s="38"/>
      <c r="E981" s="39" t="str">
        <f t="shared" si="15"/>
        <v/>
      </c>
      <c r="F981" s="37"/>
      <c r="G981" s="40"/>
      <c r="H981" s="32"/>
    </row>
    <row r="982" spans="1:8" x14ac:dyDescent="0.25">
      <c r="A982" s="32"/>
      <c r="B982" s="32"/>
      <c r="C982" s="37"/>
      <c r="D982" s="38"/>
      <c r="E982" s="39" t="str">
        <f t="shared" si="15"/>
        <v/>
      </c>
      <c r="F982" s="37"/>
      <c r="G982" s="40"/>
      <c r="H982" s="32"/>
    </row>
    <row r="983" spans="1:8" x14ac:dyDescent="0.25">
      <c r="A983" s="32"/>
      <c r="B983" s="32"/>
      <c r="C983" s="37"/>
      <c r="D983" s="38"/>
      <c r="E983" s="39" t="str">
        <f t="shared" si="15"/>
        <v/>
      </c>
      <c r="F983" s="37"/>
      <c r="G983" s="40"/>
      <c r="H983" s="32"/>
    </row>
    <row r="984" spans="1:8" x14ac:dyDescent="0.25">
      <c r="A984" s="32"/>
      <c r="B984" s="32"/>
      <c r="C984" s="37"/>
      <c r="D984" s="38"/>
      <c r="E984" s="39" t="str">
        <f t="shared" si="15"/>
        <v/>
      </c>
      <c r="F984" s="37"/>
      <c r="G984" s="40"/>
      <c r="H984" s="32"/>
    </row>
    <row r="985" spans="1:8" x14ac:dyDescent="0.25">
      <c r="A985" s="32"/>
      <c r="B985" s="32"/>
      <c r="C985" s="37"/>
      <c r="D985" s="38"/>
      <c r="E985" s="39" t="str">
        <f t="shared" si="15"/>
        <v/>
      </c>
      <c r="F985" s="37"/>
      <c r="G985" s="40"/>
      <c r="H985" s="32"/>
    </row>
    <row r="986" spans="1:8" x14ac:dyDescent="0.25">
      <c r="A986" s="32"/>
      <c r="B986" s="32"/>
      <c r="C986" s="37"/>
      <c r="D986" s="38"/>
      <c r="E986" s="39" t="str">
        <f t="shared" si="15"/>
        <v/>
      </c>
      <c r="F986" s="37"/>
      <c r="G986" s="40"/>
      <c r="H986" s="32"/>
    </row>
    <row r="987" spans="1:8" x14ac:dyDescent="0.25">
      <c r="A987" s="32"/>
      <c r="B987" s="32"/>
      <c r="C987" s="37"/>
      <c r="D987" s="38"/>
      <c r="E987" s="39" t="str">
        <f t="shared" si="15"/>
        <v/>
      </c>
      <c r="F987" s="37"/>
      <c r="G987" s="40"/>
      <c r="H987" s="32"/>
    </row>
    <row r="988" spans="1:8" x14ac:dyDescent="0.25">
      <c r="A988" s="32"/>
      <c r="B988" s="32"/>
      <c r="C988" s="37"/>
      <c r="D988" s="38"/>
      <c r="E988" s="39" t="str">
        <f t="shared" si="15"/>
        <v/>
      </c>
      <c r="F988" s="37"/>
      <c r="G988" s="40"/>
      <c r="H988" s="32"/>
    </row>
    <row r="989" spans="1:8" x14ac:dyDescent="0.25">
      <c r="A989" s="32"/>
      <c r="B989" s="32"/>
      <c r="C989" s="37"/>
      <c r="D989" s="38"/>
      <c r="E989" s="39" t="str">
        <f t="shared" si="15"/>
        <v/>
      </c>
      <c r="F989" s="37"/>
      <c r="G989" s="40"/>
      <c r="H989" s="32"/>
    </row>
    <row r="990" spans="1:8" x14ac:dyDescent="0.25">
      <c r="A990" s="32"/>
      <c r="B990" s="32"/>
      <c r="C990" s="37"/>
      <c r="D990" s="38"/>
      <c r="E990" s="39" t="str">
        <f t="shared" si="15"/>
        <v/>
      </c>
      <c r="F990" s="37"/>
      <c r="G990" s="40"/>
      <c r="H990" s="32"/>
    </row>
    <row r="991" spans="1:8" x14ac:dyDescent="0.25">
      <c r="A991" s="32"/>
      <c r="B991" s="32"/>
      <c r="C991" s="37"/>
      <c r="D991" s="38"/>
      <c r="E991" s="39" t="str">
        <f t="shared" si="15"/>
        <v/>
      </c>
      <c r="F991" s="37"/>
      <c r="G991" s="40"/>
      <c r="H991" s="32"/>
    </row>
    <row r="992" spans="1:8" x14ac:dyDescent="0.25">
      <c r="A992" s="32"/>
      <c r="B992" s="32"/>
      <c r="C992" s="37"/>
      <c r="D992" s="38"/>
      <c r="E992" s="39" t="str">
        <f t="shared" si="15"/>
        <v/>
      </c>
      <c r="F992" s="37"/>
      <c r="G992" s="40"/>
      <c r="H992" s="32"/>
    </row>
    <row r="993" spans="1:8" x14ac:dyDescent="0.25">
      <c r="A993" s="32"/>
      <c r="B993" s="32"/>
      <c r="C993" s="37"/>
      <c r="D993" s="38"/>
      <c r="E993" s="39" t="str">
        <f t="shared" si="15"/>
        <v/>
      </c>
      <c r="F993" s="37"/>
      <c r="G993" s="40"/>
      <c r="H993" s="32"/>
    </row>
    <row r="994" spans="1:8" x14ac:dyDescent="0.25">
      <c r="A994" s="32"/>
      <c r="B994" s="32"/>
      <c r="C994" s="37"/>
      <c r="D994" s="38"/>
      <c r="E994" s="39" t="str">
        <f t="shared" si="15"/>
        <v/>
      </c>
      <c r="F994" s="37"/>
      <c r="G994" s="40"/>
      <c r="H994" s="32"/>
    </row>
    <row r="995" spans="1:8" x14ac:dyDescent="0.25">
      <c r="A995" s="32"/>
      <c r="B995" s="32"/>
      <c r="C995" s="37"/>
      <c r="D995" s="38"/>
      <c r="E995" s="39" t="str">
        <f t="shared" si="15"/>
        <v/>
      </c>
      <c r="F995" s="37"/>
      <c r="G995" s="40"/>
      <c r="H995" s="32"/>
    </row>
    <row r="996" spans="1:8" x14ac:dyDescent="0.25">
      <c r="A996" s="32"/>
      <c r="B996" s="32"/>
      <c r="C996" s="37"/>
      <c r="D996" s="38"/>
      <c r="E996" s="39" t="str">
        <f t="shared" si="15"/>
        <v/>
      </c>
      <c r="F996" s="37"/>
      <c r="G996" s="40"/>
      <c r="H996" s="32"/>
    </row>
    <row r="997" spans="1:8" x14ac:dyDescent="0.25">
      <c r="A997" s="32"/>
      <c r="B997" s="32"/>
      <c r="C997" s="37"/>
      <c r="D997" s="38"/>
      <c r="E997" s="39" t="str">
        <f t="shared" si="15"/>
        <v/>
      </c>
      <c r="F997" s="37"/>
      <c r="G997" s="40"/>
      <c r="H997" s="32"/>
    </row>
    <row r="998" spans="1:8" x14ac:dyDescent="0.25">
      <c r="A998" s="32"/>
      <c r="B998" s="32"/>
      <c r="C998" s="37"/>
      <c r="D998" s="38"/>
      <c r="E998" s="39" t="str">
        <f t="shared" si="15"/>
        <v/>
      </c>
      <c r="F998" s="37"/>
      <c r="G998" s="40"/>
      <c r="H998" s="32"/>
    </row>
    <row r="999" spans="1:8" x14ac:dyDescent="0.25">
      <c r="A999" s="32"/>
      <c r="B999" s="32"/>
      <c r="C999" s="37"/>
      <c r="D999" s="38"/>
      <c r="E999" s="39" t="str">
        <f t="shared" si="15"/>
        <v/>
      </c>
      <c r="F999" s="37"/>
      <c r="G999" s="40"/>
      <c r="H999" s="32"/>
    </row>
    <row r="1000" spans="1:8" x14ac:dyDescent="0.25">
      <c r="A1000" s="32"/>
      <c r="B1000" s="32"/>
      <c r="C1000" s="37"/>
      <c r="D1000" s="38"/>
      <c r="E1000" s="39" t="str">
        <f t="shared" si="15"/>
        <v/>
      </c>
      <c r="F1000" s="37"/>
      <c r="G1000" s="40"/>
      <c r="H1000" s="32"/>
    </row>
    <row r="1001" spans="1:8" x14ac:dyDescent="0.25">
      <c r="A1001" s="32"/>
      <c r="B1001" s="32"/>
      <c r="C1001" s="37"/>
      <c r="D1001" s="38"/>
      <c r="E1001" s="39" t="str">
        <f t="shared" si="15"/>
        <v/>
      </c>
      <c r="F1001" s="37"/>
      <c r="G1001" s="40"/>
      <c r="H1001" s="32"/>
    </row>
    <row r="1002" spans="1:8" x14ac:dyDescent="0.25">
      <c r="A1002" s="32"/>
      <c r="B1002" s="32"/>
      <c r="C1002" s="37"/>
      <c r="D1002" s="38"/>
      <c r="E1002" s="39" t="str">
        <f t="shared" si="15"/>
        <v/>
      </c>
      <c r="F1002" s="37"/>
      <c r="G1002" s="40"/>
      <c r="H1002" s="32"/>
    </row>
    <row r="1003" spans="1:8" x14ac:dyDescent="0.25">
      <c r="A1003" s="32"/>
      <c r="B1003" s="32"/>
      <c r="C1003" s="37"/>
      <c r="D1003" s="38"/>
      <c r="E1003" s="39" t="str">
        <f t="shared" si="15"/>
        <v/>
      </c>
      <c r="F1003" s="37"/>
      <c r="G1003" s="40"/>
      <c r="H1003" s="32"/>
    </row>
    <row r="1004" spans="1:8" x14ac:dyDescent="0.25">
      <c r="A1004" s="32"/>
      <c r="B1004" s="32"/>
      <c r="C1004" s="37"/>
      <c r="D1004" s="38"/>
      <c r="E1004" s="39" t="str">
        <f t="shared" si="15"/>
        <v/>
      </c>
      <c r="F1004" s="37"/>
      <c r="G1004" s="40"/>
      <c r="H1004" s="32"/>
    </row>
  </sheetData>
  <sheetProtection password="D0B3" sheet="1" objects="1" scenarios="1" formatColumns="0" formatRows="0" autoFilter="0"/>
  <dataValidations count="1">
    <dataValidation type="list" allowBlank="1" sqref="G5:G1004" xr:uid="{00000000-0002-0000-0600-000000000000}">
      <formula1>"X,KXDDM,TH,SPTN"</formula1>
    </dataValidation>
  </dataValidations>
  <hyperlinks>
    <hyperlink ref="A3" r:id="rId1" xr:uid="{00000000-0004-0000-06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H1004"/>
  <sheetViews>
    <sheetView showGridLines="0" workbookViewId="0">
      <pane ySplit="4" topLeftCell="A5" activePane="bottomLeft" state="frozen"/>
      <selection pane="bottomLeft"/>
    </sheetView>
  </sheetViews>
  <sheetFormatPr defaultRowHeight="14.4" x14ac:dyDescent="0.25"/>
  <cols>
    <col min="1" max="1" width="18" customWidth="1"/>
    <col min="2" max="2" width="14" customWidth="1"/>
    <col min="3" max="3" width="12" customWidth="1"/>
    <col min="4" max="4" width="14" customWidth="1"/>
    <col min="5" max="5" width="18" customWidth="1"/>
    <col min="6" max="6" width="16" customWidth="1"/>
    <col min="7" max="7" width="50" customWidth="1"/>
    <col min="8" max="8" width="14" customWidth="1"/>
  </cols>
  <sheetData>
    <row r="1" spans="1:8" ht="17.55" x14ac:dyDescent="0.3">
      <c r="A1" s="1" t="s">
        <v>234</v>
      </c>
    </row>
    <row r="2" spans="1:8" x14ac:dyDescent="0.25">
      <c r="A2" s="2" t="s">
        <v>235</v>
      </c>
    </row>
    <row r="3" spans="1:8" x14ac:dyDescent="0.25">
      <c r="A3" s="28" t="s">
        <v>4</v>
      </c>
    </row>
    <row r="4" spans="1:8" ht="48.05" customHeight="1" x14ac:dyDescent="0.25">
      <c r="A4" s="11" t="s">
        <v>236</v>
      </c>
      <c r="B4" s="11" t="s">
        <v>237</v>
      </c>
      <c r="C4" s="11" t="s">
        <v>238</v>
      </c>
      <c r="D4" s="11" t="s">
        <v>239</v>
      </c>
      <c r="E4" s="11" t="s">
        <v>240</v>
      </c>
      <c r="F4" s="11" t="s">
        <v>241</v>
      </c>
      <c r="G4" s="11" t="s">
        <v>242</v>
      </c>
      <c r="H4" s="12" t="s">
        <v>243</v>
      </c>
    </row>
    <row r="5" spans="1:8" x14ac:dyDescent="0.25">
      <c r="A5" s="41" t="s">
        <v>244</v>
      </c>
      <c r="B5" s="33">
        <v>45672</v>
      </c>
      <c r="C5" s="32" t="s">
        <v>164</v>
      </c>
      <c r="D5" s="32" t="s">
        <v>184</v>
      </c>
      <c r="E5" s="37">
        <v>20000</v>
      </c>
      <c r="F5" s="42">
        <v>60000</v>
      </c>
      <c r="G5" s="32"/>
      <c r="H5" s="36">
        <f>IF(D5="",0,IF(AND(B5&gt;=ThongTin!$C$9,B5&lt;=ThongTin!$C$10,COUNTIFS(ThongTin!$B$19:$B$48,C5,ThongTin!$A$19:$A$48,ThongTin!$C$8,ThongTin!$C$19:$C$48,"NHAP_NL")&gt;0),1,0))</f>
        <v>1</v>
      </c>
    </row>
    <row r="6" spans="1:8" x14ac:dyDescent="0.25">
      <c r="A6" s="41" t="s">
        <v>245</v>
      </c>
      <c r="B6" s="33">
        <v>45726</v>
      </c>
      <c r="C6" s="32" t="s">
        <v>164</v>
      </c>
      <c r="D6" s="32" t="s">
        <v>190</v>
      </c>
      <c r="E6" s="37">
        <v>2200000</v>
      </c>
      <c r="F6" s="42">
        <v>11000</v>
      </c>
      <c r="G6" s="32"/>
      <c r="H6" s="36">
        <f>IF(D6="",0,IF(AND(B6&gt;=ThongTin!$C$9,B6&lt;=ThongTin!$C$10,COUNTIFS(ThongTin!$B$19:$B$48,C6,ThongTin!$A$19:$A$48,ThongTin!$C$8,ThongTin!$C$19:$C$48,"NHAP_NL")&gt;0),1,0))</f>
        <v>1</v>
      </c>
    </row>
    <row r="7" spans="1:8" x14ac:dyDescent="0.25">
      <c r="A7" s="41" t="s">
        <v>246</v>
      </c>
      <c r="B7" s="33">
        <v>45752</v>
      </c>
      <c r="C7" s="32" t="s">
        <v>164</v>
      </c>
      <c r="D7" s="32" t="s">
        <v>193</v>
      </c>
      <c r="E7" s="37">
        <v>75000</v>
      </c>
      <c r="F7" s="42">
        <v>3750</v>
      </c>
      <c r="G7" s="32"/>
      <c r="H7" s="36">
        <f>IF(D7="",0,IF(AND(B7&gt;=ThongTin!$C$9,B7&lt;=ThongTin!$C$10,COUNTIFS(ThongTin!$B$19:$B$48,C7,ThongTin!$A$19:$A$48,ThongTin!$C$8,ThongTin!$C$19:$C$48,"NHAP_NL")&gt;0),1,0))</f>
        <v>1</v>
      </c>
    </row>
    <row r="8" spans="1:8" x14ac:dyDescent="0.25">
      <c r="A8" s="41" t="s">
        <v>247</v>
      </c>
      <c r="B8" s="33">
        <v>45797</v>
      </c>
      <c r="C8" s="32" t="s">
        <v>164</v>
      </c>
      <c r="D8" s="32" t="s">
        <v>197</v>
      </c>
      <c r="E8" s="37">
        <v>22000</v>
      </c>
      <c r="F8" s="42">
        <v>6600</v>
      </c>
      <c r="G8" s="32"/>
      <c r="H8" s="36">
        <f>IF(D8="",0,IF(AND(B8&gt;=ThongTin!$C$9,B8&lt;=ThongTin!$C$10,COUNTIFS(ThongTin!$B$19:$B$48,C8,ThongTin!$A$19:$A$48,ThongTin!$C$8,ThongTin!$C$19:$C$48,"NHAP_NL")&gt;0),1,0))</f>
        <v>1</v>
      </c>
    </row>
    <row r="9" spans="1:8" x14ac:dyDescent="0.25">
      <c r="A9" s="41" t="s">
        <v>248</v>
      </c>
      <c r="B9" s="33">
        <v>45826</v>
      </c>
      <c r="C9" s="32" t="s">
        <v>164</v>
      </c>
      <c r="D9" s="32" t="s">
        <v>200</v>
      </c>
      <c r="E9" s="37">
        <v>30000</v>
      </c>
      <c r="F9" s="42">
        <v>1500</v>
      </c>
      <c r="G9" s="32"/>
      <c r="H9" s="36">
        <f>IF(D9="",0,IF(AND(B9&gt;=ThongTin!$C$9,B9&lt;=ThongTin!$C$10,COUNTIFS(ThongTin!$B$19:$B$48,C9,ThongTin!$A$19:$A$48,ThongTin!$C$8,ThongTin!$C$19:$C$48,"NHAP_NL")&gt;0),1,0))</f>
        <v>1</v>
      </c>
    </row>
    <row r="10" spans="1:8" x14ac:dyDescent="0.25">
      <c r="A10" s="41" t="s">
        <v>249</v>
      </c>
      <c r="B10" s="33">
        <v>45881</v>
      </c>
      <c r="C10" s="32" t="s">
        <v>164</v>
      </c>
      <c r="D10" s="32" t="s">
        <v>184</v>
      </c>
      <c r="E10" s="37">
        <v>15000</v>
      </c>
      <c r="F10" s="42">
        <v>45000</v>
      </c>
      <c r="G10" s="32"/>
      <c r="H10" s="36">
        <f>IF(D10="",0,IF(AND(B10&gt;=ThongTin!$C$9,B10&lt;=ThongTin!$C$10,COUNTIFS(ThongTin!$B$19:$B$48,C10,ThongTin!$A$19:$A$48,ThongTin!$C$8,ThongTin!$C$19:$C$48,"NHAP_NL")&gt;0),1,0))</f>
        <v>1</v>
      </c>
    </row>
    <row r="11" spans="1:8" x14ac:dyDescent="0.25">
      <c r="A11" s="41" t="s">
        <v>250</v>
      </c>
      <c r="B11" s="33">
        <v>45881</v>
      </c>
      <c r="C11" s="32" t="s">
        <v>164</v>
      </c>
      <c r="D11" s="32" t="s">
        <v>203</v>
      </c>
      <c r="E11" s="37">
        <v>1000</v>
      </c>
      <c r="F11" s="42">
        <v>50</v>
      </c>
      <c r="G11" s="32"/>
      <c r="H11" s="36">
        <f>IF(D11="",0,IF(AND(B11&gt;=ThongTin!$C$9,B11&lt;=ThongTin!$C$10,COUNTIFS(ThongTin!$B$19:$B$48,C11,ThongTin!$A$19:$A$48,ThongTin!$C$8,ThongTin!$C$19:$C$48,"NHAP_NL")&gt;0),1,0))</f>
        <v>1</v>
      </c>
    </row>
    <row r="12" spans="1:8" x14ac:dyDescent="0.25">
      <c r="A12" s="41" t="s">
        <v>251</v>
      </c>
      <c r="B12" s="33">
        <v>45902</v>
      </c>
      <c r="C12" s="32" t="s">
        <v>252</v>
      </c>
      <c r="D12" s="32" t="s">
        <v>184</v>
      </c>
      <c r="E12" s="37">
        <v>2000</v>
      </c>
      <c r="F12" s="42">
        <v>5000</v>
      </c>
      <c r="G12" s="32" t="s">
        <v>253</v>
      </c>
      <c r="H12" s="36">
        <f>IF(D12="",0,IF(AND(B12&gt;=ThongTin!$C$9,B12&lt;=ThongTin!$C$10,COUNTIFS(ThongTin!$B$19:$B$48,C12,ThongTin!$A$19:$A$48,ThongTin!$C$8,ThongTin!$C$19:$C$48,"NHAP_NL")&gt;0),1,0))</f>
        <v>0</v>
      </c>
    </row>
    <row r="13" spans="1:8" x14ac:dyDescent="0.25">
      <c r="A13" s="41" t="s">
        <v>254</v>
      </c>
      <c r="B13" s="33">
        <v>46019</v>
      </c>
      <c r="C13" s="32" t="s">
        <v>164</v>
      </c>
      <c r="D13" s="32" t="s">
        <v>200</v>
      </c>
      <c r="E13" s="37">
        <v>2000</v>
      </c>
      <c r="F13" s="42">
        <v>100</v>
      </c>
      <c r="G13" s="32" t="s">
        <v>255</v>
      </c>
      <c r="H13" s="36">
        <f>IF(D13="",0,IF(AND(B13&gt;=ThongTin!$C$9,B13&lt;=ThongTin!$C$10,COUNTIFS(ThongTin!$B$19:$B$48,C13,ThongTin!$A$19:$A$48,ThongTin!$C$8,ThongTin!$C$19:$C$48,"NHAP_NL")&gt;0),1,0))</f>
        <v>1</v>
      </c>
    </row>
    <row r="14" spans="1:8" x14ac:dyDescent="0.25">
      <c r="A14" s="41" t="s">
        <v>256</v>
      </c>
      <c r="B14" s="33">
        <v>46027</v>
      </c>
      <c r="C14" s="32" t="s">
        <v>164</v>
      </c>
      <c r="D14" s="32" t="s">
        <v>184</v>
      </c>
      <c r="E14" s="37">
        <v>3000</v>
      </c>
      <c r="F14" s="42">
        <v>9000</v>
      </c>
      <c r="G14" s="32" t="s">
        <v>257</v>
      </c>
      <c r="H14" s="36">
        <f>IF(D14="",0,IF(AND(B14&gt;=ThongTin!$C$9,B14&lt;=ThongTin!$C$10,COUNTIFS(ThongTin!$B$19:$B$48,C14,ThongTin!$A$19:$A$48,ThongTin!$C$8,ThongTin!$C$19:$C$48,"NHAP_NL")&gt;0),1,0))</f>
        <v>0</v>
      </c>
    </row>
    <row r="15" spans="1:8" x14ac:dyDescent="0.25">
      <c r="A15" s="41"/>
      <c r="B15" s="33"/>
      <c r="C15" s="32"/>
      <c r="D15" s="32"/>
      <c r="E15" s="37"/>
      <c r="F15" s="42"/>
      <c r="G15" s="32"/>
      <c r="H15" s="36">
        <f>IF(D15="",0,IF(AND(B15&gt;=ThongTin!$C$9,B15&lt;=ThongTin!$C$10,COUNTIFS(ThongTin!$B$19:$B$48,C15,ThongTin!$A$19:$A$48,ThongTin!$C$8,ThongTin!$C$19:$C$48,"NHAP_NL")&gt;0),1,0))</f>
        <v>0</v>
      </c>
    </row>
    <row r="16" spans="1:8" x14ac:dyDescent="0.25">
      <c r="A16" s="41"/>
      <c r="B16" s="33"/>
      <c r="C16" s="32"/>
      <c r="D16" s="32"/>
      <c r="E16" s="37"/>
      <c r="F16" s="42"/>
      <c r="G16" s="32"/>
      <c r="H16" s="36">
        <f>IF(D16="",0,IF(AND(B16&gt;=ThongTin!$C$9,B16&lt;=ThongTin!$C$10,COUNTIFS(ThongTin!$B$19:$B$48,C16,ThongTin!$A$19:$A$48,ThongTin!$C$8,ThongTin!$C$19:$C$48,"NHAP_NL")&gt;0),1,0))</f>
        <v>0</v>
      </c>
    </row>
    <row r="17" spans="1:8" x14ac:dyDescent="0.25">
      <c r="A17" s="41"/>
      <c r="B17" s="33"/>
      <c r="C17" s="32"/>
      <c r="D17" s="32"/>
      <c r="E17" s="37"/>
      <c r="F17" s="42"/>
      <c r="G17" s="32"/>
      <c r="H17" s="36">
        <f>IF(D17="",0,IF(AND(B17&gt;=ThongTin!$C$9,B17&lt;=ThongTin!$C$10,COUNTIFS(ThongTin!$B$19:$B$48,C17,ThongTin!$A$19:$A$48,ThongTin!$C$8,ThongTin!$C$19:$C$48,"NHAP_NL")&gt;0),1,0))</f>
        <v>0</v>
      </c>
    </row>
    <row r="18" spans="1:8" x14ac:dyDescent="0.25">
      <c r="A18" s="41"/>
      <c r="B18" s="33"/>
      <c r="C18" s="32"/>
      <c r="D18" s="32"/>
      <c r="E18" s="37"/>
      <c r="F18" s="42"/>
      <c r="G18" s="32"/>
      <c r="H18" s="36">
        <f>IF(D18="",0,IF(AND(B18&gt;=ThongTin!$C$9,B18&lt;=ThongTin!$C$10,COUNTIFS(ThongTin!$B$19:$B$48,C18,ThongTin!$A$19:$A$48,ThongTin!$C$8,ThongTin!$C$19:$C$48,"NHAP_NL")&gt;0),1,0))</f>
        <v>0</v>
      </c>
    </row>
    <row r="19" spans="1:8" x14ac:dyDescent="0.25">
      <c r="A19" s="41"/>
      <c r="B19" s="33"/>
      <c r="C19" s="32"/>
      <c r="D19" s="32"/>
      <c r="E19" s="37"/>
      <c r="F19" s="42"/>
      <c r="G19" s="32"/>
      <c r="H19" s="36">
        <f>IF(D19="",0,IF(AND(B19&gt;=ThongTin!$C$9,B19&lt;=ThongTin!$C$10,COUNTIFS(ThongTin!$B$19:$B$48,C19,ThongTin!$A$19:$A$48,ThongTin!$C$8,ThongTin!$C$19:$C$48,"NHAP_NL")&gt;0),1,0))</f>
        <v>0</v>
      </c>
    </row>
    <row r="20" spans="1:8" x14ac:dyDescent="0.25">
      <c r="A20" s="41"/>
      <c r="B20" s="33"/>
      <c r="C20" s="32"/>
      <c r="D20" s="32"/>
      <c r="E20" s="37"/>
      <c r="F20" s="42"/>
      <c r="G20" s="32"/>
      <c r="H20" s="36">
        <f>IF(D20="",0,IF(AND(B20&gt;=ThongTin!$C$9,B20&lt;=ThongTin!$C$10,COUNTIFS(ThongTin!$B$19:$B$48,C20,ThongTin!$A$19:$A$48,ThongTin!$C$8,ThongTin!$C$19:$C$48,"NHAP_NL")&gt;0),1,0))</f>
        <v>0</v>
      </c>
    </row>
    <row r="21" spans="1:8" x14ac:dyDescent="0.25">
      <c r="A21" s="41"/>
      <c r="B21" s="33"/>
      <c r="C21" s="32"/>
      <c r="D21" s="32"/>
      <c r="E21" s="37"/>
      <c r="F21" s="42"/>
      <c r="G21" s="32"/>
      <c r="H21" s="36">
        <f>IF(D21="",0,IF(AND(B21&gt;=ThongTin!$C$9,B21&lt;=ThongTin!$C$10,COUNTIFS(ThongTin!$B$19:$B$48,C21,ThongTin!$A$19:$A$48,ThongTin!$C$8,ThongTin!$C$19:$C$48,"NHAP_NL")&gt;0),1,0))</f>
        <v>0</v>
      </c>
    </row>
    <row r="22" spans="1:8" x14ac:dyDescent="0.25">
      <c r="A22" s="41"/>
      <c r="B22" s="33"/>
      <c r="C22" s="32"/>
      <c r="D22" s="32"/>
      <c r="E22" s="37"/>
      <c r="F22" s="42"/>
      <c r="G22" s="32"/>
      <c r="H22" s="36">
        <f>IF(D22="",0,IF(AND(B22&gt;=ThongTin!$C$9,B22&lt;=ThongTin!$C$10,COUNTIFS(ThongTin!$B$19:$B$48,C22,ThongTin!$A$19:$A$48,ThongTin!$C$8,ThongTin!$C$19:$C$48,"NHAP_NL")&gt;0),1,0))</f>
        <v>0</v>
      </c>
    </row>
    <row r="23" spans="1:8" x14ac:dyDescent="0.25">
      <c r="A23" s="41"/>
      <c r="B23" s="33"/>
      <c r="C23" s="32"/>
      <c r="D23" s="32"/>
      <c r="E23" s="37"/>
      <c r="F23" s="42"/>
      <c r="G23" s="32"/>
      <c r="H23" s="36">
        <f>IF(D23="",0,IF(AND(B23&gt;=ThongTin!$C$9,B23&lt;=ThongTin!$C$10,COUNTIFS(ThongTin!$B$19:$B$48,C23,ThongTin!$A$19:$A$48,ThongTin!$C$8,ThongTin!$C$19:$C$48,"NHAP_NL")&gt;0),1,0))</f>
        <v>0</v>
      </c>
    </row>
    <row r="24" spans="1:8" x14ac:dyDescent="0.25">
      <c r="A24" s="41"/>
      <c r="B24" s="33"/>
      <c r="C24" s="32"/>
      <c r="D24" s="32"/>
      <c r="E24" s="37"/>
      <c r="F24" s="42"/>
      <c r="G24" s="32"/>
      <c r="H24" s="36">
        <f>IF(D24="",0,IF(AND(B24&gt;=ThongTin!$C$9,B24&lt;=ThongTin!$C$10,COUNTIFS(ThongTin!$B$19:$B$48,C24,ThongTin!$A$19:$A$48,ThongTin!$C$8,ThongTin!$C$19:$C$48,"NHAP_NL")&gt;0),1,0))</f>
        <v>0</v>
      </c>
    </row>
    <row r="25" spans="1:8" x14ac:dyDescent="0.25">
      <c r="A25" s="41"/>
      <c r="B25" s="33"/>
      <c r="C25" s="32"/>
      <c r="D25" s="32"/>
      <c r="E25" s="37"/>
      <c r="F25" s="42"/>
      <c r="G25" s="32"/>
      <c r="H25" s="36">
        <f>IF(D25="",0,IF(AND(B25&gt;=ThongTin!$C$9,B25&lt;=ThongTin!$C$10,COUNTIFS(ThongTin!$B$19:$B$48,C25,ThongTin!$A$19:$A$48,ThongTin!$C$8,ThongTin!$C$19:$C$48,"NHAP_NL")&gt;0),1,0))</f>
        <v>0</v>
      </c>
    </row>
    <row r="26" spans="1:8" x14ac:dyDescent="0.25">
      <c r="A26" s="41"/>
      <c r="B26" s="33"/>
      <c r="C26" s="32"/>
      <c r="D26" s="32"/>
      <c r="E26" s="37"/>
      <c r="F26" s="42"/>
      <c r="G26" s="32"/>
      <c r="H26" s="36">
        <f>IF(D26="",0,IF(AND(B26&gt;=ThongTin!$C$9,B26&lt;=ThongTin!$C$10,COUNTIFS(ThongTin!$B$19:$B$48,C26,ThongTin!$A$19:$A$48,ThongTin!$C$8,ThongTin!$C$19:$C$48,"NHAP_NL")&gt;0),1,0))</f>
        <v>0</v>
      </c>
    </row>
    <row r="27" spans="1:8" x14ac:dyDescent="0.25">
      <c r="A27" s="41"/>
      <c r="B27" s="33"/>
      <c r="C27" s="32"/>
      <c r="D27" s="32"/>
      <c r="E27" s="37"/>
      <c r="F27" s="42"/>
      <c r="G27" s="32"/>
      <c r="H27" s="36">
        <f>IF(D27="",0,IF(AND(B27&gt;=ThongTin!$C$9,B27&lt;=ThongTin!$C$10,COUNTIFS(ThongTin!$B$19:$B$48,C27,ThongTin!$A$19:$A$48,ThongTin!$C$8,ThongTin!$C$19:$C$48,"NHAP_NL")&gt;0),1,0))</f>
        <v>0</v>
      </c>
    </row>
    <row r="28" spans="1:8" x14ac:dyDescent="0.25">
      <c r="A28" s="41"/>
      <c r="B28" s="33"/>
      <c r="C28" s="32"/>
      <c r="D28" s="32"/>
      <c r="E28" s="37"/>
      <c r="F28" s="42"/>
      <c r="G28" s="32"/>
      <c r="H28" s="36">
        <f>IF(D28="",0,IF(AND(B28&gt;=ThongTin!$C$9,B28&lt;=ThongTin!$C$10,COUNTIFS(ThongTin!$B$19:$B$48,C28,ThongTin!$A$19:$A$48,ThongTin!$C$8,ThongTin!$C$19:$C$48,"NHAP_NL")&gt;0),1,0))</f>
        <v>0</v>
      </c>
    </row>
    <row r="29" spans="1:8" x14ac:dyDescent="0.25">
      <c r="A29" s="41"/>
      <c r="B29" s="33"/>
      <c r="C29" s="32"/>
      <c r="D29" s="32"/>
      <c r="E29" s="37"/>
      <c r="F29" s="42"/>
      <c r="G29" s="32"/>
      <c r="H29" s="36">
        <f>IF(D29="",0,IF(AND(B29&gt;=ThongTin!$C$9,B29&lt;=ThongTin!$C$10,COUNTIFS(ThongTin!$B$19:$B$48,C29,ThongTin!$A$19:$A$48,ThongTin!$C$8,ThongTin!$C$19:$C$48,"NHAP_NL")&gt;0),1,0))</f>
        <v>0</v>
      </c>
    </row>
    <row r="30" spans="1:8" x14ac:dyDescent="0.25">
      <c r="A30" s="41"/>
      <c r="B30" s="33"/>
      <c r="C30" s="32"/>
      <c r="D30" s="32"/>
      <c r="E30" s="37"/>
      <c r="F30" s="42"/>
      <c r="G30" s="32"/>
      <c r="H30" s="36">
        <f>IF(D30="",0,IF(AND(B30&gt;=ThongTin!$C$9,B30&lt;=ThongTin!$C$10,COUNTIFS(ThongTin!$B$19:$B$48,C30,ThongTin!$A$19:$A$48,ThongTin!$C$8,ThongTin!$C$19:$C$48,"NHAP_NL")&gt;0),1,0))</f>
        <v>0</v>
      </c>
    </row>
    <row r="31" spans="1:8" x14ac:dyDescent="0.25">
      <c r="A31" s="41"/>
      <c r="B31" s="33"/>
      <c r="C31" s="32"/>
      <c r="D31" s="32"/>
      <c r="E31" s="37"/>
      <c r="F31" s="42"/>
      <c r="G31" s="32"/>
      <c r="H31" s="36">
        <f>IF(D31="",0,IF(AND(B31&gt;=ThongTin!$C$9,B31&lt;=ThongTin!$C$10,COUNTIFS(ThongTin!$B$19:$B$48,C31,ThongTin!$A$19:$A$48,ThongTin!$C$8,ThongTin!$C$19:$C$48,"NHAP_NL")&gt;0),1,0))</f>
        <v>0</v>
      </c>
    </row>
    <row r="32" spans="1:8" x14ac:dyDescent="0.25">
      <c r="A32" s="41"/>
      <c r="B32" s="33"/>
      <c r="C32" s="32"/>
      <c r="D32" s="32"/>
      <c r="E32" s="37"/>
      <c r="F32" s="42"/>
      <c r="G32" s="32"/>
      <c r="H32" s="36">
        <f>IF(D32="",0,IF(AND(B32&gt;=ThongTin!$C$9,B32&lt;=ThongTin!$C$10,COUNTIFS(ThongTin!$B$19:$B$48,C32,ThongTin!$A$19:$A$48,ThongTin!$C$8,ThongTin!$C$19:$C$48,"NHAP_NL")&gt;0),1,0))</f>
        <v>0</v>
      </c>
    </row>
    <row r="33" spans="1:8" x14ac:dyDescent="0.25">
      <c r="A33" s="41"/>
      <c r="B33" s="33"/>
      <c r="C33" s="32"/>
      <c r="D33" s="32"/>
      <c r="E33" s="37"/>
      <c r="F33" s="42"/>
      <c r="G33" s="32"/>
      <c r="H33" s="36">
        <f>IF(D33="",0,IF(AND(B33&gt;=ThongTin!$C$9,B33&lt;=ThongTin!$C$10,COUNTIFS(ThongTin!$B$19:$B$48,C33,ThongTin!$A$19:$A$48,ThongTin!$C$8,ThongTin!$C$19:$C$48,"NHAP_NL")&gt;0),1,0))</f>
        <v>0</v>
      </c>
    </row>
    <row r="34" spans="1:8" x14ac:dyDescent="0.25">
      <c r="A34" s="41"/>
      <c r="B34" s="33"/>
      <c r="C34" s="32"/>
      <c r="D34" s="32"/>
      <c r="E34" s="37"/>
      <c r="F34" s="42"/>
      <c r="G34" s="32"/>
      <c r="H34" s="36">
        <f>IF(D34="",0,IF(AND(B34&gt;=ThongTin!$C$9,B34&lt;=ThongTin!$C$10,COUNTIFS(ThongTin!$B$19:$B$48,C34,ThongTin!$A$19:$A$48,ThongTin!$C$8,ThongTin!$C$19:$C$48,"NHAP_NL")&gt;0),1,0))</f>
        <v>0</v>
      </c>
    </row>
    <row r="35" spans="1:8" x14ac:dyDescent="0.25">
      <c r="A35" s="41"/>
      <c r="B35" s="33"/>
      <c r="C35" s="32"/>
      <c r="D35" s="32"/>
      <c r="E35" s="37"/>
      <c r="F35" s="42"/>
      <c r="G35" s="32"/>
      <c r="H35" s="36">
        <f>IF(D35="",0,IF(AND(B35&gt;=ThongTin!$C$9,B35&lt;=ThongTin!$C$10,COUNTIFS(ThongTin!$B$19:$B$48,C35,ThongTin!$A$19:$A$48,ThongTin!$C$8,ThongTin!$C$19:$C$48,"NHAP_NL")&gt;0),1,0))</f>
        <v>0</v>
      </c>
    </row>
    <row r="36" spans="1:8" x14ac:dyDescent="0.25">
      <c r="A36" s="41"/>
      <c r="B36" s="33"/>
      <c r="C36" s="32"/>
      <c r="D36" s="32"/>
      <c r="E36" s="37"/>
      <c r="F36" s="42"/>
      <c r="G36" s="32"/>
      <c r="H36" s="36">
        <f>IF(D36="",0,IF(AND(B36&gt;=ThongTin!$C$9,B36&lt;=ThongTin!$C$10,COUNTIFS(ThongTin!$B$19:$B$48,C36,ThongTin!$A$19:$A$48,ThongTin!$C$8,ThongTin!$C$19:$C$48,"NHAP_NL")&gt;0),1,0))</f>
        <v>0</v>
      </c>
    </row>
    <row r="37" spans="1:8" x14ac:dyDescent="0.25">
      <c r="A37" s="41"/>
      <c r="B37" s="33"/>
      <c r="C37" s="32"/>
      <c r="D37" s="32"/>
      <c r="E37" s="37"/>
      <c r="F37" s="42"/>
      <c r="G37" s="32"/>
      <c r="H37" s="36">
        <f>IF(D37="",0,IF(AND(B37&gt;=ThongTin!$C$9,B37&lt;=ThongTin!$C$10,COUNTIFS(ThongTin!$B$19:$B$48,C37,ThongTin!$A$19:$A$48,ThongTin!$C$8,ThongTin!$C$19:$C$48,"NHAP_NL")&gt;0),1,0))</f>
        <v>0</v>
      </c>
    </row>
    <row r="38" spans="1:8" x14ac:dyDescent="0.25">
      <c r="A38" s="41"/>
      <c r="B38" s="33"/>
      <c r="C38" s="32"/>
      <c r="D38" s="32"/>
      <c r="E38" s="37"/>
      <c r="F38" s="42"/>
      <c r="G38" s="32"/>
      <c r="H38" s="36">
        <f>IF(D38="",0,IF(AND(B38&gt;=ThongTin!$C$9,B38&lt;=ThongTin!$C$10,COUNTIFS(ThongTin!$B$19:$B$48,C38,ThongTin!$A$19:$A$48,ThongTin!$C$8,ThongTin!$C$19:$C$48,"NHAP_NL")&gt;0),1,0))</f>
        <v>0</v>
      </c>
    </row>
    <row r="39" spans="1:8" x14ac:dyDescent="0.25">
      <c r="A39" s="41"/>
      <c r="B39" s="33"/>
      <c r="C39" s="32"/>
      <c r="D39" s="32"/>
      <c r="E39" s="37"/>
      <c r="F39" s="42"/>
      <c r="G39" s="32"/>
      <c r="H39" s="36">
        <f>IF(D39="",0,IF(AND(B39&gt;=ThongTin!$C$9,B39&lt;=ThongTin!$C$10,COUNTIFS(ThongTin!$B$19:$B$48,C39,ThongTin!$A$19:$A$48,ThongTin!$C$8,ThongTin!$C$19:$C$48,"NHAP_NL")&gt;0),1,0))</f>
        <v>0</v>
      </c>
    </row>
    <row r="40" spans="1:8" x14ac:dyDescent="0.25">
      <c r="A40" s="41"/>
      <c r="B40" s="33"/>
      <c r="C40" s="32"/>
      <c r="D40" s="32"/>
      <c r="E40" s="37"/>
      <c r="F40" s="42"/>
      <c r="G40" s="32"/>
      <c r="H40" s="36">
        <f>IF(D40="",0,IF(AND(B40&gt;=ThongTin!$C$9,B40&lt;=ThongTin!$C$10,COUNTIFS(ThongTin!$B$19:$B$48,C40,ThongTin!$A$19:$A$48,ThongTin!$C$8,ThongTin!$C$19:$C$48,"NHAP_NL")&gt;0),1,0))</f>
        <v>0</v>
      </c>
    </row>
    <row r="41" spans="1:8" x14ac:dyDescent="0.25">
      <c r="A41" s="41"/>
      <c r="B41" s="33"/>
      <c r="C41" s="32"/>
      <c r="D41" s="32"/>
      <c r="E41" s="37"/>
      <c r="F41" s="42"/>
      <c r="G41" s="32"/>
      <c r="H41" s="36">
        <f>IF(D41="",0,IF(AND(B41&gt;=ThongTin!$C$9,B41&lt;=ThongTin!$C$10,COUNTIFS(ThongTin!$B$19:$B$48,C41,ThongTin!$A$19:$A$48,ThongTin!$C$8,ThongTin!$C$19:$C$48,"NHAP_NL")&gt;0),1,0))</f>
        <v>0</v>
      </c>
    </row>
    <row r="42" spans="1:8" x14ac:dyDescent="0.25">
      <c r="A42" s="41"/>
      <c r="B42" s="33"/>
      <c r="C42" s="32"/>
      <c r="D42" s="32"/>
      <c r="E42" s="37"/>
      <c r="F42" s="42"/>
      <c r="G42" s="32"/>
      <c r="H42" s="36">
        <f>IF(D42="",0,IF(AND(B42&gt;=ThongTin!$C$9,B42&lt;=ThongTin!$C$10,COUNTIFS(ThongTin!$B$19:$B$48,C42,ThongTin!$A$19:$A$48,ThongTin!$C$8,ThongTin!$C$19:$C$48,"NHAP_NL")&gt;0),1,0))</f>
        <v>0</v>
      </c>
    </row>
    <row r="43" spans="1:8" x14ac:dyDescent="0.25">
      <c r="A43" s="41"/>
      <c r="B43" s="33"/>
      <c r="C43" s="32"/>
      <c r="D43" s="32"/>
      <c r="E43" s="37"/>
      <c r="F43" s="42"/>
      <c r="G43" s="32"/>
      <c r="H43" s="36">
        <f>IF(D43="",0,IF(AND(B43&gt;=ThongTin!$C$9,B43&lt;=ThongTin!$C$10,COUNTIFS(ThongTin!$B$19:$B$48,C43,ThongTin!$A$19:$A$48,ThongTin!$C$8,ThongTin!$C$19:$C$48,"NHAP_NL")&gt;0),1,0))</f>
        <v>0</v>
      </c>
    </row>
    <row r="44" spans="1:8" x14ac:dyDescent="0.25">
      <c r="A44" s="41"/>
      <c r="B44" s="33"/>
      <c r="C44" s="32"/>
      <c r="D44" s="32"/>
      <c r="E44" s="37"/>
      <c r="F44" s="42"/>
      <c r="G44" s="32"/>
      <c r="H44" s="36">
        <f>IF(D44="",0,IF(AND(B44&gt;=ThongTin!$C$9,B44&lt;=ThongTin!$C$10,COUNTIFS(ThongTin!$B$19:$B$48,C44,ThongTin!$A$19:$A$48,ThongTin!$C$8,ThongTin!$C$19:$C$48,"NHAP_NL")&gt;0),1,0))</f>
        <v>0</v>
      </c>
    </row>
    <row r="45" spans="1:8" x14ac:dyDescent="0.25">
      <c r="A45" s="41"/>
      <c r="B45" s="33"/>
      <c r="C45" s="32"/>
      <c r="D45" s="32"/>
      <c r="E45" s="37"/>
      <c r="F45" s="42"/>
      <c r="G45" s="32"/>
      <c r="H45" s="36">
        <f>IF(D45="",0,IF(AND(B45&gt;=ThongTin!$C$9,B45&lt;=ThongTin!$C$10,COUNTIFS(ThongTin!$B$19:$B$48,C45,ThongTin!$A$19:$A$48,ThongTin!$C$8,ThongTin!$C$19:$C$48,"NHAP_NL")&gt;0),1,0))</f>
        <v>0</v>
      </c>
    </row>
    <row r="46" spans="1:8" x14ac:dyDescent="0.25">
      <c r="A46" s="41"/>
      <c r="B46" s="33"/>
      <c r="C46" s="32"/>
      <c r="D46" s="32"/>
      <c r="E46" s="37"/>
      <c r="F46" s="42"/>
      <c r="G46" s="32"/>
      <c r="H46" s="36">
        <f>IF(D46="",0,IF(AND(B46&gt;=ThongTin!$C$9,B46&lt;=ThongTin!$C$10,COUNTIFS(ThongTin!$B$19:$B$48,C46,ThongTin!$A$19:$A$48,ThongTin!$C$8,ThongTin!$C$19:$C$48,"NHAP_NL")&gt;0),1,0))</f>
        <v>0</v>
      </c>
    </row>
    <row r="47" spans="1:8" x14ac:dyDescent="0.25">
      <c r="A47" s="41"/>
      <c r="B47" s="33"/>
      <c r="C47" s="32"/>
      <c r="D47" s="32"/>
      <c r="E47" s="37"/>
      <c r="F47" s="42"/>
      <c r="G47" s="32"/>
      <c r="H47" s="36">
        <f>IF(D47="",0,IF(AND(B47&gt;=ThongTin!$C$9,B47&lt;=ThongTin!$C$10,COUNTIFS(ThongTin!$B$19:$B$48,C47,ThongTin!$A$19:$A$48,ThongTin!$C$8,ThongTin!$C$19:$C$48,"NHAP_NL")&gt;0),1,0))</f>
        <v>0</v>
      </c>
    </row>
    <row r="48" spans="1:8" x14ac:dyDescent="0.25">
      <c r="A48" s="41"/>
      <c r="B48" s="33"/>
      <c r="C48" s="32"/>
      <c r="D48" s="32"/>
      <c r="E48" s="37"/>
      <c r="F48" s="42"/>
      <c r="G48" s="32"/>
      <c r="H48" s="36">
        <f>IF(D48="",0,IF(AND(B48&gt;=ThongTin!$C$9,B48&lt;=ThongTin!$C$10,COUNTIFS(ThongTin!$B$19:$B$48,C48,ThongTin!$A$19:$A$48,ThongTin!$C$8,ThongTin!$C$19:$C$48,"NHAP_NL")&gt;0),1,0))</f>
        <v>0</v>
      </c>
    </row>
    <row r="49" spans="1:8" x14ac:dyDescent="0.25">
      <c r="A49" s="41"/>
      <c r="B49" s="33"/>
      <c r="C49" s="32"/>
      <c r="D49" s="32"/>
      <c r="E49" s="37"/>
      <c r="F49" s="42"/>
      <c r="G49" s="32"/>
      <c r="H49" s="36">
        <f>IF(D49="",0,IF(AND(B49&gt;=ThongTin!$C$9,B49&lt;=ThongTin!$C$10,COUNTIFS(ThongTin!$B$19:$B$48,C49,ThongTin!$A$19:$A$48,ThongTin!$C$8,ThongTin!$C$19:$C$48,"NHAP_NL")&gt;0),1,0))</f>
        <v>0</v>
      </c>
    </row>
    <row r="50" spans="1:8" x14ac:dyDescent="0.25">
      <c r="A50" s="41"/>
      <c r="B50" s="33"/>
      <c r="C50" s="32"/>
      <c r="D50" s="32"/>
      <c r="E50" s="37"/>
      <c r="F50" s="42"/>
      <c r="G50" s="32"/>
      <c r="H50" s="36">
        <f>IF(D50="",0,IF(AND(B50&gt;=ThongTin!$C$9,B50&lt;=ThongTin!$C$10,COUNTIFS(ThongTin!$B$19:$B$48,C50,ThongTin!$A$19:$A$48,ThongTin!$C$8,ThongTin!$C$19:$C$48,"NHAP_NL")&gt;0),1,0))</f>
        <v>0</v>
      </c>
    </row>
    <row r="51" spans="1:8" x14ac:dyDescent="0.25">
      <c r="A51" s="41"/>
      <c r="B51" s="33"/>
      <c r="C51" s="32"/>
      <c r="D51" s="32"/>
      <c r="E51" s="37"/>
      <c r="F51" s="42"/>
      <c r="G51" s="32"/>
      <c r="H51" s="36">
        <f>IF(D51="",0,IF(AND(B51&gt;=ThongTin!$C$9,B51&lt;=ThongTin!$C$10,COUNTIFS(ThongTin!$B$19:$B$48,C51,ThongTin!$A$19:$A$48,ThongTin!$C$8,ThongTin!$C$19:$C$48,"NHAP_NL")&gt;0),1,0))</f>
        <v>0</v>
      </c>
    </row>
    <row r="52" spans="1:8" x14ac:dyDescent="0.25">
      <c r="A52" s="41"/>
      <c r="B52" s="33"/>
      <c r="C52" s="32"/>
      <c r="D52" s="32"/>
      <c r="E52" s="37"/>
      <c r="F52" s="42"/>
      <c r="G52" s="32"/>
      <c r="H52" s="36">
        <f>IF(D52="",0,IF(AND(B52&gt;=ThongTin!$C$9,B52&lt;=ThongTin!$C$10,COUNTIFS(ThongTin!$B$19:$B$48,C52,ThongTin!$A$19:$A$48,ThongTin!$C$8,ThongTin!$C$19:$C$48,"NHAP_NL")&gt;0),1,0))</f>
        <v>0</v>
      </c>
    </row>
    <row r="53" spans="1:8" x14ac:dyDescent="0.25">
      <c r="A53" s="41"/>
      <c r="B53" s="33"/>
      <c r="C53" s="32"/>
      <c r="D53" s="32"/>
      <c r="E53" s="37"/>
      <c r="F53" s="42"/>
      <c r="G53" s="32"/>
      <c r="H53" s="36">
        <f>IF(D53="",0,IF(AND(B53&gt;=ThongTin!$C$9,B53&lt;=ThongTin!$C$10,COUNTIFS(ThongTin!$B$19:$B$48,C53,ThongTin!$A$19:$A$48,ThongTin!$C$8,ThongTin!$C$19:$C$48,"NHAP_NL")&gt;0),1,0))</f>
        <v>0</v>
      </c>
    </row>
    <row r="54" spans="1:8" x14ac:dyDescent="0.25">
      <c r="A54" s="41"/>
      <c r="B54" s="33"/>
      <c r="C54" s="32"/>
      <c r="D54" s="32"/>
      <c r="E54" s="37"/>
      <c r="F54" s="42"/>
      <c r="G54" s="32"/>
      <c r="H54" s="36">
        <f>IF(D54="",0,IF(AND(B54&gt;=ThongTin!$C$9,B54&lt;=ThongTin!$C$10,COUNTIFS(ThongTin!$B$19:$B$48,C54,ThongTin!$A$19:$A$48,ThongTin!$C$8,ThongTin!$C$19:$C$48,"NHAP_NL")&gt;0),1,0))</f>
        <v>0</v>
      </c>
    </row>
    <row r="55" spans="1:8" x14ac:dyDescent="0.25">
      <c r="A55" s="41"/>
      <c r="B55" s="33"/>
      <c r="C55" s="32"/>
      <c r="D55" s="32"/>
      <c r="E55" s="37"/>
      <c r="F55" s="42"/>
      <c r="G55" s="32"/>
      <c r="H55" s="36">
        <f>IF(D55="",0,IF(AND(B55&gt;=ThongTin!$C$9,B55&lt;=ThongTin!$C$10,COUNTIFS(ThongTin!$B$19:$B$48,C55,ThongTin!$A$19:$A$48,ThongTin!$C$8,ThongTin!$C$19:$C$48,"NHAP_NL")&gt;0),1,0))</f>
        <v>0</v>
      </c>
    </row>
    <row r="56" spans="1:8" x14ac:dyDescent="0.25">
      <c r="A56" s="41"/>
      <c r="B56" s="33"/>
      <c r="C56" s="32"/>
      <c r="D56" s="32"/>
      <c r="E56" s="37"/>
      <c r="F56" s="42"/>
      <c r="G56" s="32"/>
      <c r="H56" s="36">
        <f>IF(D56="",0,IF(AND(B56&gt;=ThongTin!$C$9,B56&lt;=ThongTin!$C$10,COUNTIFS(ThongTin!$B$19:$B$48,C56,ThongTin!$A$19:$A$48,ThongTin!$C$8,ThongTin!$C$19:$C$48,"NHAP_NL")&gt;0),1,0))</f>
        <v>0</v>
      </c>
    </row>
    <row r="57" spans="1:8" x14ac:dyDescent="0.25">
      <c r="A57" s="41"/>
      <c r="B57" s="33"/>
      <c r="C57" s="32"/>
      <c r="D57" s="32"/>
      <c r="E57" s="37"/>
      <c r="F57" s="42"/>
      <c r="G57" s="32"/>
      <c r="H57" s="36">
        <f>IF(D57="",0,IF(AND(B57&gt;=ThongTin!$C$9,B57&lt;=ThongTin!$C$10,COUNTIFS(ThongTin!$B$19:$B$48,C57,ThongTin!$A$19:$A$48,ThongTin!$C$8,ThongTin!$C$19:$C$48,"NHAP_NL")&gt;0),1,0))</f>
        <v>0</v>
      </c>
    </row>
    <row r="58" spans="1:8" x14ac:dyDescent="0.25">
      <c r="A58" s="41"/>
      <c r="B58" s="33"/>
      <c r="C58" s="32"/>
      <c r="D58" s="32"/>
      <c r="E58" s="37"/>
      <c r="F58" s="42"/>
      <c r="G58" s="32"/>
      <c r="H58" s="36">
        <f>IF(D58="",0,IF(AND(B58&gt;=ThongTin!$C$9,B58&lt;=ThongTin!$C$10,COUNTIFS(ThongTin!$B$19:$B$48,C58,ThongTin!$A$19:$A$48,ThongTin!$C$8,ThongTin!$C$19:$C$48,"NHAP_NL")&gt;0),1,0))</f>
        <v>0</v>
      </c>
    </row>
    <row r="59" spans="1:8" x14ac:dyDescent="0.25">
      <c r="A59" s="41"/>
      <c r="B59" s="33"/>
      <c r="C59" s="32"/>
      <c r="D59" s="32"/>
      <c r="E59" s="37"/>
      <c r="F59" s="42"/>
      <c r="G59" s="32"/>
      <c r="H59" s="36">
        <f>IF(D59="",0,IF(AND(B59&gt;=ThongTin!$C$9,B59&lt;=ThongTin!$C$10,COUNTIFS(ThongTin!$B$19:$B$48,C59,ThongTin!$A$19:$A$48,ThongTin!$C$8,ThongTin!$C$19:$C$48,"NHAP_NL")&gt;0),1,0))</f>
        <v>0</v>
      </c>
    </row>
    <row r="60" spans="1:8" x14ac:dyDescent="0.25">
      <c r="A60" s="41"/>
      <c r="B60" s="33"/>
      <c r="C60" s="32"/>
      <c r="D60" s="32"/>
      <c r="E60" s="37"/>
      <c r="F60" s="42"/>
      <c r="G60" s="32"/>
      <c r="H60" s="36">
        <f>IF(D60="",0,IF(AND(B60&gt;=ThongTin!$C$9,B60&lt;=ThongTin!$C$10,COUNTIFS(ThongTin!$B$19:$B$48,C60,ThongTin!$A$19:$A$48,ThongTin!$C$8,ThongTin!$C$19:$C$48,"NHAP_NL")&gt;0),1,0))</f>
        <v>0</v>
      </c>
    </row>
    <row r="61" spans="1:8" x14ac:dyDescent="0.25">
      <c r="A61" s="41"/>
      <c r="B61" s="33"/>
      <c r="C61" s="32"/>
      <c r="D61" s="32"/>
      <c r="E61" s="37"/>
      <c r="F61" s="42"/>
      <c r="G61" s="32"/>
      <c r="H61" s="36">
        <f>IF(D61="",0,IF(AND(B61&gt;=ThongTin!$C$9,B61&lt;=ThongTin!$C$10,COUNTIFS(ThongTin!$B$19:$B$48,C61,ThongTin!$A$19:$A$48,ThongTin!$C$8,ThongTin!$C$19:$C$48,"NHAP_NL")&gt;0),1,0))</f>
        <v>0</v>
      </c>
    </row>
    <row r="62" spans="1:8" x14ac:dyDescent="0.25">
      <c r="A62" s="41"/>
      <c r="B62" s="33"/>
      <c r="C62" s="32"/>
      <c r="D62" s="32"/>
      <c r="E62" s="37"/>
      <c r="F62" s="42"/>
      <c r="G62" s="32"/>
      <c r="H62" s="36">
        <f>IF(D62="",0,IF(AND(B62&gt;=ThongTin!$C$9,B62&lt;=ThongTin!$C$10,COUNTIFS(ThongTin!$B$19:$B$48,C62,ThongTin!$A$19:$A$48,ThongTin!$C$8,ThongTin!$C$19:$C$48,"NHAP_NL")&gt;0),1,0))</f>
        <v>0</v>
      </c>
    </row>
    <row r="63" spans="1:8" x14ac:dyDescent="0.25">
      <c r="A63" s="41"/>
      <c r="B63" s="33"/>
      <c r="C63" s="32"/>
      <c r="D63" s="32"/>
      <c r="E63" s="37"/>
      <c r="F63" s="42"/>
      <c r="G63" s="32"/>
      <c r="H63" s="36">
        <f>IF(D63="",0,IF(AND(B63&gt;=ThongTin!$C$9,B63&lt;=ThongTin!$C$10,COUNTIFS(ThongTin!$B$19:$B$48,C63,ThongTin!$A$19:$A$48,ThongTin!$C$8,ThongTin!$C$19:$C$48,"NHAP_NL")&gt;0),1,0))</f>
        <v>0</v>
      </c>
    </row>
    <row r="64" spans="1:8" x14ac:dyDescent="0.25">
      <c r="A64" s="41"/>
      <c r="B64" s="33"/>
      <c r="C64" s="32"/>
      <c r="D64" s="32"/>
      <c r="E64" s="37"/>
      <c r="F64" s="42"/>
      <c r="G64" s="32"/>
      <c r="H64" s="36">
        <f>IF(D64="",0,IF(AND(B64&gt;=ThongTin!$C$9,B64&lt;=ThongTin!$C$10,COUNTIFS(ThongTin!$B$19:$B$48,C64,ThongTin!$A$19:$A$48,ThongTin!$C$8,ThongTin!$C$19:$C$48,"NHAP_NL")&gt;0),1,0))</f>
        <v>0</v>
      </c>
    </row>
    <row r="65" spans="1:8" x14ac:dyDescent="0.25">
      <c r="A65" s="41"/>
      <c r="B65" s="33"/>
      <c r="C65" s="32"/>
      <c r="D65" s="32"/>
      <c r="E65" s="37"/>
      <c r="F65" s="42"/>
      <c r="G65" s="32"/>
      <c r="H65" s="36">
        <f>IF(D65="",0,IF(AND(B65&gt;=ThongTin!$C$9,B65&lt;=ThongTin!$C$10,COUNTIFS(ThongTin!$B$19:$B$48,C65,ThongTin!$A$19:$A$48,ThongTin!$C$8,ThongTin!$C$19:$C$48,"NHAP_NL")&gt;0),1,0))</f>
        <v>0</v>
      </c>
    </row>
    <row r="66" spans="1:8" x14ac:dyDescent="0.25">
      <c r="A66" s="41"/>
      <c r="B66" s="33"/>
      <c r="C66" s="32"/>
      <c r="D66" s="32"/>
      <c r="E66" s="37"/>
      <c r="F66" s="42"/>
      <c r="G66" s="32"/>
      <c r="H66" s="36">
        <f>IF(D66="",0,IF(AND(B66&gt;=ThongTin!$C$9,B66&lt;=ThongTin!$C$10,COUNTIFS(ThongTin!$B$19:$B$48,C66,ThongTin!$A$19:$A$48,ThongTin!$C$8,ThongTin!$C$19:$C$48,"NHAP_NL")&gt;0),1,0))</f>
        <v>0</v>
      </c>
    </row>
    <row r="67" spans="1:8" x14ac:dyDescent="0.25">
      <c r="A67" s="41"/>
      <c r="B67" s="33"/>
      <c r="C67" s="32"/>
      <c r="D67" s="32"/>
      <c r="E67" s="37"/>
      <c r="F67" s="42"/>
      <c r="G67" s="32"/>
      <c r="H67" s="36">
        <f>IF(D67="",0,IF(AND(B67&gt;=ThongTin!$C$9,B67&lt;=ThongTin!$C$10,COUNTIFS(ThongTin!$B$19:$B$48,C67,ThongTin!$A$19:$A$48,ThongTin!$C$8,ThongTin!$C$19:$C$48,"NHAP_NL")&gt;0),1,0))</f>
        <v>0</v>
      </c>
    </row>
    <row r="68" spans="1:8" x14ac:dyDescent="0.25">
      <c r="A68" s="41"/>
      <c r="B68" s="33"/>
      <c r="C68" s="32"/>
      <c r="D68" s="32"/>
      <c r="E68" s="37"/>
      <c r="F68" s="42"/>
      <c r="G68" s="32"/>
      <c r="H68" s="36">
        <f>IF(D68="",0,IF(AND(B68&gt;=ThongTin!$C$9,B68&lt;=ThongTin!$C$10,COUNTIFS(ThongTin!$B$19:$B$48,C68,ThongTin!$A$19:$A$48,ThongTin!$C$8,ThongTin!$C$19:$C$48,"NHAP_NL")&gt;0),1,0))</f>
        <v>0</v>
      </c>
    </row>
    <row r="69" spans="1:8" x14ac:dyDescent="0.25">
      <c r="A69" s="41"/>
      <c r="B69" s="33"/>
      <c r="C69" s="32"/>
      <c r="D69" s="32"/>
      <c r="E69" s="37"/>
      <c r="F69" s="42"/>
      <c r="G69" s="32"/>
      <c r="H69" s="36">
        <f>IF(D69="",0,IF(AND(B69&gt;=ThongTin!$C$9,B69&lt;=ThongTin!$C$10,COUNTIFS(ThongTin!$B$19:$B$48,C69,ThongTin!$A$19:$A$48,ThongTin!$C$8,ThongTin!$C$19:$C$48,"NHAP_NL")&gt;0),1,0))</f>
        <v>0</v>
      </c>
    </row>
    <row r="70" spans="1:8" x14ac:dyDescent="0.25">
      <c r="A70" s="41"/>
      <c r="B70" s="33"/>
      <c r="C70" s="32"/>
      <c r="D70" s="32"/>
      <c r="E70" s="37"/>
      <c r="F70" s="42"/>
      <c r="G70" s="32"/>
      <c r="H70" s="36">
        <f>IF(D70="",0,IF(AND(B70&gt;=ThongTin!$C$9,B70&lt;=ThongTin!$C$10,COUNTIFS(ThongTin!$B$19:$B$48,C70,ThongTin!$A$19:$A$48,ThongTin!$C$8,ThongTin!$C$19:$C$48,"NHAP_NL")&gt;0),1,0))</f>
        <v>0</v>
      </c>
    </row>
    <row r="71" spans="1:8" x14ac:dyDescent="0.25">
      <c r="A71" s="41"/>
      <c r="B71" s="33"/>
      <c r="C71" s="32"/>
      <c r="D71" s="32"/>
      <c r="E71" s="37"/>
      <c r="F71" s="42"/>
      <c r="G71" s="32"/>
      <c r="H71" s="36">
        <f>IF(D71="",0,IF(AND(B71&gt;=ThongTin!$C$9,B71&lt;=ThongTin!$C$10,COUNTIFS(ThongTin!$B$19:$B$48,C71,ThongTin!$A$19:$A$48,ThongTin!$C$8,ThongTin!$C$19:$C$48,"NHAP_NL")&gt;0),1,0))</f>
        <v>0</v>
      </c>
    </row>
    <row r="72" spans="1:8" x14ac:dyDescent="0.25">
      <c r="A72" s="41"/>
      <c r="B72" s="33"/>
      <c r="C72" s="32"/>
      <c r="D72" s="32"/>
      <c r="E72" s="37"/>
      <c r="F72" s="42"/>
      <c r="G72" s="32"/>
      <c r="H72" s="36">
        <f>IF(D72="",0,IF(AND(B72&gt;=ThongTin!$C$9,B72&lt;=ThongTin!$C$10,COUNTIFS(ThongTin!$B$19:$B$48,C72,ThongTin!$A$19:$A$48,ThongTin!$C$8,ThongTin!$C$19:$C$48,"NHAP_NL")&gt;0),1,0))</f>
        <v>0</v>
      </c>
    </row>
    <row r="73" spans="1:8" x14ac:dyDescent="0.25">
      <c r="A73" s="41"/>
      <c r="B73" s="33"/>
      <c r="C73" s="32"/>
      <c r="D73" s="32"/>
      <c r="E73" s="37"/>
      <c r="F73" s="42"/>
      <c r="G73" s="32"/>
      <c r="H73" s="36">
        <f>IF(D73="",0,IF(AND(B73&gt;=ThongTin!$C$9,B73&lt;=ThongTin!$C$10,COUNTIFS(ThongTin!$B$19:$B$48,C73,ThongTin!$A$19:$A$48,ThongTin!$C$8,ThongTin!$C$19:$C$48,"NHAP_NL")&gt;0),1,0))</f>
        <v>0</v>
      </c>
    </row>
    <row r="74" spans="1:8" x14ac:dyDescent="0.25">
      <c r="A74" s="41"/>
      <c r="B74" s="33"/>
      <c r="C74" s="32"/>
      <c r="D74" s="32"/>
      <c r="E74" s="37"/>
      <c r="F74" s="42"/>
      <c r="G74" s="32"/>
      <c r="H74" s="36">
        <f>IF(D74="",0,IF(AND(B74&gt;=ThongTin!$C$9,B74&lt;=ThongTin!$C$10,COUNTIFS(ThongTin!$B$19:$B$48,C74,ThongTin!$A$19:$A$48,ThongTin!$C$8,ThongTin!$C$19:$C$48,"NHAP_NL")&gt;0),1,0))</f>
        <v>0</v>
      </c>
    </row>
    <row r="75" spans="1:8" x14ac:dyDescent="0.25">
      <c r="A75" s="41"/>
      <c r="B75" s="33"/>
      <c r="C75" s="32"/>
      <c r="D75" s="32"/>
      <c r="E75" s="37"/>
      <c r="F75" s="42"/>
      <c r="G75" s="32"/>
      <c r="H75" s="36">
        <f>IF(D75="",0,IF(AND(B75&gt;=ThongTin!$C$9,B75&lt;=ThongTin!$C$10,COUNTIFS(ThongTin!$B$19:$B$48,C75,ThongTin!$A$19:$A$48,ThongTin!$C$8,ThongTin!$C$19:$C$48,"NHAP_NL")&gt;0),1,0))</f>
        <v>0</v>
      </c>
    </row>
    <row r="76" spans="1:8" x14ac:dyDescent="0.25">
      <c r="A76" s="41"/>
      <c r="B76" s="33"/>
      <c r="C76" s="32"/>
      <c r="D76" s="32"/>
      <c r="E76" s="37"/>
      <c r="F76" s="42"/>
      <c r="G76" s="32"/>
      <c r="H76" s="36">
        <f>IF(D76="",0,IF(AND(B76&gt;=ThongTin!$C$9,B76&lt;=ThongTin!$C$10,COUNTIFS(ThongTin!$B$19:$B$48,C76,ThongTin!$A$19:$A$48,ThongTin!$C$8,ThongTin!$C$19:$C$48,"NHAP_NL")&gt;0),1,0))</f>
        <v>0</v>
      </c>
    </row>
    <row r="77" spans="1:8" x14ac:dyDescent="0.25">
      <c r="A77" s="41"/>
      <c r="B77" s="33"/>
      <c r="C77" s="32"/>
      <c r="D77" s="32"/>
      <c r="E77" s="37"/>
      <c r="F77" s="42"/>
      <c r="G77" s="32"/>
      <c r="H77" s="36">
        <f>IF(D77="",0,IF(AND(B77&gt;=ThongTin!$C$9,B77&lt;=ThongTin!$C$10,COUNTIFS(ThongTin!$B$19:$B$48,C77,ThongTin!$A$19:$A$48,ThongTin!$C$8,ThongTin!$C$19:$C$48,"NHAP_NL")&gt;0),1,0))</f>
        <v>0</v>
      </c>
    </row>
    <row r="78" spans="1:8" x14ac:dyDescent="0.25">
      <c r="A78" s="41"/>
      <c r="B78" s="33"/>
      <c r="C78" s="32"/>
      <c r="D78" s="32"/>
      <c r="E78" s="37"/>
      <c r="F78" s="42"/>
      <c r="G78" s="32"/>
      <c r="H78" s="36">
        <f>IF(D78="",0,IF(AND(B78&gt;=ThongTin!$C$9,B78&lt;=ThongTin!$C$10,COUNTIFS(ThongTin!$B$19:$B$48,C78,ThongTin!$A$19:$A$48,ThongTin!$C$8,ThongTin!$C$19:$C$48,"NHAP_NL")&gt;0),1,0))</f>
        <v>0</v>
      </c>
    </row>
    <row r="79" spans="1:8" x14ac:dyDescent="0.25">
      <c r="A79" s="41"/>
      <c r="B79" s="33"/>
      <c r="C79" s="32"/>
      <c r="D79" s="32"/>
      <c r="E79" s="37"/>
      <c r="F79" s="42"/>
      <c r="G79" s="32"/>
      <c r="H79" s="36">
        <f>IF(D79="",0,IF(AND(B79&gt;=ThongTin!$C$9,B79&lt;=ThongTin!$C$10,COUNTIFS(ThongTin!$B$19:$B$48,C79,ThongTin!$A$19:$A$48,ThongTin!$C$8,ThongTin!$C$19:$C$48,"NHAP_NL")&gt;0),1,0))</f>
        <v>0</v>
      </c>
    </row>
    <row r="80" spans="1:8" x14ac:dyDescent="0.25">
      <c r="A80" s="41"/>
      <c r="B80" s="33"/>
      <c r="C80" s="32"/>
      <c r="D80" s="32"/>
      <c r="E80" s="37"/>
      <c r="F80" s="42"/>
      <c r="G80" s="32"/>
      <c r="H80" s="36">
        <f>IF(D80="",0,IF(AND(B80&gt;=ThongTin!$C$9,B80&lt;=ThongTin!$C$10,COUNTIFS(ThongTin!$B$19:$B$48,C80,ThongTin!$A$19:$A$48,ThongTin!$C$8,ThongTin!$C$19:$C$48,"NHAP_NL")&gt;0),1,0))</f>
        <v>0</v>
      </c>
    </row>
    <row r="81" spans="1:8" x14ac:dyDescent="0.25">
      <c r="A81" s="41"/>
      <c r="B81" s="33"/>
      <c r="C81" s="32"/>
      <c r="D81" s="32"/>
      <c r="E81" s="37"/>
      <c r="F81" s="42"/>
      <c r="G81" s="32"/>
      <c r="H81" s="36">
        <f>IF(D81="",0,IF(AND(B81&gt;=ThongTin!$C$9,B81&lt;=ThongTin!$C$10,COUNTIFS(ThongTin!$B$19:$B$48,C81,ThongTin!$A$19:$A$48,ThongTin!$C$8,ThongTin!$C$19:$C$48,"NHAP_NL")&gt;0),1,0))</f>
        <v>0</v>
      </c>
    </row>
    <row r="82" spans="1:8" x14ac:dyDescent="0.25">
      <c r="A82" s="41"/>
      <c r="B82" s="33"/>
      <c r="C82" s="32"/>
      <c r="D82" s="32"/>
      <c r="E82" s="37"/>
      <c r="F82" s="42"/>
      <c r="G82" s="32"/>
      <c r="H82" s="36">
        <f>IF(D82="",0,IF(AND(B82&gt;=ThongTin!$C$9,B82&lt;=ThongTin!$C$10,COUNTIFS(ThongTin!$B$19:$B$48,C82,ThongTin!$A$19:$A$48,ThongTin!$C$8,ThongTin!$C$19:$C$48,"NHAP_NL")&gt;0),1,0))</f>
        <v>0</v>
      </c>
    </row>
    <row r="83" spans="1:8" x14ac:dyDescent="0.25">
      <c r="A83" s="41"/>
      <c r="B83" s="33"/>
      <c r="C83" s="32"/>
      <c r="D83" s="32"/>
      <c r="E83" s="37"/>
      <c r="F83" s="42"/>
      <c r="G83" s="32"/>
      <c r="H83" s="36">
        <f>IF(D83="",0,IF(AND(B83&gt;=ThongTin!$C$9,B83&lt;=ThongTin!$C$10,COUNTIFS(ThongTin!$B$19:$B$48,C83,ThongTin!$A$19:$A$48,ThongTin!$C$8,ThongTin!$C$19:$C$48,"NHAP_NL")&gt;0),1,0))</f>
        <v>0</v>
      </c>
    </row>
    <row r="84" spans="1:8" x14ac:dyDescent="0.25">
      <c r="A84" s="41"/>
      <c r="B84" s="33"/>
      <c r="C84" s="32"/>
      <c r="D84" s="32"/>
      <c r="E84" s="37"/>
      <c r="F84" s="42"/>
      <c r="G84" s="32"/>
      <c r="H84" s="36">
        <f>IF(D84="",0,IF(AND(B84&gt;=ThongTin!$C$9,B84&lt;=ThongTin!$C$10,COUNTIFS(ThongTin!$B$19:$B$48,C84,ThongTin!$A$19:$A$48,ThongTin!$C$8,ThongTin!$C$19:$C$48,"NHAP_NL")&gt;0),1,0))</f>
        <v>0</v>
      </c>
    </row>
    <row r="85" spans="1:8" x14ac:dyDescent="0.25">
      <c r="A85" s="41"/>
      <c r="B85" s="33"/>
      <c r="C85" s="32"/>
      <c r="D85" s="32"/>
      <c r="E85" s="37"/>
      <c r="F85" s="42"/>
      <c r="G85" s="32"/>
      <c r="H85" s="36">
        <f>IF(D85="",0,IF(AND(B85&gt;=ThongTin!$C$9,B85&lt;=ThongTin!$C$10,COUNTIFS(ThongTin!$B$19:$B$48,C85,ThongTin!$A$19:$A$48,ThongTin!$C$8,ThongTin!$C$19:$C$48,"NHAP_NL")&gt;0),1,0))</f>
        <v>0</v>
      </c>
    </row>
    <row r="86" spans="1:8" x14ac:dyDescent="0.25">
      <c r="A86" s="41"/>
      <c r="B86" s="33"/>
      <c r="C86" s="32"/>
      <c r="D86" s="32"/>
      <c r="E86" s="37"/>
      <c r="F86" s="42"/>
      <c r="G86" s="32"/>
      <c r="H86" s="36">
        <f>IF(D86="",0,IF(AND(B86&gt;=ThongTin!$C$9,B86&lt;=ThongTin!$C$10,COUNTIFS(ThongTin!$B$19:$B$48,C86,ThongTin!$A$19:$A$48,ThongTin!$C$8,ThongTin!$C$19:$C$48,"NHAP_NL")&gt;0),1,0))</f>
        <v>0</v>
      </c>
    </row>
    <row r="87" spans="1:8" x14ac:dyDescent="0.25">
      <c r="A87" s="41"/>
      <c r="B87" s="33"/>
      <c r="C87" s="32"/>
      <c r="D87" s="32"/>
      <c r="E87" s="37"/>
      <c r="F87" s="42"/>
      <c r="G87" s="32"/>
      <c r="H87" s="36">
        <f>IF(D87="",0,IF(AND(B87&gt;=ThongTin!$C$9,B87&lt;=ThongTin!$C$10,COUNTIFS(ThongTin!$B$19:$B$48,C87,ThongTin!$A$19:$A$48,ThongTin!$C$8,ThongTin!$C$19:$C$48,"NHAP_NL")&gt;0),1,0))</f>
        <v>0</v>
      </c>
    </row>
    <row r="88" spans="1:8" x14ac:dyDescent="0.25">
      <c r="A88" s="41"/>
      <c r="B88" s="33"/>
      <c r="C88" s="32"/>
      <c r="D88" s="32"/>
      <c r="E88" s="37"/>
      <c r="F88" s="42"/>
      <c r="G88" s="32"/>
      <c r="H88" s="36">
        <f>IF(D88="",0,IF(AND(B88&gt;=ThongTin!$C$9,B88&lt;=ThongTin!$C$10,COUNTIFS(ThongTin!$B$19:$B$48,C88,ThongTin!$A$19:$A$48,ThongTin!$C$8,ThongTin!$C$19:$C$48,"NHAP_NL")&gt;0),1,0))</f>
        <v>0</v>
      </c>
    </row>
    <row r="89" spans="1:8" x14ac:dyDescent="0.25">
      <c r="A89" s="41"/>
      <c r="B89" s="33"/>
      <c r="C89" s="32"/>
      <c r="D89" s="32"/>
      <c r="E89" s="37"/>
      <c r="F89" s="42"/>
      <c r="G89" s="32"/>
      <c r="H89" s="36">
        <f>IF(D89="",0,IF(AND(B89&gt;=ThongTin!$C$9,B89&lt;=ThongTin!$C$10,COUNTIFS(ThongTin!$B$19:$B$48,C89,ThongTin!$A$19:$A$48,ThongTin!$C$8,ThongTin!$C$19:$C$48,"NHAP_NL")&gt;0),1,0))</f>
        <v>0</v>
      </c>
    </row>
    <row r="90" spans="1:8" x14ac:dyDescent="0.25">
      <c r="A90" s="41"/>
      <c r="B90" s="33"/>
      <c r="C90" s="32"/>
      <c r="D90" s="32"/>
      <c r="E90" s="37"/>
      <c r="F90" s="42"/>
      <c r="G90" s="32"/>
      <c r="H90" s="36">
        <f>IF(D90="",0,IF(AND(B90&gt;=ThongTin!$C$9,B90&lt;=ThongTin!$C$10,COUNTIFS(ThongTin!$B$19:$B$48,C90,ThongTin!$A$19:$A$48,ThongTin!$C$8,ThongTin!$C$19:$C$48,"NHAP_NL")&gt;0),1,0))</f>
        <v>0</v>
      </c>
    </row>
    <row r="91" spans="1:8" x14ac:dyDescent="0.25">
      <c r="A91" s="41"/>
      <c r="B91" s="33"/>
      <c r="C91" s="32"/>
      <c r="D91" s="32"/>
      <c r="E91" s="37"/>
      <c r="F91" s="42"/>
      <c r="G91" s="32"/>
      <c r="H91" s="36">
        <f>IF(D91="",0,IF(AND(B91&gt;=ThongTin!$C$9,B91&lt;=ThongTin!$C$10,COUNTIFS(ThongTin!$B$19:$B$48,C91,ThongTin!$A$19:$A$48,ThongTin!$C$8,ThongTin!$C$19:$C$48,"NHAP_NL")&gt;0),1,0))</f>
        <v>0</v>
      </c>
    </row>
    <row r="92" spans="1:8" x14ac:dyDescent="0.25">
      <c r="A92" s="41"/>
      <c r="B92" s="33"/>
      <c r="C92" s="32"/>
      <c r="D92" s="32"/>
      <c r="E92" s="37"/>
      <c r="F92" s="42"/>
      <c r="G92" s="32"/>
      <c r="H92" s="36">
        <f>IF(D92="",0,IF(AND(B92&gt;=ThongTin!$C$9,B92&lt;=ThongTin!$C$10,COUNTIFS(ThongTin!$B$19:$B$48,C92,ThongTin!$A$19:$A$48,ThongTin!$C$8,ThongTin!$C$19:$C$48,"NHAP_NL")&gt;0),1,0))</f>
        <v>0</v>
      </c>
    </row>
    <row r="93" spans="1:8" x14ac:dyDescent="0.25">
      <c r="A93" s="41"/>
      <c r="B93" s="33"/>
      <c r="C93" s="32"/>
      <c r="D93" s="32"/>
      <c r="E93" s="37"/>
      <c r="F93" s="42"/>
      <c r="G93" s="32"/>
      <c r="H93" s="36">
        <f>IF(D93="",0,IF(AND(B93&gt;=ThongTin!$C$9,B93&lt;=ThongTin!$C$10,COUNTIFS(ThongTin!$B$19:$B$48,C93,ThongTin!$A$19:$A$48,ThongTin!$C$8,ThongTin!$C$19:$C$48,"NHAP_NL")&gt;0),1,0))</f>
        <v>0</v>
      </c>
    </row>
    <row r="94" spans="1:8" x14ac:dyDescent="0.25">
      <c r="A94" s="41"/>
      <c r="B94" s="33"/>
      <c r="C94" s="32"/>
      <c r="D94" s="32"/>
      <c r="E94" s="37"/>
      <c r="F94" s="42"/>
      <c r="G94" s="32"/>
      <c r="H94" s="36">
        <f>IF(D94="",0,IF(AND(B94&gt;=ThongTin!$C$9,B94&lt;=ThongTin!$C$10,COUNTIFS(ThongTin!$B$19:$B$48,C94,ThongTin!$A$19:$A$48,ThongTin!$C$8,ThongTin!$C$19:$C$48,"NHAP_NL")&gt;0),1,0))</f>
        <v>0</v>
      </c>
    </row>
    <row r="95" spans="1:8" x14ac:dyDescent="0.25">
      <c r="A95" s="41"/>
      <c r="B95" s="33"/>
      <c r="C95" s="32"/>
      <c r="D95" s="32"/>
      <c r="E95" s="37"/>
      <c r="F95" s="42"/>
      <c r="G95" s="32"/>
      <c r="H95" s="36">
        <f>IF(D95="",0,IF(AND(B95&gt;=ThongTin!$C$9,B95&lt;=ThongTin!$C$10,COUNTIFS(ThongTin!$B$19:$B$48,C95,ThongTin!$A$19:$A$48,ThongTin!$C$8,ThongTin!$C$19:$C$48,"NHAP_NL")&gt;0),1,0))</f>
        <v>0</v>
      </c>
    </row>
    <row r="96" spans="1:8" x14ac:dyDescent="0.25">
      <c r="A96" s="41"/>
      <c r="B96" s="33"/>
      <c r="C96" s="32"/>
      <c r="D96" s="32"/>
      <c r="E96" s="37"/>
      <c r="F96" s="42"/>
      <c r="G96" s="32"/>
      <c r="H96" s="36">
        <f>IF(D96="",0,IF(AND(B96&gt;=ThongTin!$C$9,B96&lt;=ThongTin!$C$10,COUNTIFS(ThongTin!$B$19:$B$48,C96,ThongTin!$A$19:$A$48,ThongTin!$C$8,ThongTin!$C$19:$C$48,"NHAP_NL")&gt;0),1,0))</f>
        <v>0</v>
      </c>
    </row>
    <row r="97" spans="1:8" x14ac:dyDescent="0.25">
      <c r="A97" s="41"/>
      <c r="B97" s="33"/>
      <c r="C97" s="32"/>
      <c r="D97" s="32"/>
      <c r="E97" s="37"/>
      <c r="F97" s="42"/>
      <c r="G97" s="32"/>
      <c r="H97" s="36">
        <f>IF(D97="",0,IF(AND(B97&gt;=ThongTin!$C$9,B97&lt;=ThongTin!$C$10,COUNTIFS(ThongTin!$B$19:$B$48,C97,ThongTin!$A$19:$A$48,ThongTin!$C$8,ThongTin!$C$19:$C$48,"NHAP_NL")&gt;0),1,0))</f>
        <v>0</v>
      </c>
    </row>
    <row r="98" spans="1:8" x14ac:dyDescent="0.25">
      <c r="A98" s="41"/>
      <c r="B98" s="33"/>
      <c r="C98" s="32"/>
      <c r="D98" s="32"/>
      <c r="E98" s="37"/>
      <c r="F98" s="42"/>
      <c r="G98" s="32"/>
      <c r="H98" s="36">
        <f>IF(D98="",0,IF(AND(B98&gt;=ThongTin!$C$9,B98&lt;=ThongTin!$C$10,COUNTIFS(ThongTin!$B$19:$B$48,C98,ThongTin!$A$19:$A$48,ThongTin!$C$8,ThongTin!$C$19:$C$48,"NHAP_NL")&gt;0),1,0))</f>
        <v>0</v>
      </c>
    </row>
    <row r="99" spans="1:8" x14ac:dyDescent="0.25">
      <c r="A99" s="41"/>
      <c r="B99" s="33"/>
      <c r="C99" s="32"/>
      <c r="D99" s="32"/>
      <c r="E99" s="37"/>
      <c r="F99" s="42"/>
      <c r="G99" s="32"/>
      <c r="H99" s="36">
        <f>IF(D99="",0,IF(AND(B99&gt;=ThongTin!$C$9,B99&lt;=ThongTin!$C$10,COUNTIFS(ThongTin!$B$19:$B$48,C99,ThongTin!$A$19:$A$48,ThongTin!$C$8,ThongTin!$C$19:$C$48,"NHAP_NL")&gt;0),1,0))</f>
        <v>0</v>
      </c>
    </row>
    <row r="100" spans="1:8" x14ac:dyDescent="0.25">
      <c r="A100" s="41"/>
      <c r="B100" s="33"/>
      <c r="C100" s="32"/>
      <c r="D100" s="32"/>
      <c r="E100" s="37"/>
      <c r="F100" s="42"/>
      <c r="G100" s="32"/>
      <c r="H100" s="36">
        <f>IF(D100="",0,IF(AND(B100&gt;=ThongTin!$C$9,B100&lt;=ThongTin!$C$10,COUNTIFS(ThongTin!$B$19:$B$48,C100,ThongTin!$A$19:$A$48,ThongTin!$C$8,ThongTin!$C$19:$C$48,"NHAP_NL")&gt;0),1,0))</f>
        <v>0</v>
      </c>
    </row>
    <row r="101" spans="1:8" x14ac:dyDescent="0.25">
      <c r="A101" s="41"/>
      <c r="B101" s="33"/>
      <c r="C101" s="32"/>
      <c r="D101" s="32"/>
      <c r="E101" s="37"/>
      <c r="F101" s="42"/>
      <c r="G101" s="32"/>
      <c r="H101" s="36">
        <f>IF(D101="",0,IF(AND(B101&gt;=ThongTin!$C$9,B101&lt;=ThongTin!$C$10,COUNTIFS(ThongTin!$B$19:$B$48,C101,ThongTin!$A$19:$A$48,ThongTin!$C$8,ThongTin!$C$19:$C$48,"NHAP_NL")&gt;0),1,0))</f>
        <v>0</v>
      </c>
    </row>
    <row r="102" spans="1:8" x14ac:dyDescent="0.25">
      <c r="A102" s="41"/>
      <c r="B102" s="33"/>
      <c r="C102" s="32"/>
      <c r="D102" s="32"/>
      <c r="E102" s="37"/>
      <c r="F102" s="42"/>
      <c r="G102" s="32"/>
      <c r="H102" s="36">
        <f>IF(D102="",0,IF(AND(B102&gt;=ThongTin!$C$9,B102&lt;=ThongTin!$C$10,COUNTIFS(ThongTin!$B$19:$B$48,C102,ThongTin!$A$19:$A$48,ThongTin!$C$8,ThongTin!$C$19:$C$48,"NHAP_NL")&gt;0),1,0))</f>
        <v>0</v>
      </c>
    </row>
    <row r="103" spans="1:8" x14ac:dyDescent="0.25">
      <c r="A103" s="41"/>
      <c r="B103" s="33"/>
      <c r="C103" s="32"/>
      <c r="D103" s="32"/>
      <c r="E103" s="37"/>
      <c r="F103" s="42"/>
      <c r="G103" s="32"/>
      <c r="H103" s="36">
        <f>IF(D103="",0,IF(AND(B103&gt;=ThongTin!$C$9,B103&lt;=ThongTin!$C$10,COUNTIFS(ThongTin!$B$19:$B$48,C103,ThongTin!$A$19:$A$48,ThongTin!$C$8,ThongTin!$C$19:$C$48,"NHAP_NL")&gt;0),1,0))</f>
        <v>0</v>
      </c>
    </row>
    <row r="104" spans="1:8" x14ac:dyDescent="0.25">
      <c r="A104" s="41"/>
      <c r="B104" s="33"/>
      <c r="C104" s="32"/>
      <c r="D104" s="32"/>
      <c r="E104" s="37"/>
      <c r="F104" s="42"/>
      <c r="G104" s="32"/>
      <c r="H104" s="36">
        <f>IF(D104="",0,IF(AND(B104&gt;=ThongTin!$C$9,B104&lt;=ThongTin!$C$10,COUNTIFS(ThongTin!$B$19:$B$48,C104,ThongTin!$A$19:$A$48,ThongTin!$C$8,ThongTin!$C$19:$C$48,"NHAP_NL")&gt;0),1,0))</f>
        <v>0</v>
      </c>
    </row>
    <row r="105" spans="1:8" x14ac:dyDescent="0.25">
      <c r="A105" s="41"/>
      <c r="B105" s="33"/>
      <c r="C105" s="32"/>
      <c r="D105" s="32"/>
      <c r="E105" s="37"/>
      <c r="F105" s="42"/>
      <c r="G105" s="32"/>
      <c r="H105" s="36">
        <f>IF(D105="",0,IF(AND(B105&gt;=ThongTin!$C$9,B105&lt;=ThongTin!$C$10,COUNTIFS(ThongTin!$B$19:$B$48,C105,ThongTin!$A$19:$A$48,ThongTin!$C$8,ThongTin!$C$19:$C$48,"NHAP_NL")&gt;0),1,0))</f>
        <v>0</v>
      </c>
    </row>
    <row r="106" spans="1:8" x14ac:dyDescent="0.25">
      <c r="A106" s="41"/>
      <c r="B106" s="33"/>
      <c r="C106" s="32"/>
      <c r="D106" s="32"/>
      <c r="E106" s="37"/>
      <c r="F106" s="42"/>
      <c r="G106" s="32"/>
      <c r="H106" s="36">
        <f>IF(D106="",0,IF(AND(B106&gt;=ThongTin!$C$9,B106&lt;=ThongTin!$C$10,COUNTIFS(ThongTin!$B$19:$B$48,C106,ThongTin!$A$19:$A$48,ThongTin!$C$8,ThongTin!$C$19:$C$48,"NHAP_NL")&gt;0),1,0))</f>
        <v>0</v>
      </c>
    </row>
    <row r="107" spans="1:8" x14ac:dyDescent="0.25">
      <c r="A107" s="41"/>
      <c r="B107" s="33"/>
      <c r="C107" s="32"/>
      <c r="D107" s="32"/>
      <c r="E107" s="37"/>
      <c r="F107" s="42"/>
      <c r="G107" s="32"/>
      <c r="H107" s="36">
        <f>IF(D107="",0,IF(AND(B107&gt;=ThongTin!$C$9,B107&lt;=ThongTin!$C$10,COUNTIFS(ThongTin!$B$19:$B$48,C107,ThongTin!$A$19:$A$48,ThongTin!$C$8,ThongTin!$C$19:$C$48,"NHAP_NL")&gt;0),1,0))</f>
        <v>0</v>
      </c>
    </row>
    <row r="108" spans="1:8" x14ac:dyDescent="0.25">
      <c r="A108" s="41"/>
      <c r="B108" s="33"/>
      <c r="C108" s="32"/>
      <c r="D108" s="32"/>
      <c r="E108" s="37"/>
      <c r="F108" s="42"/>
      <c r="G108" s="32"/>
      <c r="H108" s="36">
        <f>IF(D108="",0,IF(AND(B108&gt;=ThongTin!$C$9,B108&lt;=ThongTin!$C$10,COUNTIFS(ThongTin!$B$19:$B$48,C108,ThongTin!$A$19:$A$48,ThongTin!$C$8,ThongTin!$C$19:$C$48,"NHAP_NL")&gt;0),1,0))</f>
        <v>0</v>
      </c>
    </row>
    <row r="109" spans="1:8" x14ac:dyDescent="0.25">
      <c r="A109" s="41"/>
      <c r="B109" s="33"/>
      <c r="C109" s="32"/>
      <c r="D109" s="32"/>
      <c r="E109" s="37"/>
      <c r="F109" s="42"/>
      <c r="G109" s="32"/>
      <c r="H109" s="36">
        <f>IF(D109="",0,IF(AND(B109&gt;=ThongTin!$C$9,B109&lt;=ThongTin!$C$10,COUNTIFS(ThongTin!$B$19:$B$48,C109,ThongTin!$A$19:$A$48,ThongTin!$C$8,ThongTin!$C$19:$C$48,"NHAP_NL")&gt;0),1,0))</f>
        <v>0</v>
      </c>
    </row>
    <row r="110" spans="1:8" x14ac:dyDescent="0.25">
      <c r="A110" s="41"/>
      <c r="B110" s="33"/>
      <c r="C110" s="32"/>
      <c r="D110" s="32"/>
      <c r="E110" s="37"/>
      <c r="F110" s="42"/>
      <c r="G110" s="32"/>
      <c r="H110" s="36">
        <f>IF(D110="",0,IF(AND(B110&gt;=ThongTin!$C$9,B110&lt;=ThongTin!$C$10,COUNTIFS(ThongTin!$B$19:$B$48,C110,ThongTin!$A$19:$A$48,ThongTin!$C$8,ThongTin!$C$19:$C$48,"NHAP_NL")&gt;0),1,0))</f>
        <v>0</v>
      </c>
    </row>
    <row r="111" spans="1:8" x14ac:dyDescent="0.25">
      <c r="A111" s="41"/>
      <c r="B111" s="33"/>
      <c r="C111" s="32"/>
      <c r="D111" s="32"/>
      <c r="E111" s="37"/>
      <c r="F111" s="42"/>
      <c r="G111" s="32"/>
      <c r="H111" s="36">
        <f>IF(D111="",0,IF(AND(B111&gt;=ThongTin!$C$9,B111&lt;=ThongTin!$C$10,COUNTIFS(ThongTin!$B$19:$B$48,C111,ThongTin!$A$19:$A$48,ThongTin!$C$8,ThongTin!$C$19:$C$48,"NHAP_NL")&gt;0),1,0))</f>
        <v>0</v>
      </c>
    </row>
    <row r="112" spans="1:8" x14ac:dyDescent="0.25">
      <c r="A112" s="41"/>
      <c r="B112" s="33"/>
      <c r="C112" s="32"/>
      <c r="D112" s="32"/>
      <c r="E112" s="37"/>
      <c r="F112" s="42"/>
      <c r="G112" s="32"/>
      <c r="H112" s="36">
        <f>IF(D112="",0,IF(AND(B112&gt;=ThongTin!$C$9,B112&lt;=ThongTin!$C$10,COUNTIFS(ThongTin!$B$19:$B$48,C112,ThongTin!$A$19:$A$48,ThongTin!$C$8,ThongTin!$C$19:$C$48,"NHAP_NL")&gt;0),1,0))</f>
        <v>0</v>
      </c>
    </row>
    <row r="113" spans="1:8" x14ac:dyDescent="0.25">
      <c r="A113" s="41"/>
      <c r="B113" s="33"/>
      <c r="C113" s="32"/>
      <c r="D113" s="32"/>
      <c r="E113" s="37"/>
      <c r="F113" s="42"/>
      <c r="G113" s="32"/>
      <c r="H113" s="36">
        <f>IF(D113="",0,IF(AND(B113&gt;=ThongTin!$C$9,B113&lt;=ThongTin!$C$10,COUNTIFS(ThongTin!$B$19:$B$48,C113,ThongTin!$A$19:$A$48,ThongTin!$C$8,ThongTin!$C$19:$C$48,"NHAP_NL")&gt;0),1,0))</f>
        <v>0</v>
      </c>
    </row>
    <row r="114" spans="1:8" x14ac:dyDescent="0.25">
      <c r="A114" s="41"/>
      <c r="B114" s="33"/>
      <c r="C114" s="32"/>
      <c r="D114" s="32"/>
      <c r="E114" s="37"/>
      <c r="F114" s="42"/>
      <c r="G114" s="32"/>
      <c r="H114" s="36">
        <f>IF(D114="",0,IF(AND(B114&gt;=ThongTin!$C$9,B114&lt;=ThongTin!$C$10,COUNTIFS(ThongTin!$B$19:$B$48,C114,ThongTin!$A$19:$A$48,ThongTin!$C$8,ThongTin!$C$19:$C$48,"NHAP_NL")&gt;0),1,0))</f>
        <v>0</v>
      </c>
    </row>
    <row r="115" spans="1:8" x14ac:dyDescent="0.25">
      <c r="A115" s="41"/>
      <c r="B115" s="33"/>
      <c r="C115" s="32"/>
      <c r="D115" s="32"/>
      <c r="E115" s="37"/>
      <c r="F115" s="42"/>
      <c r="G115" s="32"/>
      <c r="H115" s="36">
        <f>IF(D115="",0,IF(AND(B115&gt;=ThongTin!$C$9,B115&lt;=ThongTin!$C$10,COUNTIFS(ThongTin!$B$19:$B$48,C115,ThongTin!$A$19:$A$48,ThongTin!$C$8,ThongTin!$C$19:$C$48,"NHAP_NL")&gt;0),1,0))</f>
        <v>0</v>
      </c>
    </row>
    <row r="116" spans="1:8" x14ac:dyDescent="0.25">
      <c r="A116" s="41"/>
      <c r="B116" s="33"/>
      <c r="C116" s="32"/>
      <c r="D116" s="32"/>
      <c r="E116" s="37"/>
      <c r="F116" s="42"/>
      <c r="G116" s="32"/>
      <c r="H116" s="36">
        <f>IF(D116="",0,IF(AND(B116&gt;=ThongTin!$C$9,B116&lt;=ThongTin!$C$10,COUNTIFS(ThongTin!$B$19:$B$48,C116,ThongTin!$A$19:$A$48,ThongTin!$C$8,ThongTin!$C$19:$C$48,"NHAP_NL")&gt;0),1,0))</f>
        <v>0</v>
      </c>
    </row>
    <row r="117" spans="1:8" x14ac:dyDescent="0.25">
      <c r="A117" s="41"/>
      <c r="B117" s="33"/>
      <c r="C117" s="32"/>
      <c r="D117" s="32"/>
      <c r="E117" s="37"/>
      <c r="F117" s="42"/>
      <c r="G117" s="32"/>
      <c r="H117" s="36">
        <f>IF(D117="",0,IF(AND(B117&gt;=ThongTin!$C$9,B117&lt;=ThongTin!$C$10,COUNTIFS(ThongTin!$B$19:$B$48,C117,ThongTin!$A$19:$A$48,ThongTin!$C$8,ThongTin!$C$19:$C$48,"NHAP_NL")&gt;0),1,0))</f>
        <v>0</v>
      </c>
    </row>
    <row r="118" spans="1:8" x14ac:dyDescent="0.25">
      <c r="A118" s="41"/>
      <c r="B118" s="33"/>
      <c r="C118" s="32"/>
      <c r="D118" s="32"/>
      <c r="E118" s="37"/>
      <c r="F118" s="42"/>
      <c r="G118" s="32"/>
      <c r="H118" s="36">
        <f>IF(D118="",0,IF(AND(B118&gt;=ThongTin!$C$9,B118&lt;=ThongTin!$C$10,COUNTIFS(ThongTin!$B$19:$B$48,C118,ThongTin!$A$19:$A$48,ThongTin!$C$8,ThongTin!$C$19:$C$48,"NHAP_NL")&gt;0),1,0))</f>
        <v>0</v>
      </c>
    </row>
    <row r="119" spans="1:8" x14ac:dyDescent="0.25">
      <c r="A119" s="41"/>
      <c r="B119" s="33"/>
      <c r="C119" s="32"/>
      <c r="D119" s="32"/>
      <c r="E119" s="37"/>
      <c r="F119" s="42"/>
      <c r="G119" s="32"/>
      <c r="H119" s="36">
        <f>IF(D119="",0,IF(AND(B119&gt;=ThongTin!$C$9,B119&lt;=ThongTin!$C$10,COUNTIFS(ThongTin!$B$19:$B$48,C119,ThongTin!$A$19:$A$48,ThongTin!$C$8,ThongTin!$C$19:$C$48,"NHAP_NL")&gt;0),1,0))</f>
        <v>0</v>
      </c>
    </row>
    <row r="120" spans="1:8" x14ac:dyDescent="0.25">
      <c r="A120" s="41"/>
      <c r="B120" s="33"/>
      <c r="C120" s="32"/>
      <c r="D120" s="32"/>
      <c r="E120" s="37"/>
      <c r="F120" s="42"/>
      <c r="G120" s="32"/>
      <c r="H120" s="36">
        <f>IF(D120="",0,IF(AND(B120&gt;=ThongTin!$C$9,B120&lt;=ThongTin!$C$10,COUNTIFS(ThongTin!$B$19:$B$48,C120,ThongTin!$A$19:$A$48,ThongTin!$C$8,ThongTin!$C$19:$C$48,"NHAP_NL")&gt;0),1,0))</f>
        <v>0</v>
      </c>
    </row>
    <row r="121" spans="1:8" x14ac:dyDescent="0.25">
      <c r="A121" s="41"/>
      <c r="B121" s="33"/>
      <c r="C121" s="32"/>
      <c r="D121" s="32"/>
      <c r="E121" s="37"/>
      <c r="F121" s="42"/>
      <c r="G121" s="32"/>
      <c r="H121" s="36">
        <f>IF(D121="",0,IF(AND(B121&gt;=ThongTin!$C$9,B121&lt;=ThongTin!$C$10,COUNTIFS(ThongTin!$B$19:$B$48,C121,ThongTin!$A$19:$A$48,ThongTin!$C$8,ThongTin!$C$19:$C$48,"NHAP_NL")&gt;0),1,0))</f>
        <v>0</v>
      </c>
    </row>
    <row r="122" spans="1:8" x14ac:dyDescent="0.25">
      <c r="A122" s="41"/>
      <c r="B122" s="33"/>
      <c r="C122" s="32"/>
      <c r="D122" s="32"/>
      <c r="E122" s="37"/>
      <c r="F122" s="42"/>
      <c r="G122" s="32"/>
      <c r="H122" s="36">
        <f>IF(D122="",0,IF(AND(B122&gt;=ThongTin!$C$9,B122&lt;=ThongTin!$C$10,COUNTIFS(ThongTin!$B$19:$B$48,C122,ThongTin!$A$19:$A$48,ThongTin!$C$8,ThongTin!$C$19:$C$48,"NHAP_NL")&gt;0),1,0))</f>
        <v>0</v>
      </c>
    </row>
    <row r="123" spans="1:8" x14ac:dyDescent="0.25">
      <c r="A123" s="41"/>
      <c r="B123" s="33"/>
      <c r="C123" s="32"/>
      <c r="D123" s="32"/>
      <c r="E123" s="37"/>
      <c r="F123" s="42"/>
      <c r="G123" s="32"/>
      <c r="H123" s="36">
        <f>IF(D123="",0,IF(AND(B123&gt;=ThongTin!$C$9,B123&lt;=ThongTin!$C$10,COUNTIFS(ThongTin!$B$19:$B$48,C123,ThongTin!$A$19:$A$48,ThongTin!$C$8,ThongTin!$C$19:$C$48,"NHAP_NL")&gt;0),1,0))</f>
        <v>0</v>
      </c>
    </row>
    <row r="124" spans="1:8" x14ac:dyDescent="0.25">
      <c r="A124" s="41"/>
      <c r="B124" s="33"/>
      <c r="C124" s="32"/>
      <c r="D124" s="32"/>
      <c r="E124" s="37"/>
      <c r="F124" s="42"/>
      <c r="G124" s="32"/>
      <c r="H124" s="36">
        <f>IF(D124="",0,IF(AND(B124&gt;=ThongTin!$C$9,B124&lt;=ThongTin!$C$10,COUNTIFS(ThongTin!$B$19:$B$48,C124,ThongTin!$A$19:$A$48,ThongTin!$C$8,ThongTin!$C$19:$C$48,"NHAP_NL")&gt;0),1,0))</f>
        <v>0</v>
      </c>
    </row>
    <row r="125" spans="1:8" x14ac:dyDescent="0.25">
      <c r="A125" s="41"/>
      <c r="B125" s="33"/>
      <c r="C125" s="32"/>
      <c r="D125" s="32"/>
      <c r="E125" s="37"/>
      <c r="F125" s="42"/>
      <c r="G125" s="32"/>
      <c r="H125" s="36">
        <f>IF(D125="",0,IF(AND(B125&gt;=ThongTin!$C$9,B125&lt;=ThongTin!$C$10,COUNTIFS(ThongTin!$B$19:$B$48,C125,ThongTin!$A$19:$A$48,ThongTin!$C$8,ThongTin!$C$19:$C$48,"NHAP_NL")&gt;0),1,0))</f>
        <v>0</v>
      </c>
    </row>
    <row r="126" spans="1:8" x14ac:dyDescent="0.25">
      <c r="A126" s="41"/>
      <c r="B126" s="33"/>
      <c r="C126" s="32"/>
      <c r="D126" s="32"/>
      <c r="E126" s="37"/>
      <c r="F126" s="42"/>
      <c r="G126" s="32"/>
      <c r="H126" s="36">
        <f>IF(D126="",0,IF(AND(B126&gt;=ThongTin!$C$9,B126&lt;=ThongTin!$C$10,COUNTIFS(ThongTin!$B$19:$B$48,C126,ThongTin!$A$19:$A$48,ThongTin!$C$8,ThongTin!$C$19:$C$48,"NHAP_NL")&gt;0),1,0))</f>
        <v>0</v>
      </c>
    </row>
    <row r="127" spans="1:8" x14ac:dyDescent="0.25">
      <c r="A127" s="41"/>
      <c r="B127" s="33"/>
      <c r="C127" s="32"/>
      <c r="D127" s="32"/>
      <c r="E127" s="37"/>
      <c r="F127" s="42"/>
      <c r="G127" s="32"/>
      <c r="H127" s="36">
        <f>IF(D127="",0,IF(AND(B127&gt;=ThongTin!$C$9,B127&lt;=ThongTin!$C$10,COUNTIFS(ThongTin!$B$19:$B$48,C127,ThongTin!$A$19:$A$48,ThongTin!$C$8,ThongTin!$C$19:$C$48,"NHAP_NL")&gt;0),1,0))</f>
        <v>0</v>
      </c>
    </row>
    <row r="128" spans="1:8" x14ac:dyDescent="0.25">
      <c r="A128" s="41"/>
      <c r="B128" s="33"/>
      <c r="C128" s="32"/>
      <c r="D128" s="32"/>
      <c r="E128" s="37"/>
      <c r="F128" s="42"/>
      <c r="G128" s="32"/>
      <c r="H128" s="36">
        <f>IF(D128="",0,IF(AND(B128&gt;=ThongTin!$C$9,B128&lt;=ThongTin!$C$10,COUNTIFS(ThongTin!$B$19:$B$48,C128,ThongTin!$A$19:$A$48,ThongTin!$C$8,ThongTin!$C$19:$C$48,"NHAP_NL")&gt;0),1,0))</f>
        <v>0</v>
      </c>
    </row>
    <row r="129" spans="1:8" x14ac:dyDescent="0.25">
      <c r="A129" s="41"/>
      <c r="B129" s="33"/>
      <c r="C129" s="32"/>
      <c r="D129" s="32"/>
      <c r="E129" s="37"/>
      <c r="F129" s="42"/>
      <c r="G129" s="32"/>
      <c r="H129" s="36">
        <f>IF(D129="",0,IF(AND(B129&gt;=ThongTin!$C$9,B129&lt;=ThongTin!$C$10,COUNTIFS(ThongTin!$B$19:$B$48,C129,ThongTin!$A$19:$A$48,ThongTin!$C$8,ThongTin!$C$19:$C$48,"NHAP_NL")&gt;0),1,0))</f>
        <v>0</v>
      </c>
    </row>
    <row r="130" spans="1:8" x14ac:dyDescent="0.25">
      <c r="A130" s="41"/>
      <c r="B130" s="33"/>
      <c r="C130" s="32"/>
      <c r="D130" s="32"/>
      <c r="E130" s="37"/>
      <c r="F130" s="42"/>
      <c r="G130" s="32"/>
      <c r="H130" s="36">
        <f>IF(D130="",0,IF(AND(B130&gt;=ThongTin!$C$9,B130&lt;=ThongTin!$C$10,COUNTIFS(ThongTin!$B$19:$B$48,C130,ThongTin!$A$19:$A$48,ThongTin!$C$8,ThongTin!$C$19:$C$48,"NHAP_NL")&gt;0),1,0))</f>
        <v>0</v>
      </c>
    </row>
    <row r="131" spans="1:8" x14ac:dyDescent="0.25">
      <c r="A131" s="41"/>
      <c r="B131" s="33"/>
      <c r="C131" s="32"/>
      <c r="D131" s="32"/>
      <c r="E131" s="37"/>
      <c r="F131" s="42"/>
      <c r="G131" s="32"/>
      <c r="H131" s="36">
        <f>IF(D131="",0,IF(AND(B131&gt;=ThongTin!$C$9,B131&lt;=ThongTin!$C$10,COUNTIFS(ThongTin!$B$19:$B$48,C131,ThongTin!$A$19:$A$48,ThongTin!$C$8,ThongTin!$C$19:$C$48,"NHAP_NL")&gt;0),1,0))</f>
        <v>0</v>
      </c>
    </row>
    <row r="132" spans="1:8" x14ac:dyDescent="0.25">
      <c r="A132" s="41"/>
      <c r="B132" s="33"/>
      <c r="C132" s="32"/>
      <c r="D132" s="32"/>
      <c r="E132" s="37"/>
      <c r="F132" s="42"/>
      <c r="G132" s="32"/>
      <c r="H132" s="36">
        <f>IF(D132="",0,IF(AND(B132&gt;=ThongTin!$C$9,B132&lt;=ThongTin!$C$10,COUNTIFS(ThongTin!$B$19:$B$48,C132,ThongTin!$A$19:$A$48,ThongTin!$C$8,ThongTin!$C$19:$C$48,"NHAP_NL")&gt;0),1,0))</f>
        <v>0</v>
      </c>
    </row>
    <row r="133" spans="1:8" x14ac:dyDescent="0.25">
      <c r="A133" s="41"/>
      <c r="B133" s="33"/>
      <c r="C133" s="32"/>
      <c r="D133" s="32"/>
      <c r="E133" s="37"/>
      <c r="F133" s="42"/>
      <c r="G133" s="32"/>
      <c r="H133" s="36">
        <f>IF(D133="",0,IF(AND(B133&gt;=ThongTin!$C$9,B133&lt;=ThongTin!$C$10,COUNTIFS(ThongTin!$B$19:$B$48,C133,ThongTin!$A$19:$A$48,ThongTin!$C$8,ThongTin!$C$19:$C$48,"NHAP_NL")&gt;0),1,0))</f>
        <v>0</v>
      </c>
    </row>
    <row r="134" spans="1:8" x14ac:dyDescent="0.25">
      <c r="A134" s="41"/>
      <c r="B134" s="33"/>
      <c r="C134" s="32"/>
      <c r="D134" s="32"/>
      <c r="E134" s="37"/>
      <c r="F134" s="42"/>
      <c r="G134" s="32"/>
      <c r="H134" s="36">
        <f>IF(D134="",0,IF(AND(B134&gt;=ThongTin!$C$9,B134&lt;=ThongTin!$C$10,COUNTIFS(ThongTin!$B$19:$B$48,C134,ThongTin!$A$19:$A$48,ThongTin!$C$8,ThongTin!$C$19:$C$48,"NHAP_NL")&gt;0),1,0))</f>
        <v>0</v>
      </c>
    </row>
    <row r="135" spans="1:8" x14ac:dyDescent="0.25">
      <c r="A135" s="41"/>
      <c r="B135" s="33"/>
      <c r="C135" s="32"/>
      <c r="D135" s="32"/>
      <c r="E135" s="37"/>
      <c r="F135" s="42"/>
      <c r="G135" s="32"/>
      <c r="H135" s="36">
        <f>IF(D135="",0,IF(AND(B135&gt;=ThongTin!$C$9,B135&lt;=ThongTin!$C$10,COUNTIFS(ThongTin!$B$19:$B$48,C135,ThongTin!$A$19:$A$48,ThongTin!$C$8,ThongTin!$C$19:$C$48,"NHAP_NL")&gt;0),1,0))</f>
        <v>0</v>
      </c>
    </row>
    <row r="136" spans="1:8" x14ac:dyDescent="0.25">
      <c r="A136" s="41"/>
      <c r="B136" s="33"/>
      <c r="C136" s="32"/>
      <c r="D136" s="32"/>
      <c r="E136" s="37"/>
      <c r="F136" s="42"/>
      <c r="G136" s="32"/>
      <c r="H136" s="36">
        <f>IF(D136="",0,IF(AND(B136&gt;=ThongTin!$C$9,B136&lt;=ThongTin!$C$10,COUNTIFS(ThongTin!$B$19:$B$48,C136,ThongTin!$A$19:$A$48,ThongTin!$C$8,ThongTin!$C$19:$C$48,"NHAP_NL")&gt;0),1,0))</f>
        <v>0</v>
      </c>
    </row>
    <row r="137" spans="1:8" x14ac:dyDescent="0.25">
      <c r="A137" s="41"/>
      <c r="B137" s="33"/>
      <c r="C137" s="32"/>
      <c r="D137" s="32"/>
      <c r="E137" s="37"/>
      <c r="F137" s="42"/>
      <c r="G137" s="32"/>
      <c r="H137" s="36">
        <f>IF(D137="",0,IF(AND(B137&gt;=ThongTin!$C$9,B137&lt;=ThongTin!$C$10,COUNTIFS(ThongTin!$B$19:$B$48,C137,ThongTin!$A$19:$A$48,ThongTin!$C$8,ThongTin!$C$19:$C$48,"NHAP_NL")&gt;0),1,0))</f>
        <v>0</v>
      </c>
    </row>
    <row r="138" spans="1:8" x14ac:dyDescent="0.25">
      <c r="A138" s="41"/>
      <c r="B138" s="33"/>
      <c r="C138" s="32"/>
      <c r="D138" s="32"/>
      <c r="E138" s="37"/>
      <c r="F138" s="42"/>
      <c r="G138" s="32"/>
      <c r="H138" s="36">
        <f>IF(D138="",0,IF(AND(B138&gt;=ThongTin!$C$9,B138&lt;=ThongTin!$C$10,COUNTIFS(ThongTin!$B$19:$B$48,C138,ThongTin!$A$19:$A$48,ThongTin!$C$8,ThongTin!$C$19:$C$48,"NHAP_NL")&gt;0),1,0))</f>
        <v>0</v>
      </c>
    </row>
    <row r="139" spans="1:8" x14ac:dyDescent="0.25">
      <c r="A139" s="41"/>
      <c r="B139" s="33"/>
      <c r="C139" s="32"/>
      <c r="D139" s="32"/>
      <c r="E139" s="37"/>
      <c r="F139" s="42"/>
      <c r="G139" s="32"/>
      <c r="H139" s="36">
        <f>IF(D139="",0,IF(AND(B139&gt;=ThongTin!$C$9,B139&lt;=ThongTin!$C$10,COUNTIFS(ThongTin!$B$19:$B$48,C139,ThongTin!$A$19:$A$48,ThongTin!$C$8,ThongTin!$C$19:$C$48,"NHAP_NL")&gt;0),1,0))</f>
        <v>0</v>
      </c>
    </row>
    <row r="140" spans="1:8" x14ac:dyDescent="0.25">
      <c r="A140" s="41"/>
      <c r="B140" s="33"/>
      <c r="C140" s="32"/>
      <c r="D140" s="32"/>
      <c r="E140" s="37"/>
      <c r="F140" s="42"/>
      <c r="G140" s="32"/>
      <c r="H140" s="36">
        <f>IF(D140="",0,IF(AND(B140&gt;=ThongTin!$C$9,B140&lt;=ThongTin!$C$10,COUNTIFS(ThongTin!$B$19:$B$48,C140,ThongTin!$A$19:$A$48,ThongTin!$C$8,ThongTin!$C$19:$C$48,"NHAP_NL")&gt;0),1,0))</f>
        <v>0</v>
      </c>
    </row>
    <row r="141" spans="1:8" x14ac:dyDescent="0.25">
      <c r="A141" s="41"/>
      <c r="B141" s="33"/>
      <c r="C141" s="32"/>
      <c r="D141" s="32"/>
      <c r="E141" s="37"/>
      <c r="F141" s="42"/>
      <c r="G141" s="32"/>
      <c r="H141" s="36">
        <f>IF(D141="",0,IF(AND(B141&gt;=ThongTin!$C$9,B141&lt;=ThongTin!$C$10,COUNTIFS(ThongTin!$B$19:$B$48,C141,ThongTin!$A$19:$A$48,ThongTin!$C$8,ThongTin!$C$19:$C$48,"NHAP_NL")&gt;0),1,0))</f>
        <v>0</v>
      </c>
    </row>
    <row r="142" spans="1:8" x14ac:dyDescent="0.25">
      <c r="A142" s="41"/>
      <c r="B142" s="33"/>
      <c r="C142" s="32"/>
      <c r="D142" s="32"/>
      <c r="E142" s="37"/>
      <c r="F142" s="42"/>
      <c r="G142" s="32"/>
      <c r="H142" s="36">
        <f>IF(D142="",0,IF(AND(B142&gt;=ThongTin!$C$9,B142&lt;=ThongTin!$C$10,COUNTIFS(ThongTin!$B$19:$B$48,C142,ThongTin!$A$19:$A$48,ThongTin!$C$8,ThongTin!$C$19:$C$48,"NHAP_NL")&gt;0),1,0))</f>
        <v>0</v>
      </c>
    </row>
    <row r="143" spans="1:8" x14ac:dyDescent="0.25">
      <c r="A143" s="41"/>
      <c r="B143" s="33"/>
      <c r="C143" s="32"/>
      <c r="D143" s="32"/>
      <c r="E143" s="37"/>
      <c r="F143" s="42"/>
      <c r="G143" s="32"/>
      <c r="H143" s="36">
        <f>IF(D143="",0,IF(AND(B143&gt;=ThongTin!$C$9,B143&lt;=ThongTin!$C$10,COUNTIFS(ThongTin!$B$19:$B$48,C143,ThongTin!$A$19:$A$48,ThongTin!$C$8,ThongTin!$C$19:$C$48,"NHAP_NL")&gt;0),1,0))</f>
        <v>0</v>
      </c>
    </row>
    <row r="144" spans="1:8" x14ac:dyDescent="0.25">
      <c r="A144" s="41"/>
      <c r="B144" s="33"/>
      <c r="C144" s="32"/>
      <c r="D144" s="32"/>
      <c r="E144" s="37"/>
      <c r="F144" s="42"/>
      <c r="G144" s="32"/>
      <c r="H144" s="36">
        <f>IF(D144="",0,IF(AND(B144&gt;=ThongTin!$C$9,B144&lt;=ThongTin!$C$10,COUNTIFS(ThongTin!$B$19:$B$48,C144,ThongTin!$A$19:$A$48,ThongTin!$C$8,ThongTin!$C$19:$C$48,"NHAP_NL")&gt;0),1,0))</f>
        <v>0</v>
      </c>
    </row>
    <row r="145" spans="1:8" x14ac:dyDescent="0.25">
      <c r="A145" s="41"/>
      <c r="B145" s="33"/>
      <c r="C145" s="32"/>
      <c r="D145" s="32"/>
      <c r="E145" s="37"/>
      <c r="F145" s="42"/>
      <c r="G145" s="32"/>
      <c r="H145" s="36">
        <f>IF(D145="",0,IF(AND(B145&gt;=ThongTin!$C$9,B145&lt;=ThongTin!$C$10,COUNTIFS(ThongTin!$B$19:$B$48,C145,ThongTin!$A$19:$A$48,ThongTin!$C$8,ThongTin!$C$19:$C$48,"NHAP_NL")&gt;0),1,0))</f>
        <v>0</v>
      </c>
    </row>
    <row r="146" spans="1:8" x14ac:dyDescent="0.25">
      <c r="A146" s="41"/>
      <c r="B146" s="33"/>
      <c r="C146" s="32"/>
      <c r="D146" s="32"/>
      <c r="E146" s="37"/>
      <c r="F146" s="42"/>
      <c r="G146" s="32"/>
      <c r="H146" s="36">
        <f>IF(D146="",0,IF(AND(B146&gt;=ThongTin!$C$9,B146&lt;=ThongTin!$C$10,COUNTIFS(ThongTin!$B$19:$B$48,C146,ThongTin!$A$19:$A$48,ThongTin!$C$8,ThongTin!$C$19:$C$48,"NHAP_NL")&gt;0),1,0))</f>
        <v>0</v>
      </c>
    </row>
    <row r="147" spans="1:8" x14ac:dyDescent="0.25">
      <c r="A147" s="41"/>
      <c r="B147" s="33"/>
      <c r="C147" s="32"/>
      <c r="D147" s="32"/>
      <c r="E147" s="37"/>
      <c r="F147" s="42"/>
      <c r="G147" s="32"/>
      <c r="H147" s="36">
        <f>IF(D147="",0,IF(AND(B147&gt;=ThongTin!$C$9,B147&lt;=ThongTin!$C$10,COUNTIFS(ThongTin!$B$19:$B$48,C147,ThongTin!$A$19:$A$48,ThongTin!$C$8,ThongTin!$C$19:$C$48,"NHAP_NL")&gt;0),1,0))</f>
        <v>0</v>
      </c>
    </row>
    <row r="148" spans="1:8" x14ac:dyDescent="0.25">
      <c r="A148" s="41"/>
      <c r="B148" s="33"/>
      <c r="C148" s="32"/>
      <c r="D148" s="32"/>
      <c r="E148" s="37"/>
      <c r="F148" s="42"/>
      <c r="G148" s="32"/>
      <c r="H148" s="36">
        <f>IF(D148="",0,IF(AND(B148&gt;=ThongTin!$C$9,B148&lt;=ThongTin!$C$10,COUNTIFS(ThongTin!$B$19:$B$48,C148,ThongTin!$A$19:$A$48,ThongTin!$C$8,ThongTin!$C$19:$C$48,"NHAP_NL")&gt;0),1,0))</f>
        <v>0</v>
      </c>
    </row>
    <row r="149" spans="1:8" x14ac:dyDescent="0.25">
      <c r="A149" s="41"/>
      <c r="B149" s="33"/>
      <c r="C149" s="32"/>
      <c r="D149" s="32"/>
      <c r="E149" s="37"/>
      <c r="F149" s="42"/>
      <c r="G149" s="32"/>
      <c r="H149" s="36">
        <f>IF(D149="",0,IF(AND(B149&gt;=ThongTin!$C$9,B149&lt;=ThongTin!$C$10,COUNTIFS(ThongTin!$B$19:$B$48,C149,ThongTin!$A$19:$A$48,ThongTin!$C$8,ThongTin!$C$19:$C$48,"NHAP_NL")&gt;0),1,0))</f>
        <v>0</v>
      </c>
    </row>
    <row r="150" spans="1:8" x14ac:dyDescent="0.25">
      <c r="A150" s="41"/>
      <c r="B150" s="33"/>
      <c r="C150" s="32"/>
      <c r="D150" s="32"/>
      <c r="E150" s="37"/>
      <c r="F150" s="42"/>
      <c r="G150" s="32"/>
      <c r="H150" s="36">
        <f>IF(D150="",0,IF(AND(B150&gt;=ThongTin!$C$9,B150&lt;=ThongTin!$C$10,COUNTIFS(ThongTin!$B$19:$B$48,C150,ThongTin!$A$19:$A$48,ThongTin!$C$8,ThongTin!$C$19:$C$48,"NHAP_NL")&gt;0),1,0))</f>
        <v>0</v>
      </c>
    </row>
    <row r="151" spans="1:8" x14ac:dyDescent="0.25">
      <c r="A151" s="41"/>
      <c r="B151" s="33"/>
      <c r="C151" s="32"/>
      <c r="D151" s="32"/>
      <c r="E151" s="37"/>
      <c r="F151" s="42"/>
      <c r="G151" s="32"/>
      <c r="H151" s="36">
        <f>IF(D151="",0,IF(AND(B151&gt;=ThongTin!$C$9,B151&lt;=ThongTin!$C$10,COUNTIFS(ThongTin!$B$19:$B$48,C151,ThongTin!$A$19:$A$48,ThongTin!$C$8,ThongTin!$C$19:$C$48,"NHAP_NL")&gt;0),1,0))</f>
        <v>0</v>
      </c>
    </row>
    <row r="152" spans="1:8" x14ac:dyDescent="0.25">
      <c r="A152" s="41"/>
      <c r="B152" s="33"/>
      <c r="C152" s="32"/>
      <c r="D152" s="32"/>
      <c r="E152" s="37"/>
      <c r="F152" s="42"/>
      <c r="G152" s="32"/>
      <c r="H152" s="36">
        <f>IF(D152="",0,IF(AND(B152&gt;=ThongTin!$C$9,B152&lt;=ThongTin!$C$10,COUNTIFS(ThongTin!$B$19:$B$48,C152,ThongTin!$A$19:$A$48,ThongTin!$C$8,ThongTin!$C$19:$C$48,"NHAP_NL")&gt;0),1,0))</f>
        <v>0</v>
      </c>
    </row>
    <row r="153" spans="1:8" x14ac:dyDescent="0.25">
      <c r="A153" s="41"/>
      <c r="B153" s="33"/>
      <c r="C153" s="32"/>
      <c r="D153" s="32"/>
      <c r="E153" s="37"/>
      <c r="F153" s="42"/>
      <c r="G153" s="32"/>
      <c r="H153" s="36">
        <f>IF(D153="",0,IF(AND(B153&gt;=ThongTin!$C$9,B153&lt;=ThongTin!$C$10,COUNTIFS(ThongTin!$B$19:$B$48,C153,ThongTin!$A$19:$A$48,ThongTin!$C$8,ThongTin!$C$19:$C$48,"NHAP_NL")&gt;0),1,0))</f>
        <v>0</v>
      </c>
    </row>
    <row r="154" spans="1:8" x14ac:dyDescent="0.25">
      <c r="A154" s="41"/>
      <c r="B154" s="33"/>
      <c r="C154" s="32"/>
      <c r="D154" s="32"/>
      <c r="E154" s="37"/>
      <c r="F154" s="42"/>
      <c r="G154" s="32"/>
      <c r="H154" s="36">
        <f>IF(D154="",0,IF(AND(B154&gt;=ThongTin!$C$9,B154&lt;=ThongTin!$C$10,COUNTIFS(ThongTin!$B$19:$B$48,C154,ThongTin!$A$19:$A$48,ThongTin!$C$8,ThongTin!$C$19:$C$48,"NHAP_NL")&gt;0),1,0))</f>
        <v>0</v>
      </c>
    </row>
    <row r="155" spans="1:8" x14ac:dyDescent="0.25">
      <c r="A155" s="41"/>
      <c r="B155" s="33"/>
      <c r="C155" s="32"/>
      <c r="D155" s="32"/>
      <c r="E155" s="37"/>
      <c r="F155" s="42"/>
      <c r="G155" s="32"/>
      <c r="H155" s="36">
        <f>IF(D155="",0,IF(AND(B155&gt;=ThongTin!$C$9,B155&lt;=ThongTin!$C$10,COUNTIFS(ThongTin!$B$19:$B$48,C155,ThongTin!$A$19:$A$48,ThongTin!$C$8,ThongTin!$C$19:$C$48,"NHAP_NL")&gt;0),1,0))</f>
        <v>0</v>
      </c>
    </row>
    <row r="156" spans="1:8" x14ac:dyDescent="0.25">
      <c r="A156" s="41"/>
      <c r="B156" s="33"/>
      <c r="C156" s="32"/>
      <c r="D156" s="32"/>
      <c r="E156" s="37"/>
      <c r="F156" s="42"/>
      <c r="G156" s="32"/>
      <c r="H156" s="36">
        <f>IF(D156="",0,IF(AND(B156&gt;=ThongTin!$C$9,B156&lt;=ThongTin!$C$10,COUNTIFS(ThongTin!$B$19:$B$48,C156,ThongTin!$A$19:$A$48,ThongTin!$C$8,ThongTin!$C$19:$C$48,"NHAP_NL")&gt;0),1,0))</f>
        <v>0</v>
      </c>
    </row>
    <row r="157" spans="1:8" x14ac:dyDescent="0.25">
      <c r="A157" s="41"/>
      <c r="B157" s="33"/>
      <c r="C157" s="32"/>
      <c r="D157" s="32"/>
      <c r="E157" s="37"/>
      <c r="F157" s="42"/>
      <c r="G157" s="32"/>
      <c r="H157" s="36">
        <f>IF(D157="",0,IF(AND(B157&gt;=ThongTin!$C$9,B157&lt;=ThongTin!$C$10,COUNTIFS(ThongTin!$B$19:$B$48,C157,ThongTin!$A$19:$A$48,ThongTin!$C$8,ThongTin!$C$19:$C$48,"NHAP_NL")&gt;0),1,0))</f>
        <v>0</v>
      </c>
    </row>
    <row r="158" spans="1:8" x14ac:dyDescent="0.25">
      <c r="A158" s="41"/>
      <c r="B158" s="33"/>
      <c r="C158" s="32"/>
      <c r="D158" s="32"/>
      <c r="E158" s="37"/>
      <c r="F158" s="42"/>
      <c r="G158" s="32"/>
      <c r="H158" s="36">
        <f>IF(D158="",0,IF(AND(B158&gt;=ThongTin!$C$9,B158&lt;=ThongTin!$C$10,COUNTIFS(ThongTin!$B$19:$B$48,C158,ThongTin!$A$19:$A$48,ThongTin!$C$8,ThongTin!$C$19:$C$48,"NHAP_NL")&gt;0),1,0))</f>
        <v>0</v>
      </c>
    </row>
    <row r="159" spans="1:8" x14ac:dyDescent="0.25">
      <c r="A159" s="41"/>
      <c r="B159" s="33"/>
      <c r="C159" s="32"/>
      <c r="D159" s="32"/>
      <c r="E159" s="37"/>
      <c r="F159" s="42"/>
      <c r="G159" s="32"/>
      <c r="H159" s="36">
        <f>IF(D159="",0,IF(AND(B159&gt;=ThongTin!$C$9,B159&lt;=ThongTin!$C$10,COUNTIFS(ThongTin!$B$19:$B$48,C159,ThongTin!$A$19:$A$48,ThongTin!$C$8,ThongTin!$C$19:$C$48,"NHAP_NL")&gt;0),1,0))</f>
        <v>0</v>
      </c>
    </row>
    <row r="160" spans="1:8" x14ac:dyDescent="0.25">
      <c r="A160" s="41"/>
      <c r="B160" s="33"/>
      <c r="C160" s="32"/>
      <c r="D160" s="32"/>
      <c r="E160" s="37"/>
      <c r="F160" s="42"/>
      <c r="G160" s="32"/>
      <c r="H160" s="36">
        <f>IF(D160="",0,IF(AND(B160&gt;=ThongTin!$C$9,B160&lt;=ThongTin!$C$10,COUNTIFS(ThongTin!$B$19:$B$48,C160,ThongTin!$A$19:$A$48,ThongTin!$C$8,ThongTin!$C$19:$C$48,"NHAP_NL")&gt;0),1,0))</f>
        <v>0</v>
      </c>
    </row>
    <row r="161" spans="1:8" x14ac:dyDescent="0.25">
      <c r="A161" s="41"/>
      <c r="B161" s="33"/>
      <c r="C161" s="32"/>
      <c r="D161" s="32"/>
      <c r="E161" s="37"/>
      <c r="F161" s="42"/>
      <c r="G161" s="32"/>
      <c r="H161" s="36">
        <f>IF(D161="",0,IF(AND(B161&gt;=ThongTin!$C$9,B161&lt;=ThongTin!$C$10,COUNTIFS(ThongTin!$B$19:$B$48,C161,ThongTin!$A$19:$A$48,ThongTin!$C$8,ThongTin!$C$19:$C$48,"NHAP_NL")&gt;0),1,0))</f>
        <v>0</v>
      </c>
    </row>
    <row r="162" spans="1:8" x14ac:dyDescent="0.25">
      <c r="A162" s="41"/>
      <c r="B162" s="33"/>
      <c r="C162" s="32"/>
      <c r="D162" s="32"/>
      <c r="E162" s="37"/>
      <c r="F162" s="42"/>
      <c r="G162" s="32"/>
      <c r="H162" s="36">
        <f>IF(D162="",0,IF(AND(B162&gt;=ThongTin!$C$9,B162&lt;=ThongTin!$C$10,COUNTIFS(ThongTin!$B$19:$B$48,C162,ThongTin!$A$19:$A$48,ThongTin!$C$8,ThongTin!$C$19:$C$48,"NHAP_NL")&gt;0),1,0))</f>
        <v>0</v>
      </c>
    </row>
    <row r="163" spans="1:8" x14ac:dyDescent="0.25">
      <c r="A163" s="41"/>
      <c r="B163" s="33"/>
      <c r="C163" s="32"/>
      <c r="D163" s="32"/>
      <c r="E163" s="37"/>
      <c r="F163" s="42"/>
      <c r="G163" s="32"/>
      <c r="H163" s="36">
        <f>IF(D163="",0,IF(AND(B163&gt;=ThongTin!$C$9,B163&lt;=ThongTin!$C$10,COUNTIFS(ThongTin!$B$19:$B$48,C163,ThongTin!$A$19:$A$48,ThongTin!$C$8,ThongTin!$C$19:$C$48,"NHAP_NL")&gt;0),1,0))</f>
        <v>0</v>
      </c>
    </row>
    <row r="164" spans="1:8" x14ac:dyDescent="0.25">
      <c r="A164" s="41"/>
      <c r="B164" s="33"/>
      <c r="C164" s="32"/>
      <c r="D164" s="32"/>
      <c r="E164" s="37"/>
      <c r="F164" s="42"/>
      <c r="G164" s="32"/>
      <c r="H164" s="36">
        <f>IF(D164="",0,IF(AND(B164&gt;=ThongTin!$C$9,B164&lt;=ThongTin!$C$10,COUNTIFS(ThongTin!$B$19:$B$48,C164,ThongTin!$A$19:$A$48,ThongTin!$C$8,ThongTin!$C$19:$C$48,"NHAP_NL")&gt;0),1,0))</f>
        <v>0</v>
      </c>
    </row>
    <row r="165" spans="1:8" x14ac:dyDescent="0.25">
      <c r="A165" s="41"/>
      <c r="B165" s="33"/>
      <c r="C165" s="32"/>
      <c r="D165" s="32"/>
      <c r="E165" s="37"/>
      <c r="F165" s="42"/>
      <c r="G165" s="32"/>
      <c r="H165" s="36">
        <f>IF(D165="",0,IF(AND(B165&gt;=ThongTin!$C$9,B165&lt;=ThongTin!$C$10,COUNTIFS(ThongTin!$B$19:$B$48,C165,ThongTin!$A$19:$A$48,ThongTin!$C$8,ThongTin!$C$19:$C$48,"NHAP_NL")&gt;0),1,0))</f>
        <v>0</v>
      </c>
    </row>
    <row r="166" spans="1:8" x14ac:dyDescent="0.25">
      <c r="A166" s="41"/>
      <c r="B166" s="33"/>
      <c r="C166" s="32"/>
      <c r="D166" s="32"/>
      <c r="E166" s="37"/>
      <c r="F166" s="42"/>
      <c r="G166" s="32"/>
      <c r="H166" s="36">
        <f>IF(D166="",0,IF(AND(B166&gt;=ThongTin!$C$9,B166&lt;=ThongTin!$C$10,COUNTIFS(ThongTin!$B$19:$B$48,C166,ThongTin!$A$19:$A$48,ThongTin!$C$8,ThongTin!$C$19:$C$48,"NHAP_NL")&gt;0),1,0))</f>
        <v>0</v>
      </c>
    </row>
    <row r="167" spans="1:8" x14ac:dyDescent="0.25">
      <c r="A167" s="41"/>
      <c r="B167" s="33"/>
      <c r="C167" s="32"/>
      <c r="D167" s="32"/>
      <c r="E167" s="37"/>
      <c r="F167" s="42"/>
      <c r="G167" s="32"/>
      <c r="H167" s="36">
        <f>IF(D167="",0,IF(AND(B167&gt;=ThongTin!$C$9,B167&lt;=ThongTin!$C$10,COUNTIFS(ThongTin!$B$19:$B$48,C167,ThongTin!$A$19:$A$48,ThongTin!$C$8,ThongTin!$C$19:$C$48,"NHAP_NL")&gt;0),1,0))</f>
        <v>0</v>
      </c>
    </row>
    <row r="168" spans="1:8" x14ac:dyDescent="0.25">
      <c r="A168" s="41"/>
      <c r="B168" s="33"/>
      <c r="C168" s="32"/>
      <c r="D168" s="32"/>
      <c r="E168" s="37"/>
      <c r="F168" s="42"/>
      <c r="G168" s="32"/>
      <c r="H168" s="36">
        <f>IF(D168="",0,IF(AND(B168&gt;=ThongTin!$C$9,B168&lt;=ThongTin!$C$10,COUNTIFS(ThongTin!$B$19:$B$48,C168,ThongTin!$A$19:$A$48,ThongTin!$C$8,ThongTin!$C$19:$C$48,"NHAP_NL")&gt;0),1,0))</f>
        <v>0</v>
      </c>
    </row>
    <row r="169" spans="1:8" x14ac:dyDescent="0.25">
      <c r="A169" s="41"/>
      <c r="B169" s="33"/>
      <c r="C169" s="32"/>
      <c r="D169" s="32"/>
      <c r="E169" s="37"/>
      <c r="F169" s="42"/>
      <c r="G169" s="32"/>
      <c r="H169" s="36">
        <f>IF(D169="",0,IF(AND(B169&gt;=ThongTin!$C$9,B169&lt;=ThongTin!$C$10,COUNTIFS(ThongTin!$B$19:$B$48,C169,ThongTin!$A$19:$A$48,ThongTin!$C$8,ThongTin!$C$19:$C$48,"NHAP_NL")&gt;0),1,0))</f>
        <v>0</v>
      </c>
    </row>
    <row r="170" spans="1:8" x14ac:dyDescent="0.25">
      <c r="A170" s="41"/>
      <c r="B170" s="33"/>
      <c r="C170" s="32"/>
      <c r="D170" s="32"/>
      <c r="E170" s="37"/>
      <c r="F170" s="42"/>
      <c r="G170" s="32"/>
      <c r="H170" s="36">
        <f>IF(D170="",0,IF(AND(B170&gt;=ThongTin!$C$9,B170&lt;=ThongTin!$C$10,COUNTIFS(ThongTin!$B$19:$B$48,C170,ThongTin!$A$19:$A$48,ThongTin!$C$8,ThongTin!$C$19:$C$48,"NHAP_NL")&gt;0),1,0))</f>
        <v>0</v>
      </c>
    </row>
    <row r="171" spans="1:8" x14ac:dyDescent="0.25">
      <c r="A171" s="41"/>
      <c r="B171" s="33"/>
      <c r="C171" s="32"/>
      <c r="D171" s="32"/>
      <c r="E171" s="37"/>
      <c r="F171" s="42"/>
      <c r="G171" s="32"/>
      <c r="H171" s="36">
        <f>IF(D171="",0,IF(AND(B171&gt;=ThongTin!$C$9,B171&lt;=ThongTin!$C$10,COUNTIFS(ThongTin!$B$19:$B$48,C171,ThongTin!$A$19:$A$48,ThongTin!$C$8,ThongTin!$C$19:$C$48,"NHAP_NL")&gt;0),1,0))</f>
        <v>0</v>
      </c>
    </row>
    <row r="172" spans="1:8" x14ac:dyDescent="0.25">
      <c r="A172" s="41"/>
      <c r="B172" s="33"/>
      <c r="C172" s="32"/>
      <c r="D172" s="32"/>
      <c r="E172" s="37"/>
      <c r="F172" s="42"/>
      <c r="G172" s="32"/>
      <c r="H172" s="36">
        <f>IF(D172="",0,IF(AND(B172&gt;=ThongTin!$C$9,B172&lt;=ThongTin!$C$10,COUNTIFS(ThongTin!$B$19:$B$48,C172,ThongTin!$A$19:$A$48,ThongTin!$C$8,ThongTin!$C$19:$C$48,"NHAP_NL")&gt;0),1,0))</f>
        <v>0</v>
      </c>
    </row>
    <row r="173" spans="1:8" x14ac:dyDescent="0.25">
      <c r="A173" s="41"/>
      <c r="B173" s="33"/>
      <c r="C173" s="32"/>
      <c r="D173" s="32"/>
      <c r="E173" s="37"/>
      <c r="F173" s="42"/>
      <c r="G173" s="32"/>
      <c r="H173" s="36">
        <f>IF(D173="",0,IF(AND(B173&gt;=ThongTin!$C$9,B173&lt;=ThongTin!$C$10,COUNTIFS(ThongTin!$B$19:$B$48,C173,ThongTin!$A$19:$A$48,ThongTin!$C$8,ThongTin!$C$19:$C$48,"NHAP_NL")&gt;0),1,0))</f>
        <v>0</v>
      </c>
    </row>
    <row r="174" spans="1:8" x14ac:dyDescent="0.25">
      <c r="A174" s="41"/>
      <c r="B174" s="33"/>
      <c r="C174" s="32"/>
      <c r="D174" s="32"/>
      <c r="E174" s="37"/>
      <c r="F174" s="42"/>
      <c r="G174" s="32"/>
      <c r="H174" s="36">
        <f>IF(D174="",0,IF(AND(B174&gt;=ThongTin!$C$9,B174&lt;=ThongTin!$C$10,COUNTIFS(ThongTin!$B$19:$B$48,C174,ThongTin!$A$19:$A$48,ThongTin!$C$8,ThongTin!$C$19:$C$48,"NHAP_NL")&gt;0),1,0))</f>
        <v>0</v>
      </c>
    </row>
    <row r="175" spans="1:8" x14ac:dyDescent="0.25">
      <c r="A175" s="41"/>
      <c r="B175" s="33"/>
      <c r="C175" s="32"/>
      <c r="D175" s="32"/>
      <c r="E175" s="37"/>
      <c r="F175" s="42"/>
      <c r="G175" s="32"/>
      <c r="H175" s="36">
        <f>IF(D175="",0,IF(AND(B175&gt;=ThongTin!$C$9,B175&lt;=ThongTin!$C$10,COUNTIFS(ThongTin!$B$19:$B$48,C175,ThongTin!$A$19:$A$48,ThongTin!$C$8,ThongTin!$C$19:$C$48,"NHAP_NL")&gt;0),1,0))</f>
        <v>0</v>
      </c>
    </row>
    <row r="176" spans="1:8" x14ac:dyDescent="0.25">
      <c r="A176" s="41"/>
      <c r="B176" s="33"/>
      <c r="C176" s="32"/>
      <c r="D176" s="32"/>
      <c r="E176" s="37"/>
      <c r="F176" s="42"/>
      <c r="G176" s="32"/>
      <c r="H176" s="36">
        <f>IF(D176="",0,IF(AND(B176&gt;=ThongTin!$C$9,B176&lt;=ThongTin!$C$10,COUNTIFS(ThongTin!$B$19:$B$48,C176,ThongTin!$A$19:$A$48,ThongTin!$C$8,ThongTin!$C$19:$C$48,"NHAP_NL")&gt;0),1,0))</f>
        <v>0</v>
      </c>
    </row>
    <row r="177" spans="1:8" x14ac:dyDescent="0.25">
      <c r="A177" s="41"/>
      <c r="B177" s="33"/>
      <c r="C177" s="32"/>
      <c r="D177" s="32"/>
      <c r="E177" s="37"/>
      <c r="F177" s="42"/>
      <c r="G177" s="32"/>
      <c r="H177" s="36">
        <f>IF(D177="",0,IF(AND(B177&gt;=ThongTin!$C$9,B177&lt;=ThongTin!$C$10,COUNTIFS(ThongTin!$B$19:$B$48,C177,ThongTin!$A$19:$A$48,ThongTin!$C$8,ThongTin!$C$19:$C$48,"NHAP_NL")&gt;0),1,0))</f>
        <v>0</v>
      </c>
    </row>
    <row r="178" spans="1:8" x14ac:dyDescent="0.25">
      <c r="A178" s="41"/>
      <c r="B178" s="33"/>
      <c r="C178" s="32"/>
      <c r="D178" s="32"/>
      <c r="E178" s="37"/>
      <c r="F178" s="42"/>
      <c r="G178" s="32"/>
      <c r="H178" s="36">
        <f>IF(D178="",0,IF(AND(B178&gt;=ThongTin!$C$9,B178&lt;=ThongTin!$C$10,COUNTIFS(ThongTin!$B$19:$B$48,C178,ThongTin!$A$19:$A$48,ThongTin!$C$8,ThongTin!$C$19:$C$48,"NHAP_NL")&gt;0),1,0))</f>
        <v>0</v>
      </c>
    </row>
    <row r="179" spans="1:8" x14ac:dyDescent="0.25">
      <c r="A179" s="41"/>
      <c r="B179" s="33"/>
      <c r="C179" s="32"/>
      <c r="D179" s="32"/>
      <c r="E179" s="37"/>
      <c r="F179" s="42"/>
      <c r="G179" s="32"/>
      <c r="H179" s="36">
        <f>IF(D179="",0,IF(AND(B179&gt;=ThongTin!$C$9,B179&lt;=ThongTin!$C$10,COUNTIFS(ThongTin!$B$19:$B$48,C179,ThongTin!$A$19:$A$48,ThongTin!$C$8,ThongTin!$C$19:$C$48,"NHAP_NL")&gt;0),1,0))</f>
        <v>0</v>
      </c>
    </row>
    <row r="180" spans="1:8" x14ac:dyDescent="0.25">
      <c r="A180" s="41"/>
      <c r="B180" s="33"/>
      <c r="C180" s="32"/>
      <c r="D180" s="32"/>
      <c r="E180" s="37"/>
      <c r="F180" s="42"/>
      <c r="G180" s="32"/>
      <c r="H180" s="36">
        <f>IF(D180="",0,IF(AND(B180&gt;=ThongTin!$C$9,B180&lt;=ThongTin!$C$10,COUNTIFS(ThongTin!$B$19:$B$48,C180,ThongTin!$A$19:$A$48,ThongTin!$C$8,ThongTin!$C$19:$C$48,"NHAP_NL")&gt;0),1,0))</f>
        <v>0</v>
      </c>
    </row>
    <row r="181" spans="1:8" x14ac:dyDescent="0.25">
      <c r="A181" s="41"/>
      <c r="B181" s="33"/>
      <c r="C181" s="32"/>
      <c r="D181" s="32"/>
      <c r="E181" s="37"/>
      <c r="F181" s="42"/>
      <c r="G181" s="32"/>
      <c r="H181" s="36">
        <f>IF(D181="",0,IF(AND(B181&gt;=ThongTin!$C$9,B181&lt;=ThongTin!$C$10,COUNTIFS(ThongTin!$B$19:$B$48,C181,ThongTin!$A$19:$A$48,ThongTin!$C$8,ThongTin!$C$19:$C$48,"NHAP_NL")&gt;0),1,0))</f>
        <v>0</v>
      </c>
    </row>
    <row r="182" spans="1:8" x14ac:dyDescent="0.25">
      <c r="A182" s="41"/>
      <c r="B182" s="33"/>
      <c r="C182" s="32"/>
      <c r="D182" s="32"/>
      <c r="E182" s="37"/>
      <c r="F182" s="42"/>
      <c r="G182" s="32"/>
      <c r="H182" s="36">
        <f>IF(D182="",0,IF(AND(B182&gt;=ThongTin!$C$9,B182&lt;=ThongTin!$C$10,COUNTIFS(ThongTin!$B$19:$B$48,C182,ThongTin!$A$19:$A$48,ThongTin!$C$8,ThongTin!$C$19:$C$48,"NHAP_NL")&gt;0),1,0))</f>
        <v>0</v>
      </c>
    </row>
    <row r="183" spans="1:8" x14ac:dyDescent="0.25">
      <c r="A183" s="41"/>
      <c r="B183" s="33"/>
      <c r="C183" s="32"/>
      <c r="D183" s="32"/>
      <c r="E183" s="37"/>
      <c r="F183" s="42"/>
      <c r="G183" s="32"/>
      <c r="H183" s="36">
        <f>IF(D183="",0,IF(AND(B183&gt;=ThongTin!$C$9,B183&lt;=ThongTin!$C$10,COUNTIFS(ThongTin!$B$19:$B$48,C183,ThongTin!$A$19:$A$48,ThongTin!$C$8,ThongTin!$C$19:$C$48,"NHAP_NL")&gt;0),1,0))</f>
        <v>0</v>
      </c>
    </row>
    <row r="184" spans="1:8" x14ac:dyDescent="0.25">
      <c r="A184" s="41"/>
      <c r="B184" s="33"/>
      <c r="C184" s="32"/>
      <c r="D184" s="32"/>
      <c r="E184" s="37"/>
      <c r="F184" s="42"/>
      <c r="G184" s="32"/>
      <c r="H184" s="36">
        <f>IF(D184="",0,IF(AND(B184&gt;=ThongTin!$C$9,B184&lt;=ThongTin!$C$10,COUNTIFS(ThongTin!$B$19:$B$48,C184,ThongTin!$A$19:$A$48,ThongTin!$C$8,ThongTin!$C$19:$C$48,"NHAP_NL")&gt;0),1,0))</f>
        <v>0</v>
      </c>
    </row>
    <row r="185" spans="1:8" x14ac:dyDescent="0.25">
      <c r="A185" s="41"/>
      <c r="B185" s="33"/>
      <c r="C185" s="32"/>
      <c r="D185" s="32"/>
      <c r="E185" s="37"/>
      <c r="F185" s="42"/>
      <c r="G185" s="32"/>
      <c r="H185" s="36">
        <f>IF(D185="",0,IF(AND(B185&gt;=ThongTin!$C$9,B185&lt;=ThongTin!$C$10,COUNTIFS(ThongTin!$B$19:$B$48,C185,ThongTin!$A$19:$A$48,ThongTin!$C$8,ThongTin!$C$19:$C$48,"NHAP_NL")&gt;0),1,0))</f>
        <v>0</v>
      </c>
    </row>
    <row r="186" spans="1:8" x14ac:dyDescent="0.25">
      <c r="A186" s="41"/>
      <c r="B186" s="33"/>
      <c r="C186" s="32"/>
      <c r="D186" s="32"/>
      <c r="E186" s="37"/>
      <c r="F186" s="42"/>
      <c r="G186" s="32"/>
      <c r="H186" s="36">
        <f>IF(D186="",0,IF(AND(B186&gt;=ThongTin!$C$9,B186&lt;=ThongTin!$C$10,COUNTIFS(ThongTin!$B$19:$B$48,C186,ThongTin!$A$19:$A$48,ThongTin!$C$8,ThongTin!$C$19:$C$48,"NHAP_NL")&gt;0),1,0))</f>
        <v>0</v>
      </c>
    </row>
    <row r="187" spans="1:8" x14ac:dyDescent="0.25">
      <c r="A187" s="41"/>
      <c r="B187" s="33"/>
      <c r="C187" s="32"/>
      <c r="D187" s="32"/>
      <c r="E187" s="37"/>
      <c r="F187" s="42"/>
      <c r="G187" s="32"/>
      <c r="H187" s="36">
        <f>IF(D187="",0,IF(AND(B187&gt;=ThongTin!$C$9,B187&lt;=ThongTin!$C$10,COUNTIFS(ThongTin!$B$19:$B$48,C187,ThongTin!$A$19:$A$48,ThongTin!$C$8,ThongTin!$C$19:$C$48,"NHAP_NL")&gt;0),1,0))</f>
        <v>0</v>
      </c>
    </row>
    <row r="188" spans="1:8" x14ac:dyDescent="0.25">
      <c r="A188" s="41"/>
      <c r="B188" s="33"/>
      <c r="C188" s="32"/>
      <c r="D188" s="32"/>
      <c r="E188" s="37"/>
      <c r="F188" s="42"/>
      <c r="G188" s="32"/>
      <c r="H188" s="36">
        <f>IF(D188="",0,IF(AND(B188&gt;=ThongTin!$C$9,B188&lt;=ThongTin!$C$10,COUNTIFS(ThongTin!$B$19:$B$48,C188,ThongTin!$A$19:$A$48,ThongTin!$C$8,ThongTin!$C$19:$C$48,"NHAP_NL")&gt;0),1,0))</f>
        <v>0</v>
      </c>
    </row>
    <row r="189" spans="1:8" x14ac:dyDescent="0.25">
      <c r="A189" s="41"/>
      <c r="B189" s="33"/>
      <c r="C189" s="32"/>
      <c r="D189" s="32"/>
      <c r="E189" s="37"/>
      <c r="F189" s="42"/>
      <c r="G189" s="32"/>
      <c r="H189" s="36">
        <f>IF(D189="",0,IF(AND(B189&gt;=ThongTin!$C$9,B189&lt;=ThongTin!$C$10,COUNTIFS(ThongTin!$B$19:$B$48,C189,ThongTin!$A$19:$A$48,ThongTin!$C$8,ThongTin!$C$19:$C$48,"NHAP_NL")&gt;0),1,0))</f>
        <v>0</v>
      </c>
    </row>
    <row r="190" spans="1:8" x14ac:dyDescent="0.25">
      <c r="A190" s="41"/>
      <c r="B190" s="33"/>
      <c r="C190" s="32"/>
      <c r="D190" s="32"/>
      <c r="E190" s="37"/>
      <c r="F190" s="42"/>
      <c r="G190" s="32"/>
      <c r="H190" s="36">
        <f>IF(D190="",0,IF(AND(B190&gt;=ThongTin!$C$9,B190&lt;=ThongTin!$C$10,COUNTIFS(ThongTin!$B$19:$B$48,C190,ThongTin!$A$19:$A$48,ThongTin!$C$8,ThongTin!$C$19:$C$48,"NHAP_NL")&gt;0),1,0))</f>
        <v>0</v>
      </c>
    </row>
    <row r="191" spans="1:8" x14ac:dyDescent="0.25">
      <c r="A191" s="41"/>
      <c r="B191" s="33"/>
      <c r="C191" s="32"/>
      <c r="D191" s="32"/>
      <c r="E191" s="37"/>
      <c r="F191" s="42"/>
      <c r="G191" s="32"/>
      <c r="H191" s="36">
        <f>IF(D191="",0,IF(AND(B191&gt;=ThongTin!$C$9,B191&lt;=ThongTin!$C$10,COUNTIFS(ThongTin!$B$19:$B$48,C191,ThongTin!$A$19:$A$48,ThongTin!$C$8,ThongTin!$C$19:$C$48,"NHAP_NL")&gt;0),1,0))</f>
        <v>0</v>
      </c>
    </row>
    <row r="192" spans="1:8" x14ac:dyDescent="0.25">
      <c r="A192" s="41"/>
      <c r="B192" s="33"/>
      <c r="C192" s="32"/>
      <c r="D192" s="32"/>
      <c r="E192" s="37"/>
      <c r="F192" s="42"/>
      <c r="G192" s="32"/>
      <c r="H192" s="36">
        <f>IF(D192="",0,IF(AND(B192&gt;=ThongTin!$C$9,B192&lt;=ThongTin!$C$10,COUNTIFS(ThongTin!$B$19:$B$48,C192,ThongTin!$A$19:$A$48,ThongTin!$C$8,ThongTin!$C$19:$C$48,"NHAP_NL")&gt;0),1,0))</f>
        <v>0</v>
      </c>
    </row>
    <row r="193" spans="1:8" x14ac:dyDescent="0.25">
      <c r="A193" s="41"/>
      <c r="B193" s="33"/>
      <c r="C193" s="32"/>
      <c r="D193" s="32"/>
      <c r="E193" s="37"/>
      <c r="F193" s="42"/>
      <c r="G193" s="32"/>
      <c r="H193" s="36">
        <f>IF(D193="",0,IF(AND(B193&gt;=ThongTin!$C$9,B193&lt;=ThongTin!$C$10,COUNTIFS(ThongTin!$B$19:$B$48,C193,ThongTin!$A$19:$A$48,ThongTin!$C$8,ThongTin!$C$19:$C$48,"NHAP_NL")&gt;0),1,0))</f>
        <v>0</v>
      </c>
    </row>
    <row r="194" spans="1:8" x14ac:dyDescent="0.25">
      <c r="A194" s="41"/>
      <c r="B194" s="33"/>
      <c r="C194" s="32"/>
      <c r="D194" s="32"/>
      <c r="E194" s="37"/>
      <c r="F194" s="42"/>
      <c r="G194" s="32"/>
      <c r="H194" s="36">
        <f>IF(D194="",0,IF(AND(B194&gt;=ThongTin!$C$9,B194&lt;=ThongTin!$C$10,COUNTIFS(ThongTin!$B$19:$B$48,C194,ThongTin!$A$19:$A$48,ThongTin!$C$8,ThongTin!$C$19:$C$48,"NHAP_NL")&gt;0),1,0))</f>
        <v>0</v>
      </c>
    </row>
    <row r="195" spans="1:8" x14ac:dyDescent="0.25">
      <c r="A195" s="41"/>
      <c r="B195" s="33"/>
      <c r="C195" s="32"/>
      <c r="D195" s="32"/>
      <c r="E195" s="37"/>
      <c r="F195" s="42"/>
      <c r="G195" s="32"/>
      <c r="H195" s="36">
        <f>IF(D195="",0,IF(AND(B195&gt;=ThongTin!$C$9,B195&lt;=ThongTin!$C$10,COUNTIFS(ThongTin!$B$19:$B$48,C195,ThongTin!$A$19:$A$48,ThongTin!$C$8,ThongTin!$C$19:$C$48,"NHAP_NL")&gt;0),1,0))</f>
        <v>0</v>
      </c>
    </row>
    <row r="196" spans="1:8" x14ac:dyDescent="0.25">
      <c r="A196" s="41"/>
      <c r="B196" s="33"/>
      <c r="C196" s="32"/>
      <c r="D196" s="32"/>
      <c r="E196" s="37"/>
      <c r="F196" s="42"/>
      <c r="G196" s="32"/>
      <c r="H196" s="36">
        <f>IF(D196="",0,IF(AND(B196&gt;=ThongTin!$C$9,B196&lt;=ThongTin!$C$10,COUNTIFS(ThongTin!$B$19:$B$48,C196,ThongTin!$A$19:$A$48,ThongTin!$C$8,ThongTin!$C$19:$C$48,"NHAP_NL")&gt;0),1,0))</f>
        <v>0</v>
      </c>
    </row>
    <row r="197" spans="1:8" x14ac:dyDescent="0.25">
      <c r="A197" s="41"/>
      <c r="B197" s="33"/>
      <c r="C197" s="32"/>
      <c r="D197" s="32"/>
      <c r="E197" s="37"/>
      <c r="F197" s="42"/>
      <c r="G197" s="32"/>
      <c r="H197" s="36">
        <f>IF(D197="",0,IF(AND(B197&gt;=ThongTin!$C$9,B197&lt;=ThongTin!$C$10,COUNTIFS(ThongTin!$B$19:$B$48,C197,ThongTin!$A$19:$A$48,ThongTin!$C$8,ThongTin!$C$19:$C$48,"NHAP_NL")&gt;0),1,0))</f>
        <v>0</v>
      </c>
    </row>
    <row r="198" spans="1:8" x14ac:dyDescent="0.25">
      <c r="A198" s="41"/>
      <c r="B198" s="33"/>
      <c r="C198" s="32"/>
      <c r="D198" s="32"/>
      <c r="E198" s="37"/>
      <c r="F198" s="42"/>
      <c r="G198" s="32"/>
      <c r="H198" s="36">
        <f>IF(D198="",0,IF(AND(B198&gt;=ThongTin!$C$9,B198&lt;=ThongTin!$C$10,COUNTIFS(ThongTin!$B$19:$B$48,C198,ThongTin!$A$19:$A$48,ThongTin!$C$8,ThongTin!$C$19:$C$48,"NHAP_NL")&gt;0),1,0))</f>
        <v>0</v>
      </c>
    </row>
    <row r="199" spans="1:8" x14ac:dyDescent="0.25">
      <c r="A199" s="41"/>
      <c r="B199" s="33"/>
      <c r="C199" s="32"/>
      <c r="D199" s="32"/>
      <c r="E199" s="37"/>
      <c r="F199" s="42"/>
      <c r="G199" s="32"/>
      <c r="H199" s="36">
        <f>IF(D199="",0,IF(AND(B199&gt;=ThongTin!$C$9,B199&lt;=ThongTin!$C$10,COUNTIFS(ThongTin!$B$19:$B$48,C199,ThongTin!$A$19:$A$48,ThongTin!$C$8,ThongTin!$C$19:$C$48,"NHAP_NL")&gt;0),1,0))</f>
        <v>0</v>
      </c>
    </row>
    <row r="200" spans="1:8" x14ac:dyDescent="0.25">
      <c r="A200" s="41"/>
      <c r="B200" s="33"/>
      <c r="C200" s="32"/>
      <c r="D200" s="32"/>
      <c r="E200" s="37"/>
      <c r="F200" s="42"/>
      <c r="G200" s="32"/>
      <c r="H200" s="36">
        <f>IF(D200="",0,IF(AND(B200&gt;=ThongTin!$C$9,B200&lt;=ThongTin!$C$10,COUNTIFS(ThongTin!$B$19:$B$48,C200,ThongTin!$A$19:$A$48,ThongTin!$C$8,ThongTin!$C$19:$C$48,"NHAP_NL")&gt;0),1,0))</f>
        <v>0</v>
      </c>
    </row>
    <row r="201" spans="1:8" x14ac:dyDescent="0.25">
      <c r="A201" s="41"/>
      <c r="B201" s="33"/>
      <c r="C201" s="32"/>
      <c r="D201" s="32"/>
      <c r="E201" s="37"/>
      <c r="F201" s="42"/>
      <c r="G201" s="32"/>
      <c r="H201" s="36">
        <f>IF(D201="",0,IF(AND(B201&gt;=ThongTin!$C$9,B201&lt;=ThongTin!$C$10,COUNTIFS(ThongTin!$B$19:$B$48,C201,ThongTin!$A$19:$A$48,ThongTin!$C$8,ThongTin!$C$19:$C$48,"NHAP_NL")&gt;0),1,0))</f>
        <v>0</v>
      </c>
    </row>
    <row r="202" spans="1:8" x14ac:dyDescent="0.25">
      <c r="A202" s="41"/>
      <c r="B202" s="33"/>
      <c r="C202" s="32"/>
      <c r="D202" s="32"/>
      <c r="E202" s="37"/>
      <c r="F202" s="42"/>
      <c r="G202" s="32"/>
      <c r="H202" s="36">
        <f>IF(D202="",0,IF(AND(B202&gt;=ThongTin!$C$9,B202&lt;=ThongTin!$C$10,COUNTIFS(ThongTin!$B$19:$B$48,C202,ThongTin!$A$19:$A$48,ThongTin!$C$8,ThongTin!$C$19:$C$48,"NHAP_NL")&gt;0),1,0))</f>
        <v>0</v>
      </c>
    </row>
    <row r="203" spans="1:8" x14ac:dyDescent="0.25">
      <c r="A203" s="41"/>
      <c r="B203" s="33"/>
      <c r="C203" s="32"/>
      <c r="D203" s="32"/>
      <c r="E203" s="37"/>
      <c r="F203" s="42"/>
      <c r="G203" s="32"/>
      <c r="H203" s="36">
        <f>IF(D203="",0,IF(AND(B203&gt;=ThongTin!$C$9,B203&lt;=ThongTin!$C$10,COUNTIFS(ThongTin!$B$19:$B$48,C203,ThongTin!$A$19:$A$48,ThongTin!$C$8,ThongTin!$C$19:$C$48,"NHAP_NL")&gt;0),1,0))</f>
        <v>0</v>
      </c>
    </row>
    <row r="204" spans="1:8" x14ac:dyDescent="0.25">
      <c r="A204" s="41"/>
      <c r="B204" s="33"/>
      <c r="C204" s="32"/>
      <c r="D204" s="32"/>
      <c r="E204" s="37"/>
      <c r="F204" s="42"/>
      <c r="G204" s="32"/>
      <c r="H204" s="36">
        <f>IF(D204="",0,IF(AND(B204&gt;=ThongTin!$C$9,B204&lt;=ThongTin!$C$10,COUNTIFS(ThongTin!$B$19:$B$48,C204,ThongTin!$A$19:$A$48,ThongTin!$C$8,ThongTin!$C$19:$C$48,"NHAP_NL")&gt;0),1,0))</f>
        <v>0</v>
      </c>
    </row>
    <row r="205" spans="1:8" x14ac:dyDescent="0.25">
      <c r="A205" s="41"/>
      <c r="B205" s="33"/>
      <c r="C205" s="32"/>
      <c r="D205" s="32"/>
      <c r="E205" s="37"/>
      <c r="F205" s="42"/>
      <c r="G205" s="32"/>
      <c r="H205" s="36">
        <f>IF(D205="",0,IF(AND(B205&gt;=ThongTin!$C$9,B205&lt;=ThongTin!$C$10,COUNTIFS(ThongTin!$B$19:$B$48,C205,ThongTin!$A$19:$A$48,ThongTin!$C$8,ThongTin!$C$19:$C$48,"NHAP_NL")&gt;0),1,0))</f>
        <v>0</v>
      </c>
    </row>
    <row r="206" spans="1:8" x14ac:dyDescent="0.25">
      <c r="A206" s="41"/>
      <c r="B206" s="33"/>
      <c r="C206" s="32"/>
      <c r="D206" s="32"/>
      <c r="E206" s="37"/>
      <c r="F206" s="42"/>
      <c r="G206" s="32"/>
      <c r="H206" s="36">
        <f>IF(D206="",0,IF(AND(B206&gt;=ThongTin!$C$9,B206&lt;=ThongTin!$C$10,COUNTIFS(ThongTin!$B$19:$B$48,C206,ThongTin!$A$19:$A$48,ThongTin!$C$8,ThongTin!$C$19:$C$48,"NHAP_NL")&gt;0),1,0))</f>
        <v>0</v>
      </c>
    </row>
    <row r="207" spans="1:8" x14ac:dyDescent="0.25">
      <c r="A207" s="41"/>
      <c r="B207" s="33"/>
      <c r="C207" s="32"/>
      <c r="D207" s="32"/>
      <c r="E207" s="37"/>
      <c r="F207" s="42"/>
      <c r="G207" s="32"/>
      <c r="H207" s="36">
        <f>IF(D207="",0,IF(AND(B207&gt;=ThongTin!$C$9,B207&lt;=ThongTin!$C$10,COUNTIFS(ThongTin!$B$19:$B$48,C207,ThongTin!$A$19:$A$48,ThongTin!$C$8,ThongTin!$C$19:$C$48,"NHAP_NL")&gt;0),1,0))</f>
        <v>0</v>
      </c>
    </row>
    <row r="208" spans="1:8" x14ac:dyDescent="0.25">
      <c r="A208" s="41"/>
      <c r="B208" s="33"/>
      <c r="C208" s="32"/>
      <c r="D208" s="32"/>
      <c r="E208" s="37"/>
      <c r="F208" s="42"/>
      <c r="G208" s="32"/>
      <c r="H208" s="36">
        <f>IF(D208="",0,IF(AND(B208&gt;=ThongTin!$C$9,B208&lt;=ThongTin!$C$10,COUNTIFS(ThongTin!$B$19:$B$48,C208,ThongTin!$A$19:$A$48,ThongTin!$C$8,ThongTin!$C$19:$C$48,"NHAP_NL")&gt;0),1,0))</f>
        <v>0</v>
      </c>
    </row>
    <row r="209" spans="1:8" x14ac:dyDescent="0.25">
      <c r="A209" s="41"/>
      <c r="B209" s="33"/>
      <c r="C209" s="32"/>
      <c r="D209" s="32"/>
      <c r="E209" s="37"/>
      <c r="F209" s="42"/>
      <c r="G209" s="32"/>
      <c r="H209" s="36">
        <f>IF(D209="",0,IF(AND(B209&gt;=ThongTin!$C$9,B209&lt;=ThongTin!$C$10,COUNTIFS(ThongTin!$B$19:$B$48,C209,ThongTin!$A$19:$A$48,ThongTin!$C$8,ThongTin!$C$19:$C$48,"NHAP_NL")&gt;0),1,0))</f>
        <v>0</v>
      </c>
    </row>
    <row r="210" spans="1:8" x14ac:dyDescent="0.25">
      <c r="A210" s="41"/>
      <c r="B210" s="33"/>
      <c r="C210" s="32"/>
      <c r="D210" s="32"/>
      <c r="E210" s="37"/>
      <c r="F210" s="42"/>
      <c r="G210" s="32"/>
      <c r="H210" s="36">
        <f>IF(D210="",0,IF(AND(B210&gt;=ThongTin!$C$9,B210&lt;=ThongTin!$C$10,COUNTIFS(ThongTin!$B$19:$B$48,C210,ThongTin!$A$19:$A$48,ThongTin!$C$8,ThongTin!$C$19:$C$48,"NHAP_NL")&gt;0),1,0))</f>
        <v>0</v>
      </c>
    </row>
    <row r="211" spans="1:8" x14ac:dyDescent="0.25">
      <c r="A211" s="41"/>
      <c r="B211" s="33"/>
      <c r="C211" s="32"/>
      <c r="D211" s="32"/>
      <c r="E211" s="37"/>
      <c r="F211" s="42"/>
      <c r="G211" s="32"/>
      <c r="H211" s="36">
        <f>IF(D211="",0,IF(AND(B211&gt;=ThongTin!$C$9,B211&lt;=ThongTin!$C$10,COUNTIFS(ThongTin!$B$19:$B$48,C211,ThongTin!$A$19:$A$48,ThongTin!$C$8,ThongTin!$C$19:$C$48,"NHAP_NL")&gt;0),1,0))</f>
        <v>0</v>
      </c>
    </row>
    <row r="212" spans="1:8" x14ac:dyDescent="0.25">
      <c r="A212" s="41"/>
      <c r="B212" s="33"/>
      <c r="C212" s="32"/>
      <c r="D212" s="32"/>
      <c r="E212" s="37"/>
      <c r="F212" s="42"/>
      <c r="G212" s="32"/>
      <c r="H212" s="36">
        <f>IF(D212="",0,IF(AND(B212&gt;=ThongTin!$C$9,B212&lt;=ThongTin!$C$10,COUNTIFS(ThongTin!$B$19:$B$48,C212,ThongTin!$A$19:$A$48,ThongTin!$C$8,ThongTin!$C$19:$C$48,"NHAP_NL")&gt;0),1,0))</f>
        <v>0</v>
      </c>
    </row>
    <row r="213" spans="1:8" x14ac:dyDescent="0.25">
      <c r="A213" s="41"/>
      <c r="B213" s="33"/>
      <c r="C213" s="32"/>
      <c r="D213" s="32"/>
      <c r="E213" s="37"/>
      <c r="F213" s="42"/>
      <c r="G213" s="32"/>
      <c r="H213" s="36">
        <f>IF(D213="",0,IF(AND(B213&gt;=ThongTin!$C$9,B213&lt;=ThongTin!$C$10,COUNTIFS(ThongTin!$B$19:$B$48,C213,ThongTin!$A$19:$A$48,ThongTin!$C$8,ThongTin!$C$19:$C$48,"NHAP_NL")&gt;0),1,0))</f>
        <v>0</v>
      </c>
    </row>
    <row r="214" spans="1:8" x14ac:dyDescent="0.25">
      <c r="A214" s="41"/>
      <c r="B214" s="33"/>
      <c r="C214" s="32"/>
      <c r="D214" s="32"/>
      <c r="E214" s="37"/>
      <c r="F214" s="42"/>
      <c r="G214" s="32"/>
      <c r="H214" s="36">
        <f>IF(D214="",0,IF(AND(B214&gt;=ThongTin!$C$9,B214&lt;=ThongTin!$C$10,COUNTIFS(ThongTin!$B$19:$B$48,C214,ThongTin!$A$19:$A$48,ThongTin!$C$8,ThongTin!$C$19:$C$48,"NHAP_NL")&gt;0),1,0))</f>
        <v>0</v>
      </c>
    </row>
    <row r="215" spans="1:8" x14ac:dyDescent="0.25">
      <c r="A215" s="41"/>
      <c r="B215" s="33"/>
      <c r="C215" s="32"/>
      <c r="D215" s="32"/>
      <c r="E215" s="37"/>
      <c r="F215" s="42"/>
      <c r="G215" s="32"/>
      <c r="H215" s="36">
        <f>IF(D215="",0,IF(AND(B215&gt;=ThongTin!$C$9,B215&lt;=ThongTin!$C$10,COUNTIFS(ThongTin!$B$19:$B$48,C215,ThongTin!$A$19:$A$48,ThongTin!$C$8,ThongTin!$C$19:$C$48,"NHAP_NL")&gt;0),1,0))</f>
        <v>0</v>
      </c>
    </row>
    <row r="216" spans="1:8" x14ac:dyDescent="0.25">
      <c r="A216" s="41"/>
      <c r="B216" s="33"/>
      <c r="C216" s="32"/>
      <c r="D216" s="32"/>
      <c r="E216" s="37"/>
      <c r="F216" s="42"/>
      <c r="G216" s="32"/>
      <c r="H216" s="36">
        <f>IF(D216="",0,IF(AND(B216&gt;=ThongTin!$C$9,B216&lt;=ThongTin!$C$10,COUNTIFS(ThongTin!$B$19:$B$48,C216,ThongTin!$A$19:$A$48,ThongTin!$C$8,ThongTin!$C$19:$C$48,"NHAP_NL")&gt;0),1,0))</f>
        <v>0</v>
      </c>
    </row>
    <row r="217" spans="1:8" x14ac:dyDescent="0.25">
      <c r="A217" s="41"/>
      <c r="B217" s="33"/>
      <c r="C217" s="32"/>
      <c r="D217" s="32"/>
      <c r="E217" s="37"/>
      <c r="F217" s="42"/>
      <c r="G217" s="32"/>
      <c r="H217" s="36">
        <f>IF(D217="",0,IF(AND(B217&gt;=ThongTin!$C$9,B217&lt;=ThongTin!$C$10,COUNTIFS(ThongTin!$B$19:$B$48,C217,ThongTin!$A$19:$A$48,ThongTin!$C$8,ThongTin!$C$19:$C$48,"NHAP_NL")&gt;0),1,0))</f>
        <v>0</v>
      </c>
    </row>
    <row r="218" spans="1:8" x14ac:dyDescent="0.25">
      <c r="A218" s="41"/>
      <c r="B218" s="33"/>
      <c r="C218" s="32"/>
      <c r="D218" s="32"/>
      <c r="E218" s="37"/>
      <c r="F218" s="42"/>
      <c r="G218" s="32"/>
      <c r="H218" s="36">
        <f>IF(D218="",0,IF(AND(B218&gt;=ThongTin!$C$9,B218&lt;=ThongTin!$C$10,COUNTIFS(ThongTin!$B$19:$B$48,C218,ThongTin!$A$19:$A$48,ThongTin!$C$8,ThongTin!$C$19:$C$48,"NHAP_NL")&gt;0),1,0))</f>
        <v>0</v>
      </c>
    </row>
    <row r="219" spans="1:8" x14ac:dyDescent="0.25">
      <c r="A219" s="41"/>
      <c r="B219" s="33"/>
      <c r="C219" s="32"/>
      <c r="D219" s="32"/>
      <c r="E219" s="37"/>
      <c r="F219" s="42"/>
      <c r="G219" s="32"/>
      <c r="H219" s="36">
        <f>IF(D219="",0,IF(AND(B219&gt;=ThongTin!$C$9,B219&lt;=ThongTin!$C$10,COUNTIFS(ThongTin!$B$19:$B$48,C219,ThongTin!$A$19:$A$48,ThongTin!$C$8,ThongTin!$C$19:$C$48,"NHAP_NL")&gt;0),1,0))</f>
        <v>0</v>
      </c>
    </row>
    <row r="220" spans="1:8" x14ac:dyDescent="0.25">
      <c r="A220" s="41"/>
      <c r="B220" s="33"/>
      <c r="C220" s="32"/>
      <c r="D220" s="32"/>
      <c r="E220" s="37"/>
      <c r="F220" s="42"/>
      <c r="G220" s="32"/>
      <c r="H220" s="36">
        <f>IF(D220="",0,IF(AND(B220&gt;=ThongTin!$C$9,B220&lt;=ThongTin!$C$10,COUNTIFS(ThongTin!$B$19:$B$48,C220,ThongTin!$A$19:$A$48,ThongTin!$C$8,ThongTin!$C$19:$C$48,"NHAP_NL")&gt;0),1,0))</f>
        <v>0</v>
      </c>
    </row>
    <row r="221" spans="1:8" x14ac:dyDescent="0.25">
      <c r="A221" s="41"/>
      <c r="B221" s="33"/>
      <c r="C221" s="32"/>
      <c r="D221" s="32"/>
      <c r="E221" s="37"/>
      <c r="F221" s="42"/>
      <c r="G221" s="32"/>
      <c r="H221" s="36">
        <f>IF(D221="",0,IF(AND(B221&gt;=ThongTin!$C$9,B221&lt;=ThongTin!$C$10,COUNTIFS(ThongTin!$B$19:$B$48,C221,ThongTin!$A$19:$A$48,ThongTin!$C$8,ThongTin!$C$19:$C$48,"NHAP_NL")&gt;0),1,0))</f>
        <v>0</v>
      </c>
    </row>
    <row r="222" spans="1:8" x14ac:dyDescent="0.25">
      <c r="A222" s="41"/>
      <c r="B222" s="33"/>
      <c r="C222" s="32"/>
      <c r="D222" s="32"/>
      <c r="E222" s="37"/>
      <c r="F222" s="42"/>
      <c r="G222" s="32"/>
      <c r="H222" s="36">
        <f>IF(D222="",0,IF(AND(B222&gt;=ThongTin!$C$9,B222&lt;=ThongTin!$C$10,COUNTIFS(ThongTin!$B$19:$B$48,C222,ThongTin!$A$19:$A$48,ThongTin!$C$8,ThongTin!$C$19:$C$48,"NHAP_NL")&gt;0),1,0))</f>
        <v>0</v>
      </c>
    </row>
    <row r="223" spans="1:8" x14ac:dyDescent="0.25">
      <c r="A223" s="41"/>
      <c r="B223" s="33"/>
      <c r="C223" s="32"/>
      <c r="D223" s="32"/>
      <c r="E223" s="37"/>
      <c r="F223" s="42"/>
      <c r="G223" s="32"/>
      <c r="H223" s="36">
        <f>IF(D223="",0,IF(AND(B223&gt;=ThongTin!$C$9,B223&lt;=ThongTin!$C$10,COUNTIFS(ThongTin!$B$19:$B$48,C223,ThongTin!$A$19:$A$48,ThongTin!$C$8,ThongTin!$C$19:$C$48,"NHAP_NL")&gt;0),1,0))</f>
        <v>0</v>
      </c>
    </row>
    <row r="224" spans="1:8" x14ac:dyDescent="0.25">
      <c r="A224" s="41"/>
      <c r="B224" s="33"/>
      <c r="C224" s="32"/>
      <c r="D224" s="32"/>
      <c r="E224" s="37"/>
      <c r="F224" s="42"/>
      <c r="G224" s="32"/>
      <c r="H224" s="36">
        <f>IF(D224="",0,IF(AND(B224&gt;=ThongTin!$C$9,B224&lt;=ThongTin!$C$10,COUNTIFS(ThongTin!$B$19:$B$48,C224,ThongTin!$A$19:$A$48,ThongTin!$C$8,ThongTin!$C$19:$C$48,"NHAP_NL")&gt;0),1,0))</f>
        <v>0</v>
      </c>
    </row>
    <row r="225" spans="1:8" x14ac:dyDescent="0.25">
      <c r="A225" s="41"/>
      <c r="B225" s="33"/>
      <c r="C225" s="32"/>
      <c r="D225" s="32"/>
      <c r="E225" s="37"/>
      <c r="F225" s="42"/>
      <c r="G225" s="32"/>
      <c r="H225" s="36">
        <f>IF(D225="",0,IF(AND(B225&gt;=ThongTin!$C$9,B225&lt;=ThongTin!$C$10,COUNTIFS(ThongTin!$B$19:$B$48,C225,ThongTin!$A$19:$A$48,ThongTin!$C$8,ThongTin!$C$19:$C$48,"NHAP_NL")&gt;0),1,0))</f>
        <v>0</v>
      </c>
    </row>
    <row r="226" spans="1:8" x14ac:dyDescent="0.25">
      <c r="A226" s="41"/>
      <c r="B226" s="33"/>
      <c r="C226" s="32"/>
      <c r="D226" s="32"/>
      <c r="E226" s="37"/>
      <c r="F226" s="42"/>
      <c r="G226" s="32"/>
      <c r="H226" s="36">
        <f>IF(D226="",0,IF(AND(B226&gt;=ThongTin!$C$9,B226&lt;=ThongTin!$C$10,COUNTIFS(ThongTin!$B$19:$B$48,C226,ThongTin!$A$19:$A$48,ThongTin!$C$8,ThongTin!$C$19:$C$48,"NHAP_NL")&gt;0),1,0))</f>
        <v>0</v>
      </c>
    </row>
    <row r="227" spans="1:8" x14ac:dyDescent="0.25">
      <c r="A227" s="41"/>
      <c r="B227" s="33"/>
      <c r="C227" s="32"/>
      <c r="D227" s="32"/>
      <c r="E227" s="37"/>
      <c r="F227" s="42"/>
      <c r="G227" s="32"/>
      <c r="H227" s="36">
        <f>IF(D227="",0,IF(AND(B227&gt;=ThongTin!$C$9,B227&lt;=ThongTin!$C$10,COUNTIFS(ThongTin!$B$19:$B$48,C227,ThongTin!$A$19:$A$48,ThongTin!$C$8,ThongTin!$C$19:$C$48,"NHAP_NL")&gt;0),1,0))</f>
        <v>0</v>
      </c>
    </row>
    <row r="228" spans="1:8" x14ac:dyDescent="0.25">
      <c r="A228" s="41"/>
      <c r="B228" s="33"/>
      <c r="C228" s="32"/>
      <c r="D228" s="32"/>
      <c r="E228" s="37"/>
      <c r="F228" s="42"/>
      <c r="G228" s="32"/>
      <c r="H228" s="36">
        <f>IF(D228="",0,IF(AND(B228&gt;=ThongTin!$C$9,B228&lt;=ThongTin!$C$10,COUNTIFS(ThongTin!$B$19:$B$48,C228,ThongTin!$A$19:$A$48,ThongTin!$C$8,ThongTin!$C$19:$C$48,"NHAP_NL")&gt;0),1,0))</f>
        <v>0</v>
      </c>
    </row>
    <row r="229" spans="1:8" x14ac:dyDescent="0.25">
      <c r="A229" s="41"/>
      <c r="B229" s="33"/>
      <c r="C229" s="32"/>
      <c r="D229" s="32"/>
      <c r="E229" s="37"/>
      <c r="F229" s="42"/>
      <c r="G229" s="32"/>
      <c r="H229" s="36">
        <f>IF(D229="",0,IF(AND(B229&gt;=ThongTin!$C$9,B229&lt;=ThongTin!$C$10,COUNTIFS(ThongTin!$B$19:$B$48,C229,ThongTin!$A$19:$A$48,ThongTin!$C$8,ThongTin!$C$19:$C$48,"NHAP_NL")&gt;0),1,0))</f>
        <v>0</v>
      </c>
    </row>
    <row r="230" spans="1:8" x14ac:dyDescent="0.25">
      <c r="A230" s="41"/>
      <c r="B230" s="33"/>
      <c r="C230" s="32"/>
      <c r="D230" s="32"/>
      <c r="E230" s="37"/>
      <c r="F230" s="42"/>
      <c r="G230" s="32"/>
      <c r="H230" s="36">
        <f>IF(D230="",0,IF(AND(B230&gt;=ThongTin!$C$9,B230&lt;=ThongTin!$C$10,COUNTIFS(ThongTin!$B$19:$B$48,C230,ThongTin!$A$19:$A$48,ThongTin!$C$8,ThongTin!$C$19:$C$48,"NHAP_NL")&gt;0),1,0))</f>
        <v>0</v>
      </c>
    </row>
    <row r="231" spans="1:8" x14ac:dyDescent="0.25">
      <c r="A231" s="41"/>
      <c r="B231" s="33"/>
      <c r="C231" s="32"/>
      <c r="D231" s="32"/>
      <c r="E231" s="37"/>
      <c r="F231" s="42"/>
      <c r="G231" s="32"/>
      <c r="H231" s="36">
        <f>IF(D231="",0,IF(AND(B231&gt;=ThongTin!$C$9,B231&lt;=ThongTin!$C$10,COUNTIFS(ThongTin!$B$19:$B$48,C231,ThongTin!$A$19:$A$48,ThongTin!$C$8,ThongTin!$C$19:$C$48,"NHAP_NL")&gt;0),1,0))</f>
        <v>0</v>
      </c>
    </row>
    <row r="232" spans="1:8" x14ac:dyDescent="0.25">
      <c r="A232" s="41"/>
      <c r="B232" s="33"/>
      <c r="C232" s="32"/>
      <c r="D232" s="32"/>
      <c r="E232" s="37"/>
      <c r="F232" s="42"/>
      <c r="G232" s="32"/>
      <c r="H232" s="36">
        <f>IF(D232="",0,IF(AND(B232&gt;=ThongTin!$C$9,B232&lt;=ThongTin!$C$10,COUNTIFS(ThongTin!$B$19:$B$48,C232,ThongTin!$A$19:$A$48,ThongTin!$C$8,ThongTin!$C$19:$C$48,"NHAP_NL")&gt;0),1,0))</f>
        <v>0</v>
      </c>
    </row>
    <row r="233" spans="1:8" x14ac:dyDescent="0.25">
      <c r="A233" s="41"/>
      <c r="B233" s="33"/>
      <c r="C233" s="32"/>
      <c r="D233" s="32"/>
      <c r="E233" s="37"/>
      <c r="F233" s="42"/>
      <c r="G233" s="32"/>
      <c r="H233" s="36">
        <f>IF(D233="",0,IF(AND(B233&gt;=ThongTin!$C$9,B233&lt;=ThongTin!$C$10,COUNTIFS(ThongTin!$B$19:$B$48,C233,ThongTin!$A$19:$A$48,ThongTin!$C$8,ThongTin!$C$19:$C$48,"NHAP_NL")&gt;0),1,0))</f>
        <v>0</v>
      </c>
    </row>
    <row r="234" spans="1:8" x14ac:dyDescent="0.25">
      <c r="A234" s="41"/>
      <c r="B234" s="33"/>
      <c r="C234" s="32"/>
      <c r="D234" s="32"/>
      <c r="E234" s="37"/>
      <c r="F234" s="42"/>
      <c r="G234" s="32"/>
      <c r="H234" s="36">
        <f>IF(D234="",0,IF(AND(B234&gt;=ThongTin!$C$9,B234&lt;=ThongTin!$C$10,COUNTIFS(ThongTin!$B$19:$B$48,C234,ThongTin!$A$19:$A$48,ThongTin!$C$8,ThongTin!$C$19:$C$48,"NHAP_NL")&gt;0),1,0))</f>
        <v>0</v>
      </c>
    </row>
    <row r="235" spans="1:8" x14ac:dyDescent="0.25">
      <c r="A235" s="41"/>
      <c r="B235" s="33"/>
      <c r="C235" s="32"/>
      <c r="D235" s="32"/>
      <c r="E235" s="37"/>
      <c r="F235" s="42"/>
      <c r="G235" s="32"/>
      <c r="H235" s="36">
        <f>IF(D235="",0,IF(AND(B235&gt;=ThongTin!$C$9,B235&lt;=ThongTin!$C$10,COUNTIFS(ThongTin!$B$19:$B$48,C235,ThongTin!$A$19:$A$48,ThongTin!$C$8,ThongTin!$C$19:$C$48,"NHAP_NL")&gt;0),1,0))</f>
        <v>0</v>
      </c>
    </row>
    <row r="236" spans="1:8" x14ac:dyDescent="0.25">
      <c r="A236" s="41"/>
      <c r="B236" s="33"/>
      <c r="C236" s="32"/>
      <c r="D236" s="32"/>
      <c r="E236" s="37"/>
      <c r="F236" s="42"/>
      <c r="G236" s="32"/>
      <c r="H236" s="36">
        <f>IF(D236="",0,IF(AND(B236&gt;=ThongTin!$C$9,B236&lt;=ThongTin!$C$10,COUNTIFS(ThongTin!$B$19:$B$48,C236,ThongTin!$A$19:$A$48,ThongTin!$C$8,ThongTin!$C$19:$C$48,"NHAP_NL")&gt;0),1,0))</f>
        <v>0</v>
      </c>
    </row>
    <row r="237" spans="1:8" x14ac:dyDescent="0.25">
      <c r="A237" s="41"/>
      <c r="B237" s="33"/>
      <c r="C237" s="32"/>
      <c r="D237" s="32"/>
      <c r="E237" s="37"/>
      <c r="F237" s="42"/>
      <c r="G237" s="32"/>
      <c r="H237" s="36">
        <f>IF(D237="",0,IF(AND(B237&gt;=ThongTin!$C$9,B237&lt;=ThongTin!$C$10,COUNTIFS(ThongTin!$B$19:$B$48,C237,ThongTin!$A$19:$A$48,ThongTin!$C$8,ThongTin!$C$19:$C$48,"NHAP_NL")&gt;0),1,0))</f>
        <v>0</v>
      </c>
    </row>
    <row r="238" spans="1:8" x14ac:dyDescent="0.25">
      <c r="A238" s="41"/>
      <c r="B238" s="33"/>
      <c r="C238" s="32"/>
      <c r="D238" s="32"/>
      <c r="E238" s="37"/>
      <c r="F238" s="42"/>
      <c r="G238" s="32"/>
      <c r="H238" s="36">
        <f>IF(D238="",0,IF(AND(B238&gt;=ThongTin!$C$9,B238&lt;=ThongTin!$C$10,COUNTIFS(ThongTin!$B$19:$B$48,C238,ThongTin!$A$19:$A$48,ThongTin!$C$8,ThongTin!$C$19:$C$48,"NHAP_NL")&gt;0),1,0))</f>
        <v>0</v>
      </c>
    </row>
    <row r="239" spans="1:8" x14ac:dyDescent="0.25">
      <c r="A239" s="41"/>
      <c r="B239" s="33"/>
      <c r="C239" s="32"/>
      <c r="D239" s="32"/>
      <c r="E239" s="37"/>
      <c r="F239" s="42"/>
      <c r="G239" s="32"/>
      <c r="H239" s="36">
        <f>IF(D239="",0,IF(AND(B239&gt;=ThongTin!$C$9,B239&lt;=ThongTin!$C$10,COUNTIFS(ThongTin!$B$19:$B$48,C239,ThongTin!$A$19:$A$48,ThongTin!$C$8,ThongTin!$C$19:$C$48,"NHAP_NL")&gt;0),1,0))</f>
        <v>0</v>
      </c>
    </row>
    <row r="240" spans="1:8" x14ac:dyDescent="0.25">
      <c r="A240" s="41"/>
      <c r="B240" s="33"/>
      <c r="C240" s="32"/>
      <c r="D240" s="32"/>
      <c r="E240" s="37"/>
      <c r="F240" s="42"/>
      <c r="G240" s="32"/>
      <c r="H240" s="36">
        <f>IF(D240="",0,IF(AND(B240&gt;=ThongTin!$C$9,B240&lt;=ThongTin!$C$10,COUNTIFS(ThongTin!$B$19:$B$48,C240,ThongTin!$A$19:$A$48,ThongTin!$C$8,ThongTin!$C$19:$C$48,"NHAP_NL")&gt;0),1,0))</f>
        <v>0</v>
      </c>
    </row>
    <row r="241" spans="1:8" x14ac:dyDescent="0.25">
      <c r="A241" s="41"/>
      <c r="B241" s="33"/>
      <c r="C241" s="32"/>
      <c r="D241" s="32"/>
      <c r="E241" s="37"/>
      <c r="F241" s="42"/>
      <c r="G241" s="32"/>
      <c r="H241" s="36">
        <f>IF(D241="",0,IF(AND(B241&gt;=ThongTin!$C$9,B241&lt;=ThongTin!$C$10,COUNTIFS(ThongTin!$B$19:$B$48,C241,ThongTin!$A$19:$A$48,ThongTin!$C$8,ThongTin!$C$19:$C$48,"NHAP_NL")&gt;0),1,0))</f>
        <v>0</v>
      </c>
    </row>
    <row r="242" spans="1:8" x14ac:dyDescent="0.25">
      <c r="A242" s="41"/>
      <c r="B242" s="33"/>
      <c r="C242" s="32"/>
      <c r="D242" s="32"/>
      <c r="E242" s="37"/>
      <c r="F242" s="42"/>
      <c r="G242" s="32"/>
      <c r="H242" s="36">
        <f>IF(D242="",0,IF(AND(B242&gt;=ThongTin!$C$9,B242&lt;=ThongTin!$C$10,COUNTIFS(ThongTin!$B$19:$B$48,C242,ThongTin!$A$19:$A$48,ThongTin!$C$8,ThongTin!$C$19:$C$48,"NHAP_NL")&gt;0),1,0))</f>
        <v>0</v>
      </c>
    </row>
    <row r="243" spans="1:8" x14ac:dyDescent="0.25">
      <c r="A243" s="41"/>
      <c r="B243" s="33"/>
      <c r="C243" s="32"/>
      <c r="D243" s="32"/>
      <c r="E243" s="37"/>
      <c r="F243" s="42"/>
      <c r="G243" s="32"/>
      <c r="H243" s="36">
        <f>IF(D243="",0,IF(AND(B243&gt;=ThongTin!$C$9,B243&lt;=ThongTin!$C$10,COUNTIFS(ThongTin!$B$19:$B$48,C243,ThongTin!$A$19:$A$48,ThongTin!$C$8,ThongTin!$C$19:$C$48,"NHAP_NL")&gt;0),1,0))</f>
        <v>0</v>
      </c>
    </row>
    <row r="244" spans="1:8" x14ac:dyDescent="0.25">
      <c r="A244" s="41"/>
      <c r="B244" s="33"/>
      <c r="C244" s="32"/>
      <c r="D244" s="32"/>
      <c r="E244" s="37"/>
      <c r="F244" s="42"/>
      <c r="G244" s="32"/>
      <c r="H244" s="36">
        <f>IF(D244="",0,IF(AND(B244&gt;=ThongTin!$C$9,B244&lt;=ThongTin!$C$10,COUNTIFS(ThongTin!$B$19:$B$48,C244,ThongTin!$A$19:$A$48,ThongTin!$C$8,ThongTin!$C$19:$C$48,"NHAP_NL")&gt;0),1,0))</f>
        <v>0</v>
      </c>
    </row>
    <row r="245" spans="1:8" x14ac:dyDescent="0.25">
      <c r="A245" s="41"/>
      <c r="B245" s="33"/>
      <c r="C245" s="32"/>
      <c r="D245" s="32"/>
      <c r="E245" s="37"/>
      <c r="F245" s="42"/>
      <c r="G245" s="32"/>
      <c r="H245" s="36">
        <f>IF(D245="",0,IF(AND(B245&gt;=ThongTin!$C$9,B245&lt;=ThongTin!$C$10,COUNTIFS(ThongTin!$B$19:$B$48,C245,ThongTin!$A$19:$A$48,ThongTin!$C$8,ThongTin!$C$19:$C$48,"NHAP_NL")&gt;0),1,0))</f>
        <v>0</v>
      </c>
    </row>
    <row r="246" spans="1:8" x14ac:dyDescent="0.25">
      <c r="A246" s="41"/>
      <c r="B246" s="33"/>
      <c r="C246" s="32"/>
      <c r="D246" s="32"/>
      <c r="E246" s="37"/>
      <c r="F246" s="42"/>
      <c r="G246" s="32"/>
      <c r="H246" s="36">
        <f>IF(D246="",0,IF(AND(B246&gt;=ThongTin!$C$9,B246&lt;=ThongTin!$C$10,COUNTIFS(ThongTin!$B$19:$B$48,C246,ThongTin!$A$19:$A$48,ThongTin!$C$8,ThongTin!$C$19:$C$48,"NHAP_NL")&gt;0),1,0))</f>
        <v>0</v>
      </c>
    </row>
    <row r="247" spans="1:8" x14ac:dyDescent="0.25">
      <c r="A247" s="41"/>
      <c r="B247" s="33"/>
      <c r="C247" s="32"/>
      <c r="D247" s="32"/>
      <c r="E247" s="37"/>
      <c r="F247" s="42"/>
      <c r="G247" s="32"/>
      <c r="H247" s="36">
        <f>IF(D247="",0,IF(AND(B247&gt;=ThongTin!$C$9,B247&lt;=ThongTin!$C$10,COUNTIFS(ThongTin!$B$19:$B$48,C247,ThongTin!$A$19:$A$48,ThongTin!$C$8,ThongTin!$C$19:$C$48,"NHAP_NL")&gt;0),1,0))</f>
        <v>0</v>
      </c>
    </row>
    <row r="248" spans="1:8" x14ac:dyDescent="0.25">
      <c r="A248" s="41"/>
      <c r="B248" s="33"/>
      <c r="C248" s="32"/>
      <c r="D248" s="32"/>
      <c r="E248" s="37"/>
      <c r="F248" s="42"/>
      <c r="G248" s="32"/>
      <c r="H248" s="36">
        <f>IF(D248="",0,IF(AND(B248&gt;=ThongTin!$C$9,B248&lt;=ThongTin!$C$10,COUNTIFS(ThongTin!$B$19:$B$48,C248,ThongTin!$A$19:$A$48,ThongTin!$C$8,ThongTin!$C$19:$C$48,"NHAP_NL")&gt;0),1,0))</f>
        <v>0</v>
      </c>
    </row>
    <row r="249" spans="1:8" x14ac:dyDescent="0.25">
      <c r="A249" s="41"/>
      <c r="B249" s="33"/>
      <c r="C249" s="32"/>
      <c r="D249" s="32"/>
      <c r="E249" s="37"/>
      <c r="F249" s="42"/>
      <c r="G249" s="32"/>
      <c r="H249" s="36">
        <f>IF(D249="",0,IF(AND(B249&gt;=ThongTin!$C$9,B249&lt;=ThongTin!$C$10,COUNTIFS(ThongTin!$B$19:$B$48,C249,ThongTin!$A$19:$A$48,ThongTin!$C$8,ThongTin!$C$19:$C$48,"NHAP_NL")&gt;0),1,0))</f>
        <v>0</v>
      </c>
    </row>
    <row r="250" spans="1:8" x14ac:dyDescent="0.25">
      <c r="A250" s="41"/>
      <c r="B250" s="33"/>
      <c r="C250" s="32"/>
      <c r="D250" s="32"/>
      <c r="E250" s="37"/>
      <c r="F250" s="42"/>
      <c r="G250" s="32"/>
      <c r="H250" s="36">
        <f>IF(D250="",0,IF(AND(B250&gt;=ThongTin!$C$9,B250&lt;=ThongTin!$C$10,COUNTIFS(ThongTin!$B$19:$B$48,C250,ThongTin!$A$19:$A$48,ThongTin!$C$8,ThongTin!$C$19:$C$48,"NHAP_NL")&gt;0),1,0))</f>
        <v>0</v>
      </c>
    </row>
    <row r="251" spans="1:8" x14ac:dyDescent="0.25">
      <c r="A251" s="41"/>
      <c r="B251" s="33"/>
      <c r="C251" s="32"/>
      <c r="D251" s="32"/>
      <c r="E251" s="37"/>
      <c r="F251" s="42"/>
      <c r="G251" s="32"/>
      <c r="H251" s="36">
        <f>IF(D251="",0,IF(AND(B251&gt;=ThongTin!$C$9,B251&lt;=ThongTin!$C$10,COUNTIFS(ThongTin!$B$19:$B$48,C251,ThongTin!$A$19:$A$48,ThongTin!$C$8,ThongTin!$C$19:$C$48,"NHAP_NL")&gt;0),1,0))</f>
        <v>0</v>
      </c>
    </row>
    <row r="252" spans="1:8" x14ac:dyDescent="0.25">
      <c r="A252" s="41"/>
      <c r="B252" s="33"/>
      <c r="C252" s="32"/>
      <c r="D252" s="32"/>
      <c r="E252" s="37"/>
      <c r="F252" s="42"/>
      <c r="G252" s="32"/>
      <c r="H252" s="36">
        <f>IF(D252="",0,IF(AND(B252&gt;=ThongTin!$C$9,B252&lt;=ThongTin!$C$10,COUNTIFS(ThongTin!$B$19:$B$48,C252,ThongTin!$A$19:$A$48,ThongTin!$C$8,ThongTin!$C$19:$C$48,"NHAP_NL")&gt;0),1,0))</f>
        <v>0</v>
      </c>
    </row>
    <row r="253" spans="1:8" x14ac:dyDescent="0.25">
      <c r="A253" s="41"/>
      <c r="B253" s="33"/>
      <c r="C253" s="32"/>
      <c r="D253" s="32"/>
      <c r="E253" s="37"/>
      <c r="F253" s="42"/>
      <c r="G253" s="32"/>
      <c r="H253" s="36">
        <f>IF(D253="",0,IF(AND(B253&gt;=ThongTin!$C$9,B253&lt;=ThongTin!$C$10,COUNTIFS(ThongTin!$B$19:$B$48,C253,ThongTin!$A$19:$A$48,ThongTin!$C$8,ThongTin!$C$19:$C$48,"NHAP_NL")&gt;0),1,0))</f>
        <v>0</v>
      </c>
    </row>
    <row r="254" spans="1:8" x14ac:dyDescent="0.25">
      <c r="A254" s="41"/>
      <c r="B254" s="33"/>
      <c r="C254" s="32"/>
      <c r="D254" s="32"/>
      <c r="E254" s="37"/>
      <c r="F254" s="42"/>
      <c r="G254" s="32"/>
      <c r="H254" s="36">
        <f>IF(D254="",0,IF(AND(B254&gt;=ThongTin!$C$9,B254&lt;=ThongTin!$C$10,COUNTIFS(ThongTin!$B$19:$B$48,C254,ThongTin!$A$19:$A$48,ThongTin!$C$8,ThongTin!$C$19:$C$48,"NHAP_NL")&gt;0),1,0))</f>
        <v>0</v>
      </c>
    </row>
    <row r="255" spans="1:8" x14ac:dyDescent="0.25">
      <c r="A255" s="41"/>
      <c r="B255" s="33"/>
      <c r="C255" s="32"/>
      <c r="D255" s="32"/>
      <c r="E255" s="37"/>
      <c r="F255" s="42"/>
      <c r="G255" s="32"/>
      <c r="H255" s="36">
        <f>IF(D255="",0,IF(AND(B255&gt;=ThongTin!$C$9,B255&lt;=ThongTin!$C$10,COUNTIFS(ThongTin!$B$19:$B$48,C255,ThongTin!$A$19:$A$48,ThongTin!$C$8,ThongTin!$C$19:$C$48,"NHAP_NL")&gt;0),1,0))</f>
        <v>0</v>
      </c>
    </row>
    <row r="256" spans="1:8" x14ac:dyDescent="0.25">
      <c r="A256" s="41"/>
      <c r="B256" s="33"/>
      <c r="C256" s="32"/>
      <c r="D256" s="32"/>
      <c r="E256" s="37"/>
      <c r="F256" s="42"/>
      <c r="G256" s="32"/>
      <c r="H256" s="36">
        <f>IF(D256="",0,IF(AND(B256&gt;=ThongTin!$C$9,B256&lt;=ThongTin!$C$10,COUNTIFS(ThongTin!$B$19:$B$48,C256,ThongTin!$A$19:$A$48,ThongTin!$C$8,ThongTin!$C$19:$C$48,"NHAP_NL")&gt;0),1,0))</f>
        <v>0</v>
      </c>
    </row>
    <row r="257" spans="1:8" x14ac:dyDescent="0.25">
      <c r="A257" s="41"/>
      <c r="B257" s="33"/>
      <c r="C257" s="32"/>
      <c r="D257" s="32"/>
      <c r="E257" s="37"/>
      <c r="F257" s="42"/>
      <c r="G257" s="32"/>
      <c r="H257" s="36">
        <f>IF(D257="",0,IF(AND(B257&gt;=ThongTin!$C$9,B257&lt;=ThongTin!$C$10,COUNTIFS(ThongTin!$B$19:$B$48,C257,ThongTin!$A$19:$A$48,ThongTin!$C$8,ThongTin!$C$19:$C$48,"NHAP_NL")&gt;0),1,0))</f>
        <v>0</v>
      </c>
    </row>
    <row r="258" spans="1:8" x14ac:dyDescent="0.25">
      <c r="A258" s="41"/>
      <c r="B258" s="33"/>
      <c r="C258" s="32"/>
      <c r="D258" s="32"/>
      <c r="E258" s="37"/>
      <c r="F258" s="42"/>
      <c r="G258" s="32"/>
      <c r="H258" s="36">
        <f>IF(D258="",0,IF(AND(B258&gt;=ThongTin!$C$9,B258&lt;=ThongTin!$C$10,COUNTIFS(ThongTin!$B$19:$B$48,C258,ThongTin!$A$19:$A$48,ThongTin!$C$8,ThongTin!$C$19:$C$48,"NHAP_NL")&gt;0),1,0))</f>
        <v>0</v>
      </c>
    </row>
    <row r="259" spans="1:8" x14ac:dyDescent="0.25">
      <c r="A259" s="41"/>
      <c r="B259" s="33"/>
      <c r="C259" s="32"/>
      <c r="D259" s="32"/>
      <c r="E259" s="37"/>
      <c r="F259" s="42"/>
      <c r="G259" s="32"/>
      <c r="H259" s="36">
        <f>IF(D259="",0,IF(AND(B259&gt;=ThongTin!$C$9,B259&lt;=ThongTin!$C$10,COUNTIFS(ThongTin!$B$19:$B$48,C259,ThongTin!$A$19:$A$48,ThongTin!$C$8,ThongTin!$C$19:$C$48,"NHAP_NL")&gt;0),1,0))</f>
        <v>0</v>
      </c>
    </row>
    <row r="260" spans="1:8" x14ac:dyDescent="0.25">
      <c r="A260" s="41"/>
      <c r="B260" s="33"/>
      <c r="C260" s="32"/>
      <c r="D260" s="32"/>
      <c r="E260" s="37"/>
      <c r="F260" s="42"/>
      <c r="G260" s="32"/>
      <c r="H260" s="36">
        <f>IF(D260="",0,IF(AND(B260&gt;=ThongTin!$C$9,B260&lt;=ThongTin!$C$10,COUNTIFS(ThongTin!$B$19:$B$48,C260,ThongTin!$A$19:$A$48,ThongTin!$C$8,ThongTin!$C$19:$C$48,"NHAP_NL")&gt;0),1,0))</f>
        <v>0</v>
      </c>
    </row>
    <row r="261" spans="1:8" x14ac:dyDescent="0.25">
      <c r="A261" s="41"/>
      <c r="B261" s="33"/>
      <c r="C261" s="32"/>
      <c r="D261" s="32"/>
      <c r="E261" s="37"/>
      <c r="F261" s="42"/>
      <c r="G261" s="32"/>
      <c r="H261" s="36">
        <f>IF(D261="",0,IF(AND(B261&gt;=ThongTin!$C$9,B261&lt;=ThongTin!$C$10,COUNTIFS(ThongTin!$B$19:$B$48,C261,ThongTin!$A$19:$A$48,ThongTin!$C$8,ThongTin!$C$19:$C$48,"NHAP_NL")&gt;0),1,0))</f>
        <v>0</v>
      </c>
    </row>
    <row r="262" spans="1:8" x14ac:dyDescent="0.25">
      <c r="A262" s="41"/>
      <c r="B262" s="33"/>
      <c r="C262" s="32"/>
      <c r="D262" s="32"/>
      <c r="E262" s="37"/>
      <c r="F262" s="42"/>
      <c r="G262" s="32"/>
      <c r="H262" s="36">
        <f>IF(D262="",0,IF(AND(B262&gt;=ThongTin!$C$9,B262&lt;=ThongTin!$C$10,COUNTIFS(ThongTin!$B$19:$B$48,C262,ThongTin!$A$19:$A$48,ThongTin!$C$8,ThongTin!$C$19:$C$48,"NHAP_NL")&gt;0),1,0))</f>
        <v>0</v>
      </c>
    </row>
    <row r="263" spans="1:8" x14ac:dyDescent="0.25">
      <c r="A263" s="41"/>
      <c r="B263" s="33"/>
      <c r="C263" s="32"/>
      <c r="D263" s="32"/>
      <c r="E263" s="37"/>
      <c r="F263" s="42"/>
      <c r="G263" s="32"/>
      <c r="H263" s="36">
        <f>IF(D263="",0,IF(AND(B263&gt;=ThongTin!$C$9,B263&lt;=ThongTin!$C$10,COUNTIFS(ThongTin!$B$19:$B$48,C263,ThongTin!$A$19:$A$48,ThongTin!$C$8,ThongTin!$C$19:$C$48,"NHAP_NL")&gt;0),1,0))</f>
        <v>0</v>
      </c>
    </row>
    <row r="264" spans="1:8" x14ac:dyDescent="0.25">
      <c r="A264" s="41"/>
      <c r="B264" s="33"/>
      <c r="C264" s="32"/>
      <c r="D264" s="32"/>
      <c r="E264" s="37"/>
      <c r="F264" s="42"/>
      <c r="G264" s="32"/>
      <c r="H264" s="36">
        <f>IF(D264="",0,IF(AND(B264&gt;=ThongTin!$C$9,B264&lt;=ThongTin!$C$10,COUNTIFS(ThongTin!$B$19:$B$48,C264,ThongTin!$A$19:$A$48,ThongTin!$C$8,ThongTin!$C$19:$C$48,"NHAP_NL")&gt;0),1,0))</f>
        <v>0</v>
      </c>
    </row>
    <row r="265" spans="1:8" x14ac:dyDescent="0.25">
      <c r="A265" s="41"/>
      <c r="B265" s="33"/>
      <c r="C265" s="32"/>
      <c r="D265" s="32"/>
      <c r="E265" s="37"/>
      <c r="F265" s="42"/>
      <c r="G265" s="32"/>
      <c r="H265" s="36">
        <f>IF(D265="",0,IF(AND(B265&gt;=ThongTin!$C$9,B265&lt;=ThongTin!$C$10,COUNTIFS(ThongTin!$B$19:$B$48,C265,ThongTin!$A$19:$A$48,ThongTin!$C$8,ThongTin!$C$19:$C$48,"NHAP_NL")&gt;0),1,0))</f>
        <v>0</v>
      </c>
    </row>
    <row r="266" spans="1:8" x14ac:dyDescent="0.25">
      <c r="A266" s="41"/>
      <c r="B266" s="33"/>
      <c r="C266" s="32"/>
      <c r="D266" s="32"/>
      <c r="E266" s="37"/>
      <c r="F266" s="42"/>
      <c r="G266" s="32"/>
      <c r="H266" s="36">
        <f>IF(D266="",0,IF(AND(B266&gt;=ThongTin!$C$9,B266&lt;=ThongTin!$C$10,COUNTIFS(ThongTin!$B$19:$B$48,C266,ThongTin!$A$19:$A$48,ThongTin!$C$8,ThongTin!$C$19:$C$48,"NHAP_NL")&gt;0),1,0))</f>
        <v>0</v>
      </c>
    </row>
    <row r="267" spans="1:8" x14ac:dyDescent="0.25">
      <c r="A267" s="41"/>
      <c r="B267" s="33"/>
      <c r="C267" s="32"/>
      <c r="D267" s="32"/>
      <c r="E267" s="37"/>
      <c r="F267" s="42"/>
      <c r="G267" s="32"/>
      <c r="H267" s="36">
        <f>IF(D267="",0,IF(AND(B267&gt;=ThongTin!$C$9,B267&lt;=ThongTin!$C$10,COUNTIFS(ThongTin!$B$19:$B$48,C267,ThongTin!$A$19:$A$48,ThongTin!$C$8,ThongTin!$C$19:$C$48,"NHAP_NL")&gt;0),1,0))</f>
        <v>0</v>
      </c>
    </row>
    <row r="268" spans="1:8" x14ac:dyDescent="0.25">
      <c r="A268" s="41"/>
      <c r="B268" s="33"/>
      <c r="C268" s="32"/>
      <c r="D268" s="32"/>
      <c r="E268" s="37"/>
      <c r="F268" s="42"/>
      <c r="G268" s="32"/>
      <c r="H268" s="36">
        <f>IF(D268="",0,IF(AND(B268&gt;=ThongTin!$C$9,B268&lt;=ThongTin!$C$10,COUNTIFS(ThongTin!$B$19:$B$48,C268,ThongTin!$A$19:$A$48,ThongTin!$C$8,ThongTin!$C$19:$C$48,"NHAP_NL")&gt;0),1,0))</f>
        <v>0</v>
      </c>
    </row>
    <row r="269" spans="1:8" x14ac:dyDescent="0.25">
      <c r="A269" s="41"/>
      <c r="B269" s="33"/>
      <c r="C269" s="32"/>
      <c r="D269" s="32"/>
      <c r="E269" s="37"/>
      <c r="F269" s="42"/>
      <c r="G269" s="32"/>
      <c r="H269" s="36">
        <f>IF(D269="",0,IF(AND(B269&gt;=ThongTin!$C$9,B269&lt;=ThongTin!$C$10,COUNTIFS(ThongTin!$B$19:$B$48,C269,ThongTin!$A$19:$A$48,ThongTin!$C$8,ThongTin!$C$19:$C$48,"NHAP_NL")&gt;0),1,0))</f>
        <v>0</v>
      </c>
    </row>
    <row r="270" spans="1:8" x14ac:dyDescent="0.25">
      <c r="A270" s="41"/>
      <c r="B270" s="33"/>
      <c r="C270" s="32"/>
      <c r="D270" s="32"/>
      <c r="E270" s="37"/>
      <c r="F270" s="42"/>
      <c r="G270" s="32"/>
      <c r="H270" s="36">
        <f>IF(D270="",0,IF(AND(B270&gt;=ThongTin!$C$9,B270&lt;=ThongTin!$C$10,COUNTIFS(ThongTin!$B$19:$B$48,C270,ThongTin!$A$19:$A$48,ThongTin!$C$8,ThongTin!$C$19:$C$48,"NHAP_NL")&gt;0),1,0))</f>
        <v>0</v>
      </c>
    </row>
    <row r="271" spans="1:8" x14ac:dyDescent="0.25">
      <c r="A271" s="41"/>
      <c r="B271" s="33"/>
      <c r="C271" s="32"/>
      <c r="D271" s="32"/>
      <c r="E271" s="37"/>
      <c r="F271" s="42"/>
      <c r="G271" s="32"/>
      <c r="H271" s="36">
        <f>IF(D271="",0,IF(AND(B271&gt;=ThongTin!$C$9,B271&lt;=ThongTin!$C$10,COUNTIFS(ThongTin!$B$19:$B$48,C271,ThongTin!$A$19:$A$48,ThongTin!$C$8,ThongTin!$C$19:$C$48,"NHAP_NL")&gt;0),1,0))</f>
        <v>0</v>
      </c>
    </row>
    <row r="272" spans="1:8" x14ac:dyDescent="0.25">
      <c r="A272" s="41"/>
      <c r="B272" s="33"/>
      <c r="C272" s="32"/>
      <c r="D272" s="32"/>
      <c r="E272" s="37"/>
      <c r="F272" s="42"/>
      <c r="G272" s="32"/>
      <c r="H272" s="36">
        <f>IF(D272="",0,IF(AND(B272&gt;=ThongTin!$C$9,B272&lt;=ThongTin!$C$10,COUNTIFS(ThongTin!$B$19:$B$48,C272,ThongTin!$A$19:$A$48,ThongTin!$C$8,ThongTin!$C$19:$C$48,"NHAP_NL")&gt;0),1,0))</f>
        <v>0</v>
      </c>
    </row>
    <row r="273" spans="1:8" x14ac:dyDescent="0.25">
      <c r="A273" s="41"/>
      <c r="B273" s="33"/>
      <c r="C273" s="32"/>
      <c r="D273" s="32"/>
      <c r="E273" s="37"/>
      <c r="F273" s="42"/>
      <c r="G273" s="32"/>
      <c r="H273" s="36">
        <f>IF(D273="",0,IF(AND(B273&gt;=ThongTin!$C$9,B273&lt;=ThongTin!$C$10,COUNTIFS(ThongTin!$B$19:$B$48,C273,ThongTin!$A$19:$A$48,ThongTin!$C$8,ThongTin!$C$19:$C$48,"NHAP_NL")&gt;0),1,0))</f>
        <v>0</v>
      </c>
    </row>
    <row r="274" spans="1:8" x14ac:dyDescent="0.25">
      <c r="A274" s="41"/>
      <c r="B274" s="33"/>
      <c r="C274" s="32"/>
      <c r="D274" s="32"/>
      <c r="E274" s="37"/>
      <c r="F274" s="42"/>
      <c r="G274" s="32"/>
      <c r="H274" s="36">
        <f>IF(D274="",0,IF(AND(B274&gt;=ThongTin!$C$9,B274&lt;=ThongTin!$C$10,COUNTIFS(ThongTin!$B$19:$B$48,C274,ThongTin!$A$19:$A$48,ThongTin!$C$8,ThongTin!$C$19:$C$48,"NHAP_NL")&gt;0),1,0))</f>
        <v>0</v>
      </c>
    </row>
    <row r="275" spans="1:8" x14ac:dyDescent="0.25">
      <c r="A275" s="41"/>
      <c r="B275" s="33"/>
      <c r="C275" s="32"/>
      <c r="D275" s="32"/>
      <c r="E275" s="37"/>
      <c r="F275" s="42"/>
      <c r="G275" s="32"/>
      <c r="H275" s="36">
        <f>IF(D275="",0,IF(AND(B275&gt;=ThongTin!$C$9,B275&lt;=ThongTin!$C$10,COUNTIFS(ThongTin!$B$19:$B$48,C275,ThongTin!$A$19:$A$48,ThongTin!$C$8,ThongTin!$C$19:$C$48,"NHAP_NL")&gt;0),1,0))</f>
        <v>0</v>
      </c>
    </row>
    <row r="276" spans="1:8" x14ac:dyDescent="0.25">
      <c r="A276" s="41"/>
      <c r="B276" s="33"/>
      <c r="C276" s="32"/>
      <c r="D276" s="32"/>
      <c r="E276" s="37"/>
      <c r="F276" s="42"/>
      <c r="G276" s="32"/>
      <c r="H276" s="36">
        <f>IF(D276="",0,IF(AND(B276&gt;=ThongTin!$C$9,B276&lt;=ThongTin!$C$10,COUNTIFS(ThongTin!$B$19:$B$48,C276,ThongTin!$A$19:$A$48,ThongTin!$C$8,ThongTin!$C$19:$C$48,"NHAP_NL")&gt;0),1,0))</f>
        <v>0</v>
      </c>
    </row>
    <row r="277" spans="1:8" x14ac:dyDescent="0.25">
      <c r="A277" s="41"/>
      <c r="B277" s="33"/>
      <c r="C277" s="32"/>
      <c r="D277" s="32"/>
      <c r="E277" s="37"/>
      <c r="F277" s="42"/>
      <c r="G277" s="32"/>
      <c r="H277" s="36">
        <f>IF(D277="",0,IF(AND(B277&gt;=ThongTin!$C$9,B277&lt;=ThongTin!$C$10,COUNTIFS(ThongTin!$B$19:$B$48,C277,ThongTin!$A$19:$A$48,ThongTin!$C$8,ThongTin!$C$19:$C$48,"NHAP_NL")&gt;0),1,0))</f>
        <v>0</v>
      </c>
    </row>
    <row r="278" spans="1:8" x14ac:dyDescent="0.25">
      <c r="A278" s="41"/>
      <c r="B278" s="33"/>
      <c r="C278" s="32"/>
      <c r="D278" s="32"/>
      <c r="E278" s="37"/>
      <c r="F278" s="42"/>
      <c r="G278" s="32"/>
      <c r="H278" s="36">
        <f>IF(D278="",0,IF(AND(B278&gt;=ThongTin!$C$9,B278&lt;=ThongTin!$C$10,COUNTIFS(ThongTin!$B$19:$B$48,C278,ThongTin!$A$19:$A$48,ThongTin!$C$8,ThongTin!$C$19:$C$48,"NHAP_NL")&gt;0),1,0))</f>
        <v>0</v>
      </c>
    </row>
    <row r="279" spans="1:8" x14ac:dyDescent="0.25">
      <c r="A279" s="41"/>
      <c r="B279" s="33"/>
      <c r="C279" s="32"/>
      <c r="D279" s="32"/>
      <c r="E279" s="37"/>
      <c r="F279" s="42"/>
      <c r="G279" s="32"/>
      <c r="H279" s="36">
        <f>IF(D279="",0,IF(AND(B279&gt;=ThongTin!$C$9,B279&lt;=ThongTin!$C$10,COUNTIFS(ThongTin!$B$19:$B$48,C279,ThongTin!$A$19:$A$48,ThongTin!$C$8,ThongTin!$C$19:$C$48,"NHAP_NL")&gt;0),1,0))</f>
        <v>0</v>
      </c>
    </row>
    <row r="280" spans="1:8" x14ac:dyDescent="0.25">
      <c r="A280" s="41"/>
      <c r="B280" s="33"/>
      <c r="C280" s="32"/>
      <c r="D280" s="32"/>
      <c r="E280" s="37"/>
      <c r="F280" s="42"/>
      <c r="G280" s="32"/>
      <c r="H280" s="36">
        <f>IF(D280="",0,IF(AND(B280&gt;=ThongTin!$C$9,B280&lt;=ThongTin!$C$10,COUNTIFS(ThongTin!$B$19:$B$48,C280,ThongTin!$A$19:$A$48,ThongTin!$C$8,ThongTin!$C$19:$C$48,"NHAP_NL")&gt;0),1,0))</f>
        <v>0</v>
      </c>
    </row>
    <row r="281" spans="1:8" x14ac:dyDescent="0.25">
      <c r="A281" s="41"/>
      <c r="B281" s="33"/>
      <c r="C281" s="32"/>
      <c r="D281" s="32"/>
      <c r="E281" s="37"/>
      <c r="F281" s="42"/>
      <c r="G281" s="32"/>
      <c r="H281" s="36">
        <f>IF(D281="",0,IF(AND(B281&gt;=ThongTin!$C$9,B281&lt;=ThongTin!$C$10,COUNTIFS(ThongTin!$B$19:$B$48,C281,ThongTin!$A$19:$A$48,ThongTin!$C$8,ThongTin!$C$19:$C$48,"NHAP_NL")&gt;0),1,0))</f>
        <v>0</v>
      </c>
    </row>
    <row r="282" spans="1:8" x14ac:dyDescent="0.25">
      <c r="A282" s="41"/>
      <c r="B282" s="33"/>
      <c r="C282" s="32"/>
      <c r="D282" s="32"/>
      <c r="E282" s="37"/>
      <c r="F282" s="42"/>
      <c r="G282" s="32"/>
      <c r="H282" s="36">
        <f>IF(D282="",0,IF(AND(B282&gt;=ThongTin!$C$9,B282&lt;=ThongTin!$C$10,COUNTIFS(ThongTin!$B$19:$B$48,C282,ThongTin!$A$19:$A$48,ThongTin!$C$8,ThongTin!$C$19:$C$48,"NHAP_NL")&gt;0),1,0))</f>
        <v>0</v>
      </c>
    </row>
    <row r="283" spans="1:8" x14ac:dyDescent="0.25">
      <c r="A283" s="41"/>
      <c r="B283" s="33"/>
      <c r="C283" s="32"/>
      <c r="D283" s="32"/>
      <c r="E283" s="37"/>
      <c r="F283" s="42"/>
      <c r="G283" s="32"/>
      <c r="H283" s="36">
        <f>IF(D283="",0,IF(AND(B283&gt;=ThongTin!$C$9,B283&lt;=ThongTin!$C$10,COUNTIFS(ThongTin!$B$19:$B$48,C283,ThongTin!$A$19:$A$48,ThongTin!$C$8,ThongTin!$C$19:$C$48,"NHAP_NL")&gt;0),1,0))</f>
        <v>0</v>
      </c>
    </row>
    <row r="284" spans="1:8" x14ac:dyDescent="0.25">
      <c r="A284" s="41"/>
      <c r="B284" s="33"/>
      <c r="C284" s="32"/>
      <c r="D284" s="32"/>
      <c r="E284" s="37"/>
      <c r="F284" s="42"/>
      <c r="G284" s="32"/>
      <c r="H284" s="36">
        <f>IF(D284="",0,IF(AND(B284&gt;=ThongTin!$C$9,B284&lt;=ThongTin!$C$10,COUNTIFS(ThongTin!$B$19:$B$48,C284,ThongTin!$A$19:$A$48,ThongTin!$C$8,ThongTin!$C$19:$C$48,"NHAP_NL")&gt;0),1,0))</f>
        <v>0</v>
      </c>
    </row>
    <row r="285" spans="1:8" x14ac:dyDescent="0.25">
      <c r="A285" s="41"/>
      <c r="B285" s="33"/>
      <c r="C285" s="32"/>
      <c r="D285" s="32"/>
      <c r="E285" s="37"/>
      <c r="F285" s="42"/>
      <c r="G285" s="32"/>
      <c r="H285" s="36">
        <f>IF(D285="",0,IF(AND(B285&gt;=ThongTin!$C$9,B285&lt;=ThongTin!$C$10,COUNTIFS(ThongTin!$B$19:$B$48,C285,ThongTin!$A$19:$A$48,ThongTin!$C$8,ThongTin!$C$19:$C$48,"NHAP_NL")&gt;0),1,0))</f>
        <v>0</v>
      </c>
    </row>
    <row r="286" spans="1:8" x14ac:dyDescent="0.25">
      <c r="A286" s="41"/>
      <c r="B286" s="33"/>
      <c r="C286" s="32"/>
      <c r="D286" s="32"/>
      <c r="E286" s="37"/>
      <c r="F286" s="42"/>
      <c r="G286" s="32"/>
      <c r="H286" s="36">
        <f>IF(D286="",0,IF(AND(B286&gt;=ThongTin!$C$9,B286&lt;=ThongTin!$C$10,COUNTIFS(ThongTin!$B$19:$B$48,C286,ThongTin!$A$19:$A$48,ThongTin!$C$8,ThongTin!$C$19:$C$48,"NHAP_NL")&gt;0),1,0))</f>
        <v>0</v>
      </c>
    </row>
    <row r="287" spans="1:8" x14ac:dyDescent="0.25">
      <c r="A287" s="41"/>
      <c r="B287" s="33"/>
      <c r="C287" s="32"/>
      <c r="D287" s="32"/>
      <c r="E287" s="37"/>
      <c r="F287" s="42"/>
      <c r="G287" s="32"/>
      <c r="H287" s="36">
        <f>IF(D287="",0,IF(AND(B287&gt;=ThongTin!$C$9,B287&lt;=ThongTin!$C$10,COUNTIFS(ThongTin!$B$19:$B$48,C287,ThongTin!$A$19:$A$48,ThongTin!$C$8,ThongTin!$C$19:$C$48,"NHAP_NL")&gt;0),1,0))</f>
        <v>0</v>
      </c>
    </row>
    <row r="288" spans="1:8" x14ac:dyDescent="0.25">
      <c r="A288" s="41"/>
      <c r="B288" s="33"/>
      <c r="C288" s="32"/>
      <c r="D288" s="32"/>
      <c r="E288" s="37"/>
      <c r="F288" s="42"/>
      <c r="G288" s="32"/>
      <c r="H288" s="36">
        <f>IF(D288="",0,IF(AND(B288&gt;=ThongTin!$C$9,B288&lt;=ThongTin!$C$10,COUNTIFS(ThongTin!$B$19:$B$48,C288,ThongTin!$A$19:$A$48,ThongTin!$C$8,ThongTin!$C$19:$C$48,"NHAP_NL")&gt;0),1,0))</f>
        <v>0</v>
      </c>
    </row>
    <row r="289" spans="1:8" x14ac:dyDescent="0.25">
      <c r="A289" s="41"/>
      <c r="B289" s="33"/>
      <c r="C289" s="32"/>
      <c r="D289" s="32"/>
      <c r="E289" s="37"/>
      <c r="F289" s="42"/>
      <c r="G289" s="32"/>
      <c r="H289" s="36">
        <f>IF(D289="",0,IF(AND(B289&gt;=ThongTin!$C$9,B289&lt;=ThongTin!$C$10,COUNTIFS(ThongTin!$B$19:$B$48,C289,ThongTin!$A$19:$A$48,ThongTin!$C$8,ThongTin!$C$19:$C$48,"NHAP_NL")&gt;0),1,0))</f>
        <v>0</v>
      </c>
    </row>
    <row r="290" spans="1:8" x14ac:dyDescent="0.25">
      <c r="A290" s="41"/>
      <c r="B290" s="33"/>
      <c r="C290" s="32"/>
      <c r="D290" s="32"/>
      <c r="E290" s="37"/>
      <c r="F290" s="42"/>
      <c r="G290" s="32"/>
      <c r="H290" s="36">
        <f>IF(D290="",0,IF(AND(B290&gt;=ThongTin!$C$9,B290&lt;=ThongTin!$C$10,COUNTIFS(ThongTin!$B$19:$B$48,C290,ThongTin!$A$19:$A$48,ThongTin!$C$8,ThongTin!$C$19:$C$48,"NHAP_NL")&gt;0),1,0))</f>
        <v>0</v>
      </c>
    </row>
    <row r="291" spans="1:8" x14ac:dyDescent="0.25">
      <c r="A291" s="41"/>
      <c r="B291" s="33"/>
      <c r="C291" s="32"/>
      <c r="D291" s="32"/>
      <c r="E291" s="37"/>
      <c r="F291" s="42"/>
      <c r="G291" s="32"/>
      <c r="H291" s="36">
        <f>IF(D291="",0,IF(AND(B291&gt;=ThongTin!$C$9,B291&lt;=ThongTin!$C$10,COUNTIFS(ThongTin!$B$19:$B$48,C291,ThongTin!$A$19:$A$48,ThongTin!$C$8,ThongTin!$C$19:$C$48,"NHAP_NL")&gt;0),1,0))</f>
        <v>0</v>
      </c>
    </row>
    <row r="292" spans="1:8" x14ac:dyDescent="0.25">
      <c r="A292" s="41"/>
      <c r="B292" s="33"/>
      <c r="C292" s="32"/>
      <c r="D292" s="32"/>
      <c r="E292" s="37"/>
      <c r="F292" s="42"/>
      <c r="G292" s="32"/>
      <c r="H292" s="36">
        <f>IF(D292="",0,IF(AND(B292&gt;=ThongTin!$C$9,B292&lt;=ThongTin!$C$10,COUNTIFS(ThongTin!$B$19:$B$48,C292,ThongTin!$A$19:$A$48,ThongTin!$C$8,ThongTin!$C$19:$C$48,"NHAP_NL")&gt;0),1,0))</f>
        <v>0</v>
      </c>
    </row>
    <row r="293" spans="1:8" x14ac:dyDescent="0.25">
      <c r="A293" s="41"/>
      <c r="B293" s="33"/>
      <c r="C293" s="32"/>
      <c r="D293" s="32"/>
      <c r="E293" s="37"/>
      <c r="F293" s="42"/>
      <c r="G293" s="32"/>
      <c r="H293" s="36">
        <f>IF(D293="",0,IF(AND(B293&gt;=ThongTin!$C$9,B293&lt;=ThongTin!$C$10,COUNTIFS(ThongTin!$B$19:$B$48,C293,ThongTin!$A$19:$A$48,ThongTin!$C$8,ThongTin!$C$19:$C$48,"NHAP_NL")&gt;0),1,0))</f>
        <v>0</v>
      </c>
    </row>
    <row r="294" spans="1:8" x14ac:dyDescent="0.25">
      <c r="A294" s="41"/>
      <c r="B294" s="33"/>
      <c r="C294" s="32"/>
      <c r="D294" s="32"/>
      <c r="E294" s="37"/>
      <c r="F294" s="42"/>
      <c r="G294" s="32"/>
      <c r="H294" s="36">
        <f>IF(D294="",0,IF(AND(B294&gt;=ThongTin!$C$9,B294&lt;=ThongTin!$C$10,COUNTIFS(ThongTin!$B$19:$B$48,C294,ThongTin!$A$19:$A$48,ThongTin!$C$8,ThongTin!$C$19:$C$48,"NHAP_NL")&gt;0),1,0))</f>
        <v>0</v>
      </c>
    </row>
    <row r="295" spans="1:8" x14ac:dyDescent="0.25">
      <c r="A295" s="41"/>
      <c r="B295" s="33"/>
      <c r="C295" s="32"/>
      <c r="D295" s="32"/>
      <c r="E295" s="37"/>
      <c r="F295" s="42"/>
      <c r="G295" s="32"/>
      <c r="H295" s="36">
        <f>IF(D295="",0,IF(AND(B295&gt;=ThongTin!$C$9,B295&lt;=ThongTin!$C$10,COUNTIFS(ThongTin!$B$19:$B$48,C295,ThongTin!$A$19:$A$48,ThongTin!$C$8,ThongTin!$C$19:$C$48,"NHAP_NL")&gt;0),1,0))</f>
        <v>0</v>
      </c>
    </row>
    <row r="296" spans="1:8" x14ac:dyDescent="0.25">
      <c r="A296" s="41"/>
      <c r="B296" s="33"/>
      <c r="C296" s="32"/>
      <c r="D296" s="32"/>
      <c r="E296" s="37"/>
      <c r="F296" s="42"/>
      <c r="G296" s="32"/>
      <c r="H296" s="36">
        <f>IF(D296="",0,IF(AND(B296&gt;=ThongTin!$C$9,B296&lt;=ThongTin!$C$10,COUNTIFS(ThongTin!$B$19:$B$48,C296,ThongTin!$A$19:$A$48,ThongTin!$C$8,ThongTin!$C$19:$C$48,"NHAP_NL")&gt;0),1,0))</f>
        <v>0</v>
      </c>
    </row>
    <row r="297" spans="1:8" x14ac:dyDescent="0.25">
      <c r="A297" s="41"/>
      <c r="B297" s="33"/>
      <c r="C297" s="32"/>
      <c r="D297" s="32"/>
      <c r="E297" s="37"/>
      <c r="F297" s="42"/>
      <c r="G297" s="32"/>
      <c r="H297" s="36">
        <f>IF(D297="",0,IF(AND(B297&gt;=ThongTin!$C$9,B297&lt;=ThongTin!$C$10,COUNTIFS(ThongTin!$B$19:$B$48,C297,ThongTin!$A$19:$A$48,ThongTin!$C$8,ThongTin!$C$19:$C$48,"NHAP_NL")&gt;0),1,0))</f>
        <v>0</v>
      </c>
    </row>
    <row r="298" spans="1:8" x14ac:dyDescent="0.25">
      <c r="A298" s="41"/>
      <c r="B298" s="33"/>
      <c r="C298" s="32"/>
      <c r="D298" s="32"/>
      <c r="E298" s="37"/>
      <c r="F298" s="42"/>
      <c r="G298" s="32"/>
      <c r="H298" s="36">
        <f>IF(D298="",0,IF(AND(B298&gt;=ThongTin!$C$9,B298&lt;=ThongTin!$C$10,COUNTIFS(ThongTin!$B$19:$B$48,C298,ThongTin!$A$19:$A$48,ThongTin!$C$8,ThongTin!$C$19:$C$48,"NHAP_NL")&gt;0),1,0))</f>
        <v>0</v>
      </c>
    </row>
    <row r="299" spans="1:8" x14ac:dyDescent="0.25">
      <c r="A299" s="41"/>
      <c r="B299" s="33"/>
      <c r="C299" s="32"/>
      <c r="D299" s="32"/>
      <c r="E299" s="37"/>
      <c r="F299" s="42"/>
      <c r="G299" s="32"/>
      <c r="H299" s="36">
        <f>IF(D299="",0,IF(AND(B299&gt;=ThongTin!$C$9,B299&lt;=ThongTin!$C$10,COUNTIFS(ThongTin!$B$19:$B$48,C299,ThongTin!$A$19:$A$48,ThongTin!$C$8,ThongTin!$C$19:$C$48,"NHAP_NL")&gt;0),1,0))</f>
        <v>0</v>
      </c>
    </row>
    <row r="300" spans="1:8" x14ac:dyDescent="0.25">
      <c r="A300" s="41"/>
      <c r="B300" s="33"/>
      <c r="C300" s="32"/>
      <c r="D300" s="32"/>
      <c r="E300" s="37"/>
      <c r="F300" s="42"/>
      <c r="G300" s="32"/>
      <c r="H300" s="36">
        <f>IF(D300="",0,IF(AND(B300&gt;=ThongTin!$C$9,B300&lt;=ThongTin!$C$10,COUNTIFS(ThongTin!$B$19:$B$48,C300,ThongTin!$A$19:$A$48,ThongTin!$C$8,ThongTin!$C$19:$C$48,"NHAP_NL")&gt;0),1,0))</f>
        <v>0</v>
      </c>
    </row>
    <row r="301" spans="1:8" x14ac:dyDescent="0.25">
      <c r="A301" s="41"/>
      <c r="B301" s="33"/>
      <c r="C301" s="32"/>
      <c r="D301" s="32"/>
      <c r="E301" s="37"/>
      <c r="F301" s="42"/>
      <c r="G301" s="32"/>
      <c r="H301" s="36">
        <f>IF(D301="",0,IF(AND(B301&gt;=ThongTin!$C$9,B301&lt;=ThongTin!$C$10,COUNTIFS(ThongTin!$B$19:$B$48,C301,ThongTin!$A$19:$A$48,ThongTin!$C$8,ThongTin!$C$19:$C$48,"NHAP_NL")&gt;0),1,0))</f>
        <v>0</v>
      </c>
    </row>
    <row r="302" spans="1:8" x14ac:dyDescent="0.25">
      <c r="A302" s="41"/>
      <c r="B302" s="33"/>
      <c r="C302" s="32"/>
      <c r="D302" s="32"/>
      <c r="E302" s="37"/>
      <c r="F302" s="42"/>
      <c r="G302" s="32"/>
      <c r="H302" s="36">
        <f>IF(D302="",0,IF(AND(B302&gt;=ThongTin!$C$9,B302&lt;=ThongTin!$C$10,COUNTIFS(ThongTin!$B$19:$B$48,C302,ThongTin!$A$19:$A$48,ThongTin!$C$8,ThongTin!$C$19:$C$48,"NHAP_NL")&gt;0),1,0))</f>
        <v>0</v>
      </c>
    </row>
    <row r="303" spans="1:8" x14ac:dyDescent="0.25">
      <c r="A303" s="41"/>
      <c r="B303" s="33"/>
      <c r="C303" s="32"/>
      <c r="D303" s="32"/>
      <c r="E303" s="37"/>
      <c r="F303" s="42"/>
      <c r="G303" s="32"/>
      <c r="H303" s="36">
        <f>IF(D303="",0,IF(AND(B303&gt;=ThongTin!$C$9,B303&lt;=ThongTin!$C$10,COUNTIFS(ThongTin!$B$19:$B$48,C303,ThongTin!$A$19:$A$48,ThongTin!$C$8,ThongTin!$C$19:$C$48,"NHAP_NL")&gt;0),1,0))</f>
        <v>0</v>
      </c>
    </row>
    <row r="304" spans="1:8" x14ac:dyDescent="0.25">
      <c r="A304" s="41"/>
      <c r="B304" s="33"/>
      <c r="C304" s="32"/>
      <c r="D304" s="32"/>
      <c r="E304" s="37"/>
      <c r="F304" s="42"/>
      <c r="G304" s="32"/>
      <c r="H304" s="36">
        <f>IF(D304="",0,IF(AND(B304&gt;=ThongTin!$C$9,B304&lt;=ThongTin!$C$10,COUNTIFS(ThongTin!$B$19:$B$48,C304,ThongTin!$A$19:$A$48,ThongTin!$C$8,ThongTin!$C$19:$C$48,"NHAP_NL")&gt;0),1,0))</f>
        <v>0</v>
      </c>
    </row>
    <row r="305" spans="1:8" x14ac:dyDescent="0.25">
      <c r="A305" s="41"/>
      <c r="B305" s="33"/>
      <c r="C305" s="32"/>
      <c r="D305" s="32"/>
      <c r="E305" s="37"/>
      <c r="F305" s="42"/>
      <c r="G305" s="32"/>
      <c r="H305" s="36">
        <f>IF(D305="",0,IF(AND(B305&gt;=ThongTin!$C$9,B305&lt;=ThongTin!$C$10,COUNTIFS(ThongTin!$B$19:$B$48,C305,ThongTin!$A$19:$A$48,ThongTin!$C$8,ThongTin!$C$19:$C$48,"NHAP_NL")&gt;0),1,0))</f>
        <v>0</v>
      </c>
    </row>
    <row r="306" spans="1:8" x14ac:dyDescent="0.25">
      <c r="A306" s="41"/>
      <c r="B306" s="33"/>
      <c r="C306" s="32"/>
      <c r="D306" s="32"/>
      <c r="E306" s="37"/>
      <c r="F306" s="42"/>
      <c r="G306" s="32"/>
      <c r="H306" s="36">
        <f>IF(D306="",0,IF(AND(B306&gt;=ThongTin!$C$9,B306&lt;=ThongTin!$C$10,COUNTIFS(ThongTin!$B$19:$B$48,C306,ThongTin!$A$19:$A$48,ThongTin!$C$8,ThongTin!$C$19:$C$48,"NHAP_NL")&gt;0),1,0))</f>
        <v>0</v>
      </c>
    </row>
    <row r="307" spans="1:8" x14ac:dyDescent="0.25">
      <c r="A307" s="41"/>
      <c r="B307" s="33"/>
      <c r="C307" s="32"/>
      <c r="D307" s="32"/>
      <c r="E307" s="37"/>
      <c r="F307" s="42"/>
      <c r="G307" s="32"/>
      <c r="H307" s="36">
        <f>IF(D307="",0,IF(AND(B307&gt;=ThongTin!$C$9,B307&lt;=ThongTin!$C$10,COUNTIFS(ThongTin!$B$19:$B$48,C307,ThongTin!$A$19:$A$48,ThongTin!$C$8,ThongTin!$C$19:$C$48,"NHAP_NL")&gt;0),1,0))</f>
        <v>0</v>
      </c>
    </row>
    <row r="308" spans="1:8" x14ac:dyDescent="0.25">
      <c r="A308" s="41"/>
      <c r="B308" s="33"/>
      <c r="C308" s="32"/>
      <c r="D308" s="32"/>
      <c r="E308" s="37"/>
      <c r="F308" s="42"/>
      <c r="G308" s="32"/>
      <c r="H308" s="36">
        <f>IF(D308="",0,IF(AND(B308&gt;=ThongTin!$C$9,B308&lt;=ThongTin!$C$10,COUNTIFS(ThongTin!$B$19:$B$48,C308,ThongTin!$A$19:$A$48,ThongTin!$C$8,ThongTin!$C$19:$C$48,"NHAP_NL")&gt;0),1,0))</f>
        <v>0</v>
      </c>
    </row>
    <row r="309" spans="1:8" x14ac:dyDescent="0.25">
      <c r="A309" s="41"/>
      <c r="B309" s="33"/>
      <c r="C309" s="32"/>
      <c r="D309" s="32"/>
      <c r="E309" s="37"/>
      <c r="F309" s="42"/>
      <c r="G309" s="32"/>
      <c r="H309" s="36">
        <f>IF(D309="",0,IF(AND(B309&gt;=ThongTin!$C$9,B309&lt;=ThongTin!$C$10,COUNTIFS(ThongTin!$B$19:$B$48,C309,ThongTin!$A$19:$A$48,ThongTin!$C$8,ThongTin!$C$19:$C$48,"NHAP_NL")&gt;0),1,0))</f>
        <v>0</v>
      </c>
    </row>
    <row r="310" spans="1:8" x14ac:dyDescent="0.25">
      <c r="A310" s="41"/>
      <c r="B310" s="33"/>
      <c r="C310" s="32"/>
      <c r="D310" s="32"/>
      <c r="E310" s="37"/>
      <c r="F310" s="42"/>
      <c r="G310" s="32"/>
      <c r="H310" s="36">
        <f>IF(D310="",0,IF(AND(B310&gt;=ThongTin!$C$9,B310&lt;=ThongTin!$C$10,COUNTIFS(ThongTin!$B$19:$B$48,C310,ThongTin!$A$19:$A$48,ThongTin!$C$8,ThongTin!$C$19:$C$48,"NHAP_NL")&gt;0),1,0))</f>
        <v>0</v>
      </c>
    </row>
    <row r="311" spans="1:8" x14ac:dyDescent="0.25">
      <c r="A311" s="41"/>
      <c r="B311" s="33"/>
      <c r="C311" s="32"/>
      <c r="D311" s="32"/>
      <c r="E311" s="37"/>
      <c r="F311" s="42"/>
      <c r="G311" s="32"/>
      <c r="H311" s="36">
        <f>IF(D311="",0,IF(AND(B311&gt;=ThongTin!$C$9,B311&lt;=ThongTin!$C$10,COUNTIFS(ThongTin!$B$19:$B$48,C311,ThongTin!$A$19:$A$48,ThongTin!$C$8,ThongTin!$C$19:$C$48,"NHAP_NL")&gt;0),1,0))</f>
        <v>0</v>
      </c>
    </row>
    <row r="312" spans="1:8" x14ac:dyDescent="0.25">
      <c r="A312" s="41"/>
      <c r="B312" s="33"/>
      <c r="C312" s="32"/>
      <c r="D312" s="32"/>
      <c r="E312" s="37"/>
      <c r="F312" s="42"/>
      <c r="G312" s="32"/>
      <c r="H312" s="36">
        <f>IF(D312="",0,IF(AND(B312&gt;=ThongTin!$C$9,B312&lt;=ThongTin!$C$10,COUNTIFS(ThongTin!$B$19:$B$48,C312,ThongTin!$A$19:$A$48,ThongTin!$C$8,ThongTin!$C$19:$C$48,"NHAP_NL")&gt;0),1,0))</f>
        <v>0</v>
      </c>
    </row>
    <row r="313" spans="1:8" x14ac:dyDescent="0.25">
      <c r="A313" s="41"/>
      <c r="B313" s="33"/>
      <c r="C313" s="32"/>
      <c r="D313" s="32"/>
      <c r="E313" s="37"/>
      <c r="F313" s="42"/>
      <c r="G313" s="32"/>
      <c r="H313" s="36">
        <f>IF(D313="",0,IF(AND(B313&gt;=ThongTin!$C$9,B313&lt;=ThongTin!$C$10,COUNTIFS(ThongTin!$B$19:$B$48,C313,ThongTin!$A$19:$A$48,ThongTin!$C$8,ThongTin!$C$19:$C$48,"NHAP_NL")&gt;0),1,0))</f>
        <v>0</v>
      </c>
    </row>
    <row r="314" spans="1:8" x14ac:dyDescent="0.25">
      <c r="A314" s="41"/>
      <c r="B314" s="33"/>
      <c r="C314" s="32"/>
      <c r="D314" s="32"/>
      <c r="E314" s="37"/>
      <c r="F314" s="42"/>
      <c r="G314" s="32"/>
      <c r="H314" s="36">
        <f>IF(D314="",0,IF(AND(B314&gt;=ThongTin!$C$9,B314&lt;=ThongTin!$C$10,COUNTIFS(ThongTin!$B$19:$B$48,C314,ThongTin!$A$19:$A$48,ThongTin!$C$8,ThongTin!$C$19:$C$48,"NHAP_NL")&gt;0),1,0))</f>
        <v>0</v>
      </c>
    </row>
    <row r="315" spans="1:8" x14ac:dyDescent="0.25">
      <c r="A315" s="41"/>
      <c r="B315" s="33"/>
      <c r="C315" s="32"/>
      <c r="D315" s="32"/>
      <c r="E315" s="37"/>
      <c r="F315" s="42"/>
      <c r="G315" s="32"/>
      <c r="H315" s="36">
        <f>IF(D315="",0,IF(AND(B315&gt;=ThongTin!$C$9,B315&lt;=ThongTin!$C$10,COUNTIFS(ThongTin!$B$19:$B$48,C315,ThongTin!$A$19:$A$48,ThongTin!$C$8,ThongTin!$C$19:$C$48,"NHAP_NL")&gt;0),1,0))</f>
        <v>0</v>
      </c>
    </row>
    <row r="316" spans="1:8" x14ac:dyDescent="0.25">
      <c r="A316" s="41"/>
      <c r="B316" s="33"/>
      <c r="C316" s="32"/>
      <c r="D316" s="32"/>
      <c r="E316" s="37"/>
      <c r="F316" s="42"/>
      <c r="G316" s="32"/>
      <c r="H316" s="36">
        <f>IF(D316="",0,IF(AND(B316&gt;=ThongTin!$C$9,B316&lt;=ThongTin!$C$10,COUNTIFS(ThongTin!$B$19:$B$48,C316,ThongTin!$A$19:$A$48,ThongTin!$C$8,ThongTin!$C$19:$C$48,"NHAP_NL")&gt;0),1,0))</f>
        <v>0</v>
      </c>
    </row>
    <row r="317" spans="1:8" x14ac:dyDescent="0.25">
      <c r="A317" s="41"/>
      <c r="B317" s="33"/>
      <c r="C317" s="32"/>
      <c r="D317" s="32"/>
      <c r="E317" s="37"/>
      <c r="F317" s="42"/>
      <c r="G317" s="32"/>
      <c r="H317" s="36">
        <f>IF(D317="",0,IF(AND(B317&gt;=ThongTin!$C$9,B317&lt;=ThongTin!$C$10,COUNTIFS(ThongTin!$B$19:$B$48,C317,ThongTin!$A$19:$A$48,ThongTin!$C$8,ThongTin!$C$19:$C$48,"NHAP_NL")&gt;0),1,0))</f>
        <v>0</v>
      </c>
    </row>
    <row r="318" spans="1:8" x14ac:dyDescent="0.25">
      <c r="A318" s="41"/>
      <c r="B318" s="33"/>
      <c r="C318" s="32"/>
      <c r="D318" s="32"/>
      <c r="E318" s="37"/>
      <c r="F318" s="42"/>
      <c r="G318" s="32"/>
      <c r="H318" s="36">
        <f>IF(D318="",0,IF(AND(B318&gt;=ThongTin!$C$9,B318&lt;=ThongTin!$C$10,COUNTIFS(ThongTin!$B$19:$B$48,C318,ThongTin!$A$19:$A$48,ThongTin!$C$8,ThongTin!$C$19:$C$48,"NHAP_NL")&gt;0),1,0))</f>
        <v>0</v>
      </c>
    </row>
    <row r="319" spans="1:8" x14ac:dyDescent="0.25">
      <c r="A319" s="41"/>
      <c r="B319" s="33"/>
      <c r="C319" s="32"/>
      <c r="D319" s="32"/>
      <c r="E319" s="37"/>
      <c r="F319" s="42"/>
      <c r="G319" s="32"/>
      <c r="H319" s="36">
        <f>IF(D319="",0,IF(AND(B319&gt;=ThongTin!$C$9,B319&lt;=ThongTin!$C$10,COUNTIFS(ThongTin!$B$19:$B$48,C319,ThongTin!$A$19:$A$48,ThongTin!$C$8,ThongTin!$C$19:$C$48,"NHAP_NL")&gt;0),1,0))</f>
        <v>0</v>
      </c>
    </row>
    <row r="320" spans="1:8" x14ac:dyDescent="0.25">
      <c r="A320" s="41"/>
      <c r="B320" s="33"/>
      <c r="C320" s="32"/>
      <c r="D320" s="32"/>
      <c r="E320" s="37"/>
      <c r="F320" s="42"/>
      <c r="G320" s="32"/>
      <c r="H320" s="36">
        <f>IF(D320="",0,IF(AND(B320&gt;=ThongTin!$C$9,B320&lt;=ThongTin!$C$10,COUNTIFS(ThongTin!$B$19:$B$48,C320,ThongTin!$A$19:$A$48,ThongTin!$C$8,ThongTin!$C$19:$C$48,"NHAP_NL")&gt;0),1,0))</f>
        <v>0</v>
      </c>
    </row>
    <row r="321" spans="1:8" x14ac:dyDescent="0.25">
      <c r="A321" s="41"/>
      <c r="B321" s="33"/>
      <c r="C321" s="32"/>
      <c r="D321" s="32"/>
      <c r="E321" s="37"/>
      <c r="F321" s="42"/>
      <c r="G321" s="32"/>
      <c r="H321" s="36">
        <f>IF(D321="",0,IF(AND(B321&gt;=ThongTin!$C$9,B321&lt;=ThongTin!$C$10,COUNTIFS(ThongTin!$B$19:$B$48,C321,ThongTin!$A$19:$A$48,ThongTin!$C$8,ThongTin!$C$19:$C$48,"NHAP_NL")&gt;0),1,0))</f>
        <v>0</v>
      </c>
    </row>
    <row r="322" spans="1:8" x14ac:dyDescent="0.25">
      <c r="A322" s="41"/>
      <c r="B322" s="33"/>
      <c r="C322" s="32"/>
      <c r="D322" s="32"/>
      <c r="E322" s="37"/>
      <c r="F322" s="42"/>
      <c r="G322" s="32"/>
      <c r="H322" s="36">
        <f>IF(D322="",0,IF(AND(B322&gt;=ThongTin!$C$9,B322&lt;=ThongTin!$C$10,COUNTIFS(ThongTin!$B$19:$B$48,C322,ThongTin!$A$19:$A$48,ThongTin!$C$8,ThongTin!$C$19:$C$48,"NHAP_NL")&gt;0),1,0))</f>
        <v>0</v>
      </c>
    </row>
    <row r="323" spans="1:8" x14ac:dyDescent="0.25">
      <c r="A323" s="41"/>
      <c r="B323" s="33"/>
      <c r="C323" s="32"/>
      <c r="D323" s="32"/>
      <c r="E323" s="37"/>
      <c r="F323" s="42"/>
      <c r="G323" s="32"/>
      <c r="H323" s="36">
        <f>IF(D323="",0,IF(AND(B323&gt;=ThongTin!$C$9,B323&lt;=ThongTin!$C$10,COUNTIFS(ThongTin!$B$19:$B$48,C323,ThongTin!$A$19:$A$48,ThongTin!$C$8,ThongTin!$C$19:$C$48,"NHAP_NL")&gt;0),1,0))</f>
        <v>0</v>
      </c>
    </row>
    <row r="324" spans="1:8" x14ac:dyDescent="0.25">
      <c r="A324" s="41"/>
      <c r="B324" s="33"/>
      <c r="C324" s="32"/>
      <c r="D324" s="32"/>
      <c r="E324" s="37"/>
      <c r="F324" s="42"/>
      <c r="G324" s="32"/>
      <c r="H324" s="36">
        <f>IF(D324="",0,IF(AND(B324&gt;=ThongTin!$C$9,B324&lt;=ThongTin!$C$10,COUNTIFS(ThongTin!$B$19:$B$48,C324,ThongTin!$A$19:$A$48,ThongTin!$C$8,ThongTin!$C$19:$C$48,"NHAP_NL")&gt;0),1,0))</f>
        <v>0</v>
      </c>
    </row>
    <row r="325" spans="1:8" x14ac:dyDescent="0.25">
      <c r="A325" s="41"/>
      <c r="B325" s="33"/>
      <c r="C325" s="32"/>
      <c r="D325" s="32"/>
      <c r="E325" s="37"/>
      <c r="F325" s="42"/>
      <c r="G325" s="32"/>
      <c r="H325" s="36">
        <f>IF(D325="",0,IF(AND(B325&gt;=ThongTin!$C$9,B325&lt;=ThongTin!$C$10,COUNTIFS(ThongTin!$B$19:$B$48,C325,ThongTin!$A$19:$A$48,ThongTin!$C$8,ThongTin!$C$19:$C$48,"NHAP_NL")&gt;0),1,0))</f>
        <v>0</v>
      </c>
    </row>
    <row r="326" spans="1:8" x14ac:dyDescent="0.25">
      <c r="A326" s="41"/>
      <c r="B326" s="33"/>
      <c r="C326" s="32"/>
      <c r="D326" s="32"/>
      <c r="E326" s="37"/>
      <c r="F326" s="42"/>
      <c r="G326" s="32"/>
      <c r="H326" s="36">
        <f>IF(D326="",0,IF(AND(B326&gt;=ThongTin!$C$9,B326&lt;=ThongTin!$C$10,COUNTIFS(ThongTin!$B$19:$B$48,C326,ThongTin!$A$19:$A$48,ThongTin!$C$8,ThongTin!$C$19:$C$48,"NHAP_NL")&gt;0),1,0))</f>
        <v>0</v>
      </c>
    </row>
    <row r="327" spans="1:8" x14ac:dyDescent="0.25">
      <c r="A327" s="41"/>
      <c r="B327" s="33"/>
      <c r="C327" s="32"/>
      <c r="D327" s="32"/>
      <c r="E327" s="37"/>
      <c r="F327" s="42"/>
      <c r="G327" s="32"/>
      <c r="H327" s="36">
        <f>IF(D327="",0,IF(AND(B327&gt;=ThongTin!$C$9,B327&lt;=ThongTin!$C$10,COUNTIFS(ThongTin!$B$19:$B$48,C327,ThongTin!$A$19:$A$48,ThongTin!$C$8,ThongTin!$C$19:$C$48,"NHAP_NL")&gt;0),1,0))</f>
        <v>0</v>
      </c>
    </row>
    <row r="328" spans="1:8" x14ac:dyDescent="0.25">
      <c r="A328" s="41"/>
      <c r="B328" s="33"/>
      <c r="C328" s="32"/>
      <c r="D328" s="32"/>
      <c r="E328" s="37"/>
      <c r="F328" s="42"/>
      <c r="G328" s="32"/>
      <c r="H328" s="36">
        <f>IF(D328="",0,IF(AND(B328&gt;=ThongTin!$C$9,B328&lt;=ThongTin!$C$10,COUNTIFS(ThongTin!$B$19:$B$48,C328,ThongTin!$A$19:$A$48,ThongTin!$C$8,ThongTin!$C$19:$C$48,"NHAP_NL")&gt;0),1,0))</f>
        <v>0</v>
      </c>
    </row>
    <row r="329" spans="1:8" x14ac:dyDescent="0.25">
      <c r="A329" s="41"/>
      <c r="B329" s="33"/>
      <c r="C329" s="32"/>
      <c r="D329" s="32"/>
      <c r="E329" s="37"/>
      <c r="F329" s="42"/>
      <c r="G329" s="32"/>
      <c r="H329" s="36">
        <f>IF(D329="",0,IF(AND(B329&gt;=ThongTin!$C$9,B329&lt;=ThongTin!$C$10,COUNTIFS(ThongTin!$B$19:$B$48,C329,ThongTin!$A$19:$A$48,ThongTin!$C$8,ThongTin!$C$19:$C$48,"NHAP_NL")&gt;0),1,0))</f>
        <v>0</v>
      </c>
    </row>
    <row r="330" spans="1:8" x14ac:dyDescent="0.25">
      <c r="A330" s="41"/>
      <c r="B330" s="33"/>
      <c r="C330" s="32"/>
      <c r="D330" s="32"/>
      <c r="E330" s="37"/>
      <c r="F330" s="42"/>
      <c r="G330" s="32"/>
      <c r="H330" s="36">
        <f>IF(D330="",0,IF(AND(B330&gt;=ThongTin!$C$9,B330&lt;=ThongTin!$C$10,COUNTIFS(ThongTin!$B$19:$B$48,C330,ThongTin!$A$19:$A$48,ThongTin!$C$8,ThongTin!$C$19:$C$48,"NHAP_NL")&gt;0),1,0))</f>
        <v>0</v>
      </c>
    </row>
    <row r="331" spans="1:8" x14ac:dyDescent="0.25">
      <c r="A331" s="41"/>
      <c r="B331" s="33"/>
      <c r="C331" s="32"/>
      <c r="D331" s="32"/>
      <c r="E331" s="37"/>
      <c r="F331" s="42"/>
      <c r="G331" s="32"/>
      <c r="H331" s="36">
        <f>IF(D331="",0,IF(AND(B331&gt;=ThongTin!$C$9,B331&lt;=ThongTin!$C$10,COUNTIFS(ThongTin!$B$19:$B$48,C331,ThongTin!$A$19:$A$48,ThongTin!$C$8,ThongTin!$C$19:$C$48,"NHAP_NL")&gt;0),1,0))</f>
        <v>0</v>
      </c>
    </row>
    <row r="332" spans="1:8" x14ac:dyDescent="0.25">
      <c r="A332" s="41"/>
      <c r="B332" s="33"/>
      <c r="C332" s="32"/>
      <c r="D332" s="32"/>
      <c r="E332" s="37"/>
      <c r="F332" s="42"/>
      <c r="G332" s="32"/>
      <c r="H332" s="36">
        <f>IF(D332="",0,IF(AND(B332&gt;=ThongTin!$C$9,B332&lt;=ThongTin!$C$10,COUNTIFS(ThongTin!$B$19:$B$48,C332,ThongTin!$A$19:$A$48,ThongTin!$C$8,ThongTin!$C$19:$C$48,"NHAP_NL")&gt;0),1,0))</f>
        <v>0</v>
      </c>
    </row>
    <row r="333" spans="1:8" x14ac:dyDescent="0.25">
      <c r="A333" s="41"/>
      <c r="B333" s="33"/>
      <c r="C333" s="32"/>
      <c r="D333" s="32"/>
      <c r="E333" s="37"/>
      <c r="F333" s="42"/>
      <c r="G333" s="32"/>
      <c r="H333" s="36">
        <f>IF(D333="",0,IF(AND(B333&gt;=ThongTin!$C$9,B333&lt;=ThongTin!$C$10,COUNTIFS(ThongTin!$B$19:$B$48,C333,ThongTin!$A$19:$A$48,ThongTin!$C$8,ThongTin!$C$19:$C$48,"NHAP_NL")&gt;0),1,0))</f>
        <v>0</v>
      </c>
    </row>
    <row r="334" spans="1:8" x14ac:dyDescent="0.25">
      <c r="A334" s="41"/>
      <c r="B334" s="33"/>
      <c r="C334" s="32"/>
      <c r="D334" s="32"/>
      <c r="E334" s="37"/>
      <c r="F334" s="42"/>
      <c r="G334" s="32"/>
      <c r="H334" s="36">
        <f>IF(D334="",0,IF(AND(B334&gt;=ThongTin!$C$9,B334&lt;=ThongTin!$C$10,COUNTIFS(ThongTin!$B$19:$B$48,C334,ThongTin!$A$19:$A$48,ThongTin!$C$8,ThongTin!$C$19:$C$48,"NHAP_NL")&gt;0),1,0))</f>
        <v>0</v>
      </c>
    </row>
    <row r="335" spans="1:8" x14ac:dyDescent="0.25">
      <c r="A335" s="41"/>
      <c r="B335" s="33"/>
      <c r="C335" s="32"/>
      <c r="D335" s="32"/>
      <c r="E335" s="37"/>
      <c r="F335" s="42"/>
      <c r="G335" s="32"/>
      <c r="H335" s="36">
        <f>IF(D335="",0,IF(AND(B335&gt;=ThongTin!$C$9,B335&lt;=ThongTin!$C$10,COUNTIFS(ThongTin!$B$19:$B$48,C335,ThongTin!$A$19:$A$48,ThongTin!$C$8,ThongTin!$C$19:$C$48,"NHAP_NL")&gt;0),1,0))</f>
        <v>0</v>
      </c>
    </row>
    <row r="336" spans="1:8" x14ac:dyDescent="0.25">
      <c r="A336" s="41"/>
      <c r="B336" s="33"/>
      <c r="C336" s="32"/>
      <c r="D336" s="32"/>
      <c r="E336" s="37"/>
      <c r="F336" s="42"/>
      <c r="G336" s="32"/>
      <c r="H336" s="36">
        <f>IF(D336="",0,IF(AND(B336&gt;=ThongTin!$C$9,B336&lt;=ThongTin!$C$10,COUNTIFS(ThongTin!$B$19:$B$48,C336,ThongTin!$A$19:$A$48,ThongTin!$C$8,ThongTin!$C$19:$C$48,"NHAP_NL")&gt;0),1,0))</f>
        <v>0</v>
      </c>
    </row>
    <row r="337" spans="1:8" x14ac:dyDescent="0.25">
      <c r="A337" s="41"/>
      <c r="B337" s="33"/>
      <c r="C337" s="32"/>
      <c r="D337" s="32"/>
      <c r="E337" s="37"/>
      <c r="F337" s="42"/>
      <c r="G337" s="32"/>
      <c r="H337" s="36">
        <f>IF(D337="",0,IF(AND(B337&gt;=ThongTin!$C$9,B337&lt;=ThongTin!$C$10,COUNTIFS(ThongTin!$B$19:$B$48,C337,ThongTin!$A$19:$A$48,ThongTin!$C$8,ThongTin!$C$19:$C$48,"NHAP_NL")&gt;0),1,0))</f>
        <v>0</v>
      </c>
    </row>
    <row r="338" spans="1:8" x14ac:dyDescent="0.25">
      <c r="A338" s="41"/>
      <c r="B338" s="33"/>
      <c r="C338" s="32"/>
      <c r="D338" s="32"/>
      <c r="E338" s="37"/>
      <c r="F338" s="42"/>
      <c r="G338" s="32"/>
      <c r="H338" s="36">
        <f>IF(D338="",0,IF(AND(B338&gt;=ThongTin!$C$9,B338&lt;=ThongTin!$C$10,COUNTIFS(ThongTin!$B$19:$B$48,C338,ThongTin!$A$19:$A$48,ThongTin!$C$8,ThongTin!$C$19:$C$48,"NHAP_NL")&gt;0),1,0))</f>
        <v>0</v>
      </c>
    </row>
    <row r="339" spans="1:8" x14ac:dyDescent="0.25">
      <c r="A339" s="41"/>
      <c r="B339" s="33"/>
      <c r="C339" s="32"/>
      <c r="D339" s="32"/>
      <c r="E339" s="37"/>
      <c r="F339" s="42"/>
      <c r="G339" s="32"/>
      <c r="H339" s="36">
        <f>IF(D339="",0,IF(AND(B339&gt;=ThongTin!$C$9,B339&lt;=ThongTin!$C$10,COUNTIFS(ThongTin!$B$19:$B$48,C339,ThongTin!$A$19:$A$48,ThongTin!$C$8,ThongTin!$C$19:$C$48,"NHAP_NL")&gt;0),1,0))</f>
        <v>0</v>
      </c>
    </row>
    <row r="340" spans="1:8" x14ac:dyDescent="0.25">
      <c r="A340" s="41"/>
      <c r="B340" s="33"/>
      <c r="C340" s="32"/>
      <c r="D340" s="32"/>
      <c r="E340" s="37"/>
      <c r="F340" s="42"/>
      <c r="G340" s="32"/>
      <c r="H340" s="36">
        <f>IF(D340="",0,IF(AND(B340&gt;=ThongTin!$C$9,B340&lt;=ThongTin!$C$10,COUNTIFS(ThongTin!$B$19:$B$48,C340,ThongTin!$A$19:$A$48,ThongTin!$C$8,ThongTin!$C$19:$C$48,"NHAP_NL")&gt;0),1,0))</f>
        <v>0</v>
      </c>
    </row>
    <row r="341" spans="1:8" x14ac:dyDescent="0.25">
      <c r="A341" s="41"/>
      <c r="B341" s="33"/>
      <c r="C341" s="32"/>
      <c r="D341" s="32"/>
      <c r="E341" s="37"/>
      <c r="F341" s="42"/>
      <c r="G341" s="32"/>
      <c r="H341" s="36">
        <f>IF(D341="",0,IF(AND(B341&gt;=ThongTin!$C$9,B341&lt;=ThongTin!$C$10,COUNTIFS(ThongTin!$B$19:$B$48,C341,ThongTin!$A$19:$A$48,ThongTin!$C$8,ThongTin!$C$19:$C$48,"NHAP_NL")&gt;0),1,0))</f>
        <v>0</v>
      </c>
    </row>
    <row r="342" spans="1:8" x14ac:dyDescent="0.25">
      <c r="A342" s="41"/>
      <c r="B342" s="33"/>
      <c r="C342" s="32"/>
      <c r="D342" s="32"/>
      <c r="E342" s="37"/>
      <c r="F342" s="42"/>
      <c r="G342" s="32"/>
      <c r="H342" s="36">
        <f>IF(D342="",0,IF(AND(B342&gt;=ThongTin!$C$9,B342&lt;=ThongTin!$C$10,COUNTIFS(ThongTin!$B$19:$B$48,C342,ThongTin!$A$19:$A$48,ThongTin!$C$8,ThongTin!$C$19:$C$48,"NHAP_NL")&gt;0),1,0))</f>
        <v>0</v>
      </c>
    </row>
    <row r="343" spans="1:8" x14ac:dyDescent="0.25">
      <c r="A343" s="41"/>
      <c r="B343" s="33"/>
      <c r="C343" s="32"/>
      <c r="D343" s="32"/>
      <c r="E343" s="37"/>
      <c r="F343" s="42"/>
      <c r="G343" s="32"/>
      <c r="H343" s="36">
        <f>IF(D343="",0,IF(AND(B343&gt;=ThongTin!$C$9,B343&lt;=ThongTin!$C$10,COUNTIFS(ThongTin!$B$19:$B$48,C343,ThongTin!$A$19:$A$48,ThongTin!$C$8,ThongTin!$C$19:$C$48,"NHAP_NL")&gt;0),1,0))</f>
        <v>0</v>
      </c>
    </row>
    <row r="344" spans="1:8" x14ac:dyDescent="0.25">
      <c r="A344" s="41"/>
      <c r="B344" s="33"/>
      <c r="C344" s="32"/>
      <c r="D344" s="32"/>
      <c r="E344" s="37"/>
      <c r="F344" s="42"/>
      <c r="G344" s="32"/>
      <c r="H344" s="36">
        <f>IF(D344="",0,IF(AND(B344&gt;=ThongTin!$C$9,B344&lt;=ThongTin!$C$10,COUNTIFS(ThongTin!$B$19:$B$48,C344,ThongTin!$A$19:$A$48,ThongTin!$C$8,ThongTin!$C$19:$C$48,"NHAP_NL")&gt;0),1,0))</f>
        <v>0</v>
      </c>
    </row>
    <row r="345" spans="1:8" x14ac:dyDescent="0.25">
      <c r="A345" s="41"/>
      <c r="B345" s="33"/>
      <c r="C345" s="32"/>
      <c r="D345" s="32"/>
      <c r="E345" s="37"/>
      <c r="F345" s="42"/>
      <c r="G345" s="32"/>
      <c r="H345" s="36">
        <f>IF(D345="",0,IF(AND(B345&gt;=ThongTin!$C$9,B345&lt;=ThongTin!$C$10,COUNTIFS(ThongTin!$B$19:$B$48,C345,ThongTin!$A$19:$A$48,ThongTin!$C$8,ThongTin!$C$19:$C$48,"NHAP_NL")&gt;0),1,0))</f>
        <v>0</v>
      </c>
    </row>
    <row r="346" spans="1:8" x14ac:dyDescent="0.25">
      <c r="A346" s="41"/>
      <c r="B346" s="33"/>
      <c r="C346" s="32"/>
      <c r="D346" s="32"/>
      <c r="E346" s="37"/>
      <c r="F346" s="42"/>
      <c r="G346" s="32"/>
      <c r="H346" s="36">
        <f>IF(D346="",0,IF(AND(B346&gt;=ThongTin!$C$9,B346&lt;=ThongTin!$C$10,COUNTIFS(ThongTin!$B$19:$B$48,C346,ThongTin!$A$19:$A$48,ThongTin!$C$8,ThongTin!$C$19:$C$48,"NHAP_NL")&gt;0),1,0))</f>
        <v>0</v>
      </c>
    </row>
    <row r="347" spans="1:8" x14ac:dyDescent="0.25">
      <c r="A347" s="41"/>
      <c r="B347" s="33"/>
      <c r="C347" s="32"/>
      <c r="D347" s="32"/>
      <c r="E347" s="37"/>
      <c r="F347" s="42"/>
      <c r="G347" s="32"/>
      <c r="H347" s="36">
        <f>IF(D347="",0,IF(AND(B347&gt;=ThongTin!$C$9,B347&lt;=ThongTin!$C$10,COUNTIFS(ThongTin!$B$19:$B$48,C347,ThongTin!$A$19:$A$48,ThongTin!$C$8,ThongTin!$C$19:$C$48,"NHAP_NL")&gt;0),1,0))</f>
        <v>0</v>
      </c>
    </row>
    <row r="348" spans="1:8" x14ac:dyDescent="0.25">
      <c r="A348" s="41"/>
      <c r="B348" s="33"/>
      <c r="C348" s="32"/>
      <c r="D348" s="32"/>
      <c r="E348" s="37"/>
      <c r="F348" s="42"/>
      <c r="G348" s="32"/>
      <c r="H348" s="36">
        <f>IF(D348="",0,IF(AND(B348&gt;=ThongTin!$C$9,B348&lt;=ThongTin!$C$10,COUNTIFS(ThongTin!$B$19:$B$48,C348,ThongTin!$A$19:$A$48,ThongTin!$C$8,ThongTin!$C$19:$C$48,"NHAP_NL")&gt;0),1,0))</f>
        <v>0</v>
      </c>
    </row>
    <row r="349" spans="1:8" x14ac:dyDescent="0.25">
      <c r="A349" s="41"/>
      <c r="B349" s="33"/>
      <c r="C349" s="32"/>
      <c r="D349" s="32"/>
      <c r="E349" s="37"/>
      <c r="F349" s="42"/>
      <c r="G349" s="32"/>
      <c r="H349" s="36">
        <f>IF(D349="",0,IF(AND(B349&gt;=ThongTin!$C$9,B349&lt;=ThongTin!$C$10,COUNTIFS(ThongTin!$B$19:$B$48,C349,ThongTin!$A$19:$A$48,ThongTin!$C$8,ThongTin!$C$19:$C$48,"NHAP_NL")&gt;0),1,0))</f>
        <v>0</v>
      </c>
    </row>
    <row r="350" spans="1:8" x14ac:dyDescent="0.25">
      <c r="A350" s="41"/>
      <c r="B350" s="33"/>
      <c r="C350" s="32"/>
      <c r="D350" s="32"/>
      <c r="E350" s="37"/>
      <c r="F350" s="42"/>
      <c r="G350" s="32"/>
      <c r="H350" s="36">
        <f>IF(D350="",0,IF(AND(B350&gt;=ThongTin!$C$9,B350&lt;=ThongTin!$C$10,COUNTIFS(ThongTin!$B$19:$B$48,C350,ThongTin!$A$19:$A$48,ThongTin!$C$8,ThongTin!$C$19:$C$48,"NHAP_NL")&gt;0),1,0))</f>
        <v>0</v>
      </c>
    </row>
    <row r="351" spans="1:8" x14ac:dyDescent="0.25">
      <c r="A351" s="41"/>
      <c r="B351" s="33"/>
      <c r="C351" s="32"/>
      <c r="D351" s="32"/>
      <c r="E351" s="37"/>
      <c r="F351" s="42"/>
      <c r="G351" s="32"/>
      <c r="H351" s="36">
        <f>IF(D351="",0,IF(AND(B351&gt;=ThongTin!$C$9,B351&lt;=ThongTin!$C$10,COUNTIFS(ThongTin!$B$19:$B$48,C351,ThongTin!$A$19:$A$48,ThongTin!$C$8,ThongTin!$C$19:$C$48,"NHAP_NL")&gt;0),1,0))</f>
        <v>0</v>
      </c>
    </row>
    <row r="352" spans="1:8" x14ac:dyDescent="0.25">
      <c r="A352" s="41"/>
      <c r="B352" s="33"/>
      <c r="C352" s="32"/>
      <c r="D352" s="32"/>
      <c r="E352" s="37"/>
      <c r="F352" s="42"/>
      <c r="G352" s="32"/>
      <c r="H352" s="36">
        <f>IF(D352="",0,IF(AND(B352&gt;=ThongTin!$C$9,B352&lt;=ThongTin!$C$10,COUNTIFS(ThongTin!$B$19:$B$48,C352,ThongTin!$A$19:$A$48,ThongTin!$C$8,ThongTin!$C$19:$C$48,"NHAP_NL")&gt;0),1,0))</f>
        <v>0</v>
      </c>
    </row>
    <row r="353" spans="1:8" x14ac:dyDescent="0.25">
      <c r="A353" s="41"/>
      <c r="B353" s="33"/>
      <c r="C353" s="32"/>
      <c r="D353" s="32"/>
      <c r="E353" s="37"/>
      <c r="F353" s="42"/>
      <c r="G353" s="32"/>
      <c r="H353" s="36">
        <f>IF(D353="",0,IF(AND(B353&gt;=ThongTin!$C$9,B353&lt;=ThongTin!$C$10,COUNTIFS(ThongTin!$B$19:$B$48,C353,ThongTin!$A$19:$A$48,ThongTin!$C$8,ThongTin!$C$19:$C$48,"NHAP_NL")&gt;0),1,0))</f>
        <v>0</v>
      </c>
    </row>
    <row r="354" spans="1:8" x14ac:dyDescent="0.25">
      <c r="A354" s="41"/>
      <c r="B354" s="33"/>
      <c r="C354" s="32"/>
      <c r="D354" s="32"/>
      <c r="E354" s="37"/>
      <c r="F354" s="42"/>
      <c r="G354" s="32"/>
      <c r="H354" s="36">
        <f>IF(D354="",0,IF(AND(B354&gt;=ThongTin!$C$9,B354&lt;=ThongTin!$C$10,COUNTIFS(ThongTin!$B$19:$B$48,C354,ThongTin!$A$19:$A$48,ThongTin!$C$8,ThongTin!$C$19:$C$48,"NHAP_NL")&gt;0),1,0))</f>
        <v>0</v>
      </c>
    </row>
    <row r="355" spans="1:8" x14ac:dyDescent="0.25">
      <c r="A355" s="41"/>
      <c r="B355" s="33"/>
      <c r="C355" s="32"/>
      <c r="D355" s="32"/>
      <c r="E355" s="37"/>
      <c r="F355" s="42"/>
      <c r="G355" s="32"/>
      <c r="H355" s="36">
        <f>IF(D355="",0,IF(AND(B355&gt;=ThongTin!$C$9,B355&lt;=ThongTin!$C$10,COUNTIFS(ThongTin!$B$19:$B$48,C355,ThongTin!$A$19:$A$48,ThongTin!$C$8,ThongTin!$C$19:$C$48,"NHAP_NL")&gt;0),1,0))</f>
        <v>0</v>
      </c>
    </row>
    <row r="356" spans="1:8" x14ac:dyDescent="0.25">
      <c r="A356" s="41"/>
      <c r="B356" s="33"/>
      <c r="C356" s="32"/>
      <c r="D356" s="32"/>
      <c r="E356" s="37"/>
      <c r="F356" s="42"/>
      <c r="G356" s="32"/>
      <c r="H356" s="36">
        <f>IF(D356="",0,IF(AND(B356&gt;=ThongTin!$C$9,B356&lt;=ThongTin!$C$10,COUNTIFS(ThongTin!$B$19:$B$48,C356,ThongTin!$A$19:$A$48,ThongTin!$C$8,ThongTin!$C$19:$C$48,"NHAP_NL")&gt;0),1,0))</f>
        <v>0</v>
      </c>
    </row>
    <row r="357" spans="1:8" x14ac:dyDescent="0.25">
      <c r="A357" s="41"/>
      <c r="B357" s="33"/>
      <c r="C357" s="32"/>
      <c r="D357" s="32"/>
      <c r="E357" s="37"/>
      <c r="F357" s="42"/>
      <c r="G357" s="32"/>
      <c r="H357" s="36">
        <f>IF(D357="",0,IF(AND(B357&gt;=ThongTin!$C$9,B357&lt;=ThongTin!$C$10,COUNTIFS(ThongTin!$B$19:$B$48,C357,ThongTin!$A$19:$A$48,ThongTin!$C$8,ThongTin!$C$19:$C$48,"NHAP_NL")&gt;0),1,0))</f>
        <v>0</v>
      </c>
    </row>
    <row r="358" spans="1:8" x14ac:dyDescent="0.25">
      <c r="A358" s="41"/>
      <c r="B358" s="33"/>
      <c r="C358" s="32"/>
      <c r="D358" s="32"/>
      <c r="E358" s="37"/>
      <c r="F358" s="42"/>
      <c r="G358" s="32"/>
      <c r="H358" s="36">
        <f>IF(D358="",0,IF(AND(B358&gt;=ThongTin!$C$9,B358&lt;=ThongTin!$C$10,COUNTIFS(ThongTin!$B$19:$B$48,C358,ThongTin!$A$19:$A$48,ThongTin!$C$8,ThongTin!$C$19:$C$48,"NHAP_NL")&gt;0),1,0))</f>
        <v>0</v>
      </c>
    </row>
    <row r="359" spans="1:8" x14ac:dyDescent="0.25">
      <c r="A359" s="41"/>
      <c r="B359" s="33"/>
      <c r="C359" s="32"/>
      <c r="D359" s="32"/>
      <c r="E359" s="37"/>
      <c r="F359" s="42"/>
      <c r="G359" s="32"/>
      <c r="H359" s="36">
        <f>IF(D359="",0,IF(AND(B359&gt;=ThongTin!$C$9,B359&lt;=ThongTin!$C$10,COUNTIFS(ThongTin!$B$19:$B$48,C359,ThongTin!$A$19:$A$48,ThongTin!$C$8,ThongTin!$C$19:$C$48,"NHAP_NL")&gt;0),1,0))</f>
        <v>0</v>
      </c>
    </row>
    <row r="360" spans="1:8" x14ac:dyDescent="0.25">
      <c r="A360" s="41"/>
      <c r="B360" s="33"/>
      <c r="C360" s="32"/>
      <c r="D360" s="32"/>
      <c r="E360" s="37"/>
      <c r="F360" s="42"/>
      <c r="G360" s="32"/>
      <c r="H360" s="36">
        <f>IF(D360="",0,IF(AND(B360&gt;=ThongTin!$C$9,B360&lt;=ThongTin!$C$10,COUNTIFS(ThongTin!$B$19:$B$48,C360,ThongTin!$A$19:$A$48,ThongTin!$C$8,ThongTin!$C$19:$C$48,"NHAP_NL")&gt;0),1,0))</f>
        <v>0</v>
      </c>
    </row>
    <row r="361" spans="1:8" x14ac:dyDescent="0.25">
      <c r="A361" s="41"/>
      <c r="B361" s="33"/>
      <c r="C361" s="32"/>
      <c r="D361" s="32"/>
      <c r="E361" s="37"/>
      <c r="F361" s="42"/>
      <c r="G361" s="32"/>
      <c r="H361" s="36">
        <f>IF(D361="",0,IF(AND(B361&gt;=ThongTin!$C$9,B361&lt;=ThongTin!$C$10,COUNTIFS(ThongTin!$B$19:$B$48,C361,ThongTin!$A$19:$A$48,ThongTin!$C$8,ThongTin!$C$19:$C$48,"NHAP_NL")&gt;0),1,0))</f>
        <v>0</v>
      </c>
    </row>
    <row r="362" spans="1:8" x14ac:dyDescent="0.25">
      <c r="A362" s="41"/>
      <c r="B362" s="33"/>
      <c r="C362" s="32"/>
      <c r="D362" s="32"/>
      <c r="E362" s="37"/>
      <c r="F362" s="42"/>
      <c r="G362" s="32"/>
      <c r="H362" s="36">
        <f>IF(D362="",0,IF(AND(B362&gt;=ThongTin!$C$9,B362&lt;=ThongTin!$C$10,COUNTIFS(ThongTin!$B$19:$B$48,C362,ThongTin!$A$19:$A$48,ThongTin!$C$8,ThongTin!$C$19:$C$48,"NHAP_NL")&gt;0),1,0))</f>
        <v>0</v>
      </c>
    </row>
    <row r="363" spans="1:8" x14ac:dyDescent="0.25">
      <c r="A363" s="41"/>
      <c r="B363" s="33"/>
      <c r="C363" s="32"/>
      <c r="D363" s="32"/>
      <c r="E363" s="37"/>
      <c r="F363" s="42"/>
      <c r="G363" s="32"/>
      <c r="H363" s="36">
        <f>IF(D363="",0,IF(AND(B363&gt;=ThongTin!$C$9,B363&lt;=ThongTin!$C$10,COUNTIFS(ThongTin!$B$19:$B$48,C363,ThongTin!$A$19:$A$48,ThongTin!$C$8,ThongTin!$C$19:$C$48,"NHAP_NL")&gt;0),1,0))</f>
        <v>0</v>
      </c>
    </row>
    <row r="364" spans="1:8" x14ac:dyDescent="0.25">
      <c r="A364" s="41"/>
      <c r="B364" s="33"/>
      <c r="C364" s="32"/>
      <c r="D364" s="32"/>
      <c r="E364" s="37"/>
      <c r="F364" s="42"/>
      <c r="G364" s="32"/>
      <c r="H364" s="36">
        <f>IF(D364="",0,IF(AND(B364&gt;=ThongTin!$C$9,B364&lt;=ThongTin!$C$10,COUNTIFS(ThongTin!$B$19:$B$48,C364,ThongTin!$A$19:$A$48,ThongTin!$C$8,ThongTin!$C$19:$C$48,"NHAP_NL")&gt;0),1,0))</f>
        <v>0</v>
      </c>
    </row>
    <row r="365" spans="1:8" x14ac:dyDescent="0.25">
      <c r="A365" s="41"/>
      <c r="B365" s="33"/>
      <c r="C365" s="32"/>
      <c r="D365" s="32"/>
      <c r="E365" s="37"/>
      <c r="F365" s="42"/>
      <c r="G365" s="32"/>
      <c r="H365" s="36">
        <f>IF(D365="",0,IF(AND(B365&gt;=ThongTin!$C$9,B365&lt;=ThongTin!$C$10,COUNTIFS(ThongTin!$B$19:$B$48,C365,ThongTin!$A$19:$A$48,ThongTin!$C$8,ThongTin!$C$19:$C$48,"NHAP_NL")&gt;0),1,0))</f>
        <v>0</v>
      </c>
    </row>
    <row r="366" spans="1:8" x14ac:dyDescent="0.25">
      <c r="A366" s="41"/>
      <c r="B366" s="33"/>
      <c r="C366" s="32"/>
      <c r="D366" s="32"/>
      <c r="E366" s="37"/>
      <c r="F366" s="42"/>
      <c r="G366" s="32"/>
      <c r="H366" s="36">
        <f>IF(D366="",0,IF(AND(B366&gt;=ThongTin!$C$9,B366&lt;=ThongTin!$C$10,COUNTIFS(ThongTin!$B$19:$B$48,C366,ThongTin!$A$19:$A$48,ThongTin!$C$8,ThongTin!$C$19:$C$48,"NHAP_NL")&gt;0),1,0))</f>
        <v>0</v>
      </c>
    </row>
    <row r="367" spans="1:8" x14ac:dyDescent="0.25">
      <c r="A367" s="41"/>
      <c r="B367" s="33"/>
      <c r="C367" s="32"/>
      <c r="D367" s="32"/>
      <c r="E367" s="37"/>
      <c r="F367" s="42"/>
      <c r="G367" s="32"/>
      <c r="H367" s="36">
        <f>IF(D367="",0,IF(AND(B367&gt;=ThongTin!$C$9,B367&lt;=ThongTin!$C$10,COUNTIFS(ThongTin!$B$19:$B$48,C367,ThongTin!$A$19:$A$48,ThongTin!$C$8,ThongTin!$C$19:$C$48,"NHAP_NL")&gt;0),1,0))</f>
        <v>0</v>
      </c>
    </row>
    <row r="368" spans="1:8" x14ac:dyDescent="0.25">
      <c r="A368" s="41"/>
      <c r="B368" s="33"/>
      <c r="C368" s="32"/>
      <c r="D368" s="32"/>
      <c r="E368" s="37"/>
      <c r="F368" s="42"/>
      <c r="G368" s="32"/>
      <c r="H368" s="36">
        <f>IF(D368="",0,IF(AND(B368&gt;=ThongTin!$C$9,B368&lt;=ThongTin!$C$10,COUNTIFS(ThongTin!$B$19:$B$48,C368,ThongTin!$A$19:$A$48,ThongTin!$C$8,ThongTin!$C$19:$C$48,"NHAP_NL")&gt;0),1,0))</f>
        <v>0</v>
      </c>
    </row>
    <row r="369" spans="1:8" x14ac:dyDescent="0.25">
      <c r="A369" s="41"/>
      <c r="B369" s="33"/>
      <c r="C369" s="32"/>
      <c r="D369" s="32"/>
      <c r="E369" s="37"/>
      <c r="F369" s="42"/>
      <c r="G369" s="32"/>
      <c r="H369" s="36">
        <f>IF(D369="",0,IF(AND(B369&gt;=ThongTin!$C$9,B369&lt;=ThongTin!$C$10,COUNTIFS(ThongTin!$B$19:$B$48,C369,ThongTin!$A$19:$A$48,ThongTin!$C$8,ThongTin!$C$19:$C$48,"NHAP_NL")&gt;0),1,0))</f>
        <v>0</v>
      </c>
    </row>
    <row r="370" spans="1:8" x14ac:dyDescent="0.25">
      <c r="A370" s="41"/>
      <c r="B370" s="33"/>
      <c r="C370" s="32"/>
      <c r="D370" s="32"/>
      <c r="E370" s="37"/>
      <c r="F370" s="42"/>
      <c r="G370" s="32"/>
      <c r="H370" s="36">
        <f>IF(D370="",0,IF(AND(B370&gt;=ThongTin!$C$9,B370&lt;=ThongTin!$C$10,COUNTIFS(ThongTin!$B$19:$B$48,C370,ThongTin!$A$19:$A$48,ThongTin!$C$8,ThongTin!$C$19:$C$48,"NHAP_NL")&gt;0),1,0))</f>
        <v>0</v>
      </c>
    </row>
    <row r="371" spans="1:8" x14ac:dyDescent="0.25">
      <c r="A371" s="41"/>
      <c r="B371" s="33"/>
      <c r="C371" s="32"/>
      <c r="D371" s="32"/>
      <c r="E371" s="37"/>
      <c r="F371" s="42"/>
      <c r="G371" s="32"/>
      <c r="H371" s="36">
        <f>IF(D371="",0,IF(AND(B371&gt;=ThongTin!$C$9,B371&lt;=ThongTin!$C$10,COUNTIFS(ThongTin!$B$19:$B$48,C371,ThongTin!$A$19:$A$48,ThongTin!$C$8,ThongTin!$C$19:$C$48,"NHAP_NL")&gt;0),1,0))</f>
        <v>0</v>
      </c>
    </row>
    <row r="372" spans="1:8" x14ac:dyDescent="0.25">
      <c r="A372" s="41"/>
      <c r="B372" s="33"/>
      <c r="C372" s="32"/>
      <c r="D372" s="32"/>
      <c r="E372" s="37"/>
      <c r="F372" s="42"/>
      <c r="G372" s="32"/>
      <c r="H372" s="36">
        <f>IF(D372="",0,IF(AND(B372&gt;=ThongTin!$C$9,B372&lt;=ThongTin!$C$10,COUNTIFS(ThongTin!$B$19:$B$48,C372,ThongTin!$A$19:$A$48,ThongTin!$C$8,ThongTin!$C$19:$C$48,"NHAP_NL")&gt;0),1,0))</f>
        <v>0</v>
      </c>
    </row>
    <row r="373" spans="1:8" x14ac:dyDescent="0.25">
      <c r="A373" s="41"/>
      <c r="B373" s="33"/>
      <c r="C373" s="32"/>
      <c r="D373" s="32"/>
      <c r="E373" s="37"/>
      <c r="F373" s="42"/>
      <c r="G373" s="32"/>
      <c r="H373" s="36">
        <f>IF(D373="",0,IF(AND(B373&gt;=ThongTin!$C$9,B373&lt;=ThongTin!$C$10,COUNTIFS(ThongTin!$B$19:$B$48,C373,ThongTin!$A$19:$A$48,ThongTin!$C$8,ThongTin!$C$19:$C$48,"NHAP_NL")&gt;0),1,0))</f>
        <v>0</v>
      </c>
    </row>
    <row r="374" spans="1:8" x14ac:dyDescent="0.25">
      <c r="A374" s="41"/>
      <c r="B374" s="33"/>
      <c r="C374" s="32"/>
      <c r="D374" s="32"/>
      <c r="E374" s="37"/>
      <c r="F374" s="42"/>
      <c r="G374" s="32"/>
      <c r="H374" s="36">
        <f>IF(D374="",0,IF(AND(B374&gt;=ThongTin!$C$9,B374&lt;=ThongTin!$C$10,COUNTIFS(ThongTin!$B$19:$B$48,C374,ThongTin!$A$19:$A$48,ThongTin!$C$8,ThongTin!$C$19:$C$48,"NHAP_NL")&gt;0),1,0))</f>
        <v>0</v>
      </c>
    </row>
    <row r="375" spans="1:8" x14ac:dyDescent="0.25">
      <c r="A375" s="41"/>
      <c r="B375" s="33"/>
      <c r="C375" s="32"/>
      <c r="D375" s="32"/>
      <c r="E375" s="37"/>
      <c r="F375" s="42"/>
      <c r="G375" s="32"/>
      <c r="H375" s="36">
        <f>IF(D375="",0,IF(AND(B375&gt;=ThongTin!$C$9,B375&lt;=ThongTin!$C$10,COUNTIFS(ThongTin!$B$19:$B$48,C375,ThongTin!$A$19:$A$48,ThongTin!$C$8,ThongTin!$C$19:$C$48,"NHAP_NL")&gt;0),1,0))</f>
        <v>0</v>
      </c>
    </row>
    <row r="376" spans="1:8" x14ac:dyDescent="0.25">
      <c r="A376" s="41"/>
      <c r="B376" s="33"/>
      <c r="C376" s="32"/>
      <c r="D376" s="32"/>
      <c r="E376" s="37"/>
      <c r="F376" s="42"/>
      <c r="G376" s="32"/>
      <c r="H376" s="36">
        <f>IF(D376="",0,IF(AND(B376&gt;=ThongTin!$C$9,B376&lt;=ThongTin!$C$10,COUNTIFS(ThongTin!$B$19:$B$48,C376,ThongTin!$A$19:$A$48,ThongTin!$C$8,ThongTin!$C$19:$C$48,"NHAP_NL")&gt;0),1,0))</f>
        <v>0</v>
      </c>
    </row>
    <row r="377" spans="1:8" x14ac:dyDescent="0.25">
      <c r="A377" s="41"/>
      <c r="B377" s="33"/>
      <c r="C377" s="32"/>
      <c r="D377" s="32"/>
      <c r="E377" s="37"/>
      <c r="F377" s="42"/>
      <c r="G377" s="32"/>
      <c r="H377" s="36">
        <f>IF(D377="",0,IF(AND(B377&gt;=ThongTin!$C$9,B377&lt;=ThongTin!$C$10,COUNTIFS(ThongTin!$B$19:$B$48,C377,ThongTin!$A$19:$A$48,ThongTin!$C$8,ThongTin!$C$19:$C$48,"NHAP_NL")&gt;0),1,0))</f>
        <v>0</v>
      </c>
    </row>
    <row r="378" spans="1:8" x14ac:dyDescent="0.25">
      <c r="A378" s="41"/>
      <c r="B378" s="33"/>
      <c r="C378" s="32"/>
      <c r="D378" s="32"/>
      <c r="E378" s="37"/>
      <c r="F378" s="42"/>
      <c r="G378" s="32"/>
      <c r="H378" s="36">
        <f>IF(D378="",0,IF(AND(B378&gt;=ThongTin!$C$9,B378&lt;=ThongTin!$C$10,COUNTIFS(ThongTin!$B$19:$B$48,C378,ThongTin!$A$19:$A$48,ThongTin!$C$8,ThongTin!$C$19:$C$48,"NHAP_NL")&gt;0),1,0))</f>
        <v>0</v>
      </c>
    </row>
    <row r="379" spans="1:8" x14ac:dyDescent="0.25">
      <c r="A379" s="41"/>
      <c r="B379" s="33"/>
      <c r="C379" s="32"/>
      <c r="D379" s="32"/>
      <c r="E379" s="37"/>
      <c r="F379" s="42"/>
      <c r="G379" s="32"/>
      <c r="H379" s="36">
        <f>IF(D379="",0,IF(AND(B379&gt;=ThongTin!$C$9,B379&lt;=ThongTin!$C$10,COUNTIFS(ThongTin!$B$19:$B$48,C379,ThongTin!$A$19:$A$48,ThongTin!$C$8,ThongTin!$C$19:$C$48,"NHAP_NL")&gt;0),1,0))</f>
        <v>0</v>
      </c>
    </row>
    <row r="380" spans="1:8" x14ac:dyDescent="0.25">
      <c r="A380" s="41"/>
      <c r="B380" s="33"/>
      <c r="C380" s="32"/>
      <c r="D380" s="32"/>
      <c r="E380" s="37"/>
      <c r="F380" s="42"/>
      <c r="G380" s="32"/>
      <c r="H380" s="36">
        <f>IF(D380="",0,IF(AND(B380&gt;=ThongTin!$C$9,B380&lt;=ThongTin!$C$10,COUNTIFS(ThongTin!$B$19:$B$48,C380,ThongTin!$A$19:$A$48,ThongTin!$C$8,ThongTin!$C$19:$C$48,"NHAP_NL")&gt;0),1,0))</f>
        <v>0</v>
      </c>
    </row>
    <row r="381" spans="1:8" x14ac:dyDescent="0.25">
      <c r="A381" s="41"/>
      <c r="B381" s="33"/>
      <c r="C381" s="32"/>
      <c r="D381" s="32"/>
      <c r="E381" s="37"/>
      <c r="F381" s="42"/>
      <c r="G381" s="32"/>
      <c r="H381" s="36">
        <f>IF(D381="",0,IF(AND(B381&gt;=ThongTin!$C$9,B381&lt;=ThongTin!$C$10,COUNTIFS(ThongTin!$B$19:$B$48,C381,ThongTin!$A$19:$A$48,ThongTin!$C$8,ThongTin!$C$19:$C$48,"NHAP_NL")&gt;0),1,0))</f>
        <v>0</v>
      </c>
    </row>
    <row r="382" spans="1:8" x14ac:dyDescent="0.25">
      <c r="A382" s="41"/>
      <c r="B382" s="33"/>
      <c r="C382" s="32"/>
      <c r="D382" s="32"/>
      <c r="E382" s="37"/>
      <c r="F382" s="42"/>
      <c r="G382" s="32"/>
      <c r="H382" s="36">
        <f>IF(D382="",0,IF(AND(B382&gt;=ThongTin!$C$9,B382&lt;=ThongTin!$C$10,COUNTIFS(ThongTin!$B$19:$B$48,C382,ThongTin!$A$19:$A$48,ThongTin!$C$8,ThongTin!$C$19:$C$48,"NHAP_NL")&gt;0),1,0))</f>
        <v>0</v>
      </c>
    </row>
    <row r="383" spans="1:8" x14ac:dyDescent="0.25">
      <c r="A383" s="41"/>
      <c r="B383" s="33"/>
      <c r="C383" s="32"/>
      <c r="D383" s="32"/>
      <c r="E383" s="37"/>
      <c r="F383" s="42"/>
      <c r="G383" s="32"/>
      <c r="H383" s="36">
        <f>IF(D383="",0,IF(AND(B383&gt;=ThongTin!$C$9,B383&lt;=ThongTin!$C$10,COUNTIFS(ThongTin!$B$19:$B$48,C383,ThongTin!$A$19:$A$48,ThongTin!$C$8,ThongTin!$C$19:$C$48,"NHAP_NL")&gt;0),1,0))</f>
        <v>0</v>
      </c>
    </row>
    <row r="384" spans="1:8" x14ac:dyDescent="0.25">
      <c r="A384" s="41"/>
      <c r="B384" s="33"/>
      <c r="C384" s="32"/>
      <c r="D384" s="32"/>
      <c r="E384" s="37"/>
      <c r="F384" s="42"/>
      <c r="G384" s="32"/>
      <c r="H384" s="36">
        <f>IF(D384="",0,IF(AND(B384&gt;=ThongTin!$C$9,B384&lt;=ThongTin!$C$10,COUNTIFS(ThongTin!$B$19:$B$48,C384,ThongTin!$A$19:$A$48,ThongTin!$C$8,ThongTin!$C$19:$C$48,"NHAP_NL")&gt;0),1,0))</f>
        <v>0</v>
      </c>
    </row>
    <row r="385" spans="1:8" x14ac:dyDescent="0.25">
      <c r="A385" s="41"/>
      <c r="B385" s="33"/>
      <c r="C385" s="32"/>
      <c r="D385" s="32"/>
      <c r="E385" s="37"/>
      <c r="F385" s="42"/>
      <c r="G385" s="32"/>
      <c r="H385" s="36">
        <f>IF(D385="",0,IF(AND(B385&gt;=ThongTin!$C$9,B385&lt;=ThongTin!$C$10,COUNTIFS(ThongTin!$B$19:$B$48,C385,ThongTin!$A$19:$A$48,ThongTin!$C$8,ThongTin!$C$19:$C$48,"NHAP_NL")&gt;0),1,0))</f>
        <v>0</v>
      </c>
    </row>
    <row r="386" spans="1:8" x14ac:dyDescent="0.25">
      <c r="A386" s="41"/>
      <c r="B386" s="33"/>
      <c r="C386" s="32"/>
      <c r="D386" s="32"/>
      <c r="E386" s="37"/>
      <c r="F386" s="42"/>
      <c r="G386" s="32"/>
      <c r="H386" s="36">
        <f>IF(D386="",0,IF(AND(B386&gt;=ThongTin!$C$9,B386&lt;=ThongTin!$C$10,COUNTIFS(ThongTin!$B$19:$B$48,C386,ThongTin!$A$19:$A$48,ThongTin!$C$8,ThongTin!$C$19:$C$48,"NHAP_NL")&gt;0),1,0))</f>
        <v>0</v>
      </c>
    </row>
    <row r="387" spans="1:8" x14ac:dyDescent="0.25">
      <c r="A387" s="41"/>
      <c r="B387" s="33"/>
      <c r="C387" s="32"/>
      <c r="D387" s="32"/>
      <c r="E387" s="37"/>
      <c r="F387" s="42"/>
      <c r="G387" s="32"/>
      <c r="H387" s="36">
        <f>IF(D387="",0,IF(AND(B387&gt;=ThongTin!$C$9,B387&lt;=ThongTin!$C$10,COUNTIFS(ThongTin!$B$19:$B$48,C387,ThongTin!$A$19:$A$48,ThongTin!$C$8,ThongTin!$C$19:$C$48,"NHAP_NL")&gt;0),1,0))</f>
        <v>0</v>
      </c>
    </row>
    <row r="388" spans="1:8" x14ac:dyDescent="0.25">
      <c r="A388" s="41"/>
      <c r="B388" s="33"/>
      <c r="C388" s="32"/>
      <c r="D388" s="32"/>
      <c r="E388" s="37"/>
      <c r="F388" s="42"/>
      <c r="G388" s="32"/>
      <c r="H388" s="36">
        <f>IF(D388="",0,IF(AND(B388&gt;=ThongTin!$C$9,B388&lt;=ThongTin!$C$10,COUNTIFS(ThongTin!$B$19:$B$48,C388,ThongTin!$A$19:$A$48,ThongTin!$C$8,ThongTin!$C$19:$C$48,"NHAP_NL")&gt;0),1,0))</f>
        <v>0</v>
      </c>
    </row>
    <row r="389" spans="1:8" x14ac:dyDescent="0.25">
      <c r="A389" s="41"/>
      <c r="B389" s="33"/>
      <c r="C389" s="32"/>
      <c r="D389" s="32"/>
      <c r="E389" s="37"/>
      <c r="F389" s="42"/>
      <c r="G389" s="32"/>
      <c r="H389" s="36">
        <f>IF(D389="",0,IF(AND(B389&gt;=ThongTin!$C$9,B389&lt;=ThongTin!$C$10,COUNTIFS(ThongTin!$B$19:$B$48,C389,ThongTin!$A$19:$A$48,ThongTin!$C$8,ThongTin!$C$19:$C$48,"NHAP_NL")&gt;0),1,0))</f>
        <v>0</v>
      </c>
    </row>
    <row r="390" spans="1:8" x14ac:dyDescent="0.25">
      <c r="A390" s="41"/>
      <c r="B390" s="33"/>
      <c r="C390" s="32"/>
      <c r="D390" s="32"/>
      <c r="E390" s="37"/>
      <c r="F390" s="42"/>
      <c r="G390" s="32"/>
      <c r="H390" s="36">
        <f>IF(D390="",0,IF(AND(B390&gt;=ThongTin!$C$9,B390&lt;=ThongTin!$C$10,COUNTIFS(ThongTin!$B$19:$B$48,C390,ThongTin!$A$19:$A$48,ThongTin!$C$8,ThongTin!$C$19:$C$48,"NHAP_NL")&gt;0),1,0))</f>
        <v>0</v>
      </c>
    </row>
    <row r="391" spans="1:8" x14ac:dyDescent="0.25">
      <c r="A391" s="41"/>
      <c r="B391" s="33"/>
      <c r="C391" s="32"/>
      <c r="D391" s="32"/>
      <c r="E391" s="37"/>
      <c r="F391" s="42"/>
      <c r="G391" s="32"/>
      <c r="H391" s="36">
        <f>IF(D391="",0,IF(AND(B391&gt;=ThongTin!$C$9,B391&lt;=ThongTin!$C$10,COUNTIFS(ThongTin!$B$19:$B$48,C391,ThongTin!$A$19:$A$48,ThongTin!$C$8,ThongTin!$C$19:$C$48,"NHAP_NL")&gt;0),1,0))</f>
        <v>0</v>
      </c>
    </row>
    <row r="392" spans="1:8" x14ac:dyDescent="0.25">
      <c r="A392" s="41"/>
      <c r="B392" s="33"/>
      <c r="C392" s="32"/>
      <c r="D392" s="32"/>
      <c r="E392" s="37"/>
      <c r="F392" s="42"/>
      <c r="G392" s="32"/>
      <c r="H392" s="36">
        <f>IF(D392="",0,IF(AND(B392&gt;=ThongTin!$C$9,B392&lt;=ThongTin!$C$10,COUNTIFS(ThongTin!$B$19:$B$48,C392,ThongTin!$A$19:$A$48,ThongTin!$C$8,ThongTin!$C$19:$C$48,"NHAP_NL")&gt;0),1,0))</f>
        <v>0</v>
      </c>
    </row>
    <row r="393" spans="1:8" x14ac:dyDescent="0.25">
      <c r="A393" s="41"/>
      <c r="B393" s="33"/>
      <c r="C393" s="32"/>
      <c r="D393" s="32"/>
      <c r="E393" s="37"/>
      <c r="F393" s="42"/>
      <c r="G393" s="32"/>
      <c r="H393" s="36">
        <f>IF(D393="",0,IF(AND(B393&gt;=ThongTin!$C$9,B393&lt;=ThongTin!$C$10,COUNTIFS(ThongTin!$B$19:$B$48,C393,ThongTin!$A$19:$A$48,ThongTin!$C$8,ThongTin!$C$19:$C$48,"NHAP_NL")&gt;0),1,0))</f>
        <v>0</v>
      </c>
    </row>
    <row r="394" spans="1:8" x14ac:dyDescent="0.25">
      <c r="A394" s="41"/>
      <c r="B394" s="33"/>
      <c r="C394" s="32"/>
      <c r="D394" s="32"/>
      <c r="E394" s="37"/>
      <c r="F394" s="42"/>
      <c r="G394" s="32"/>
      <c r="H394" s="36">
        <f>IF(D394="",0,IF(AND(B394&gt;=ThongTin!$C$9,B394&lt;=ThongTin!$C$10,COUNTIFS(ThongTin!$B$19:$B$48,C394,ThongTin!$A$19:$A$48,ThongTin!$C$8,ThongTin!$C$19:$C$48,"NHAP_NL")&gt;0),1,0))</f>
        <v>0</v>
      </c>
    </row>
    <row r="395" spans="1:8" x14ac:dyDescent="0.25">
      <c r="A395" s="41"/>
      <c r="B395" s="33"/>
      <c r="C395" s="32"/>
      <c r="D395" s="32"/>
      <c r="E395" s="37"/>
      <c r="F395" s="42"/>
      <c r="G395" s="32"/>
      <c r="H395" s="36">
        <f>IF(D395="",0,IF(AND(B395&gt;=ThongTin!$C$9,B395&lt;=ThongTin!$C$10,COUNTIFS(ThongTin!$B$19:$B$48,C395,ThongTin!$A$19:$A$48,ThongTin!$C$8,ThongTin!$C$19:$C$48,"NHAP_NL")&gt;0),1,0))</f>
        <v>0</v>
      </c>
    </row>
    <row r="396" spans="1:8" x14ac:dyDescent="0.25">
      <c r="A396" s="41"/>
      <c r="B396" s="33"/>
      <c r="C396" s="32"/>
      <c r="D396" s="32"/>
      <c r="E396" s="37"/>
      <c r="F396" s="42"/>
      <c r="G396" s="32"/>
      <c r="H396" s="36">
        <f>IF(D396="",0,IF(AND(B396&gt;=ThongTin!$C$9,B396&lt;=ThongTin!$C$10,COUNTIFS(ThongTin!$B$19:$B$48,C396,ThongTin!$A$19:$A$48,ThongTin!$C$8,ThongTin!$C$19:$C$48,"NHAP_NL")&gt;0),1,0))</f>
        <v>0</v>
      </c>
    </row>
    <row r="397" spans="1:8" x14ac:dyDescent="0.25">
      <c r="A397" s="41"/>
      <c r="B397" s="33"/>
      <c r="C397" s="32"/>
      <c r="D397" s="32"/>
      <c r="E397" s="37"/>
      <c r="F397" s="42"/>
      <c r="G397" s="32"/>
      <c r="H397" s="36">
        <f>IF(D397="",0,IF(AND(B397&gt;=ThongTin!$C$9,B397&lt;=ThongTin!$C$10,COUNTIFS(ThongTin!$B$19:$B$48,C397,ThongTin!$A$19:$A$48,ThongTin!$C$8,ThongTin!$C$19:$C$48,"NHAP_NL")&gt;0),1,0))</f>
        <v>0</v>
      </c>
    </row>
    <row r="398" spans="1:8" x14ac:dyDescent="0.25">
      <c r="A398" s="41"/>
      <c r="B398" s="33"/>
      <c r="C398" s="32"/>
      <c r="D398" s="32"/>
      <c r="E398" s="37"/>
      <c r="F398" s="42"/>
      <c r="G398" s="32"/>
      <c r="H398" s="36">
        <f>IF(D398="",0,IF(AND(B398&gt;=ThongTin!$C$9,B398&lt;=ThongTin!$C$10,COUNTIFS(ThongTin!$B$19:$B$48,C398,ThongTin!$A$19:$A$48,ThongTin!$C$8,ThongTin!$C$19:$C$48,"NHAP_NL")&gt;0),1,0))</f>
        <v>0</v>
      </c>
    </row>
    <row r="399" spans="1:8" x14ac:dyDescent="0.25">
      <c r="A399" s="41"/>
      <c r="B399" s="33"/>
      <c r="C399" s="32"/>
      <c r="D399" s="32"/>
      <c r="E399" s="37"/>
      <c r="F399" s="42"/>
      <c r="G399" s="32"/>
      <c r="H399" s="36">
        <f>IF(D399="",0,IF(AND(B399&gt;=ThongTin!$C$9,B399&lt;=ThongTin!$C$10,COUNTIFS(ThongTin!$B$19:$B$48,C399,ThongTin!$A$19:$A$48,ThongTin!$C$8,ThongTin!$C$19:$C$48,"NHAP_NL")&gt;0),1,0))</f>
        <v>0</v>
      </c>
    </row>
    <row r="400" spans="1:8" x14ac:dyDescent="0.25">
      <c r="A400" s="41"/>
      <c r="B400" s="33"/>
      <c r="C400" s="32"/>
      <c r="D400" s="32"/>
      <c r="E400" s="37"/>
      <c r="F400" s="42"/>
      <c r="G400" s="32"/>
      <c r="H400" s="36">
        <f>IF(D400="",0,IF(AND(B400&gt;=ThongTin!$C$9,B400&lt;=ThongTin!$C$10,COUNTIFS(ThongTin!$B$19:$B$48,C400,ThongTin!$A$19:$A$48,ThongTin!$C$8,ThongTin!$C$19:$C$48,"NHAP_NL")&gt;0),1,0))</f>
        <v>0</v>
      </c>
    </row>
    <row r="401" spans="1:8" x14ac:dyDescent="0.25">
      <c r="A401" s="41"/>
      <c r="B401" s="33"/>
      <c r="C401" s="32"/>
      <c r="D401" s="32"/>
      <c r="E401" s="37"/>
      <c r="F401" s="42"/>
      <c r="G401" s="32"/>
      <c r="H401" s="36">
        <f>IF(D401="",0,IF(AND(B401&gt;=ThongTin!$C$9,B401&lt;=ThongTin!$C$10,COUNTIFS(ThongTin!$B$19:$B$48,C401,ThongTin!$A$19:$A$48,ThongTin!$C$8,ThongTin!$C$19:$C$48,"NHAP_NL")&gt;0),1,0))</f>
        <v>0</v>
      </c>
    </row>
    <row r="402" spans="1:8" x14ac:dyDescent="0.25">
      <c r="A402" s="41"/>
      <c r="B402" s="33"/>
      <c r="C402" s="32"/>
      <c r="D402" s="32"/>
      <c r="E402" s="37"/>
      <c r="F402" s="42"/>
      <c r="G402" s="32"/>
      <c r="H402" s="36">
        <f>IF(D402="",0,IF(AND(B402&gt;=ThongTin!$C$9,B402&lt;=ThongTin!$C$10,COUNTIFS(ThongTin!$B$19:$B$48,C402,ThongTin!$A$19:$A$48,ThongTin!$C$8,ThongTin!$C$19:$C$48,"NHAP_NL")&gt;0),1,0))</f>
        <v>0</v>
      </c>
    </row>
    <row r="403" spans="1:8" x14ac:dyDescent="0.25">
      <c r="A403" s="41"/>
      <c r="B403" s="33"/>
      <c r="C403" s="32"/>
      <c r="D403" s="32"/>
      <c r="E403" s="37"/>
      <c r="F403" s="42"/>
      <c r="G403" s="32"/>
      <c r="H403" s="36">
        <f>IF(D403="",0,IF(AND(B403&gt;=ThongTin!$C$9,B403&lt;=ThongTin!$C$10,COUNTIFS(ThongTin!$B$19:$B$48,C403,ThongTin!$A$19:$A$48,ThongTin!$C$8,ThongTin!$C$19:$C$48,"NHAP_NL")&gt;0),1,0))</f>
        <v>0</v>
      </c>
    </row>
    <row r="404" spans="1:8" x14ac:dyDescent="0.25">
      <c r="A404" s="41"/>
      <c r="B404" s="33"/>
      <c r="C404" s="32"/>
      <c r="D404" s="32"/>
      <c r="E404" s="37"/>
      <c r="F404" s="42"/>
      <c r="G404" s="32"/>
      <c r="H404" s="36">
        <f>IF(D404="",0,IF(AND(B404&gt;=ThongTin!$C$9,B404&lt;=ThongTin!$C$10,COUNTIFS(ThongTin!$B$19:$B$48,C404,ThongTin!$A$19:$A$48,ThongTin!$C$8,ThongTin!$C$19:$C$48,"NHAP_NL")&gt;0),1,0))</f>
        <v>0</v>
      </c>
    </row>
    <row r="405" spans="1:8" x14ac:dyDescent="0.25">
      <c r="A405" s="41"/>
      <c r="B405" s="33"/>
      <c r="C405" s="32"/>
      <c r="D405" s="32"/>
      <c r="E405" s="37"/>
      <c r="F405" s="42"/>
      <c r="G405" s="32"/>
      <c r="H405" s="36">
        <f>IF(D405="",0,IF(AND(B405&gt;=ThongTin!$C$9,B405&lt;=ThongTin!$C$10,COUNTIFS(ThongTin!$B$19:$B$48,C405,ThongTin!$A$19:$A$48,ThongTin!$C$8,ThongTin!$C$19:$C$48,"NHAP_NL")&gt;0),1,0))</f>
        <v>0</v>
      </c>
    </row>
    <row r="406" spans="1:8" x14ac:dyDescent="0.25">
      <c r="A406" s="41"/>
      <c r="B406" s="33"/>
      <c r="C406" s="32"/>
      <c r="D406" s="32"/>
      <c r="E406" s="37"/>
      <c r="F406" s="42"/>
      <c r="G406" s="32"/>
      <c r="H406" s="36">
        <f>IF(D406="",0,IF(AND(B406&gt;=ThongTin!$C$9,B406&lt;=ThongTin!$C$10,COUNTIFS(ThongTin!$B$19:$B$48,C406,ThongTin!$A$19:$A$48,ThongTin!$C$8,ThongTin!$C$19:$C$48,"NHAP_NL")&gt;0),1,0))</f>
        <v>0</v>
      </c>
    </row>
    <row r="407" spans="1:8" x14ac:dyDescent="0.25">
      <c r="A407" s="41"/>
      <c r="B407" s="33"/>
      <c r="C407" s="32"/>
      <c r="D407" s="32"/>
      <c r="E407" s="37"/>
      <c r="F407" s="42"/>
      <c r="G407" s="32"/>
      <c r="H407" s="36">
        <f>IF(D407="",0,IF(AND(B407&gt;=ThongTin!$C$9,B407&lt;=ThongTin!$C$10,COUNTIFS(ThongTin!$B$19:$B$48,C407,ThongTin!$A$19:$A$48,ThongTin!$C$8,ThongTin!$C$19:$C$48,"NHAP_NL")&gt;0),1,0))</f>
        <v>0</v>
      </c>
    </row>
    <row r="408" spans="1:8" x14ac:dyDescent="0.25">
      <c r="A408" s="41"/>
      <c r="B408" s="33"/>
      <c r="C408" s="32"/>
      <c r="D408" s="32"/>
      <c r="E408" s="37"/>
      <c r="F408" s="42"/>
      <c r="G408" s="32"/>
      <c r="H408" s="36">
        <f>IF(D408="",0,IF(AND(B408&gt;=ThongTin!$C$9,B408&lt;=ThongTin!$C$10,COUNTIFS(ThongTin!$B$19:$B$48,C408,ThongTin!$A$19:$A$48,ThongTin!$C$8,ThongTin!$C$19:$C$48,"NHAP_NL")&gt;0),1,0))</f>
        <v>0</v>
      </c>
    </row>
    <row r="409" spans="1:8" x14ac:dyDescent="0.25">
      <c r="A409" s="41"/>
      <c r="B409" s="33"/>
      <c r="C409" s="32"/>
      <c r="D409" s="32"/>
      <c r="E409" s="37"/>
      <c r="F409" s="42"/>
      <c r="G409" s="32"/>
      <c r="H409" s="36">
        <f>IF(D409="",0,IF(AND(B409&gt;=ThongTin!$C$9,B409&lt;=ThongTin!$C$10,COUNTIFS(ThongTin!$B$19:$B$48,C409,ThongTin!$A$19:$A$48,ThongTin!$C$8,ThongTin!$C$19:$C$48,"NHAP_NL")&gt;0),1,0))</f>
        <v>0</v>
      </c>
    </row>
    <row r="410" spans="1:8" x14ac:dyDescent="0.25">
      <c r="A410" s="41"/>
      <c r="B410" s="33"/>
      <c r="C410" s="32"/>
      <c r="D410" s="32"/>
      <c r="E410" s="37"/>
      <c r="F410" s="42"/>
      <c r="G410" s="32"/>
      <c r="H410" s="36">
        <f>IF(D410="",0,IF(AND(B410&gt;=ThongTin!$C$9,B410&lt;=ThongTin!$C$10,COUNTIFS(ThongTin!$B$19:$B$48,C410,ThongTin!$A$19:$A$48,ThongTin!$C$8,ThongTin!$C$19:$C$48,"NHAP_NL")&gt;0),1,0))</f>
        <v>0</v>
      </c>
    </row>
    <row r="411" spans="1:8" x14ac:dyDescent="0.25">
      <c r="A411" s="41"/>
      <c r="B411" s="33"/>
      <c r="C411" s="32"/>
      <c r="D411" s="32"/>
      <c r="E411" s="37"/>
      <c r="F411" s="42"/>
      <c r="G411" s="32"/>
      <c r="H411" s="36">
        <f>IF(D411="",0,IF(AND(B411&gt;=ThongTin!$C$9,B411&lt;=ThongTin!$C$10,COUNTIFS(ThongTin!$B$19:$B$48,C411,ThongTin!$A$19:$A$48,ThongTin!$C$8,ThongTin!$C$19:$C$48,"NHAP_NL")&gt;0),1,0))</f>
        <v>0</v>
      </c>
    </row>
    <row r="412" spans="1:8" x14ac:dyDescent="0.25">
      <c r="A412" s="41"/>
      <c r="B412" s="33"/>
      <c r="C412" s="32"/>
      <c r="D412" s="32"/>
      <c r="E412" s="37"/>
      <c r="F412" s="42"/>
      <c r="G412" s="32"/>
      <c r="H412" s="36">
        <f>IF(D412="",0,IF(AND(B412&gt;=ThongTin!$C$9,B412&lt;=ThongTin!$C$10,COUNTIFS(ThongTin!$B$19:$B$48,C412,ThongTin!$A$19:$A$48,ThongTin!$C$8,ThongTin!$C$19:$C$48,"NHAP_NL")&gt;0),1,0))</f>
        <v>0</v>
      </c>
    </row>
    <row r="413" spans="1:8" x14ac:dyDescent="0.25">
      <c r="A413" s="41"/>
      <c r="B413" s="33"/>
      <c r="C413" s="32"/>
      <c r="D413" s="32"/>
      <c r="E413" s="37"/>
      <c r="F413" s="42"/>
      <c r="G413" s="32"/>
      <c r="H413" s="36">
        <f>IF(D413="",0,IF(AND(B413&gt;=ThongTin!$C$9,B413&lt;=ThongTin!$C$10,COUNTIFS(ThongTin!$B$19:$B$48,C413,ThongTin!$A$19:$A$48,ThongTin!$C$8,ThongTin!$C$19:$C$48,"NHAP_NL")&gt;0),1,0))</f>
        <v>0</v>
      </c>
    </row>
    <row r="414" spans="1:8" x14ac:dyDescent="0.25">
      <c r="A414" s="41"/>
      <c r="B414" s="33"/>
      <c r="C414" s="32"/>
      <c r="D414" s="32"/>
      <c r="E414" s="37"/>
      <c r="F414" s="42"/>
      <c r="G414" s="32"/>
      <c r="H414" s="36">
        <f>IF(D414="",0,IF(AND(B414&gt;=ThongTin!$C$9,B414&lt;=ThongTin!$C$10,COUNTIFS(ThongTin!$B$19:$B$48,C414,ThongTin!$A$19:$A$48,ThongTin!$C$8,ThongTin!$C$19:$C$48,"NHAP_NL")&gt;0),1,0))</f>
        <v>0</v>
      </c>
    </row>
    <row r="415" spans="1:8" x14ac:dyDescent="0.25">
      <c r="A415" s="41"/>
      <c r="B415" s="33"/>
      <c r="C415" s="32"/>
      <c r="D415" s="32"/>
      <c r="E415" s="37"/>
      <c r="F415" s="42"/>
      <c r="G415" s="32"/>
      <c r="H415" s="36">
        <f>IF(D415="",0,IF(AND(B415&gt;=ThongTin!$C$9,B415&lt;=ThongTin!$C$10,COUNTIFS(ThongTin!$B$19:$B$48,C415,ThongTin!$A$19:$A$48,ThongTin!$C$8,ThongTin!$C$19:$C$48,"NHAP_NL")&gt;0),1,0))</f>
        <v>0</v>
      </c>
    </row>
    <row r="416" spans="1:8" x14ac:dyDescent="0.25">
      <c r="A416" s="41"/>
      <c r="B416" s="33"/>
      <c r="C416" s="32"/>
      <c r="D416" s="32"/>
      <c r="E416" s="37"/>
      <c r="F416" s="42"/>
      <c r="G416" s="32"/>
      <c r="H416" s="36">
        <f>IF(D416="",0,IF(AND(B416&gt;=ThongTin!$C$9,B416&lt;=ThongTin!$C$10,COUNTIFS(ThongTin!$B$19:$B$48,C416,ThongTin!$A$19:$A$48,ThongTin!$C$8,ThongTin!$C$19:$C$48,"NHAP_NL")&gt;0),1,0))</f>
        <v>0</v>
      </c>
    </row>
    <row r="417" spans="1:8" x14ac:dyDescent="0.25">
      <c r="A417" s="41"/>
      <c r="B417" s="33"/>
      <c r="C417" s="32"/>
      <c r="D417" s="32"/>
      <c r="E417" s="37"/>
      <c r="F417" s="42"/>
      <c r="G417" s="32"/>
      <c r="H417" s="36">
        <f>IF(D417="",0,IF(AND(B417&gt;=ThongTin!$C$9,B417&lt;=ThongTin!$C$10,COUNTIFS(ThongTin!$B$19:$B$48,C417,ThongTin!$A$19:$A$48,ThongTin!$C$8,ThongTin!$C$19:$C$48,"NHAP_NL")&gt;0),1,0))</f>
        <v>0</v>
      </c>
    </row>
    <row r="418" spans="1:8" x14ac:dyDescent="0.25">
      <c r="A418" s="41"/>
      <c r="B418" s="33"/>
      <c r="C418" s="32"/>
      <c r="D418" s="32"/>
      <c r="E418" s="37"/>
      <c r="F418" s="42"/>
      <c r="G418" s="32"/>
      <c r="H418" s="36">
        <f>IF(D418="",0,IF(AND(B418&gt;=ThongTin!$C$9,B418&lt;=ThongTin!$C$10,COUNTIFS(ThongTin!$B$19:$B$48,C418,ThongTin!$A$19:$A$48,ThongTin!$C$8,ThongTin!$C$19:$C$48,"NHAP_NL")&gt;0),1,0))</f>
        <v>0</v>
      </c>
    </row>
    <row r="419" spans="1:8" x14ac:dyDescent="0.25">
      <c r="A419" s="41"/>
      <c r="B419" s="33"/>
      <c r="C419" s="32"/>
      <c r="D419" s="32"/>
      <c r="E419" s="37"/>
      <c r="F419" s="42"/>
      <c r="G419" s="32"/>
      <c r="H419" s="36">
        <f>IF(D419="",0,IF(AND(B419&gt;=ThongTin!$C$9,B419&lt;=ThongTin!$C$10,COUNTIFS(ThongTin!$B$19:$B$48,C419,ThongTin!$A$19:$A$48,ThongTin!$C$8,ThongTin!$C$19:$C$48,"NHAP_NL")&gt;0),1,0))</f>
        <v>0</v>
      </c>
    </row>
    <row r="420" spans="1:8" x14ac:dyDescent="0.25">
      <c r="A420" s="41"/>
      <c r="B420" s="33"/>
      <c r="C420" s="32"/>
      <c r="D420" s="32"/>
      <c r="E420" s="37"/>
      <c r="F420" s="42"/>
      <c r="G420" s="32"/>
      <c r="H420" s="36">
        <f>IF(D420="",0,IF(AND(B420&gt;=ThongTin!$C$9,B420&lt;=ThongTin!$C$10,COUNTIFS(ThongTin!$B$19:$B$48,C420,ThongTin!$A$19:$A$48,ThongTin!$C$8,ThongTin!$C$19:$C$48,"NHAP_NL")&gt;0),1,0))</f>
        <v>0</v>
      </c>
    </row>
    <row r="421" spans="1:8" x14ac:dyDescent="0.25">
      <c r="A421" s="41"/>
      <c r="B421" s="33"/>
      <c r="C421" s="32"/>
      <c r="D421" s="32"/>
      <c r="E421" s="37"/>
      <c r="F421" s="42"/>
      <c r="G421" s="32"/>
      <c r="H421" s="36">
        <f>IF(D421="",0,IF(AND(B421&gt;=ThongTin!$C$9,B421&lt;=ThongTin!$C$10,COUNTIFS(ThongTin!$B$19:$B$48,C421,ThongTin!$A$19:$A$48,ThongTin!$C$8,ThongTin!$C$19:$C$48,"NHAP_NL")&gt;0),1,0))</f>
        <v>0</v>
      </c>
    </row>
    <row r="422" spans="1:8" x14ac:dyDescent="0.25">
      <c r="A422" s="41"/>
      <c r="B422" s="33"/>
      <c r="C422" s="32"/>
      <c r="D422" s="32"/>
      <c r="E422" s="37"/>
      <c r="F422" s="42"/>
      <c r="G422" s="32"/>
      <c r="H422" s="36">
        <f>IF(D422="",0,IF(AND(B422&gt;=ThongTin!$C$9,B422&lt;=ThongTin!$C$10,COUNTIFS(ThongTin!$B$19:$B$48,C422,ThongTin!$A$19:$A$48,ThongTin!$C$8,ThongTin!$C$19:$C$48,"NHAP_NL")&gt;0),1,0))</f>
        <v>0</v>
      </c>
    </row>
    <row r="423" spans="1:8" x14ac:dyDescent="0.25">
      <c r="A423" s="41"/>
      <c r="B423" s="33"/>
      <c r="C423" s="32"/>
      <c r="D423" s="32"/>
      <c r="E423" s="37"/>
      <c r="F423" s="42"/>
      <c r="G423" s="32"/>
      <c r="H423" s="36">
        <f>IF(D423="",0,IF(AND(B423&gt;=ThongTin!$C$9,B423&lt;=ThongTin!$C$10,COUNTIFS(ThongTin!$B$19:$B$48,C423,ThongTin!$A$19:$A$48,ThongTin!$C$8,ThongTin!$C$19:$C$48,"NHAP_NL")&gt;0),1,0))</f>
        <v>0</v>
      </c>
    </row>
    <row r="424" spans="1:8" x14ac:dyDescent="0.25">
      <c r="A424" s="41"/>
      <c r="B424" s="33"/>
      <c r="C424" s="32"/>
      <c r="D424" s="32"/>
      <c r="E424" s="37"/>
      <c r="F424" s="42"/>
      <c r="G424" s="32"/>
      <c r="H424" s="36">
        <f>IF(D424="",0,IF(AND(B424&gt;=ThongTin!$C$9,B424&lt;=ThongTin!$C$10,COUNTIFS(ThongTin!$B$19:$B$48,C424,ThongTin!$A$19:$A$48,ThongTin!$C$8,ThongTin!$C$19:$C$48,"NHAP_NL")&gt;0),1,0))</f>
        <v>0</v>
      </c>
    </row>
    <row r="425" spans="1:8" x14ac:dyDescent="0.25">
      <c r="A425" s="41"/>
      <c r="B425" s="33"/>
      <c r="C425" s="32"/>
      <c r="D425" s="32"/>
      <c r="E425" s="37"/>
      <c r="F425" s="42"/>
      <c r="G425" s="32"/>
      <c r="H425" s="36">
        <f>IF(D425="",0,IF(AND(B425&gt;=ThongTin!$C$9,B425&lt;=ThongTin!$C$10,COUNTIFS(ThongTin!$B$19:$B$48,C425,ThongTin!$A$19:$A$48,ThongTin!$C$8,ThongTin!$C$19:$C$48,"NHAP_NL")&gt;0),1,0))</f>
        <v>0</v>
      </c>
    </row>
    <row r="426" spans="1:8" x14ac:dyDescent="0.25">
      <c r="A426" s="41"/>
      <c r="B426" s="33"/>
      <c r="C426" s="32"/>
      <c r="D426" s="32"/>
      <c r="E426" s="37"/>
      <c r="F426" s="42"/>
      <c r="G426" s="32"/>
      <c r="H426" s="36">
        <f>IF(D426="",0,IF(AND(B426&gt;=ThongTin!$C$9,B426&lt;=ThongTin!$C$10,COUNTIFS(ThongTin!$B$19:$B$48,C426,ThongTin!$A$19:$A$48,ThongTin!$C$8,ThongTin!$C$19:$C$48,"NHAP_NL")&gt;0),1,0))</f>
        <v>0</v>
      </c>
    </row>
    <row r="427" spans="1:8" x14ac:dyDescent="0.25">
      <c r="A427" s="41"/>
      <c r="B427" s="33"/>
      <c r="C427" s="32"/>
      <c r="D427" s="32"/>
      <c r="E427" s="37"/>
      <c r="F427" s="42"/>
      <c r="G427" s="32"/>
      <c r="H427" s="36">
        <f>IF(D427="",0,IF(AND(B427&gt;=ThongTin!$C$9,B427&lt;=ThongTin!$C$10,COUNTIFS(ThongTin!$B$19:$B$48,C427,ThongTin!$A$19:$A$48,ThongTin!$C$8,ThongTin!$C$19:$C$48,"NHAP_NL")&gt;0),1,0))</f>
        <v>0</v>
      </c>
    </row>
    <row r="428" spans="1:8" x14ac:dyDescent="0.25">
      <c r="A428" s="41"/>
      <c r="B428" s="33"/>
      <c r="C428" s="32"/>
      <c r="D428" s="32"/>
      <c r="E428" s="37"/>
      <c r="F428" s="42"/>
      <c r="G428" s="32"/>
      <c r="H428" s="36">
        <f>IF(D428="",0,IF(AND(B428&gt;=ThongTin!$C$9,B428&lt;=ThongTin!$C$10,COUNTIFS(ThongTin!$B$19:$B$48,C428,ThongTin!$A$19:$A$48,ThongTin!$C$8,ThongTin!$C$19:$C$48,"NHAP_NL")&gt;0),1,0))</f>
        <v>0</v>
      </c>
    </row>
    <row r="429" spans="1:8" x14ac:dyDescent="0.25">
      <c r="A429" s="41"/>
      <c r="B429" s="33"/>
      <c r="C429" s="32"/>
      <c r="D429" s="32"/>
      <c r="E429" s="37"/>
      <c r="F429" s="42"/>
      <c r="G429" s="32"/>
      <c r="H429" s="36">
        <f>IF(D429="",0,IF(AND(B429&gt;=ThongTin!$C$9,B429&lt;=ThongTin!$C$10,COUNTIFS(ThongTin!$B$19:$B$48,C429,ThongTin!$A$19:$A$48,ThongTin!$C$8,ThongTin!$C$19:$C$48,"NHAP_NL")&gt;0),1,0))</f>
        <v>0</v>
      </c>
    </row>
    <row r="430" spans="1:8" x14ac:dyDescent="0.25">
      <c r="A430" s="41"/>
      <c r="B430" s="33"/>
      <c r="C430" s="32"/>
      <c r="D430" s="32"/>
      <c r="E430" s="37"/>
      <c r="F430" s="42"/>
      <c r="G430" s="32"/>
      <c r="H430" s="36">
        <f>IF(D430="",0,IF(AND(B430&gt;=ThongTin!$C$9,B430&lt;=ThongTin!$C$10,COUNTIFS(ThongTin!$B$19:$B$48,C430,ThongTin!$A$19:$A$48,ThongTin!$C$8,ThongTin!$C$19:$C$48,"NHAP_NL")&gt;0),1,0))</f>
        <v>0</v>
      </c>
    </row>
    <row r="431" spans="1:8" x14ac:dyDescent="0.25">
      <c r="A431" s="41"/>
      <c r="B431" s="33"/>
      <c r="C431" s="32"/>
      <c r="D431" s="32"/>
      <c r="E431" s="37"/>
      <c r="F431" s="42"/>
      <c r="G431" s="32"/>
      <c r="H431" s="36">
        <f>IF(D431="",0,IF(AND(B431&gt;=ThongTin!$C$9,B431&lt;=ThongTin!$C$10,COUNTIFS(ThongTin!$B$19:$B$48,C431,ThongTin!$A$19:$A$48,ThongTin!$C$8,ThongTin!$C$19:$C$48,"NHAP_NL")&gt;0),1,0))</f>
        <v>0</v>
      </c>
    </row>
    <row r="432" spans="1:8" x14ac:dyDescent="0.25">
      <c r="A432" s="41"/>
      <c r="B432" s="33"/>
      <c r="C432" s="32"/>
      <c r="D432" s="32"/>
      <c r="E432" s="37"/>
      <c r="F432" s="42"/>
      <c r="G432" s="32"/>
      <c r="H432" s="36">
        <f>IF(D432="",0,IF(AND(B432&gt;=ThongTin!$C$9,B432&lt;=ThongTin!$C$10,COUNTIFS(ThongTin!$B$19:$B$48,C432,ThongTin!$A$19:$A$48,ThongTin!$C$8,ThongTin!$C$19:$C$48,"NHAP_NL")&gt;0),1,0))</f>
        <v>0</v>
      </c>
    </row>
    <row r="433" spans="1:8" x14ac:dyDescent="0.25">
      <c r="A433" s="41"/>
      <c r="B433" s="33"/>
      <c r="C433" s="32"/>
      <c r="D433" s="32"/>
      <c r="E433" s="37"/>
      <c r="F433" s="42"/>
      <c r="G433" s="32"/>
      <c r="H433" s="36">
        <f>IF(D433="",0,IF(AND(B433&gt;=ThongTin!$C$9,B433&lt;=ThongTin!$C$10,COUNTIFS(ThongTin!$B$19:$B$48,C433,ThongTin!$A$19:$A$48,ThongTin!$C$8,ThongTin!$C$19:$C$48,"NHAP_NL")&gt;0),1,0))</f>
        <v>0</v>
      </c>
    </row>
    <row r="434" spans="1:8" x14ac:dyDescent="0.25">
      <c r="A434" s="41"/>
      <c r="B434" s="33"/>
      <c r="C434" s="32"/>
      <c r="D434" s="32"/>
      <c r="E434" s="37"/>
      <c r="F434" s="42"/>
      <c r="G434" s="32"/>
      <c r="H434" s="36">
        <f>IF(D434="",0,IF(AND(B434&gt;=ThongTin!$C$9,B434&lt;=ThongTin!$C$10,COUNTIFS(ThongTin!$B$19:$B$48,C434,ThongTin!$A$19:$A$48,ThongTin!$C$8,ThongTin!$C$19:$C$48,"NHAP_NL")&gt;0),1,0))</f>
        <v>0</v>
      </c>
    </row>
    <row r="435" spans="1:8" x14ac:dyDescent="0.25">
      <c r="A435" s="41"/>
      <c r="B435" s="33"/>
      <c r="C435" s="32"/>
      <c r="D435" s="32"/>
      <c r="E435" s="37"/>
      <c r="F435" s="42"/>
      <c r="G435" s="32"/>
      <c r="H435" s="36">
        <f>IF(D435="",0,IF(AND(B435&gt;=ThongTin!$C$9,B435&lt;=ThongTin!$C$10,COUNTIFS(ThongTin!$B$19:$B$48,C435,ThongTin!$A$19:$A$48,ThongTin!$C$8,ThongTin!$C$19:$C$48,"NHAP_NL")&gt;0),1,0))</f>
        <v>0</v>
      </c>
    </row>
    <row r="436" spans="1:8" x14ac:dyDescent="0.25">
      <c r="A436" s="41"/>
      <c r="B436" s="33"/>
      <c r="C436" s="32"/>
      <c r="D436" s="32"/>
      <c r="E436" s="37"/>
      <c r="F436" s="42"/>
      <c r="G436" s="32"/>
      <c r="H436" s="36">
        <f>IF(D436="",0,IF(AND(B436&gt;=ThongTin!$C$9,B436&lt;=ThongTin!$C$10,COUNTIFS(ThongTin!$B$19:$B$48,C436,ThongTin!$A$19:$A$48,ThongTin!$C$8,ThongTin!$C$19:$C$48,"NHAP_NL")&gt;0),1,0))</f>
        <v>0</v>
      </c>
    </row>
    <row r="437" spans="1:8" x14ac:dyDescent="0.25">
      <c r="A437" s="41"/>
      <c r="B437" s="33"/>
      <c r="C437" s="32"/>
      <c r="D437" s="32"/>
      <c r="E437" s="37"/>
      <c r="F437" s="42"/>
      <c r="G437" s="32"/>
      <c r="H437" s="36">
        <f>IF(D437="",0,IF(AND(B437&gt;=ThongTin!$C$9,B437&lt;=ThongTin!$C$10,COUNTIFS(ThongTin!$B$19:$B$48,C437,ThongTin!$A$19:$A$48,ThongTin!$C$8,ThongTin!$C$19:$C$48,"NHAP_NL")&gt;0),1,0))</f>
        <v>0</v>
      </c>
    </row>
    <row r="438" spans="1:8" x14ac:dyDescent="0.25">
      <c r="A438" s="41"/>
      <c r="B438" s="33"/>
      <c r="C438" s="32"/>
      <c r="D438" s="32"/>
      <c r="E438" s="37"/>
      <c r="F438" s="42"/>
      <c r="G438" s="32"/>
      <c r="H438" s="36">
        <f>IF(D438="",0,IF(AND(B438&gt;=ThongTin!$C$9,B438&lt;=ThongTin!$C$10,COUNTIFS(ThongTin!$B$19:$B$48,C438,ThongTin!$A$19:$A$48,ThongTin!$C$8,ThongTin!$C$19:$C$48,"NHAP_NL")&gt;0),1,0))</f>
        <v>0</v>
      </c>
    </row>
    <row r="439" spans="1:8" x14ac:dyDescent="0.25">
      <c r="A439" s="41"/>
      <c r="B439" s="33"/>
      <c r="C439" s="32"/>
      <c r="D439" s="32"/>
      <c r="E439" s="37"/>
      <c r="F439" s="42"/>
      <c r="G439" s="32"/>
      <c r="H439" s="36">
        <f>IF(D439="",0,IF(AND(B439&gt;=ThongTin!$C$9,B439&lt;=ThongTin!$C$10,COUNTIFS(ThongTin!$B$19:$B$48,C439,ThongTin!$A$19:$A$48,ThongTin!$C$8,ThongTin!$C$19:$C$48,"NHAP_NL")&gt;0),1,0))</f>
        <v>0</v>
      </c>
    </row>
    <row r="440" spans="1:8" x14ac:dyDescent="0.25">
      <c r="A440" s="41"/>
      <c r="B440" s="33"/>
      <c r="C440" s="32"/>
      <c r="D440" s="32"/>
      <c r="E440" s="37"/>
      <c r="F440" s="42"/>
      <c r="G440" s="32"/>
      <c r="H440" s="36">
        <f>IF(D440="",0,IF(AND(B440&gt;=ThongTin!$C$9,B440&lt;=ThongTin!$C$10,COUNTIFS(ThongTin!$B$19:$B$48,C440,ThongTin!$A$19:$A$48,ThongTin!$C$8,ThongTin!$C$19:$C$48,"NHAP_NL")&gt;0),1,0))</f>
        <v>0</v>
      </c>
    </row>
    <row r="441" spans="1:8" x14ac:dyDescent="0.25">
      <c r="A441" s="41"/>
      <c r="B441" s="33"/>
      <c r="C441" s="32"/>
      <c r="D441" s="32"/>
      <c r="E441" s="37"/>
      <c r="F441" s="42"/>
      <c r="G441" s="32"/>
      <c r="H441" s="36">
        <f>IF(D441="",0,IF(AND(B441&gt;=ThongTin!$C$9,B441&lt;=ThongTin!$C$10,COUNTIFS(ThongTin!$B$19:$B$48,C441,ThongTin!$A$19:$A$48,ThongTin!$C$8,ThongTin!$C$19:$C$48,"NHAP_NL")&gt;0),1,0))</f>
        <v>0</v>
      </c>
    </row>
    <row r="442" spans="1:8" x14ac:dyDescent="0.25">
      <c r="A442" s="41"/>
      <c r="B442" s="33"/>
      <c r="C442" s="32"/>
      <c r="D442" s="32"/>
      <c r="E442" s="37"/>
      <c r="F442" s="42"/>
      <c r="G442" s="32"/>
      <c r="H442" s="36">
        <f>IF(D442="",0,IF(AND(B442&gt;=ThongTin!$C$9,B442&lt;=ThongTin!$C$10,COUNTIFS(ThongTin!$B$19:$B$48,C442,ThongTin!$A$19:$A$48,ThongTin!$C$8,ThongTin!$C$19:$C$48,"NHAP_NL")&gt;0),1,0))</f>
        <v>0</v>
      </c>
    </row>
    <row r="443" spans="1:8" x14ac:dyDescent="0.25">
      <c r="A443" s="41"/>
      <c r="B443" s="33"/>
      <c r="C443" s="32"/>
      <c r="D443" s="32"/>
      <c r="E443" s="37"/>
      <c r="F443" s="42"/>
      <c r="G443" s="32"/>
      <c r="H443" s="36">
        <f>IF(D443="",0,IF(AND(B443&gt;=ThongTin!$C$9,B443&lt;=ThongTin!$C$10,COUNTIFS(ThongTin!$B$19:$B$48,C443,ThongTin!$A$19:$A$48,ThongTin!$C$8,ThongTin!$C$19:$C$48,"NHAP_NL")&gt;0),1,0))</f>
        <v>0</v>
      </c>
    </row>
    <row r="444" spans="1:8" x14ac:dyDescent="0.25">
      <c r="A444" s="41"/>
      <c r="B444" s="33"/>
      <c r="C444" s="32"/>
      <c r="D444" s="32"/>
      <c r="E444" s="37"/>
      <c r="F444" s="42"/>
      <c r="G444" s="32"/>
      <c r="H444" s="36">
        <f>IF(D444="",0,IF(AND(B444&gt;=ThongTin!$C$9,B444&lt;=ThongTin!$C$10,COUNTIFS(ThongTin!$B$19:$B$48,C444,ThongTin!$A$19:$A$48,ThongTin!$C$8,ThongTin!$C$19:$C$48,"NHAP_NL")&gt;0),1,0))</f>
        <v>0</v>
      </c>
    </row>
    <row r="445" spans="1:8" x14ac:dyDescent="0.25">
      <c r="A445" s="41"/>
      <c r="B445" s="33"/>
      <c r="C445" s="32"/>
      <c r="D445" s="32"/>
      <c r="E445" s="37"/>
      <c r="F445" s="42"/>
      <c r="G445" s="32"/>
      <c r="H445" s="36">
        <f>IF(D445="",0,IF(AND(B445&gt;=ThongTin!$C$9,B445&lt;=ThongTin!$C$10,COUNTIFS(ThongTin!$B$19:$B$48,C445,ThongTin!$A$19:$A$48,ThongTin!$C$8,ThongTin!$C$19:$C$48,"NHAP_NL")&gt;0),1,0))</f>
        <v>0</v>
      </c>
    </row>
    <row r="446" spans="1:8" x14ac:dyDescent="0.25">
      <c r="A446" s="41"/>
      <c r="B446" s="33"/>
      <c r="C446" s="32"/>
      <c r="D446" s="32"/>
      <c r="E446" s="37"/>
      <c r="F446" s="42"/>
      <c r="G446" s="32"/>
      <c r="H446" s="36">
        <f>IF(D446="",0,IF(AND(B446&gt;=ThongTin!$C$9,B446&lt;=ThongTin!$C$10,COUNTIFS(ThongTin!$B$19:$B$48,C446,ThongTin!$A$19:$A$48,ThongTin!$C$8,ThongTin!$C$19:$C$48,"NHAP_NL")&gt;0),1,0))</f>
        <v>0</v>
      </c>
    </row>
    <row r="447" spans="1:8" x14ac:dyDescent="0.25">
      <c r="A447" s="41"/>
      <c r="B447" s="33"/>
      <c r="C447" s="32"/>
      <c r="D447" s="32"/>
      <c r="E447" s="37"/>
      <c r="F447" s="42"/>
      <c r="G447" s="32"/>
      <c r="H447" s="36">
        <f>IF(D447="",0,IF(AND(B447&gt;=ThongTin!$C$9,B447&lt;=ThongTin!$C$10,COUNTIFS(ThongTin!$B$19:$B$48,C447,ThongTin!$A$19:$A$48,ThongTin!$C$8,ThongTin!$C$19:$C$48,"NHAP_NL")&gt;0),1,0))</f>
        <v>0</v>
      </c>
    </row>
    <row r="448" spans="1:8" x14ac:dyDescent="0.25">
      <c r="A448" s="41"/>
      <c r="B448" s="33"/>
      <c r="C448" s="32"/>
      <c r="D448" s="32"/>
      <c r="E448" s="37"/>
      <c r="F448" s="42"/>
      <c r="G448" s="32"/>
      <c r="H448" s="36">
        <f>IF(D448="",0,IF(AND(B448&gt;=ThongTin!$C$9,B448&lt;=ThongTin!$C$10,COUNTIFS(ThongTin!$B$19:$B$48,C448,ThongTin!$A$19:$A$48,ThongTin!$C$8,ThongTin!$C$19:$C$48,"NHAP_NL")&gt;0),1,0))</f>
        <v>0</v>
      </c>
    </row>
    <row r="449" spans="1:8" x14ac:dyDescent="0.25">
      <c r="A449" s="41"/>
      <c r="B449" s="33"/>
      <c r="C449" s="32"/>
      <c r="D449" s="32"/>
      <c r="E449" s="37"/>
      <c r="F449" s="42"/>
      <c r="G449" s="32"/>
      <c r="H449" s="36">
        <f>IF(D449="",0,IF(AND(B449&gt;=ThongTin!$C$9,B449&lt;=ThongTin!$C$10,COUNTIFS(ThongTin!$B$19:$B$48,C449,ThongTin!$A$19:$A$48,ThongTin!$C$8,ThongTin!$C$19:$C$48,"NHAP_NL")&gt;0),1,0))</f>
        <v>0</v>
      </c>
    </row>
    <row r="450" spans="1:8" x14ac:dyDescent="0.25">
      <c r="A450" s="41"/>
      <c r="B450" s="33"/>
      <c r="C450" s="32"/>
      <c r="D450" s="32"/>
      <c r="E450" s="37"/>
      <c r="F450" s="42"/>
      <c r="G450" s="32"/>
      <c r="H450" s="36">
        <f>IF(D450="",0,IF(AND(B450&gt;=ThongTin!$C$9,B450&lt;=ThongTin!$C$10,COUNTIFS(ThongTin!$B$19:$B$48,C450,ThongTin!$A$19:$A$48,ThongTin!$C$8,ThongTin!$C$19:$C$48,"NHAP_NL")&gt;0),1,0))</f>
        <v>0</v>
      </c>
    </row>
    <row r="451" spans="1:8" x14ac:dyDescent="0.25">
      <c r="A451" s="41"/>
      <c r="B451" s="33"/>
      <c r="C451" s="32"/>
      <c r="D451" s="32"/>
      <c r="E451" s="37"/>
      <c r="F451" s="42"/>
      <c r="G451" s="32"/>
      <c r="H451" s="36">
        <f>IF(D451="",0,IF(AND(B451&gt;=ThongTin!$C$9,B451&lt;=ThongTin!$C$10,COUNTIFS(ThongTin!$B$19:$B$48,C451,ThongTin!$A$19:$A$48,ThongTin!$C$8,ThongTin!$C$19:$C$48,"NHAP_NL")&gt;0),1,0))</f>
        <v>0</v>
      </c>
    </row>
    <row r="452" spans="1:8" x14ac:dyDescent="0.25">
      <c r="A452" s="41"/>
      <c r="B452" s="33"/>
      <c r="C452" s="32"/>
      <c r="D452" s="32"/>
      <c r="E452" s="37"/>
      <c r="F452" s="42"/>
      <c r="G452" s="32"/>
      <c r="H452" s="36">
        <f>IF(D452="",0,IF(AND(B452&gt;=ThongTin!$C$9,B452&lt;=ThongTin!$C$10,COUNTIFS(ThongTin!$B$19:$B$48,C452,ThongTin!$A$19:$A$48,ThongTin!$C$8,ThongTin!$C$19:$C$48,"NHAP_NL")&gt;0),1,0))</f>
        <v>0</v>
      </c>
    </row>
    <row r="453" spans="1:8" x14ac:dyDescent="0.25">
      <c r="A453" s="41"/>
      <c r="B453" s="33"/>
      <c r="C453" s="32"/>
      <c r="D453" s="32"/>
      <c r="E453" s="37"/>
      <c r="F453" s="42"/>
      <c r="G453" s="32"/>
      <c r="H453" s="36">
        <f>IF(D453="",0,IF(AND(B453&gt;=ThongTin!$C$9,B453&lt;=ThongTin!$C$10,COUNTIFS(ThongTin!$B$19:$B$48,C453,ThongTin!$A$19:$A$48,ThongTin!$C$8,ThongTin!$C$19:$C$48,"NHAP_NL")&gt;0),1,0))</f>
        <v>0</v>
      </c>
    </row>
    <row r="454" spans="1:8" x14ac:dyDescent="0.25">
      <c r="A454" s="41"/>
      <c r="B454" s="33"/>
      <c r="C454" s="32"/>
      <c r="D454" s="32"/>
      <c r="E454" s="37"/>
      <c r="F454" s="42"/>
      <c r="G454" s="32"/>
      <c r="H454" s="36">
        <f>IF(D454="",0,IF(AND(B454&gt;=ThongTin!$C$9,B454&lt;=ThongTin!$C$10,COUNTIFS(ThongTin!$B$19:$B$48,C454,ThongTin!$A$19:$A$48,ThongTin!$C$8,ThongTin!$C$19:$C$48,"NHAP_NL")&gt;0),1,0))</f>
        <v>0</v>
      </c>
    </row>
    <row r="455" spans="1:8" x14ac:dyDescent="0.25">
      <c r="A455" s="41"/>
      <c r="B455" s="33"/>
      <c r="C455" s="32"/>
      <c r="D455" s="32"/>
      <c r="E455" s="37"/>
      <c r="F455" s="42"/>
      <c r="G455" s="32"/>
      <c r="H455" s="36">
        <f>IF(D455="",0,IF(AND(B455&gt;=ThongTin!$C$9,B455&lt;=ThongTin!$C$10,COUNTIFS(ThongTin!$B$19:$B$48,C455,ThongTin!$A$19:$A$48,ThongTin!$C$8,ThongTin!$C$19:$C$48,"NHAP_NL")&gt;0),1,0))</f>
        <v>0</v>
      </c>
    </row>
    <row r="456" spans="1:8" x14ac:dyDescent="0.25">
      <c r="A456" s="41"/>
      <c r="B456" s="33"/>
      <c r="C456" s="32"/>
      <c r="D456" s="32"/>
      <c r="E456" s="37"/>
      <c r="F456" s="42"/>
      <c r="G456" s="32"/>
      <c r="H456" s="36">
        <f>IF(D456="",0,IF(AND(B456&gt;=ThongTin!$C$9,B456&lt;=ThongTin!$C$10,COUNTIFS(ThongTin!$B$19:$B$48,C456,ThongTin!$A$19:$A$48,ThongTin!$C$8,ThongTin!$C$19:$C$48,"NHAP_NL")&gt;0),1,0))</f>
        <v>0</v>
      </c>
    </row>
    <row r="457" spans="1:8" x14ac:dyDescent="0.25">
      <c r="A457" s="41"/>
      <c r="B457" s="33"/>
      <c r="C457" s="32"/>
      <c r="D457" s="32"/>
      <c r="E457" s="37"/>
      <c r="F457" s="42"/>
      <c r="G457" s="32"/>
      <c r="H457" s="36">
        <f>IF(D457="",0,IF(AND(B457&gt;=ThongTin!$C$9,B457&lt;=ThongTin!$C$10,COUNTIFS(ThongTin!$B$19:$B$48,C457,ThongTin!$A$19:$A$48,ThongTin!$C$8,ThongTin!$C$19:$C$48,"NHAP_NL")&gt;0),1,0))</f>
        <v>0</v>
      </c>
    </row>
    <row r="458" spans="1:8" x14ac:dyDescent="0.25">
      <c r="A458" s="41"/>
      <c r="B458" s="33"/>
      <c r="C458" s="32"/>
      <c r="D458" s="32"/>
      <c r="E458" s="37"/>
      <c r="F458" s="42"/>
      <c r="G458" s="32"/>
      <c r="H458" s="36">
        <f>IF(D458="",0,IF(AND(B458&gt;=ThongTin!$C$9,B458&lt;=ThongTin!$C$10,COUNTIFS(ThongTin!$B$19:$B$48,C458,ThongTin!$A$19:$A$48,ThongTin!$C$8,ThongTin!$C$19:$C$48,"NHAP_NL")&gt;0),1,0))</f>
        <v>0</v>
      </c>
    </row>
    <row r="459" spans="1:8" x14ac:dyDescent="0.25">
      <c r="A459" s="41"/>
      <c r="B459" s="33"/>
      <c r="C459" s="32"/>
      <c r="D459" s="32"/>
      <c r="E459" s="37"/>
      <c r="F459" s="42"/>
      <c r="G459" s="32"/>
      <c r="H459" s="36">
        <f>IF(D459="",0,IF(AND(B459&gt;=ThongTin!$C$9,B459&lt;=ThongTin!$C$10,COUNTIFS(ThongTin!$B$19:$B$48,C459,ThongTin!$A$19:$A$48,ThongTin!$C$8,ThongTin!$C$19:$C$48,"NHAP_NL")&gt;0),1,0))</f>
        <v>0</v>
      </c>
    </row>
    <row r="460" spans="1:8" x14ac:dyDescent="0.25">
      <c r="A460" s="41"/>
      <c r="B460" s="33"/>
      <c r="C460" s="32"/>
      <c r="D460" s="32"/>
      <c r="E460" s="37"/>
      <c r="F460" s="42"/>
      <c r="G460" s="32"/>
      <c r="H460" s="36">
        <f>IF(D460="",0,IF(AND(B460&gt;=ThongTin!$C$9,B460&lt;=ThongTin!$C$10,COUNTIFS(ThongTin!$B$19:$B$48,C460,ThongTin!$A$19:$A$48,ThongTin!$C$8,ThongTin!$C$19:$C$48,"NHAP_NL")&gt;0),1,0))</f>
        <v>0</v>
      </c>
    </row>
    <row r="461" spans="1:8" x14ac:dyDescent="0.25">
      <c r="A461" s="41"/>
      <c r="B461" s="33"/>
      <c r="C461" s="32"/>
      <c r="D461" s="32"/>
      <c r="E461" s="37"/>
      <c r="F461" s="42"/>
      <c r="G461" s="32"/>
      <c r="H461" s="36">
        <f>IF(D461="",0,IF(AND(B461&gt;=ThongTin!$C$9,B461&lt;=ThongTin!$C$10,COUNTIFS(ThongTin!$B$19:$B$48,C461,ThongTin!$A$19:$A$48,ThongTin!$C$8,ThongTin!$C$19:$C$48,"NHAP_NL")&gt;0),1,0))</f>
        <v>0</v>
      </c>
    </row>
    <row r="462" spans="1:8" x14ac:dyDescent="0.25">
      <c r="A462" s="41"/>
      <c r="B462" s="33"/>
      <c r="C462" s="32"/>
      <c r="D462" s="32"/>
      <c r="E462" s="37"/>
      <c r="F462" s="42"/>
      <c r="G462" s="32"/>
      <c r="H462" s="36">
        <f>IF(D462="",0,IF(AND(B462&gt;=ThongTin!$C$9,B462&lt;=ThongTin!$C$10,COUNTIFS(ThongTin!$B$19:$B$48,C462,ThongTin!$A$19:$A$48,ThongTin!$C$8,ThongTin!$C$19:$C$48,"NHAP_NL")&gt;0),1,0))</f>
        <v>0</v>
      </c>
    </row>
    <row r="463" spans="1:8" x14ac:dyDescent="0.25">
      <c r="A463" s="41"/>
      <c r="B463" s="33"/>
      <c r="C463" s="32"/>
      <c r="D463" s="32"/>
      <c r="E463" s="37"/>
      <c r="F463" s="42"/>
      <c r="G463" s="32"/>
      <c r="H463" s="36">
        <f>IF(D463="",0,IF(AND(B463&gt;=ThongTin!$C$9,B463&lt;=ThongTin!$C$10,COUNTIFS(ThongTin!$B$19:$B$48,C463,ThongTin!$A$19:$A$48,ThongTin!$C$8,ThongTin!$C$19:$C$48,"NHAP_NL")&gt;0),1,0))</f>
        <v>0</v>
      </c>
    </row>
    <row r="464" spans="1:8" x14ac:dyDescent="0.25">
      <c r="A464" s="41"/>
      <c r="B464" s="33"/>
      <c r="C464" s="32"/>
      <c r="D464" s="32"/>
      <c r="E464" s="37"/>
      <c r="F464" s="42"/>
      <c r="G464" s="32"/>
      <c r="H464" s="36">
        <f>IF(D464="",0,IF(AND(B464&gt;=ThongTin!$C$9,B464&lt;=ThongTin!$C$10,COUNTIFS(ThongTin!$B$19:$B$48,C464,ThongTin!$A$19:$A$48,ThongTin!$C$8,ThongTin!$C$19:$C$48,"NHAP_NL")&gt;0),1,0))</f>
        <v>0</v>
      </c>
    </row>
    <row r="465" spans="1:8" x14ac:dyDescent="0.25">
      <c r="A465" s="41"/>
      <c r="B465" s="33"/>
      <c r="C465" s="32"/>
      <c r="D465" s="32"/>
      <c r="E465" s="37"/>
      <c r="F465" s="42"/>
      <c r="G465" s="32"/>
      <c r="H465" s="36">
        <f>IF(D465="",0,IF(AND(B465&gt;=ThongTin!$C$9,B465&lt;=ThongTin!$C$10,COUNTIFS(ThongTin!$B$19:$B$48,C465,ThongTin!$A$19:$A$48,ThongTin!$C$8,ThongTin!$C$19:$C$48,"NHAP_NL")&gt;0),1,0))</f>
        <v>0</v>
      </c>
    </row>
    <row r="466" spans="1:8" x14ac:dyDescent="0.25">
      <c r="A466" s="41"/>
      <c r="B466" s="33"/>
      <c r="C466" s="32"/>
      <c r="D466" s="32"/>
      <c r="E466" s="37"/>
      <c r="F466" s="42"/>
      <c r="G466" s="32"/>
      <c r="H466" s="36">
        <f>IF(D466="",0,IF(AND(B466&gt;=ThongTin!$C$9,B466&lt;=ThongTin!$C$10,COUNTIFS(ThongTin!$B$19:$B$48,C466,ThongTin!$A$19:$A$48,ThongTin!$C$8,ThongTin!$C$19:$C$48,"NHAP_NL")&gt;0),1,0))</f>
        <v>0</v>
      </c>
    </row>
    <row r="467" spans="1:8" x14ac:dyDescent="0.25">
      <c r="A467" s="41"/>
      <c r="B467" s="33"/>
      <c r="C467" s="32"/>
      <c r="D467" s="32"/>
      <c r="E467" s="37"/>
      <c r="F467" s="42"/>
      <c r="G467" s="32"/>
      <c r="H467" s="36">
        <f>IF(D467="",0,IF(AND(B467&gt;=ThongTin!$C$9,B467&lt;=ThongTin!$C$10,COUNTIFS(ThongTin!$B$19:$B$48,C467,ThongTin!$A$19:$A$48,ThongTin!$C$8,ThongTin!$C$19:$C$48,"NHAP_NL")&gt;0),1,0))</f>
        <v>0</v>
      </c>
    </row>
    <row r="468" spans="1:8" x14ac:dyDescent="0.25">
      <c r="A468" s="41"/>
      <c r="B468" s="33"/>
      <c r="C468" s="32"/>
      <c r="D468" s="32"/>
      <c r="E468" s="37"/>
      <c r="F468" s="42"/>
      <c r="G468" s="32"/>
      <c r="H468" s="36">
        <f>IF(D468="",0,IF(AND(B468&gt;=ThongTin!$C$9,B468&lt;=ThongTin!$C$10,COUNTIFS(ThongTin!$B$19:$B$48,C468,ThongTin!$A$19:$A$48,ThongTin!$C$8,ThongTin!$C$19:$C$48,"NHAP_NL")&gt;0),1,0))</f>
        <v>0</v>
      </c>
    </row>
    <row r="469" spans="1:8" x14ac:dyDescent="0.25">
      <c r="A469" s="41"/>
      <c r="B469" s="33"/>
      <c r="C469" s="32"/>
      <c r="D469" s="32"/>
      <c r="E469" s="37"/>
      <c r="F469" s="42"/>
      <c r="G469" s="32"/>
      <c r="H469" s="36">
        <f>IF(D469="",0,IF(AND(B469&gt;=ThongTin!$C$9,B469&lt;=ThongTin!$C$10,COUNTIFS(ThongTin!$B$19:$B$48,C469,ThongTin!$A$19:$A$48,ThongTin!$C$8,ThongTin!$C$19:$C$48,"NHAP_NL")&gt;0),1,0))</f>
        <v>0</v>
      </c>
    </row>
    <row r="470" spans="1:8" x14ac:dyDescent="0.25">
      <c r="A470" s="41"/>
      <c r="B470" s="33"/>
      <c r="C470" s="32"/>
      <c r="D470" s="32"/>
      <c r="E470" s="37"/>
      <c r="F470" s="42"/>
      <c r="G470" s="32"/>
      <c r="H470" s="36">
        <f>IF(D470="",0,IF(AND(B470&gt;=ThongTin!$C$9,B470&lt;=ThongTin!$C$10,COUNTIFS(ThongTin!$B$19:$B$48,C470,ThongTin!$A$19:$A$48,ThongTin!$C$8,ThongTin!$C$19:$C$48,"NHAP_NL")&gt;0),1,0))</f>
        <v>0</v>
      </c>
    </row>
    <row r="471" spans="1:8" x14ac:dyDescent="0.25">
      <c r="A471" s="41"/>
      <c r="B471" s="33"/>
      <c r="C471" s="32"/>
      <c r="D471" s="32"/>
      <c r="E471" s="37"/>
      <c r="F471" s="42"/>
      <c r="G471" s="32"/>
      <c r="H471" s="36">
        <f>IF(D471="",0,IF(AND(B471&gt;=ThongTin!$C$9,B471&lt;=ThongTin!$C$10,COUNTIFS(ThongTin!$B$19:$B$48,C471,ThongTin!$A$19:$A$48,ThongTin!$C$8,ThongTin!$C$19:$C$48,"NHAP_NL")&gt;0),1,0))</f>
        <v>0</v>
      </c>
    </row>
    <row r="472" spans="1:8" x14ac:dyDescent="0.25">
      <c r="A472" s="41"/>
      <c r="B472" s="33"/>
      <c r="C472" s="32"/>
      <c r="D472" s="32"/>
      <c r="E472" s="37"/>
      <c r="F472" s="42"/>
      <c r="G472" s="32"/>
      <c r="H472" s="36">
        <f>IF(D472="",0,IF(AND(B472&gt;=ThongTin!$C$9,B472&lt;=ThongTin!$C$10,COUNTIFS(ThongTin!$B$19:$B$48,C472,ThongTin!$A$19:$A$48,ThongTin!$C$8,ThongTin!$C$19:$C$48,"NHAP_NL")&gt;0),1,0))</f>
        <v>0</v>
      </c>
    </row>
    <row r="473" spans="1:8" x14ac:dyDescent="0.25">
      <c r="A473" s="41"/>
      <c r="B473" s="33"/>
      <c r="C473" s="32"/>
      <c r="D473" s="32"/>
      <c r="E473" s="37"/>
      <c r="F473" s="42"/>
      <c r="G473" s="32"/>
      <c r="H473" s="36">
        <f>IF(D473="",0,IF(AND(B473&gt;=ThongTin!$C$9,B473&lt;=ThongTin!$C$10,COUNTIFS(ThongTin!$B$19:$B$48,C473,ThongTin!$A$19:$A$48,ThongTin!$C$8,ThongTin!$C$19:$C$48,"NHAP_NL")&gt;0),1,0))</f>
        <v>0</v>
      </c>
    </row>
    <row r="474" spans="1:8" x14ac:dyDescent="0.25">
      <c r="A474" s="41"/>
      <c r="B474" s="33"/>
      <c r="C474" s="32"/>
      <c r="D474" s="32"/>
      <c r="E474" s="37"/>
      <c r="F474" s="42"/>
      <c r="G474" s="32"/>
      <c r="H474" s="36">
        <f>IF(D474="",0,IF(AND(B474&gt;=ThongTin!$C$9,B474&lt;=ThongTin!$C$10,COUNTIFS(ThongTin!$B$19:$B$48,C474,ThongTin!$A$19:$A$48,ThongTin!$C$8,ThongTin!$C$19:$C$48,"NHAP_NL")&gt;0),1,0))</f>
        <v>0</v>
      </c>
    </row>
    <row r="475" spans="1:8" x14ac:dyDescent="0.25">
      <c r="A475" s="41"/>
      <c r="B475" s="33"/>
      <c r="C475" s="32"/>
      <c r="D475" s="32"/>
      <c r="E475" s="37"/>
      <c r="F475" s="42"/>
      <c r="G475" s="32"/>
      <c r="H475" s="36">
        <f>IF(D475="",0,IF(AND(B475&gt;=ThongTin!$C$9,B475&lt;=ThongTin!$C$10,COUNTIFS(ThongTin!$B$19:$B$48,C475,ThongTin!$A$19:$A$48,ThongTin!$C$8,ThongTin!$C$19:$C$48,"NHAP_NL")&gt;0),1,0))</f>
        <v>0</v>
      </c>
    </row>
    <row r="476" spans="1:8" x14ac:dyDescent="0.25">
      <c r="A476" s="41"/>
      <c r="B476" s="33"/>
      <c r="C476" s="32"/>
      <c r="D476" s="32"/>
      <c r="E476" s="37"/>
      <c r="F476" s="42"/>
      <c r="G476" s="32"/>
      <c r="H476" s="36">
        <f>IF(D476="",0,IF(AND(B476&gt;=ThongTin!$C$9,B476&lt;=ThongTin!$C$10,COUNTIFS(ThongTin!$B$19:$B$48,C476,ThongTin!$A$19:$A$48,ThongTin!$C$8,ThongTin!$C$19:$C$48,"NHAP_NL")&gt;0),1,0))</f>
        <v>0</v>
      </c>
    </row>
    <row r="477" spans="1:8" x14ac:dyDescent="0.25">
      <c r="A477" s="41"/>
      <c r="B477" s="33"/>
      <c r="C477" s="32"/>
      <c r="D477" s="32"/>
      <c r="E477" s="37"/>
      <c r="F477" s="42"/>
      <c r="G477" s="32"/>
      <c r="H477" s="36">
        <f>IF(D477="",0,IF(AND(B477&gt;=ThongTin!$C$9,B477&lt;=ThongTin!$C$10,COUNTIFS(ThongTin!$B$19:$B$48,C477,ThongTin!$A$19:$A$48,ThongTin!$C$8,ThongTin!$C$19:$C$48,"NHAP_NL")&gt;0),1,0))</f>
        <v>0</v>
      </c>
    </row>
    <row r="478" spans="1:8" x14ac:dyDescent="0.25">
      <c r="A478" s="41"/>
      <c r="B478" s="33"/>
      <c r="C478" s="32"/>
      <c r="D478" s="32"/>
      <c r="E478" s="37"/>
      <c r="F478" s="42"/>
      <c r="G478" s="32"/>
      <c r="H478" s="36">
        <f>IF(D478="",0,IF(AND(B478&gt;=ThongTin!$C$9,B478&lt;=ThongTin!$C$10,COUNTIFS(ThongTin!$B$19:$B$48,C478,ThongTin!$A$19:$A$48,ThongTin!$C$8,ThongTin!$C$19:$C$48,"NHAP_NL")&gt;0),1,0))</f>
        <v>0</v>
      </c>
    </row>
    <row r="479" spans="1:8" x14ac:dyDescent="0.25">
      <c r="A479" s="41"/>
      <c r="B479" s="33"/>
      <c r="C479" s="32"/>
      <c r="D479" s="32"/>
      <c r="E479" s="37"/>
      <c r="F479" s="42"/>
      <c r="G479" s="32"/>
      <c r="H479" s="36">
        <f>IF(D479="",0,IF(AND(B479&gt;=ThongTin!$C$9,B479&lt;=ThongTin!$C$10,COUNTIFS(ThongTin!$B$19:$B$48,C479,ThongTin!$A$19:$A$48,ThongTin!$C$8,ThongTin!$C$19:$C$48,"NHAP_NL")&gt;0),1,0))</f>
        <v>0</v>
      </c>
    </row>
    <row r="480" spans="1:8" x14ac:dyDescent="0.25">
      <c r="A480" s="41"/>
      <c r="B480" s="33"/>
      <c r="C480" s="32"/>
      <c r="D480" s="32"/>
      <c r="E480" s="37"/>
      <c r="F480" s="42"/>
      <c r="G480" s="32"/>
      <c r="H480" s="36">
        <f>IF(D480="",0,IF(AND(B480&gt;=ThongTin!$C$9,B480&lt;=ThongTin!$C$10,COUNTIFS(ThongTin!$B$19:$B$48,C480,ThongTin!$A$19:$A$48,ThongTin!$C$8,ThongTin!$C$19:$C$48,"NHAP_NL")&gt;0),1,0))</f>
        <v>0</v>
      </c>
    </row>
    <row r="481" spans="1:8" x14ac:dyDescent="0.25">
      <c r="A481" s="41"/>
      <c r="B481" s="33"/>
      <c r="C481" s="32"/>
      <c r="D481" s="32"/>
      <c r="E481" s="37"/>
      <c r="F481" s="42"/>
      <c r="G481" s="32"/>
      <c r="H481" s="36">
        <f>IF(D481="",0,IF(AND(B481&gt;=ThongTin!$C$9,B481&lt;=ThongTin!$C$10,COUNTIFS(ThongTin!$B$19:$B$48,C481,ThongTin!$A$19:$A$48,ThongTin!$C$8,ThongTin!$C$19:$C$48,"NHAP_NL")&gt;0),1,0))</f>
        <v>0</v>
      </c>
    </row>
    <row r="482" spans="1:8" x14ac:dyDescent="0.25">
      <c r="A482" s="41"/>
      <c r="B482" s="33"/>
      <c r="C482" s="32"/>
      <c r="D482" s="32"/>
      <c r="E482" s="37"/>
      <c r="F482" s="42"/>
      <c r="G482" s="32"/>
      <c r="H482" s="36">
        <f>IF(D482="",0,IF(AND(B482&gt;=ThongTin!$C$9,B482&lt;=ThongTin!$C$10,COUNTIFS(ThongTin!$B$19:$B$48,C482,ThongTin!$A$19:$A$48,ThongTin!$C$8,ThongTin!$C$19:$C$48,"NHAP_NL")&gt;0),1,0))</f>
        <v>0</v>
      </c>
    </row>
    <row r="483" spans="1:8" x14ac:dyDescent="0.25">
      <c r="A483" s="41"/>
      <c r="B483" s="33"/>
      <c r="C483" s="32"/>
      <c r="D483" s="32"/>
      <c r="E483" s="37"/>
      <c r="F483" s="42"/>
      <c r="G483" s="32"/>
      <c r="H483" s="36">
        <f>IF(D483="",0,IF(AND(B483&gt;=ThongTin!$C$9,B483&lt;=ThongTin!$C$10,COUNTIFS(ThongTin!$B$19:$B$48,C483,ThongTin!$A$19:$A$48,ThongTin!$C$8,ThongTin!$C$19:$C$48,"NHAP_NL")&gt;0),1,0))</f>
        <v>0</v>
      </c>
    </row>
    <row r="484" spans="1:8" x14ac:dyDescent="0.25">
      <c r="A484" s="41"/>
      <c r="B484" s="33"/>
      <c r="C484" s="32"/>
      <c r="D484" s="32"/>
      <c r="E484" s="37"/>
      <c r="F484" s="42"/>
      <c r="G484" s="32"/>
      <c r="H484" s="36">
        <f>IF(D484="",0,IF(AND(B484&gt;=ThongTin!$C$9,B484&lt;=ThongTin!$C$10,COUNTIFS(ThongTin!$B$19:$B$48,C484,ThongTin!$A$19:$A$48,ThongTin!$C$8,ThongTin!$C$19:$C$48,"NHAP_NL")&gt;0),1,0))</f>
        <v>0</v>
      </c>
    </row>
    <row r="485" spans="1:8" x14ac:dyDescent="0.25">
      <c r="A485" s="41"/>
      <c r="B485" s="33"/>
      <c r="C485" s="32"/>
      <c r="D485" s="32"/>
      <c r="E485" s="37"/>
      <c r="F485" s="42"/>
      <c r="G485" s="32"/>
      <c r="H485" s="36">
        <f>IF(D485="",0,IF(AND(B485&gt;=ThongTin!$C$9,B485&lt;=ThongTin!$C$10,COUNTIFS(ThongTin!$B$19:$B$48,C485,ThongTin!$A$19:$A$48,ThongTin!$C$8,ThongTin!$C$19:$C$48,"NHAP_NL")&gt;0),1,0))</f>
        <v>0</v>
      </c>
    </row>
    <row r="486" spans="1:8" x14ac:dyDescent="0.25">
      <c r="A486" s="41"/>
      <c r="B486" s="33"/>
      <c r="C486" s="32"/>
      <c r="D486" s="32"/>
      <c r="E486" s="37"/>
      <c r="F486" s="42"/>
      <c r="G486" s="32"/>
      <c r="H486" s="36">
        <f>IF(D486="",0,IF(AND(B486&gt;=ThongTin!$C$9,B486&lt;=ThongTin!$C$10,COUNTIFS(ThongTin!$B$19:$B$48,C486,ThongTin!$A$19:$A$48,ThongTin!$C$8,ThongTin!$C$19:$C$48,"NHAP_NL")&gt;0),1,0))</f>
        <v>0</v>
      </c>
    </row>
    <row r="487" spans="1:8" x14ac:dyDescent="0.25">
      <c r="A487" s="41"/>
      <c r="B487" s="33"/>
      <c r="C487" s="32"/>
      <c r="D487" s="32"/>
      <c r="E487" s="37"/>
      <c r="F487" s="42"/>
      <c r="G487" s="32"/>
      <c r="H487" s="36">
        <f>IF(D487="",0,IF(AND(B487&gt;=ThongTin!$C$9,B487&lt;=ThongTin!$C$10,COUNTIFS(ThongTin!$B$19:$B$48,C487,ThongTin!$A$19:$A$48,ThongTin!$C$8,ThongTin!$C$19:$C$48,"NHAP_NL")&gt;0),1,0))</f>
        <v>0</v>
      </c>
    </row>
    <row r="488" spans="1:8" x14ac:dyDescent="0.25">
      <c r="A488" s="41"/>
      <c r="B488" s="33"/>
      <c r="C488" s="32"/>
      <c r="D488" s="32"/>
      <c r="E488" s="37"/>
      <c r="F488" s="42"/>
      <c r="G488" s="32"/>
      <c r="H488" s="36">
        <f>IF(D488="",0,IF(AND(B488&gt;=ThongTin!$C$9,B488&lt;=ThongTin!$C$10,COUNTIFS(ThongTin!$B$19:$B$48,C488,ThongTin!$A$19:$A$48,ThongTin!$C$8,ThongTin!$C$19:$C$48,"NHAP_NL")&gt;0),1,0))</f>
        <v>0</v>
      </c>
    </row>
    <row r="489" spans="1:8" x14ac:dyDescent="0.25">
      <c r="A489" s="41"/>
      <c r="B489" s="33"/>
      <c r="C489" s="32"/>
      <c r="D489" s="32"/>
      <c r="E489" s="37"/>
      <c r="F489" s="42"/>
      <c r="G489" s="32"/>
      <c r="H489" s="36">
        <f>IF(D489="",0,IF(AND(B489&gt;=ThongTin!$C$9,B489&lt;=ThongTin!$C$10,COUNTIFS(ThongTin!$B$19:$B$48,C489,ThongTin!$A$19:$A$48,ThongTin!$C$8,ThongTin!$C$19:$C$48,"NHAP_NL")&gt;0),1,0))</f>
        <v>0</v>
      </c>
    </row>
    <row r="490" spans="1:8" x14ac:dyDescent="0.25">
      <c r="A490" s="41"/>
      <c r="B490" s="33"/>
      <c r="C490" s="32"/>
      <c r="D490" s="32"/>
      <c r="E490" s="37"/>
      <c r="F490" s="42"/>
      <c r="G490" s="32"/>
      <c r="H490" s="36">
        <f>IF(D490="",0,IF(AND(B490&gt;=ThongTin!$C$9,B490&lt;=ThongTin!$C$10,COUNTIFS(ThongTin!$B$19:$B$48,C490,ThongTin!$A$19:$A$48,ThongTin!$C$8,ThongTin!$C$19:$C$48,"NHAP_NL")&gt;0),1,0))</f>
        <v>0</v>
      </c>
    </row>
    <row r="491" spans="1:8" x14ac:dyDescent="0.25">
      <c r="A491" s="41"/>
      <c r="B491" s="33"/>
      <c r="C491" s="32"/>
      <c r="D491" s="32"/>
      <c r="E491" s="37"/>
      <c r="F491" s="42"/>
      <c r="G491" s="32"/>
      <c r="H491" s="36">
        <f>IF(D491="",0,IF(AND(B491&gt;=ThongTin!$C$9,B491&lt;=ThongTin!$C$10,COUNTIFS(ThongTin!$B$19:$B$48,C491,ThongTin!$A$19:$A$48,ThongTin!$C$8,ThongTin!$C$19:$C$48,"NHAP_NL")&gt;0),1,0))</f>
        <v>0</v>
      </c>
    </row>
    <row r="492" spans="1:8" x14ac:dyDescent="0.25">
      <c r="A492" s="41"/>
      <c r="B492" s="33"/>
      <c r="C492" s="32"/>
      <c r="D492" s="32"/>
      <c r="E492" s="37"/>
      <c r="F492" s="42"/>
      <c r="G492" s="32"/>
      <c r="H492" s="36">
        <f>IF(D492="",0,IF(AND(B492&gt;=ThongTin!$C$9,B492&lt;=ThongTin!$C$10,COUNTIFS(ThongTin!$B$19:$B$48,C492,ThongTin!$A$19:$A$48,ThongTin!$C$8,ThongTin!$C$19:$C$48,"NHAP_NL")&gt;0),1,0))</f>
        <v>0</v>
      </c>
    </row>
    <row r="493" spans="1:8" x14ac:dyDescent="0.25">
      <c r="A493" s="41"/>
      <c r="B493" s="33"/>
      <c r="C493" s="32"/>
      <c r="D493" s="32"/>
      <c r="E493" s="37"/>
      <c r="F493" s="42"/>
      <c r="G493" s="32"/>
      <c r="H493" s="36">
        <f>IF(D493="",0,IF(AND(B493&gt;=ThongTin!$C$9,B493&lt;=ThongTin!$C$10,COUNTIFS(ThongTin!$B$19:$B$48,C493,ThongTin!$A$19:$A$48,ThongTin!$C$8,ThongTin!$C$19:$C$48,"NHAP_NL")&gt;0),1,0))</f>
        <v>0</v>
      </c>
    </row>
    <row r="494" spans="1:8" x14ac:dyDescent="0.25">
      <c r="A494" s="41"/>
      <c r="B494" s="33"/>
      <c r="C494" s="32"/>
      <c r="D494" s="32"/>
      <c r="E494" s="37"/>
      <c r="F494" s="42"/>
      <c r="G494" s="32"/>
      <c r="H494" s="36">
        <f>IF(D494="",0,IF(AND(B494&gt;=ThongTin!$C$9,B494&lt;=ThongTin!$C$10,COUNTIFS(ThongTin!$B$19:$B$48,C494,ThongTin!$A$19:$A$48,ThongTin!$C$8,ThongTin!$C$19:$C$48,"NHAP_NL")&gt;0),1,0))</f>
        <v>0</v>
      </c>
    </row>
    <row r="495" spans="1:8" x14ac:dyDescent="0.25">
      <c r="A495" s="41"/>
      <c r="B495" s="33"/>
      <c r="C495" s="32"/>
      <c r="D495" s="32"/>
      <c r="E495" s="37"/>
      <c r="F495" s="42"/>
      <c r="G495" s="32"/>
      <c r="H495" s="36">
        <f>IF(D495="",0,IF(AND(B495&gt;=ThongTin!$C$9,B495&lt;=ThongTin!$C$10,COUNTIFS(ThongTin!$B$19:$B$48,C495,ThongTin!$A$19:$A$48,ThongTin!$C$8,ThongTin!$C$19:$C$48,"NHAP_NL")&gt;0),1,0))</f>
        <v>0</v>
      </c>
    </row>
    <row r="496" spans="1:8" x14ac:dyDescent="0.25">
      <c r="A496" s="41"/>
      <c r="B496" s="33"/>
      <c r="C496" s="32"/>
      <c r="D496" s="32"/>
      <c r="E496" s="37"/>
      <c r="F496" s="42"/>
      <c r="G496" s="32"/>
      <c r="H496" s="36">
        <f>IF(D496="",0,IF(AND(B496&gt;=ThongTin!$C$9,B496&lt;=ThongTin!$C$10,COUNTIFS(ThongTin!$B$19:$B$48,C496,ThongTin!$A$19:$A$48,ThongTin!$C$8,ThongTin!$C$19:$C$48,"NHAP_NL")&gt;0),1,0))</f>
        <v>0</v>
      </c>
    </row>
    <row r="497" spans="1:8" x14ac:dyDescent="0.25">
      <c r="A497" s="41"/>
      <c r="B497" s="33"/>
      <c r="C497" s="32"/>
      <c r="D497" s="32"/>
      <c r="E497" s="37"/>
      <c r="F497" s="42"/>
      <c r="G497" s="32"/>
      <c r="H497" s="36">
        <f>IF(D497="",0,IF(AND(B497&gt;=ThongTin!$C$9,B497&lt;=ThongTin!$C$10,COUNTIFS(ThongTin!$B$19:$B$48,C497,ThongTin!$A$19:$A$48,ThongTin!$C$8,ThongTin!$C$19:$C$48,"NHAP_NL")&gt;0),1,0))</f>
        <v>0</v>
      </c>
    </row>
    <row r="498" spans="1:8" x14ac:dyDescent="0.25">
      <c r="A498" s="41"/>
      <c r="B498" s="33"/>
      <c r="C498" s="32"/>
      <c r="D498" s="32"/>
      <c r="E498" s="37"/>
      <c r="F498" s="42"/>
      <c r="G498" s="32"/>
      <c r="H498" s="36">
        <f>IF(D498="",0,IF(AND(B498&gt;=ThongTin!$C$9,B498&lt;=ThongTin!$C$10,COUNTIFS(ThongTin!$B$19:$B$48,C498,ThongTin!$A$19:$A$48,ThongTin!$C$8,ThongTin!$C$19:$C$48,"NHAP_NL")&gt;0),1,0))</f>
        <v>0</v>
      </c>
    </row>
    <row r="499" spans="1:8" x14ac:dyDescent="0.25">
      <c r="A499" s="41"/>
      <c r="B499" s="33"/>
      <c r="C499" s="32"/>
      <c r="D499" s="32"/>
      <c r="E499" s="37"/>
      <c r="F499" s="42"/>
      <c r="G499" s="32"/>
      <c r="H499" s="36">
        <f>IF(D499="",0,IF(AND(B499&gt;=ThongTin!$C$9,B499&lt;=ThongTin!$C$10,COUNTIFS(ThongTin!$B$19:$B$48,C499,ThongTin!$A$19:$A$48,ThongTin!$C$8,ThongTin!$C$19:$C$48,"NHAP_NL")&gt;0),1,0))</f>
        <v>0</v>
      </c>
    </row>
    <row r="500" spans="1:8" x14ac:dyDescent="0.25">
      <c r="A500" s="41"/>
      <c r="B500" s="33"/>
      <c r="C500" s="32"/>
      <c r="D500" s="32"/>
      <c r="E500" s="37"/>
      <c r="F500" s="42"/>
      <c r="G500" s="32"/>
      <c r="H500" s="36">
        <f>IF(D500="",0,IF(AND(B500&gt;=ThongTin!$C$9,B500&lt;=ThongTin!$C$10,COUNTIFS(ThongTin!$B$19:$B$48,C500,ThongTin!$A$19:$A$48,ThongTin!$C$8,ThongTin!$C$19:$C$48,"NHAP_NL")&gt;0),1,0))</f>
        <v>0</v>
      </c>
    </row>
    <row r="501" spans="1:8" x14ac:dyDescent="0.25">
      <c r="A501" s="41"/>
      <c r="B501" s="33"/>
      <c r="C501" s="32"/>
      <c r="D501" s="32"/>
      <c r="E501" s="37"/>
      <c r="F501" s="42"/>
      <c r="G501" s="32"/>
      <c r="H501" s="36">
        <f>IF(D501="",0,IF(AND(B501&gt;=ThongTin!$C$9,B501&lt;=ThongTin!$C$10,COUNTIFS(ThongTin!$B$19:$B$48,C501,ThongTin!$A$19:$A$48,ThongTin!$C$8,ThongTin!$C$19:$C$48,"NHAP_NL")&gt;0),1,0))</f>
        <v>0</v>
      </c>
    </row>
    <row r="502" spans="1:8" x14ac:dyDescent="0.25">
      <c r="A502" s="41"/>
      <c r="B502" s="33"/>
      <c r="C502" s="32"/>
      <c r="D502" s="32"/>
      <c r="E502" s="37"/>
      <c r="F502" s="42"/>
      <c r="G502" s="32"/>
      <c r="H502" s="36">
        <f>IF(D502="",0,IF(AND(B502&gt;=ThongTin!$C$9,B502&lt;=ThongTin!$C$10,COUNTIFS(ThongTin!$B$19:$B$48,C502,ThongTin!$A$19:$A$48,ThongTin!$C$8,ThongTin!$C$19:$C$48,"NHAP_NL")&gt;0),1,0))</f>
        <v>0</v>
      </c>
    </row>
    <row r="503" spans="1:8" x14ac:dyDescent="0.25">
      <c r="A503" s="41"/>
      <c r="B503" s="33"/>
      <c r="C503" s="32"/>
      <c r="D503" s="32"/>
      <c r="E503" s="37"/>
      <c r="F503" s="42"/>
      <c r="G503" s="32"/>
      <c r="H503" s="36">
        <f>IF(D503="",0,IF(AND(B503&gt;=ThongTin!$C$9,B503&lt;=ThongTin!$C$10,COUNTIFS(ThongTin!$B$19:$B$48,C503,ThongTin!$A$19:$A$48,ThongTin!$C$8,ThongTin!$C$19:$C$48,"NHAP_NL")&gt;0),1,0))</f>
        <v>0</v>
      </c>
    </row>
    <row r="504" spans="1:8" x14ac:dyDescent="0.25">
      <c r="A504" s="41"/>
      <c r="B504" s="33"/>
      <c r="C504" s="32"/>
      <c r="D504" s="32"/>
      <c r="E504" s="37"/>
      <c r="F504" s="42"/>
      <c r="G504" s="32"/>
      <c r="H504" s="36">
        <f>IF(D504="",0,IF(AND(B504&gt;=ThongTin!$C$9,B504&lt;=ThongTin!$C$10,COUNTIFS(ThongTin!$B$19:$B$48,C504,ThongTin!$A$19:$A$48,ThongTin!$C$8,ThongTin!$C$19:$C$48,"NHAP_NL")&gt;0),1,0))</f>
        <v>0</v>
      </c>
    </row>
    <row r="505" spans="1:8" x14ac:dyDescent="0.25">
      <c r="A505" s="41"/>
      <c r="B505" s="33"/>
      <c r="C505" s="32"/>
      <c r="D505" s="32"/>
      <c r="E505" s="37"/>
      <c r="F505" s="42"/>
      <c r="G505" s="32"/>
      <c r="H505" s="36">
        <f>IF(D505="",0,IF(AND(B505&gt;=ThongTin!$C$9,B505&lt;=ThongTin!$C$10,COUNTIFS(ThongTin!$B$19:$B$48,C505,ThongTin!$A$19:$A$48,ThongTin!$C$8,ThongTin!$C$19:$C$48,"NHAP_NL")&gt;0),1,0))</f>
        <v>0</v>
      </c>
    </row>
    <row r="506" spans="1:8" x14ac:dyDescent="0.25">
      <c r="A506" s="41"/>
      <c r="B506" s="33"/>
      <c r="C506" s="32"/>
      <c r="D506" s="32"/>
      <c r="E506" s="37"/>
      <c r="F506" s="42"/>
      <c r="G506" s="32"/>
      <c r="H506" s="36">
        <f>IF(D506="",0,IF(AND(B506&gt;=ThongTin!$C$9,B506&lt;=ThongTin!$C$10,COUNTIFS(ThongTin!$B$19:$B$48,C506,ThongTin!$A$19:$A$48,ThongTin!$C$8,ThongTin!$C$19:$C$48,"NHAP_NL")&gt;0),1,0))</f>
        <v>0</v>
      </c>
    </row>
    <row r="507" spans="1:8" x14ac:dyDescent="0.25">
      <c r="A507" s="41"/>
      <c r="B507" s="33"/>
      <c r="C507" s="32"/>
      <c r="D507" s="32"/>
      <c r="E507" s="37"/>
      <c r="F507" s="42"/>
      <c r="G507" s="32"/>
      <c r="H507" s="36">
        <f>IF(D507="",0,IF(AND(B507&gt;=ThongTin!$C$9,B507&lt;=ThongTin!$C$10,COUNTIFS(ThongTin!$B$19:$B$48,C507,ThongTin!$A$19:$A$48,ThongTin!$C$8,ThongTin!$C$19:$C$48,"NHAP_NL")&gt;0),1,0))</f>
        <v>0</v>
      </c>
    </row>
    <row r="508" spans="1:8" x14ac:dyDescent="0.25">
      <c r="A508" s="41"/>
      <c r="B508" s="33"/>
      <c r="C508" s="32"/>
      <c r="D508" s="32"/>
      <c r="E508" s="37"/>
      <c r="F508" s="42"/>
      <c r="G508" s="32"/>
      <c r="H508" s="36">
        <f>IF(D508="",0,IF(AND(B508&gt;=ThongTin!$C$9,B508&lt;=ThongTin!$C$10,COUNTIFS(ThongTin!$B$19:$B$48,C508,ThongTin!$A$19:$A$48,ThongTin!$C$8,ThongTin!$C$19:$C$48,"NHAP_NL")&gt;0),1,0))</f>
        <v>0</v>
      </c>
    </row>
    <row r="509" spans="1:8" x14ac:dyDescent="0.25">
      <c r="A509" s="41"/>
      <c r="B509" s="33"/>
      <c r="C509" s="32"/>
      <c r="D509" s="32"/>
      <c r="E509" s="37"/>
      <c r="F509" s="42"/>
      <c r="G509" s="32"/>
      <c r="H509" s="36">
        <f>IF(D509="",0,IF(AND(B509&gt;=ThongTin!$C$9,B509&lt;=ThongTin!$C$10,COUNTIFS(ThongTin!$B$19:$B$48,C509,ThongTin!$A$19:$A$48,ThongTin!$C$8,ThongTin!$C$19:$C$48,"NHAP_NL")&gt;0),1,0))</f>
        <v>0</v>
      </c>
    </row>
    <row r="510" spans="1:8" x14ac:dyDescent="0.25">
      <c r="A510" s="41"/>
      <c r="B510" s="33"/>
      <c r="C510" s="32"/>
      <c r="D510" s="32"/>
      <c r="E510" s="37"/>
      <c r="F510" s="42"/>
      <c r="G510" s="32"/>
      <c r="H510" s="36">
        <f>IF(D510="",0,IF(AND(B510&gt;=ThongTin!$C$9,B510&lt;=ThongTin!$C$10,COUNTIFS(ThongTin!$B$19:$B$48,C510,ThongTin!$A$19:$A$48,ThongTin!$C$8,ThongTin!$C$19:$C$48,"NHAP_NL")&gt;0),1,0))</f>
        <v>0</v>
      </c>
    </row>
    <row r="511" spans="1:8" x14ac:dyDescent="0.25">
      <c r="A511" s="41"/>
      <c r="B511" s="33"/>
      <c r="C511" s="32"/>
      <c r="D511" s="32"/>
      <c r="E511" s="37"/>
      <c r="F511" s="42"/>
      <c r="G511" s="32"/>
      <c r="H511" s="36">
        <f>IF(D511="",0,IF(AND(B511&gt;=ThongTin!$C$9,B511&lt;=ThongTin!$C$10,COUNTIFS(ThongTin!$B$19:$B$48,C511,ThongTin!$A$19:$A$48,ThongTin!$C$8,ThongTin!$C$19:$C$48,"NHAP_NL")&gt;0),1,0))</f>
        <v>0</v>
      </c>
    </row>
    <row r="512" spans="1:8" x14ac:dyDescent="0.25">
      <c r="A512" s="41"/>
      <c r="B512" s="33"/>
      <c r="C512" s="32"/>
      <c r="D512" s="32"/>
      <c r="E512" s="37"/>
      <c r="F512" s="42"/>
      <c r="G512" s="32"/>
      <c r="H512" s="36">
        <f>IF(D512="",0,IF(AND(B512&gt;=ThongTin!$C$9,B512&lt;=ThongTin!$C$10,COUNTIFS(ThongTin!$B$19:$B$48,C512,ThongTin!$A$19:$A$48,ThongTin!$C$8,ThongTin!$C$19:$C$48,"NHAP_NL")&gt;0),1,0))</f>
        <v>0</v>
      </c>
    </row>
    <row r="513" spans="1:8" x14ac:dyDescent="0.25">
      <c r="A513" s="41"/>
      <c r="B513" s="33"/>
      <c r="C513" s="32"/>
      <c r="D513" s="32"/>
      <c r="E513" s="37"/>
      <c r="F513" s="42"/>
      <c r="G513" s="32"/>
      <c r="H513" s="36">
        <f>IF(D513="",0,IF(AND(B513&gt;=ThongTin!$C$9,B513&lt;=ThongTin!$C$10,COUNTIFS(ThongTin!$B$19:$B$48,C513,ThongTin!$A$19:$A$48,ThongTin!$C$8,ThongTin!$C$19:$C$48,"NHAP_NL")&gt;0),1,0))</f>
        <v>0</v>
      </c>
    </row>
    <row r="514" spans="1:8" x14ac:dyDescent="0.25">
      <c r="A514" s="41"/>
      <c r="B514" s="33"/>
      <c r="C514" s="32"/>
      <c r="D514" s="32"/>
      <c r="E514" s="37"/>
      <c r="F514" s="42"/>
      <c r="G514" s="32"/>
      <c r="H514" s="36">
        <f>IF(D514="",0,IF(AND(B514&gt;=ThongTin!$C$9,B514&lt;=ThongTin!$C$10,COUNTIFS(ThongTin!$B$19:$B$48,C514,ThongTin!$A$19:$A$48,ThongTin!$C$8,ThongTin!$C$19:$C$48,"NHAP_NL")&gt;0),1,0))</f>
        <v>0</v>
      </c>
    </row>
    <row r="515" spans="1:8" x14ac:dyDescent="0.25">
      <c r="A515" s="41"/>
      <c r="B515" s="33"/>
      <c r="C515" s="32"/>
      <c r="D515" s="32"/>
      <c r="E515" s="37"/>
      <c r="F515" s="42"/>
      <c r="G515" s="32"/>
      <c r="H515" s="36">
        <f>IF(D515="",0,IF(AND(B515&gt;=ThongTin!$C$9,B515&lt;=ThongTin!$C$10,COUNTIFS(ThongTin!$B$19:$B$48,C515,ThongTin!$A$19:$A$48,ThongTin!$C$8,ThongTin!$C$19:$C$48,"NHAP_NL")&gt;0),1,0))</f>
        <v>0</v>
      </c>
    </row>
    <row r="516" spans="1:8" x14ac:dyDescent="0.25">
      <c r="A516" s="41"/>
      <c r="B516" s="33"/>
      <c r="C516" s="32"/>
      <c r="D516" s="32"/>
      <c r="E516" s="37"/>
      <c r="F516" s="42"/>
      <c r="G516" s="32"/>
      <c r="H516" s="36">
        <f>IF(D516="",0,IF(AND(B516&gt;=ThongTin!$C$9,B516&lt;=ThongTin!$C$10,COUNTIFS(ThongTin!$B$19:$B$48,C516,ThongTin!$A$19:$A$48,ThongTin!$C$8,ThongTin!$C$19:$C$48,"NHAP_NL")&gt;0),1,0))</f>
        <v>0</v>
      </c>
    </row>
    <row r="517" spans="1:8" x14ac:dyDescent="0.25">
      <c r="A517" s="41"/>
      <c r="B517" s="33"/>
      <c r="C517" s="32"/>
      <c r="D517" s="32"/>
      <c r="E517" s="37"/>
      <c r="F517" s="42"/>
      <c r="G517" s="32"/>
      <c r="H517" s="36">
        <f>IF(D517="",0,IF(AND(B517&gt;=ThongTin!$C$9,B517&lt;=ThongTin!$C$10,COUNTIFS(ThongTin!$B$19:$B$48,C517,ThongTin!$A$19:$A$48,ThongTin!$C$8,ThongTin!$C$19:$C$48,"NHAP_NL")&gt;0),1,0))</f>
        <v>0</v>
      </c>
    </row>
    <row r="518" spans="1:8" x14ac:dyDescent="0.25">
      <c r="A518" s="41"/>
      <c r="B518" s="33"/>
      <c r="C518" s="32"/>
      <c r="D518" s="32"/>
      <c r="E518" s="37"/>
      <c r="F518" s="42"/>
      <c r="G518" s="32"/>
      <c r="H518" s="36">
        <f>IF(D518="",0,IF(AND(B518&gt;=ThongTin!$C$9,B518&lt;=ThongTin!$C$10,COUNTIFS(ThongTin!$B$19:$B$48,C518,ThongTin!$A$19:$A$48,ThongTin!$C$8,ThongTin!$C$19:$C$48,"NHAP_NL")&gt;0),1,0))</f>
        <v>0</v>
      </c>
    </row>
    <row r="519" spans="1:8" x14ac:dyDescent="0.25">
      <c r="A519" s="41"/>
      <c r="B519" s="33"/>
      <c r="C519" s="32"/>
      <c r="D519" s="32"/>
      <c r="E519" s="37"/>
      <c r="F519" s="42"/>
      <c r="G519" s="32"/>
      <c r="H519" s="36">
        <f>IF(D519="",0,IF(AND(B519&gt;=ThongTin!$C$9,B519&lt;=ThongTin!$C$10,COUNTIFS(ThongTin!$B$19:$B$48,C519,ThongTin!$A$19:$A$48,ThongTin!$C$8,ThongTin!$C$19:$C$48,"NHAP_NL")&gt;0),1,0))</f>
        <v>0</v>
      </c>
    </row>
    <row r="520" spans="1:8" x14ac:dyDescent="0.25">
      <c r="A520" s="41"/>
      <c r="B520" s="33"/>
      <c r="C520" s="32"/>
      <c r="D520" s="32"/>
      <c r="E520" s="37"/>
      <c r="F520" s="42"/>
      <c r="G520" s="32"/>
      <c r="H520" s="36">
        <f>IF(D520="",0,IF(AND(B520&gt;=ThongTin!$C$9,B520&lt;=ThongTin!$C$10,COUNTIFS(ThongTin!$B$19:$B$48,C520,ThongTin!$A$19:$A$48,ThongTin!$C$8,ThongTin!$C$19:$C$48,"NHAP_NL")&gt;0),1,0))</f>
        <v>0</v>
      </c>
    </row>
    <row r="521" spans="1:8" x14ac:dyDescent="0.25">
      <c r="A521" s="41"/>
      <c r="B521" s="33"/>
      <c r="C521" s="32"/>
      <c r="D521" s="32"/>
      <c r="E521" s="37"/>
      <c r="F521" s="42"/>
      <c r="G521" s="32"/>
      <c r="H521" s="36">
        <f>IF(D521="",0,IF(AND(B521&gt;=ThongTin!$C$9,B521&lt;=ThongTin!$C$10,COUNTIFS(ThongTin!$B$19:$B$48,C521,ThongTin!$A$19:$A$48,ThongTin!$C$8,ThongTin!$C$19:$C$48,"NHAP_NL")&gt;0),1,0))</f>
        <v>0</v>
      </c>
    </row>
    <row r="522" spans="1:8" x14ac:dyDescent="0.25">
      <c r="A522" s="41"/>
      <c r="B522" s="33"/>
      <c r="C522" s="32"/>
      <c r="D522" s="32"/>
      <c r="E522" s="37"/>
      <c r="F522" s="42"/>
      <c r="G522" s="32"/>
      <c r="H522" s="36">
        <f>IF(D522="",0,IF(AND(B522&gt;=ThongTin!$C$9,B522&lt;=ThongTin!$C$10,COUNTIFS(ThongTin!$B$19:$B$48,C522,ThongTin!$A$19:$A$48,ThongTin!$C$8,ThongTin!$C$19:$C$48,"NHAP_NL")&gt;0),1,0))</f>
        <v>0</v>
      </c>
    </row>
    <row r="523" spans="1:8" x14ac:dyDescent="0.25">
      <c r="A523" s="41"/>
      <c r="B523" s="33"/>
      <c r="C523" s="32"/>
      <c r="D523" s="32"/>
      <c r="E523" s="37"/>
      <c r="F523" s="42"/>
      <c r="G523" s="32"/>
      <c r="H523" s="36">
        <f>IF(D523="",0,IF(AND(B523&gt;=ThongTin!$C$9,B523&lt;=ThongTin!$C$10,COUNTIFS(ThongTin!$B$19:$B$48,C523,ThongTin!$A$19:$A$48,ThongTin!$C$8,ThongTin!$C$19:$C$48,"NHAP_NL")&gt;0),1,0))</f>
        <v>0</v>
      </c>
    </row>
    <row r="524" spans="1:8" x14ac:dyDescent="0.25">
      <c r="A524" s="41"/>
      <c r="B524" s="33"/>
      <c r="C524" s="32"/>
      <c r="D524" s="32"/>
      <c r="E524" s="37"/>
      <c r="F524" s="42"/>
      <c r="G524" s="32"/>
      <c r="H524" s="36">
        <f>IF(D524="",0,IF(AND(B524&gt;=ThongTin!$C$9,B524&lt;=ThongTin!$C$10,COUNTIFS(ThongTin!$B$19:$B$48,C524,ThongTin!$A$19:$A$48,ThongTin!$C$8,ThongTin!$C$19:$C$48,"NHAP_NL")&gt;0),1,0))</f>
        <v>0</v>
      </c>
    </row>
    <row r="525" spans="1:8" x14ac:dyDescent="0.25">
      <c r="A525" s="41"/>
      <c r="B525" s="33"/>
      <c r="C525" s="32"/>
      <c r="D525" s="32"/>
      <c r="E525" s="37"/>
      <c r="F525" s="42"/>
      <c r="G525" s="32"/>
      <c r="H525" s="36">
        <f>IF(D525="",0,IF(AND(B525&gt;=ThongTin!$C$9,B525&lt;=ThongTin!$C$10,COUNTIFS(ThongTin!$B$19:$B$48,C525,ThongTin!$A$19:$A$48,ThongTin!$C$8,ThongTin!$C$19:$C$48,"NHAP_NL")&gt;0),1,0))</f>
        <v>0</v>
      </c>
    </row>
    <row r="526" spans="1:8" x14ac:dyDescent="0.25">
      <c r="A526" s="41"/>
      <c r="B526" s="33"/>
      <c r="C526" s="32"/>
      <c r="D526" s="32"/>
      <c r="E526" s="37"/>
      <c r="F526" s="42"/>
      <c r="G526" s="32"/>
      <c r="H526" s="36">
        <f>IF(D526="",0,IF(AND(B526&gt;=ThongTin!$C$9,B526&lt;=ThongTin!$C$10,COUNTIFS(ThongTin!$B$19:$B$48,C526,ThongTin!$A$19:$A$48,ThongTin!$C$8,ThongTin!$C$19:$C$48,"NHAP_NL")&gt;0),1,0))</f>
        <v>0</v>
      </c>
    </row>
    <row r="527" spans="1:8" x14ac:dyDescent="0.25">
      <c r="A527" s="41"/>
      <c r="B527" s="33"/>
      <c r="C527" s="32"/>
      <c r="D527" s="32"/>
      <c r="E527" s="37"/>
      <c r="F527" s="42"/>
      <c r="G527" s="32"/>
      <c r="H527" s="36">
        <f>IF(D527="",0,IF(AND(B527&gt;=ThongTin!$C$9,B527&lt;=ThongTin!$C$10,COUNTIFS(ThongTin!$B$19:$B$48,C527,ThongTin!$A$19:$A$48,ThongTin!$C$8,ThongTin!$C$19:$C$48,"NHAP_NL")&gt;0),1,0))</f>
        <v>0</v>
      </c>
    </row>
    <row r="528" spans="1:8" x14ac:dyDescent="0.25">
      <c r="A528" s="41"/>
      <c r="B528" s="33"/>
      <c r="C528" s="32"/>
      <c r="D528" s="32"/>
      <c r="E528" s="37"/>
      <c r="F528" s="42"/>
      <c r="G528" s="32"/>
      <c r="H528" s="36">
        <f>IF(D528="",0,IF(AND(B528&gt;=ThongTin!$C$9,B528&lt;=ThongTin!$C$10,COUNTIFS(ThongTin!$B$19:$B$48,C528,ThongTin!$A$19:$A$48,ThongTin!$C$8,ThongTin!$C$19:$C$48,"NHAP_NL")&gt;0),1,0))</f>
        <v>0</v>
      </c>
    </row>
    <row r="529" spans="1:8" x14ac:dyDescent="0.25">
      <c r="A529" s="41"/>
      <c r="B529" s="33"/>
      <c r="C529" s="32"/>
      <c r="D529" s="32"/>
      <c r="E529" s="37"/>
      <c r="F529" s="42"/>
      <c r="G529" s="32"/>
      <c r="H529" s="36">
        <f>IF(D529="",0,IF(AND(B529&gt;=ThongTin!$C$9,B529&lt;=ThongTin!$C$10,COUNTIFS(ThongTin!$B$19:$B$48,C529,ThongTin!$A$19:$A$48,ThongTin!$C$8,ThongTin!$C$19:$C$48,"NHAP_NL")&gt;0),1,0))</f>
        <v>0</v>
      </c>
    </row>
    <row r="530" spans="1:8" x14ac:dyDescent="0.25">
      <c r="A530" s="41"/>
      <c r="B530" s="33"/>
      <c r="C530" s="32"/>
      <c r="D530" s="32"/>
      <c r="E530" s="37"/>
      <c r="F530" s="42"/>
      <c r="G530" s="32"/>
      <c r="H530" s="36">
        <f>IF(D530="",0,IF(AND(B530&gt;=ThongTin!$C$9,B530&lt;=ThongTin!$C$10,COUNTIFS(ThongTin!$B$19:$B$48,C530,ThongTin!$A$19:$A$48,ThongTin!$C$8,ThongTin!$C$19:$C$48,"NHAP_NL")&gt;0),1,0))</f>
        <v>0</v>
      </c>
    </row>
    <row r="531" spans="1:8" x14ac:dyDescent="0.25">
      <c r="A531" s="41"/>
      <c r="B531" s="33"/>
      <c r="C531" s="32"/>
      <c r="D531" s="32"/>
      <c r="E531" s="37"/>
      <c r="F531" s="42"/>
      <c r="G531" s="32"/>
      <c r="H531" s="36">
        <f>IF(D531="",0,IF(AND(B531&gt;=ThongTin!$C$9,B531&lt;=ThongTin!$C$10,COUNTIFS(ThongTin!$B$19:$B$48,C531,ThongTin!$A$19:$A$48,ThongTin!$C$8,ThongTin!$C$19:$C$48,"NHAP_NL")&gt;0),1,0))</f>
        <v>0</v>
      </c>
    </row>
    <row r="532" spans="1:8" x14ac:dyDescent="0.25">
      <c r="A532" s="41"/>
      <c r="B532" s="33"/>
      <c r="C532" s="32"/>
      <c r="D532" s="32"/>
      <c r="E532" s="37"/>
      <c r="F532" s="42"/>
      <c r="G532" s="32"/>
      <c r="H532" s="36">
        <f>IF(D532="",0,IF(AND(B532&gt;=ThongTin!$C$9,B532&lt;=ThongTin!$C$10,COUNTIFS(ThongTin!$B$19:$B$48,C532,ThongTin!$A$19:$A$48,ThongTin!$C$8,ThongTin!$C$19:$C$48,"NHAP_NL")&gt;0),1,0))</f>
        <v>0</v>
      </c>
    </row>
    <row r="533" spans="1:8" x14ac:dyDescent="0.25">
      <c r="A533" s="41"/>
      <c r="B533" s="33"/>
      <c r="C533" s="32"/>
      <c r="D533" s="32"/>
      <c r="E533" s="37"/>
      <c r="F533" s="42"/>
      <c r="G533" s="32"/>
      <c r="H533" s="36">
        <f>IF(D533="",0,IF(AND(B533&gt;=ThongTin!$C$9,B533&lt;=ThongTin!$C$10,COUNTIFS(ThongTin!$B$19:$B$48,C533,ThongTin!$A$19:$A$48,ThongTin!$C$8,ThongTin!$C$19:$C$48,"NHAP_NL")&gt;0),1,0))</f>
        <v>0</v>
      </c>
    </row>
    <row r="534" spans="1:8" x14ac:dyDescent="0.25">
      <c r="A534" s="41"/>
      <c r="B534" s="33"/>
      <c r="C534" s="32"/>
      <c r="D534" s="32"/>
      <c r="E534" s="37"/>
      <c r="F534" s="42"/>
      <c r="G534" s="32"/>
      <c r="H534" s="36">
        <f>IF(D534="",0,IF(AND(B534&gt;=ThongTin!$C$9,B534&lt;=ThongTin!$C$10,COUNTIFS(ThongTin!$B$19:$B$48,C534,ThongTin!$A$19:$A$48,ThongTin!$C$8,ThongTin!$C$19:$C$48,"NHAP_NL")&gt;0),1,0))</f>
        <v>0</v>
      </c>
    </row>
    <row r="535" spans="1:8" x14ac:dyDescent="0.25">
      <c r="A535" s="41"/>
      <c r="B535" s="33"/>
      <c r="C535" s="32"/>
      <c r="D535" s="32"/>
      <c r="E535" s="37"/>
      <c r="F535" s="42"/>
      <c r="G535" s="32"/>
      <c r="H535" s="36">
        <f>IF(D535="",0,IF(AND(B535&gt;=ThongTin!$C$9,B535&lt;=ThongTin!$C$10,COUNTIFS(ThongTin!$B$19:$B$48,C535,ThongTin!$A$19:$A$48,ThongTin!$C$8,ThongTin!$C$19:$C$48,"NHAP_NL")&gt;0),1,0))</f>
        <v>0</v>
      </c>
    </row>
    <row r="536" spans="1:8" x14ac:dyDescent="0.25">
      <c r="A536" s="41"/>
      <c r="B536" s="33"/>
      <c r="C536" s="32"/>
      <c r="D536" s="32"/>
      <c r="E536" s="37"/>
      <c r="F536" s="42"/>
      <c r="G536" s="32"/>
      <c r="H536" s="36">
        <f>IF(D536="",0,IF(AND(B536&gt;=ThongTin!$C$9,B536&lt;=ThongTin!$C$10,COUNTIFS(ThongTin!$B$19:$B$48,C536,ThongTin!$A$19:$A$48,ThongTin!$C$8,ThongTin!$C$19:$C$48,"NHAP_NL")&gt;0),1,0))</f>
        <v>0</v>
      </c>
    </row>
    <row r="537" spans="1:8" x14ac:dyDescent="0.25">
      <c r="A537" s="41"/>
      <c r="B537" s="33"/>
      <c r="C537" s="32"/>
      <c r="D537" s="32"/>
      <c r="E537" s="37"/>
      <c r="F537" s="42"/>
      <c r="G537" s="32"/>
      <c r="H537" s="36">
        <f>IF(D537="",0,IF(AND(B537&gt;=ThongTin!$C$9,B537&lt;=ThongTin!$C$10,COUNTIFS(ThongTin!$B$19:$B$48,C537,ThongTin!$A$19:$A$48,ThongTin!$C$8,ThongTin!$C$19:$C$48,"NHAP_NL")&gt;0),1,0))</f>
        <v>0</v>
      </c>
    </row>
    <row r="538" spans="1:8" x14ac:dyDescent="0.25">
      <c r="A538" s="41"/>
      <c r="B538" s="33"/>
      <c r="C538" s="32"/>
      <c r="D538" s="32"/>
      <c r="E538" s="37"/>
      <c r="F538" s="42"/>
      <c r="G538" s="32"/>
      <c r="H538" s="36">
        <f>IF(D538="",0,IF(AND(B538&gt;=ThongTin!$C$9,B538&lt;=ThongTin!$C$10,COUNTIFS(ThongTin!$B$19:$B$48,C538,ThongTin!$A$19:$A$48,ThongTin!$C$8,ThongTin!$C$19:$C$48,"NHAP_NL")&gt;0),1,0))</f>
        <v>0</v>
      </c>
    </row>
    <row r="539" spans="1:8" x14ac:dyDescent="0.25">
      <c r="A539" s="41"/>
      <c r="B539" s="33"/>
      <c r="C539" s="32"/>
      <c r="D539" s="32"/>
      <c r="E539" s="37"/>
      <c r="F539" s="42"/>
      <c r="G539" s="32"/>
      <c r="H539" s="36">
        <f>IF(D539="",0,IF(AND(B539&gt;=ThongTin!$C$9,B539&lt;=ThongTin!$C$10,COUNTIFS(ThongTin!$B$19:$B$48,C539,ThongTin!$A$19:$A$48,ThongTin!$C$8,ThongTin!$C$19:$C$48,"NHAP_NL")&gt;0),1,0))</f>
        <v>0</v>
      </c>
    </row>
    <row r="540" spans="1:8" x14ac:dyDescent="0.25">
      <c r="A540" s="41"/>
      <c r="B540" s="33"/>
      <c r="C540" s="32"/>
      <c r="D540" s="32"/>
      <c r="E540" s="37"/>
      <c r="F540" s="42"/>
      <c r="G540" s="32"/>
      <c r="H540" s="36">
        <f>IF(D540="",0,IF(AND(B540&gt;=ThongTin!$C$9,B540&lt;=ThongTin!$C$10,COUNTIFS(ThongTin!$B$19:$B$48,C540,ThongTin!$A$19:$A$48,ThongTin!$C$8,ThongTin!$C$19:$C$48,"NHAP_NL")&gt;0),1,0))</f>
        <v>0</v>
      </c>
    </row>
    <row r="541" spans="1:8" x14ac:dyDescent="0.25">
      <c r="A541" s="41"/>
      <c r="B541" s="33"/>
      <c r="C541" s="32"/>
      <c r="D541" s="32"/>
      <c r="E541" s="37"/>
      <c r="F541" s="42"/>
      <c r="G541" s="32"/>
      <c r="H541" s="36">
        <f>IF(D541="",0,IF(AND(B541&gt;=ThongTin!$C$9,B541&lt;=ThongTin!$C$10,COUNTIFS(ThongTin!$B$19:$B$48,C541,ThongTin!$A$19:$A$48,ThongTin!$C$8,ThongTin!$C$19:$C$48,"NHAP_NL")&gt;0),1,0))</f>
        <v>0</v>
      </c>
    </row>
    <row r="542" spans="1:8" x14ac:dyDescent="0.25">
      <c r="A542" s="41"/>
      <c r="B542" s="33"/>
      <c r="C542" s="32"/>
      <c r="D542" s="32"/>
      <c r="E542" s="37"/>
      <c r="F542" s="42"/>
      <c r="G542" s="32"/>
      <c r="H542" s="36">
        <f>IF(D542="",0,IF(AND(B542&gt;=ThongTin!$C$9,B542&lt;=ThongTin!$C$10,COUNTIFS(ThongTin!$B$19:$B$48,C542,ThongTin!$A$19:$A$48,ThongTin!$C$8,ThongTin!$C$19:$C$48,"NHAP_NL")&gt;0),1,0))</f>
        <v>0</v>
      </c>
    </row>
    <row r="543" spans="1:8" x14ac:dyDescent="0.25">
      <c r="A543" s="41"/>
      <c r="B543" s="33"/>
      <c r="C543" s="32"/>
      <c r="D543" s="32"/>
      <c r="E543" s="37"/>
      <c r="F543" s="42"/>
      <c r="G543" s="32"/>
      <c r="H543" s="36">
        <f>IF(D543="",0,IF(AND(B543&gt;=ThongTin!$C$9,B543&lt;=ThongTin!$C$10,COUNTIFS(ThongTin!$B$19:$B$48,C543,ThongTin!$A$19:$A$48,ThongTin!$C$8,ThongTin!$C$19:$C$48,"NHAP_NL")&gt;0),1,0))</f>
        <v>0</v>
      </c>
    </row>
    <row r="544" spans="1:8" x14ac:dyDescent="0.25">
      <c r="A544" s="41"/>
      <c r="B544" s="33"/>
      <c r="C544" s="32"/>
      <c r="D544" s="32"/>
      <c r="E544" s="37"/>
      <c r="F544" s="42"/>
      <c r="G544" s="32"/>
      <c r="H544" s="36">
        <f>IF(D544="",0,IF(AND(B544&gt;=ThongTin!$C$9,B544&lt;=ThongTin!$C$10,COUNTIFS(ThongTin!$B$19:$B$48,C544,ThongTin!$A$19:$A$48,ThongTin!$C$8,ThongTin!$C$19:$C$48,"NHAP_NL")&gt;0),1,0))</f>
        <v>0</v>
      </c>
    </row>
    <row r="545" spans="1:8" x14ac:dyDescent="0.25">
      <c r="A545" s="41"/>
      <c r="B545" s="33"/>
      <c r="C545" s="32"/>
      <c r="D545" s="32"/>
      <c r="E545" s="37"/>
      <c r="F545" s="42"/>
      <c r="G545" s="32"/>
      <c r="H545" s="36">
        <f>IF(D545="",0,IF(AND(B545&gt;=ThongTin!$C$9,B545&lt;=ThongTin!$C$10,COUNTIFS(ThongTin!$B$19:$B$48,C545,ThongTin!$A$19:$A$48,ThongTin!$C$8,ThongTin!$C$19:$C$48,"NHAP_NL")&gt;0),1,0))</f>
        <v>0</v>
      </c>
    </row>
    <row r="546" spans="1:8" x14ac:dyDescent="0.25">
      <c r="A546" s="41"/>
      <c r="B546" s="33"/>
      <c r="C546" s="32"/>
      <c r="D546" s="32"/>
      <c r="E546" s="37"/>
      <c r="F546" s="42"/>
      <c r="G546" s="32"/>
      <c r="H546" s="36">
        <f>IF(D546="",0,IF(AND(B546&gt;=ThongTin!$C$9,B546&lt;=ThongTin!$C$10,COUNTIFS(ThongTin!$B$19:$B$48,C546,ThongTin!$A$19:$A$48,ThongTin!$C$8,ThongTin!$C$19:$C$48,"NHAP_NL")&gt;0),1,0))</f>
        <v>0</v>
      </c>
    </row>
    <row r="547" spans="1:8" x14ac:dyDescent="0.25">
      <c r="A547" s="41"/>
      <c r="B547" s="33"/>
      <c r="C547" s="32"/>
      <c r="D547" s="32"/>
      <c r="E547" s="37"/>
      <c r="F547" s="42"/>
      <c r="G547" s="32"/>
      <c r="H547" s="36">
        <f>IF(D547="",0,IF(AND(B547&gt;=ThongTin!$C$9,B547&lt;=ThongTin!$C$10,COUNTIFS(ThongTin!$B$19:$B$48,C547,ThongTin!$A$19:$A$48,ThongTin!$C$8,ThongTin!$C$19:$C$48,"NHAP_NL")&gt;0),1,0))</f>
        <v>0</v>
      </c>
    </row>
    <row r="548" spans="1:8" x14ac:dyDescent="0.25">
      <c r="A548" s="41"/>
      <c r="B548" s="33"/>
      <c r="C548" s="32"/>
      <c r="D548" s="32"/>
      <c r="E548" s="37"/>
      <c r="F548" s="42"/>
      <c r="G548" s="32"/>
      <c r="H548" s="36">
        <f>IF(D548="",0,IF(AND(B548&gt;=ThongTin!$C$9,B548&lt;=ThongTin!$C$10,COUNTIFS(ThongTin!$B$19:$B$48,C548,ThongTin!$A$19:$A$48,ThongTin!$C$8,ThongTin!$C$19:$C$48,"NHAP_NL")&gt;0),1,0))</f>
        <v>0</v>
      </c>
    </row>
    <row r="549" spans="1:8" x14ac:dyDescent="0.25">
      <c r="A549" s="41"/>
      <c r="B549" s="33"/>
      <c r="C549" s="32"/>
      <c r="D549" s="32"/>
      <c r="E549" s="37"/>
      <c r="F549" s="42"/>
      <c r="G549" s="32"/>
      <c r="H549" s="36">
        <f>IF(D549="",0,IF(AND(B549&gt;=ThongTin!$C$9,B549&lt;=ThongTin!$C$10,COUNTIFS(ThongTin!$B$19:$B$48,C549,ThongTin!$A$19:$A$48,ThongTin!$C$8,ThongTin!$C$19:$C$48,"NHAP_NL")&gt;0),1,0))</f>
        <v>0</v>
      </c>
    </row>
    <row r="550" spans="1:8" x14ac:dyDescent="0.25">
      <c r="A550" s="41"/>
      <c r="B550" s="33"/>
      <c r="C550" s="32"/>
      <c r="D550" s="32"/>
      <c r="E550" s="37"/>
      <c r="F550" s="42"/>
      <c r="G550" s="32"/>
      <c r="H550" s="36">
        <f>IF(D550="",0,IF(AND(B550&gt;=ThongTin!$C$9,B550&lt;=ThongTin!$C$10,COUNTIFS(ThongTin!$B$19:$B$48,C550,ThongTin!$A$19:$A$48,ThongTin!$C$8,ThongTin!$C$19:$C$48,"NHAP_NL")&gt;0),1,0))</f>
        <v>0</v>
      </c>
    </row>
    <row r="551" spans="1:8" x14ac:dyDescent="0.25">
      <c r="A551" s="41"/>
      <c r="B551" s="33"/>
      <c r="C551" s="32"/>
      <c r="D551" s="32"/>
      <c r="E551" s="37"/>
      <c r="F551" s="42"/>
      <c r="G551" s="32"/>
      <c r="H551" s="36">
        <f>IF(D551="",0,IF(AND(B551&gt;=ThongTin!$C$9,B551&lt;=ThongTin!$C$10,COUNTIFS(ThongTin!$B$19:$B$48,C551,ThongTin!$A$19:$A$48,ThongTin!$C$8,ThongTin!$C$19:$C$48,"NHAP_NL")&gt;0),1,0))</f>
        <v>0</v>
      </c>
    </row>
    <row r="552" spans="1:8" x14ac:dyDescent="0.25">
      <c r="A552" s="41"/>
      <c r="B552" s="33"/>
      <c r="C552" s="32"/>
      <c r="D552" s="32"/>
      <c r="E552" s="37"/>
      <c r="F552" s="42"/>
      <c r="G552" s="32"/>
      <c r="H552" s="36">
        <f>IF(D552="",0,IF(AND(B552&gt;=ThongTin!$C$9,B552&lt;=ThongTin!$C$10,COUNTIFS(ThongTin!$B$19:$B$48,C552,ThongTin!$A$19:$A$48,ThongTin!$C$8,ThongTin!$C$19:$C$48,"NHAP_NL")&gt;0),1,0))</f>
        <v>0</v>
      </c>
    </row>
    <row r="553" spans="1:8" x14ac:dyDescent="0.25">
      <c r="A553" s="41"/>
      <c r="B553" s="33"/>
      <c r="C553" s="32"/>
      <c r="D553" s="32"/>
      <c r="E553" s="37"/>
      <c r="F553" s="42"/>
      <c r="G553" s="32"/>
      <c r="H553" s="36">
        <f>IF(D553="",0,IF(AND(B553&gt;=ThongTin!$C$9,B553&lt;=ThongTin!$C$10,COUNTIFS(ThongTin!$B$19:$B$48,C553,ThongTin!$A$19:$A$48,ThongTin!$C$8,ThongTin!$C$19:$C$48,"NHAP_NL")&gt;0),1,0))</f>
        <v>0</v>
      </c>
    </row>
    <row r="554" spans="1:8" x14ac:dyDescent="0.25">
      <c r="A554" s="41"/>
      <c r="B554" s="33"/>
      <c r="C554" s="32"/>
      <c r="D554" s="32"/>
      <c r="E554" s="37"/>
      <c r="F554" s="42"/>
      <c r="G554" s="32"/>
      <c r="H554" s="36">
        <f>IF(D554="",0,IF(AND(B554&gt;=ThongTin!$C$9,B554&lt;=ThongTin!$C$10,COUNTIFS(ThongTin!$B$19:$B$48,C554,ThongTin!$A$19:$A$48,ThongTin!$C$8,ThongTin!$C$19:$C$48,"NHAP_NL")&gt;0),1,0))</f>
        <v>0</v>
      </c>
    </row>
    <row r="555" spans="1:8" x14ac:dyDescent="0.25">
      <c r="A555" s="41"/>
      <c r="B555" s="33"/>
      <c r="C555" s="32"/>
      <c r="D555" s="32"/>
      <c r="E555" s="37"/>
      <c r="F555" s="42"/>
      <c r="G555" s="32"/>
      <c r="H555" s="36">
        <f>IF(D555="",0,IF(AND(B555&gt;=ThongTin!$C$9,B555&lt;=ThongTin!$C$10,COUNTIFS(ThongTin!$B$19:$B$48,C555,ThongTin!$A$19:$A$48,ThongTin!$C$8,ThongTin!$C$19:$C$48,"NHAP_NL")&gt;0),1,0))</f>
        <v>0</v>
      </c>
    </row>
    <row r="556" spans="1:8" x14ac:dyDescent="0.25">
      <c r="A556" s="41"/>
      <c r="B556" s="33"/>
      <c r="C556" s="32"/>
      <c r="D556" s="32"/>
      <c r="E556" s="37"/>
      <c r="F556" s="42"/>
      <c r="G556" s="32"/>
      <c r="H556" s="36">
        <f>IF(D556="",0,IF(AND(B556&gt;=ThongTin!$C$9,B556&lt;=ThongTin!$C$10,COUNTIFS(ThongTin!$B$19:$B$48,C556,ThongTin!$A$19:$A$48,ThongTin!$C$8,ThongTin!$C$19:$C$48,"NHAP_NL")&gt;0),1,0))</f>
        <v>0</v>
      </c>
    </row>
    <row r="557" spans="1:8" x14ac:dyDescent="0.25">
      <c r="A557" s="41"/>
      <c r="B557" s="33"/>
      <c r="C557" s="32"/>
      <c r="D557" s="32"/>
      <c r="E557" s="37"/>
      <c r="F557" s="42"/>
      <c r="G557" s="32"/>
      <c r="H557" s="36">
        <f>IF(D557="",0,IF(AND(B557&gt;=ThongTin!$C$9,B557&lt;=ThongTin!$C$10,COUNTIFS(ThongTin!$B$19:$B$48,C557,ThongTin!$A$19:$A$48,ThongTin!$C$8,ThongTin!$C$19:$C$48,"NHAP_NL")&gt;0),1,0))</f>
        <v>0</v>
      </c>
    </row>
    <row r="558" spans="1:8" x14ac:dyDescent="0.25">
      <c r="A558" s="41"/>
      <c r="B558" s="33"/>
      <c r="C558" s="32"/>
      <c r="D558" s="32"/>
      <c r="E558" s="37"/>
      <c r="F558" s="42"/>
      <c r="G558" s="32"/>
      <c r="H558" s="36">
        <f>IF(D558="",0,IF(AND(B558&gt;=ThongTin!$C$9,B558&lt;=ThongTin!$C$10,COUNTIFS(ThongTin!$B$19:$B$48,C558,ThongTin!$A$19:$A$48,ThongTin!$C$8,ThongTin!$C$19:$C$48,"NHAP_NL")&gt;0),1,0))</f>
        <v>0</v>
      </c>
    </row>
    <row r="559" spans="1:8" x14ac:dyDescent="0.25">
      <c r="A559" s="41"/>
      <c r="B559" s="33"/>
      <c r="C559" s="32"/>
      <c r="D559" s="32"/>
      <c r="E559" s="37"/>
      <c r="F559" s="42"/>
      <c r="G559" s="32"/>
      <c r="H559" s="36">
        <f>IF(D559="",0,IF(AND(B559&gt;=ThongTin!$C$9,B559&lt;=ThongTin!$C$10,COUNTIFS(ThongTin!$B$19:$B$48,C559,ThongTin!$A$19:$A$48,ThongTin!$C$8,ThongTin!$C$19:$C$48,"NHAP_NL")&gt;0),1,0))</f>
        <v>0</v>
      </c>
    </row>
    <row r="560" spans="1:8" x14ac:dyDescent="0.25">
      <c r="A560" s="41"/>
      <c r="B560" s="33"/>
      <c r="C560" s="32"/>
      <c r="D560" s="32"/>
      <c r="E560" s="37"/>
      <c r="F560" s="42"/>
      <c r="G560" s="32"/>
      <c r="H560" s="36">
        <f>IF(D560="",0,IF(AND(B560&gt;=ThongTin!$C$9,B560&lt;=ThongTin!$C$10,COUNTIFS(ThongTin!$B$19:$B$48,C560,ThongTin!$A$19:$A$48,ThongTin!$C$8,ThongTin!$C$19:$C$48,"NHAP_NL")&gt;0),1,0))</f>
        <v>0</v>
      </c>
    </row>
    <row r="561" spans="1:8" x14ac:dyDescent="0.25">
      <c r="A561" s="41"/>
      <c r="B561" s="33"/>
      <c r="C561" s="32"/>
      <c r="D561" s="32"/>
      <c r="E561" s="37"/>
      <c r="F561" s="42"/>
      <c r="G561" s="32"/>
      <c r="H561" s="36">
        <f>IF(D561="",0,IF(AND(B561&gt;=ThongTin!$C$9,B561&lt;=ThongTin!$C$10,COUNTIFS(ThongTin!$B$19:$B$48,C561,ThongTin!$A$19:$A$48,ThongTin!$C$8,ThongTin!$C$19:$C$48,"NHAP_NL")&gt;0),1,0))</f>
        <v>0</v>
      </c>
    </row>
    <row r="562" spans="1:8" x14ac:dyDescent="0.25">
      <c r="A562" s="41"/>
      <c r="B562" s="33"/>
      <c r="C562" s="32"/>
      <c r="D562" s="32"/>
      <c r="E562" s="37"/>
      <c r="F562" s="42"/>
      <c r="G562" s="32"/>
      <c r="H562" s="36">
        <f>IF(D562="",0,IF(AND(B562&gt;=ThongTin!$C$9,B562&lt;=ThongTin!$C$10,COUNTIFS(ThongTin!$B$19:$B$48,C562,ThongTin!$A$19:$A$48,ThongTin!$C$8,ThongTin!$C$19:$C$48,"NHAP_NL")&gt;0),1,0))</f>
        <v>0</v>
      </c>
    </row>
    <row r="563" spans="1:8" x14ac:dyDescent="0.25">
      <c r="A563" s="41"/>
      <c r="B563" s="33"/>
      <c r="C563" s="32"/>
      <c r="D563" s="32"/>
      <c r="E563" s="37"/>
      <c r="F563" s="42"/>
      <c r="G563" s="32"/>
      <c r="H563" s="36">
        <f>IF(D563="",0,IF(AND(B563&gt;=ThongTin!$C$9,B563&lt;=ThongTin!$C$10,COUNTIFS(ThongTin!$B$19:$B$48,C563,ThongTin!$A$19:$A$48,ThongTin!$C$8,ThongTin!$C$19:$C$48,"NHAP_NL")&gt;0),1,0))</f>
        <v>0</v>
      </c>
    </row>
    <row r="564" spans="1:8" x14ac:dyDescent="0.25">
      <c r="A564" s="41"/>
      <c r="B564" s="33"/>
      <c r="C564" s="32"/>
      <c r="D564" s="32"/>
      <c r="E564" s="37"/>
      <c r="F564" s="42"/>
      <c r="G564" s="32"/>
      <c r="H564" s="36">
        <f>IF(D564="",0,IF(AND(B564&gt;=ThongTin!$C$9,B564&lt;=ThongTin!$C$10,COUNTIFS(ThongTin!$B$19:$B$48,C564,ThongTin!$A$19:$A$48,ThongTin!$C$8,ThongTin!$C$19:$C$48,"NHAP_NL")&gt;0),1,0))</f>
        <v>0</v>
      </c>
    </row>
    <row r="565" spans="1:8" x14ac:dyDescent="0.25">
      <c r="A565" s="41"/>
      <c r="B565" s="33"/>
      <c r="C565" s="32"/>
      <c r="D565" s="32"/>
      <c r="E565" s="37"/>
      <c r="F565" s="42"/>
      <c r="G565" s="32"/>
      <c r="H565" s="36">
        <f>IF(D565="",0,IF(AND(B565&gt;=ThongTin!$C$9,B565&lt;=ThongTin!$C$10,COUNTIFS(ThongTin!$B$19:$B$48,C565,ThongTin!$A$19:$A$48,ThongTin!$C$8,ThongTin!$C$19:$C$48,"NHAP_NL")&gt;0),1,0))</f>
        <v>0</v>
      </c>
    </row>
    <row r="566" spans="1:8" x14ac:dyDescent="0.25">
      <c r="A566" s="41"/>
      <c r="B566" s="33"/>
      <c r="C566" s="32"/>
      <c r="D566" s="32"/>
      <c r="E566" s="37"/>
      <c r="F566" s="42"/>
      <c r="G566" s="32"/>
      <c r="H566" s="36">
        <f>IF(D566="",0,IF(AND(B566&gt;=ThongTin!$C$9,B566&lt;=ThongTin!$C$10,COUNTIFS(ThongTin!$B$19:$B$48,C566,ThongTin!$A$19:$A$48,ThongTin!$C$8,ThongTin!$C$19:$C$48,"NHAP_NL")&gt;0),1,0))</f>
        <v>0</v>
      </c>
    </row>
    <row r="567" spans="1:8" x14ac:dyDescent="0.25">
      <c r="A567" s="41"/>
      <c r="B567" s="33"/>
      <c r="C567" s="32"/>
      <c r="D567" s="32"/>
      <c r="E567" s="37"/>
      <c r="F567" s="42"/>
      <c r="G567" s="32"/>
      <c r="H567" s="36">
        <f>IF(D567="",0,IF(AND(B567&gt;=ThongTin!$C$9,B567&lt;=ThongTin!$C$10,COUNTIFS(ThongTin!$B$19:$B$48,C567,ThongTin!$A$19:$A$48,ThongTin!$C$8,ThongTin!$C$19:$C$48,"NHAP_NL")&gt;0),1,0))</f>
        <v>0</v>
      </c>
    </row>
    <row r="568" spans="1:8" x14ac:dyDescent="0.25">
      <c r="A568" s="41"/>
      <c r="B568" s="33"/>
      <c r="C568" s="32"/>
      <c r="D568" s="32"/>
      <c r="E568" s="37"/>
      <c r="F568" s="42"/>
      <c r="G568" s="32"/>
      <c r="H568" s="36">
        <f>IF(D568="",0,IF(AND(B568&gt;=ThongTin!$C$9,B568&lt;=ThongTin!$C$10,COUNTIFS(ThongTin!$B$19:$B$48,C568,ThongTin!$A$19:$A$48,ThongTin!$C$8,ThongTin!$C$19:$C$48,"NHAP_NL")&gt;0),1,0))</f>
        <v>0</v>
      </c>
    </row>
    <row r="569" spans="1:8" x14ac:dyDescent="0.25">
      <c r="A569" s="41"/>
      <c r="B569" s="33"/>
      <c r="C569" s="32"/>
      <c r="D569" s="32"/>
      <c r="E569" s="37"/>
      <c r="F569" s="42"/>
      <c r="G569" s="32"/>
      <c r="H569" s="36">
        <f>IF(D569="",0,IF(AND(B569&gt;=ThongTin!$C$9,B569&lt;=ThongTin!$C$10,COUNTIFS(ThongTin!$B$19:$B$48,C569,ThongTin!$A$19:$A$48,ThongTin!$C$8,ThongTin!$C$19:$C$48,"NHAP_NL")&gt;0),1,0))</f>
        <v>0</v>
      </c>
    </row>
    <row r="570" spans="1:8" x14ac:dyDescent="0.25">
      <c r="A570" s="41"/>
      <c r="B570" s="33"/>
      <c r="C570" s="32"/>
      <c r="D570" s="32"/>
      <c r="E570" s="37"/>
      <c r="F570" s="42"/>
      <c r="G570" s="32"/>
      <c r="H570" s="36">
        <f>IF(D570="",0,IF(AND(B570&gt;=ThongTin!$C$9,B570&lt;=ThongTin!$C$10,COUNTIFS(ThongTin!$B$19:$B$48,C570,ThongTin!$A$19:$A$48,ThongTin!$C$8,ThongTin!$C$19:$C$48,"NHAP_NL")&gt;0),1,0))</f>
        <v>0</v>
      </c>
    </row>
    <row r="571" spans="1:8" x14ac:dyDescent="0.25">
      <c r="A571" s="41"/>
      <c r="B571" s="33"/>
      <c r="C571" s="32"/>
      <c r="D571" s="32"/>
      <c r="E571" s="37"/>
      <c r="F571" s="42"/>
      <c r="G571" s="32"/>
      <c r="H571" s="36">
        <f>IF(D571="",0,IF(AND(B571&gt;=ThongTin!$C$9,B571&lt;=ThongTin!$C$10,COUNTIFS(ThongTin!$B$19:$B$48,C571,ThongTin!$A$19:$A$48,ThongTin!$C$8,ThongTin!$C$19:$C$48,"NHAP_NL")&gt;0),1,0))</f>
        <v>0</v>
      </c>
    </row>
    <row r="572" spans="1:8" x14ac:dyDescent="0.25">
      <c r="A572" s="41"/>
      <c r="B572" s="33"/>
      <c r="C572" s="32"/>
      <c r="D572" s="32"/>
      <c r="E572" s="37"/>
      <c r="F572" s="42"/>
      <c r="G572" s="32"/>
      <c r="H572" s="36">
        <f>IF(D572="",0,IF(AND(B572&gt;=ThongTin!$C$9,B572&lt;=ThongTin!$C$10,COUNTIFS(ThongTin!$B$19:$B$48,C572,ThongTin!$A$19:$A$48,ThongTin!$C$8,ThongTin!$C$19:$C$48,"NHAP_NL")&gt;0),1,0))</f>
        <v>0</v>
      </c>
    </row>
    <row r="573" spans="1:8" x14ac:dyDescent="0.25">
      <c r="A573" s="41"/>
      <c r="B573" s="33"/>
      <c r="C573" s="32"/>
      <c r="D573" s="32"/>
      <c r="E573" s="37"/>
      <c r="F573" s="42"/>
      <c r="G573" s="32"/>
      <c r="H573" s="36">
        <f>IF(D573="",0,IF(AND(B573&gt;=ThongTin!$C$9,B573&lt;=ThongTin!$C$10,COUNTIFS(ThongTin!$B$19:$B$48,C573,ThongTin!$A$19:$A$48,ThongTin!$C$8,ThongTin!$C$19:$C$48,"NHAP_NL")&gt;0),1,0))</f>
        <v>0</v>
      </c>
    </row>
    <row r="574" spans="1:8" x14ac:dyDescent="0.25">
      <c r="A574" s="41"/>
      <c r="B574" s="33"/>
      <c r="C574" s="32"/>
      <c r="D574" s="32"/>
      <c r="E574" s="37"/>
      <c r="F574" s="42"/>
      <c r="G574" s="32"/>
      <c r="H574" s="36">
        <f>IF(D574="",0,IF(AND(B574&gt;=ThongTin!$C$9,B574&lt;=ThongTin!$C$10,COUNTIFS(ThongTin!$B$19:$B$48,C574,ThongTin!$A$19:$A$48,ThongTin!$C$8,ThongTin!$C$19:$C$48,"NHAP_NL")&gt;0),1,0))</f>
        <v>0</v>
      </c>
    </row>
    <row r="575" spans="1:8" x14ac:dyDescent="0.25">
      <c r="A575" s="41"/>
      <c r="B575" s="33"/>
      <c r="C575" s="32"/>
      <c r="D575" s="32"/>
      <c r="E575" s="37"/>
      <c r="F575" s="42"/>
      <c r="G575" s="32"/>
      <c r="H575" s="36">
        <f>IF(D575="",0,IF(AND(B575&gt;=ThongTin!$C$9,B575&lt;=ThongTin!$C$10,COUNTIFS(ThongTin!$B$19:$B$48,C575,ThongTin!$A$19:$A$48,ThongTin!$C$8,ThongTin!$C$19:$C$48,"NHAP_NL")&gt;0),1,0))</f>
        <v>0</v>
      </c>
    </row>
    <row r="576" spans="1:8" x14ac:dyDescent="0.25">
      <c r="A576" s="41"/>
      <c r="B576" s="33"/>
      <c r="C576" s="32"/>
      <c r="D576" s="32"/>
      <c r="E576" s="37"/>
      <c r="F576" s="42"/>
      <c r="G576" s="32"/>
      <c r="H576" s="36">
        <f>IF(D576="",0,IF(AND(B576&gt;=ThongTin!$C$9,B576&lt;=ThongTin!$C$10,COUNTIFS(ThongTin!$B$19:$B$48,C576,ThongTin!$A$19:$A$48,ThongTin!$C$8,ThongTin!$C$19:$C$48,"NHAP_NL")&gt;0),1,0))</f>
        <v>0</v>
      </c>
    </row>
    <row r="577" spans="1:8" x14ac:dyDescent="0.25">
      <c r="A577" s="41"/>
      <c r="B577" s="33"/>
      <c r="C577" s="32"/>
      <c r="D577" s="32"/>
      <c r="E577" s="37"/>
      <c r="F577" s="42"/>
      <c r="G577" s="32"/>
      <c r="H577" s="36">
        <f>IF(D577="",0,IF(AND(B577&gt;=ThongTin!$C$9,B577&lt;=ThongTin!$C$10,COUNTIFS(ThongTin!$B$19:$B$48,C577,ThongTin!$A$19:$A$48,ThongTin!$C$8,ThongTin!$C$19:$C$48,"NHAP_NL")&gt;0),1,0))</f>
        <v>0</v>
      </c>
    </row>
    <row r="578" spans="1:8" x14ac:dyDescent="0.25">
      <c r="A578" s="41"/>
      <c r="B578" s="33"/>
      <c r="C578" s="32"/>
      <c r="D578" s="32"/>
      <c r="E578" s="37"/>
      <c r="F578" s="42"/>
      <c r="G578" s="32"/>
      <c r="H578" s="36">
        <f>IF(D578="",0,IF(AND(B578&gt;=ThongTin!$C$9,B578&lt;=ThongTin!$C$10,COUNTIFS(ThongTin!$B$19:$B$48,C578,ThongTin!$A$19:$A$48,ThongTin!$C$8,ThongTin!$C$19:$C$48,"NHAP_NL")&gt;0),1,0))</f>
        <v>0</v>
      </c>
    </row>
    <row r="579" spans="1:8" x14ac:dyDescent="0.25">
      <c r="A579" s="41"/>
      <c r="B579" s="33"/>
      <c r="C579" s="32"/>
      <c r="D579" s="32"/>
      <c r="E579" s="37"/>
      <c r="F579" s="42"/>
      <c r="G579" s="32"/>
      <c r="H579" s="36">
        <f>IF(D579="",0,IF(AND(B579&gt;=ThongTin!$C$9,B579&lt;=ThongTin!$C$10,COUNTIFS(ThongTin!$B$19:$B$48,C579,ThongTin!$A$19:$A$48,ThongTin!$C$8,ThongTin!$C$19:$C$48,"NHAP_NL")&gt;0),1,0))</f>
        <v>0</v>
      </c>
    </row>
    <row r="580" spans="1:8" x14ac:dyDescent="0.25">
      <c r="A580" s="41"/>
      <c r="B580" s="33"/>
      <c r="C580" s="32"/>
      <c r="D580" s="32"/>
      <c r="E580" s="37"/>
      <c r="F580" s="42"/>
      <c r="G580" s="32"/>
      <c r="H580" s="36">
        <f>IF(D580="",0,IF(AND(B580&gt;=ThongTin!$C$9,B580&lt;=ThongTin!$C$10,COUNTIFS(ThongTin!$B$19:$B$48,C580,ThongTin!$A$19:$A$48,ThongTin!$C$8,ThongTin!$C$19:$C$48,"NHAP_NL")&gt;0),1,0))</f>
        <v>0</v>
      </c>
    </row>
    <row r="581" spans="1:8" x14ac:dyDescent="0.25">
      <c r="A581" s="41"/>
      <c r="B581" s="33"/>
      <c r="C581" s="32"/>
      <c r="D581" s="32"/>
      <c r="E581" s="37"/>
      <c r="F581" s="42"/>
      <c r="G581" s="32"/>
      <c r="H581" s="36">
        <f>IF(D581="",0,IF(AND(B581&gt;=ThongTin!$C$9,B581&lt;=ThongTin!$C$10,COUNTIFS(ThongTin!$B$19:$B$48,C581,ThongTin!$A$19:$A$48,ThongTin!$C$8,ThongTin!$C$19:$C$48,"NHAP_NL")&gt;0),1,0))</f>
        <v>0</v>
      </c>
    </row>
    <row r="582" spans="1:8" x14ac:dyDescent="0.25">
      <c r="A582" s="41"/>
      <c r="B582" s="33"/>
      <c r="C582" s="32"/>
      <c r="D582" s="32"/>
      <c r="E582" s="37"/>
      <c r="F582" s="42"/>
      <c r="G582" s="32"/>
      <c r="H582" s="36">
        <f>IF(D582="",0,IF(AND(B582&gt;=ThongTin!$C$9,B582&lt;=ThongTin!$C$10,COUNTIFS(ThongTin!$B$19:$B$48,C582,ThongTin!$A$19:$A$48,ThongTin!$C$8,ThongTin!$C$19:$C$48,"NHAP_NL")&gt;0),1,0))</f>
        <v>0</v>
      </c>
    </row>
    <row r="583" spans="1:8" x14ac:dyDescent="0.25">
      <c r="A583" s="41"/>
      <c r="B583" s="33"/>
      <c r="C583" s="32"/>
      <c r="D583" s="32"/>
      <c r="E583" s="37"/>
      <c r="F583" s="42"/>
      <c r="G583" s="32"/>
      <c r="H583" s="36">
        <f>IF(D583="",0,IF(AND(B583&gt;=ThongTin!$C$9,B583&lt;=ThongTin!$C$10,COUNTIFS(ThongTin!$B$19:$B$48,C583,ThongTin!$A$19:$A$48,ThongTin!$C$8,ThongTin!$C$19:$C$48,"NHAP_NL")&gt;0),1,0))</f>
        <v>0</v>
      </c>
    </row>
    <row r="584" spans="1:8" x14ac:dyDescent="0.25">
      <c r="A584" s="41"/>
      <c r="B584" s="33"/>
      <c r="C584" s="32"/>
      <c r="D584" s="32"/>
      <c r="E584" s="37"/>
      <c r="F584" s="42"/>
      <c r="G584" s="32"/>
      <c r="H584" s="36">
        <f>IF(D584="",0,IF(AND(B584&gt;=ThongTin!$C$9,B584&lt;=ThongTin!$C$10,COUNTIFS(ThongTin!$B$19:$B$48,C584,ThongTin!$A$19:$A$48,ThongTin!$C$8,ThongTin!$C$19:$C$48,"NHAP_NL")&gt;0),1,0))</f>
        <v>0</v>
      </c>
    </row>
    <row r="585" spans="1:8" x14ac:dyDescent="0.25">
      <c r="A585" s="41"/>
      <c r="B585" s="33"/>
      <c r="C585" s="32"/>
      <c r="D585" s="32"/>
      <c r="E585" s="37"/>
      <c r="F585" s="42"/>
      <c r="G585" s="32"/>
      <c r="H585" s="36">
        <f>IF(D585="",0,IF(AND(B585&gt;=ThongTin!$C$9,B585&lt;=ThongTin!$C$10,COUNTIFS(ThongTin!$B$19:$B$48,C585,ThongTin!$A$19:$A$48,ThongTin!$C$8,ThongTin!$C$19:$C$48,"NHAP_NL")&gt;0),1,0))</f>
        <v>0</v>
      </c>
    </row>
    <row r="586" spans="1:8" x14ac:dyDescent="0.25">
      <c r="A586" s="41"/>
      <c r="B586" s="33"/>
      <c r="C586" s="32"/>
      <c r="D586" s="32"/>
      <c r="E586" s="37"/>
      <c r="F586" s="42"/>
      <c r="G586" s="32"/>
      <c r="H586" s="36">
        <f>IF(D586="",0,IF(AND(B586&gt;=ThongTin!$C$9,B586&lt;=ThongTin!$C$10,COUNTIFS(ThongTin!$B$19:$B$48,C586,ThongTin!$A$19:$A$48,ThongTin!$C$8,ThongTin!$C$19:$C$48,"NHAP_NL")&gt;0),1,0))</f>
        <v>0</v>
      </c>
    </row>
    <row r="587" spans="1:8" x14ac:dyDescent="0.25">
      <c r="A587" s="41"/>
      <c r="B587" s="33"/>
      <c r="C587" s="32"/>
      <c r="D587" s="32"/>
      <c r="E587" s="37"/>
      <c r="F587" s="42"/>
      <c r="G587" s="32"/>
      <c r="H587" s="36">
        <f>IF(D587="",0,IF(AND(B587&gt;=ThongTin!$C$9,B587&lt;=ThongTin!$C$10,COUNTIFS(ThongTin!$B$19:$B$48,C587,ThongTin!$A$19:$A$48,ThongTin!$C$8,ThongTin!$C$19:$C$48,"NHAP_NL")&gt;0),1,0))</f>
        <v>0</v>
      </c>
    </row>
    <row r="588" spans="1:8" x14ac:dyDescent="0.25">
      <c r="A588" s="41"/>
      <c r="B588" s="33"/>
      <c r="C588" s="32"/>
      <c r="D588" s="32"/>
      <c r="E588" s="37"/>
      <c r="F588" s="42"/>
      <c r="G588" s="32"/>
      <c r="H588" s="36">
        <f>IF(D588="",0,IF(AND(B588&gt;=ThongTin!$C$9,B588&lt;=ThongTin!$C$10,COUNTIFS(ThongTin!$B$19:$B$48,C588,ThongTin!$A$19:$A$48,ThongTin!$C$8,ThongTin!$C$19:$C$48,"NHAP_NL")&gt;0),1,0))</f>
        <v>0</v>
      </c>
    </row>
    <row r="589" spans="1:8" x14ac:dyDescent="0.25">
      <c r="A589" s="41"/>
      <c r="B589" s="33"/>
      <c r="C589" s="32"/>
      <c r="D589" s="32"/>
      <c r="E589" s="37"/>
      <c r="F589" s="42"/>
      <c r="G589" s="32"/>
      <c r="H589" s="36">
        <f>IF(D589="",0,IF(AND(B589&gt;=ThongTin!$C$9,B589&lt;=ThongTin!$C$10,COUNTIFS(ThongTin!$B$19:$B$48,C589,ThongTin!$A$19:$A$48,ThongTin!$C$8,ThongTin!$C$19:$C$48,"NHAP_NL")&gt;0),1,0))</f>
        <v>0</v>
      </c>
    </row>
    <row r="590" spans="1:8" x14ac:dyDescent="0.25">
      <c r="A590" s="41"/>
      <c r="B590" s="33"/>
      <c r="C590" s="32"/>
      <c r="D590" s="32"/>
      <c r="E590" s="37"/>
      <c r="F590" s="42"/>
      <c r="G590" s="32"/>
      <c r="H590" s="36">
        <f>IF(D590="",0,IF(AND(B590&gt;=ThongTin!$C$9,B590&lt;=ThongTin!$C$10,COUNTIFS(ThongTin!$B$19:$B$48,C590,ThongTin!$A$19:$A$48,ThongTin!$C$8,ThongTin!$C$19:$C$48,"NHAP_NL")&gt;0),1,0))</f>
        <v>0</v>
      </c>
    </row>
    <row r="591" spans="1:8" x14ac:dyDescent="0.25">
      <c r="A591" s="41"/>
      <c r="B591" s="33"/>
      <c r="C591" s="32"/>
      <c r="D591" s="32"/>
      <c r="E591" s="37"/>
      <c r="F591" s="42"/>
      <c r="G591" s="32"/>
      <c r="H591" s="36">
        <f>IF(D591="",0,IF(AND(B591&gt;=ThongTin!$C$9,B591&lt;=ThongTin!$C$10,COUNTIFS(ThongTin!$B$19:$B$48,C591,ThongTin!$A$19:$A$48,ThongTin!$C$8,ThongTin!$C$19:$C$48,"NHAP_NL")&gt;0),1,0))</f>
        <v>0</v>
      </c>
    </row>
    <row r="592" spans="1:8" x14ac:dyDescent="0.25">
      <c r="A592" s="41"/>
      <c r="B592" s="33"/>
      <c r="C592" s="32"/>
      <c r="D592" s="32"/>
      <c r="E592" s="37"/>
      <c r="F592" s="42"/>
      <c r="G592" s="32"/>
      <c r="H592" s="36">
        <f>IF(D592="",0,IF(AND(B592&gt;=ThongTin!$C$9,B592&lt;=ThongTin!$C$10,COUNTIFS(ThongTin!$B$19:$B$48,C592,ThongTin!$A$19:$A$48,ThongTin!$C$8,ThongTin!$C$19:$C$48,"NHAP_NL")&gt;0),1,0))</f>
        <v>0</v>
      </c>
    </row>
    <row r="593" spans="1:8" x14ac:dyDescent="0.25">
      <c r="A593" s="41"/>
      <c r="B593" s="33"/>
      <c r="C593" s="32"/>
      <c r="D593" s="32"/>
      <c r="E593" s="37"/>
      <c r="F593" s="42"/>
      <c r="G593" s="32"/>
      <c r="H593" s="36">
        <f>IF(D593="",0,IF(AND(B593&gt;=ThongTin!$C$9,B593&lt;=ThongTin!$C$10,COUNTIFS(ThongTin!$B$19:$B$48,C593,ThongTin!$A$19:$A$48,ThongTin!$C$8,ThongTin!$C$19:$C$48,"NHAP_NL")&gt;0),1,0))</f>
        <v>0</v>
      </c>
    </row>
    <row r="594" spans="1:8" x14ac:dyDescent="0.25">
      <c r="A594" s="41"/>
      <c r="B594" s="33"/>
      <c r="C594" s="32"/>
      <c r="D594" s="32"/>
      <c r="E594" s="37"/>
      <c r="F594" s="42"/>
      <c r="G594" s="32"/>
      <c r="H594" s="36">
        <f>IF(D594="",0,IF(AND(B594&gt;=ThongTin!$C$9,B594&lt;=ThongTin!$C$10,COUNTIFS(ThongTin!$B$19:$B$48,C594,ThongTin!$A$19:$A$48,ThongTin!$C$8,ThongTin!$C$19:$C$48,"NHAP_NL")&gt;0),1,0))</f>
        <v>0</v>
      </c>
    </row>
    <row r="595" spans="1:8" x14ac:dyDescent="0.25">
      <c r="A595" s="41"/>
      <c r="B595" s="33"/>
      <c r="C595" s="32"/>
      <c r="D595" s="32"/>
      <c r="E595" s="37"/>
      <c r="F595" s="42"/>
      <c r="G595" s="32"/>
      <c r="H595" s="36">
        <f>IF(D595="",0,IF(AND(B595&gt;=ThongTin!$C$9,B595&lt;=ThongTin!$C$10,COUNTIFS(ThongTin!$B$19:$B$48,C595,ThongTin!$A$19:$A$48,ThongTin!$C$8,ThongTin!$C$19:$C$48,"NHAP_NL")&gt;0),1,0))</f>
        <v>0</v>
      </c>
    </row>
    <row r="596" spans="1:8" x14ac:dyDescent="0.25">
      <c r="A596" s="41"/>
      <c r="B596" s="33"/>
      <c r="C596" s="32"/>
      <c r="D596" s="32"/>
      <c r="E596" s="37"/>
      <c r="F596" s="42"/>
      <c r="G596" s="32"/>
      <c r="H596" s="36">
        <f>IF(D596="",0,IF(AND(B596&gt;=ThongTin!$C$9,B596&lt;=ThongTin!$C$10,COUNTIFS(ThongTin!$B$19:$B$48,C596,ThongTin!$A$19:$A$48,ThongTin!$C$8,ThongTin!$C$19:$C$48,"NHAP_NL")&gt;0),1,0))</f>
        <v>0</v>
      </c>
    </row>
    <row r="597" spans="1:8" x14ac:dyDescent="0.25">
      <c r="A597" s="41"/>
      <c r="B597" s="33"/>
      <c r="C597" s="32"/>
      <c r="D597" s="32"/>
      <c r="E597" s="37"/>
      <c r="F597" s="42"/>
      <c r="G597" s="32"/>
      <c r="H597" s="36">
        <f>IF(D597="",0,IF(AND(B597&gt;=ThongTin!$C$9,B597&lt;=ThongTin!$C$10,COUNTIFS(ThongTin!$B$19:$B$48,C597,ThongTin!$A$19:$A$48,ThongTin!$C$8,ThongTin!$C$19:$C$48,"NHAP_NL")&gt;0),1,0))</f>
        <v>0</v>
      </c>
    </row>
    <row r="598" spans="1:8" x14ac:dyDescent="0.25">
      <c r="A598" s="41"/>
      <c r="B598" s="33"/>
      <c r="C598" s="32"/>
      <c r="D598" s="32"/>
      <c r="E598" s="37"/>
      <c r="F598" s="42"/>
      <c r="G598" s="32"/>
      <c r="H598" s="36">
        <f>IF(D598="",0,IF(AND(B598&gt;=ThongTin!$C$9,B598&lt;=ThongTin!$C$10,COUNTIFS(ThongTin!$B$19:$B$48,C598,ThongTin!$A$19:$A$48,ThongTin!$C$8,ThongTin!$C$19:$C$48,"NHAP_NL")&gt;0),1,0))</f>
        <v>0</v>
      </c>
    </row>
    <row r="599" spans="1:8" x14ac:dyDescent="0.25">
      <c r="A599" s="41"/>
      <c r="B599" s="33"/>
      <c r="C599" s="32"/>
      <c r="D599" s="32"/>
      <c r="E599" s="37"/>
      <c r="F599" s="42"/>
      <c r="G599" s="32"/>
      <c r="H599" s="36">
        <f>IF(D599="",0,IF(AND(B599&gt;=ThongTin!$C$9,B599&lt;=ThongTin!$C$10,COUNTIFS(ThongTin!$B$19:$B$48,C599,ThongTin!$A$19:$A$48,ThongTin!$C$8,ThongTin!$C$19:$C$48,"NHAP_NL")&gt;0),1,0))</f>
        <v>0</v>
      </c>
    </row>
    <row r="600" spans="1:8" x14ac:dyDescent="0.25">
      <c r="A600" s="41"/>
      <c r="B600" s="33"/>
      <c r="C600" s="32"/>
      <c r="D600" s="32"/>
      <c r="E600" s="37"/>
      <c r="F600" s="42"/>
      <c r="G600" s="32"/>
      <c r="H600" s="36">
        <f>IF(D600="",0,IF(AND(B600&gt;=ThongTin!$C$9,B600&lt;=ThongTin!$C$10,COUNTIFS(ThongTin!$B$19:$B$48,C600,ThongTin!$A$19:$A$48,ThongTin!$C$8,ThongTin!$C$19:$C$48,"NHAP_NL")&gt;0),1,0))</f>
        <v>0</v>
      </c>
    </row>
    <row r="601" spans="1:8" x14ac:dyDescent="0.25">
      <c r="A601" s="41"/>
      <c r="B601" s="33"/>
      <c r="C601" s="32"/>
      <c r="D601" s="32"/>
      <c r="E601" s="37"/>
      <c r="F601" s="42"/>
      <c r="G601" s="32"/>
      <c r="H601" s="36">
        <f>IF(D601="",0,IF(AND(B601&gt;=ThongTin!$C$9,B601&lt;=ThongTin!$C$10,COUNTIFS(ThongTin!$B$19:$B$48,C601,ThongTin!$A$19:$A$48,ThongTin!$C$8,ThongTin!$C$19:$C$48,"NHAP_NL")&gt;0),1,0))</f>
        <v>0</v>
      </c>
    </row>
    <row r="602" spans="1:8" x14ac:dyDescent="0.25">
      <c r="A602" s="41"/>
      <c r="B602" s="33"/>
      <c r="C602" s="32"/>
      <c r="D602" s="32"/>
      <c r="E602" s="37"/>
      <c r="F602" s="42"/>
      <c r="G602" s="32"/>
      <c r="H602" s="36">
        <f>IF(D602="",0,IF(AND(B602&gt;=ThongTin!$C$9,B602&lt;=ThongTin!$C$10,COUNTIFS(ThongTin!$B$19:$B$48,C602,ThongTin!$A$19:$A$48,ThongTin!$C$8,ThongTin!$C$19:$C$48,"NHAP_NL")&gt;0),1,0))</f>
        <v>0</v>
      </c>
    </row>
    <row r="603" spans="1:8" x14ac:dyDescent="0.25">
      <c r="A603" s="41"/>
      <c r="B603" s="33"/>
      <c r="C603" s="32"/>
      <c r="D603" s="32"/>
      <c r="E603" s="37"/>
      <c r="F603" s="42"/>
      <c r="G603" s="32"/>
      <c r="H603" s="36">
        <f>IF(D603="",0,IF(AND(B603&gt;=ThongTin!$C$9,B603&lt;=ThongTin!$C$10,COUNTIFS(ThongTin!$B$19:$B$48,C603,ThongTin!$A$19:$A$48,ThongTin!$C$8,ThongTin!$C$19:$C$48,"NHAP_NL")&gt;0),1,0))</f>
        <v>0</v>
      </c>
    </row>
    <row r="604" spans="1:8" x14ac:dyDescent="0.25">
      <c r="A604" s="41"/>
      <c r="B604" s="33"/>
      <c r="C604" s="32"/>
      <c r="D604" s="32"/>
      <c r="E604" s="37"/>
      <c r="F604" s="42"/>
      <c r="G604" s="32"/>
      <c r="H604" s="36">
        <f>IF(D604="",0,IF(AND(B604&gt;=ThongTin!$C$9,B604&lt;=ThongTin!$C$10,COUNTIFS(ThongTin!$B$19:$B$48,C604,ThongTin!$A$19:$A$48,ThongTin!$C$8,ThongTin!$C$19:$C$48,"NHAP_NL")&gt;0),1,0))</f>
        <v>0</v>
      </c>
    </row>
    <row r="605" spans="1:8" x14ac:dyDescent="0.25">
      <c r="A605" s="41"/>
      <c r="B605" s="33"/>
      <c r="C605" s="32"/>
      <c r="D605" s="32"/>
      <c r="E605" s="37"/>
      <c r="F605" s="42"/>
      <c r="G605" s="32"/>
      <c r="H605" s="36">
        <f>IF(D605="",0,IF(AND(B605&gt;=ThongTin!$C$9,B605&lt;=ThongTin!$C$10,COUNTIFS(ThongTin!$B$19:$B$48,C605,ThongTin!$A$19:$A$48,ThongTin!$C$8,ThongTin!$C$19:$C$48,"NHAP_NL")&gt;0),1,0))</f>
        <v>0</v>
      </c>
    </row>
    <row r="606" spans="1:8" x14ac:dyDescent="0.25">
      <c r="A606" s="41"/>
      <c r="B606" s="33"/>
      <c r="C606" s="32"/>
      <c r="D606" s="32"/>
      <c r="E606" s="37"/>
      <c r="F606" s="42"/>
      <c r="G606" s="32"/>
      <c r="H606" s="36">
        <f>IF(D606="",0,IF(AND(B606&gt;=ThongTin!$C$9,B606&lt;=ThongTin!$C$10,COUNTIFS(ThongTin!$B$19:$B$48,C606,ThongTin!$A$19:$A$48,ThongTin!$C$8,ThongTin!$C$19:$C$48,"NHAP_NL")&gt;0),1,0))</f>
        <v>0</v>
      </c>
    </row>
    <row r="607" spans="1:8" x14ac:dyDescent="0.25">
      <c r="A607" s="41"/>
      <c r="B607" s="33"/>
      <c r="C607" s="32"/>
      <c r="D607" s="32"/>
      <c r="E607" s="37"/>
      <c r="F607" s="42"/>
      <c r="G607" s="32"/>
      <c r="H607" s="36">
        <f>IF(D607="",0,IF(AND(B607&gt;=ThongTin!$C$9,B607&lt;=ThongTin!$C$10,COUNTIFS(ThongTin!$B$19:$B$48,C607,ThongTin!$A$19:$A$48,ThongTin!$C$8,ThongTin!$C$19:$C$48,"NHAP_NL")&gt;0),1,0))</f>
        <v>0</v>
      </c>
    </row>
    <row r="608" spans="1:8" x14ac:dyDescent="0.25">
      <c r="A608" s="41"/>
      <c r="B608" s="33"/>
      <c r="C608" s="32"/>
      <c r="D608" s="32"/>
      <c r="E608" s="37"/>
      <c r="F608" s="42"/>
      <c r="G608" s="32"/>
      <c r="H608" s="36">
        <f>IF(D608="",0,IF(AND(B608&gt;=ThongTin!$C$9,B608&lt;=ThongTin!$C$10,COUNTIFS(ThongTin!$B$19:$B$48,C608,ThongTin!$A$19:$A$48,ThongTin!$C$8,ThongTin!$C$19:$C$48,"NHAP_NL")&gt;0),1,0))</f>
        <v>0</v>
      </c>
    </row>
    <row r="609" spans="1:8" x14ac:dyDescent="0.25">
      <c r="A609" s="41"/>
      <c r="B609" s="33"/>
      <c r="C609" s="32"/>
      <c r="D609" s="32"/>
      <c r="E609" s="37"/>
      <c r="F609" s="42"/>
      <c r="G609" s="32"/>
      <c r="H609" s="36">
        <f>IF(D609="",0,IF(AND(B609&gt;=ThongTin!$C$9,B609&lt;=ThongTin!$C$10,COUNTIFS(ThongTin!$B$19:$B$48,C609,ThongTin!$A$19:$A$48,ThongTin!$C$8,ThongTin!$C$19:$C$48,"NHAP_NL")&gt;0),1,0))</f>
        <v>0</v>
      </c>
    </row>
    <row r="610" spans="1:8" x14ac:dyDescent="0.25">
      <c r="A610" s="41"/>
      <c r="B610" s="33"/>
      <c r="C610" s="32"/>
      <c r="D610" s="32"/>
      <c r="E610" s="37"/>
      <c r="F610" s="42"/>
      <c r="G610" s="32"/>
      <c r="H610" s="36">
        <f>IF(D610="",0,IF(AND(B610&gt;=ThongTin!$C$9,B610&lt;=ThongTin!$C$10,COUNTIFS(ThongTin!$B$19:$B$48,C610,ThongTin!$A$19:$A$48,ThongTin!$C$8,ThongTin!$C$19:$C$48,"NHAP_NL")&gt;0),1,0))</f>
        <v>0</v>
      </c>
    </row>
    <row r="611" spans="1:8" x14ac:dyDescent="0.25">
      <c r="A611" s="41"/>
      <c r="B611" s="33"/>
      <c r="C611" s="32"/>
      <c r="D611" s="32"/>
      <c r="E611" s="37"/>
      <c r="F611" s="42"/>
      <c r="G611" s="32"/>
      <c r="H611" s="36">
        <f>IF(D611="",0,IF(AND(B611&gt;=ThongTin!$C$9,B611&lt;=ThongTin!$C$10,COUNTIFS(ThongTin!$B$19:$B$48,C611,ThongTin!$A$19:$A$48,ThongTin!$C$8,ThongTin!$C$19:$C$48,"NHAP_NL")&gt;0),1,0))</f>
        <v>0</v>
      </c>
    </row>
    <row r="612" spans="1:8" x14ac:dyDescent="0.25">
      <c r="A612" s="41"/>
      <c r="B612" s="33"/>
      <c r="C612" s="32"/>
      <c r="D612" s="32"/>
      <c r="E612" s="37"/>
      <c r="F612" s="42"/>
      <c r="G612" s="32"/>
      <c r="H612" s="36">
        <f>IF(D612="",0,IF(AND(B612&gt;=ThongTin!$C$9,B612&lt;=ThongTin!$C$10,COUNTIFS(ThongTin!$B$19:$B$48,C612,ThongTin!$A$19:$A$48,ThongTin!$C$8,ThongTin!$C$19:$C$48,"NHAP_NL")&gt;0),1,0))</f>
        <v>0</v>
      </c>
    </row>
    <row r="613" spans="1:8" x14ac:dyDescent="0.25">
      <c r="A613" s="41"/>
      <c r="B613" s="33"/>
      <c r="C613" s="32"/>
      <c r="D613" s="32"/>
      <c r="E613" s="37"/>
      <c r="F613" s="42"/>
      <c r="G613" s="32"/>
      <c r="H613" s="36">
        <f>IF(D613="",0,IF(AND(B613&gt;=ThongTin!$C$9,B613&lt;=ThongTin!$C$10,COUNTIFS(ThongTin!$B$19:$B$48,C613,ThongTin!$A$19:$A$48,ThongTin!$C$8,ThongTin!$C$19:$C$48,"NHAP_NL")&gt;0),1,0))</f>
        <v>0</v>
      </c>
    </row>
    <row r="614" spans="1:8" x14ac:dyDescent="0.25">
      <c r="A614" s="41"/>
      <c r="B614" s="33"/>
      <c r="C614" s="32"/>
      <c r="D614" s="32"/>
      <c r="E614" s="37"/>
      <c r="F614" s="42"/>
      <c r="G614" s="32"/>
      <c r="H614" s="36">
        <f>IF(D614="",0,IF(AND(B614&gt;=ThongTin!$C$9,B614&lt;=ThongTin!$C$10,COUNTIFS(ThongTin!$B$19:$B$48,C614,ThongTin!$A$19:$A$48,ThongTin!$C$8,ThongTin!$C$19:$C$48,"NHAP_NL")&gt;0),1,0))</f>
        <v>0</v>
      </c>
    </row>
    <row r="615" spans="1:8" x14ac:dyDescent="0.25">
      <c r="A615" s="41"/>
      <c r="B615" s="33"/>
      <c r="C615" s="32"/>
      <c r="D615" s="32"/>
      <c r="E615" s="37"/>
      <c r="F615" s="42"/>
      <c r="G615" s="32"/>
      <c r="H615" s="36">
        <f>IF(D615="",0,IF(AND(B615&gt;=ThongTin!$C$9,B615&lt;=ThongTin!$C$10,COUNTIFS(ThongTin!$B$19:$B$48,C615,ThongTin!$A$19:$A$48,ThongTin!$C$8,ThongTin!$C$19:$C$48,"NHAP_NL")&gt;0),1,0))</f>
        <v>0</v>
      </c>
    </row>
    <row r="616" spans="1:8" x14ac:dyDescent="0.25">
      <c r="A616" s="41"/>
      <c r="B616" s="33"/>
      <c r="C616" s="32"/>
      <c r="D616" s="32"/>
      <c r="E616" s="37"/>
      <c r="F616" s="42"/>
      <c r="G616" s="32"/>
      <c r="H616" s="36">
        <f>IF(D616="",0,IF(AND(B616&gt;=ThongTin!$C$9,B616&lt;=ThongTin!$C$10,COUNTIFS(ThongTin!$B$19:$B$48,C616,ThongTin!$A$19:$A$48,ThongTin!$C$8,ThongTin!$C$19:$C$48,"NHAP_NL")&gt;0),1,0))</f>
        <v>0</v>
      </c>
    </row>
    <row r="617" spans="1:8" x14ac:dyDescent="0.25">
      <c r="A617" s="41"/>
      <c r="B617" s="33"/>
      <c r="C617" s="32"/>
      <c r="D617" s="32"/>
      <c r="E617" s="37"/>
      <c r="F617" s="42"/>
      <c r="G617" s="32"/>
      <c r="H617" s="36">
        <f>IF(D617="",0,IF(AND(B617&gt;=ThongTin!$C$9,B617&lt;=ThongTin!$C$10,COUNTIFS(ThongTin!$B$19:$B$48,C617,ThongTin!$A$19:$A$48,ThongTin!$C$8,ThongTin!$C$19:$C$48,"NHAP_NL")&gt;0),1,0))</f>
        <v>0</v>
      </c>
    </row>
    <row r="618" spans="1:8" x14ac:dyDescent="0.25">
      <c r="A618" s="41"/>
      <c r="B618" s="33"/>
      <c r="C618" s="32"/>
      <c r="D618" s="32"/>
      <c r="E618" s="37"/>
      <c r="F618" s="42"/>
      <c r="G618" s="32"/>
      <c r="H618" s="36">
        <f>IF(D618="",0,IF(AND(B618&gt;=ThongTin!$C$9,B618&lt;=ThongTin!$C$10,COUNTIFS(ThongTin!$B$19:$B$48,C618,ThongTin!$A$19:$A$48,ThongTin!$C$8,ThongTin!$C$19:$C$48,"NHAP_NL")&gt;0),1,0))</f>
        <v>0</v>
      </c>
    </row>
    <row r="619" spans="1:8" x14ac:dyDescent="0.25">
      <c r="A619" s="41"/>
      <c r="B619" s="33"/>
      <c r="C619" s="32"/>
      <c r="D619" s="32"/>
      <c r="E619" s="37"/>
      <c r="F619" s="42"/>
      <c r="G619" s="32"/>
      <c r="H619" s="36">
        <f>IF(D619="",0,IF(AND(B619&gt;=ThongTin!$C$9,B619&lt;=ThongTin!$C$10,COUNTIFS(ThongTin!$B$19:$B$48,C619,ThongTin!$A$19:$A$48,ThongTin!$C$8,ThongTin!$C$19:$C$48,"NHAP_NL")&gt;0),1,0))</f>
        <v>0</v>
      </c>
    </row>
    <row r="620" spans="1:8" x14ac:dyDescent="0.25">
      <c r="A620" s="41"/>
      <c r="B620" s="33"/>
      <c r="C620" s="32"/>
      <c r="D620" s="32"/>
      <c r="E620" s="37"/>
      <c r="F620" s="42"/>
      <c r="G620" s="32"/>
      <c r="H620" s="36">
        <f>IF(D620="",0,IF(AND(B620&gt;=ThongTin!$C$9,B620&lt;=ThongTin!$C$10,COUNTIFS(ThongTin!$B$19:$B$48,C620,ThongTin!$A$19:$A$48,ThongTin!$C$8,ThongTin!$C$19:$C$48,"NHAP_NL")&gt;0),1,0))</f>
        <v>0</v>
      </c>
    </row>
    <row r="621" spans="1:8" x14ac:dyDescent="0.25">
      <c r="A621" s="41"/>
      <c r="B621" s="33"/>
      <c r="C621" s="32"/>
      <c r="D621" s="32"/>
      <c r="E621" s="37"/>
      <c r="F621" s="42"/>
      <c r="G621" s="32"/>
      <c r="H621" s="36">
        <f>IF(D621="",0,IF(AND(B621&gt;=ThongTin!$C$9,B621&lt;=ThongTin!$C$10,COUNTIFS(ThongTin!$B$19:$B$48,C621,ThongTin!$A$19:$A$48,ThongTin!$C$8,ThongTin!$C$19:$C$48,"NHAP_NL")&gt;0),1,0))</f>
        <v>0</v>
      </c>
    </row>
    <row r="622" spans="1:8" x14ac:dyDescent="0.25">
      <c r="A622" s="41"/>
      <c r="B622" s="33"/>
      <c r="C622" s="32"/>
      <c r="D622" s="32"/>
      <c r="E622" s="37"/>
      <c r="F622" s="42"/>
      <c r="G622" s="32"/>
      <c r="H622" s="36">
        <f>IF(D622="",0,IF(AND(B622&gt;=ThongTin!$C$9,B622&lt;=ThongTin!$C$10,COUNTIFS(ThongTin!$B$19:$B$48,C622,ThongTin!$A$19:$A$48,ThongTin!$C$8,ThongTin!$C$19:$C$48,"NHAP_NL")&gt;0),1,0))</f>
        <v>0</v>
      </c>
    </row>
    <row r="623" spans="1:8" x14ac:dyDescent="0.25">
      <c r="A623" s="41"/>
      <c r="B623" s="33"/>
      <c r="C623" s="32"/>
      <c r="D623" s="32"/>
      <c r="E623" s="37"/>
      <c r="F623" s="42"/>
      <c r="G623" s="32"/>
      <c r="H623" s="36">
        <f>IF(D623="",0,IF(AND(B623&gt;=ThongTin!$C$9,B623&lt;=ThongTin!$C$10,COUNTIFS(ThongTin!$B$19:$B$48,C623,ThongTin!$A$19:$A$48,ThongTin!$C$8,ThongTin!$C$19:$C$48,"NHAP_NL")&gt;0),1,0))</f>
        <v>0</v>
      </c>
    </row>
    <row r="624" spans="1:8" x14ac:dyDescent="0.25">
      <c r="A624" s="41"/>
      <c r="B624" s="33"/>
      <c r="C624" s="32"/>
      <c r="D624" s="32"/>
      <c r="E624" s="37"/>
      <c r="F624" s="42"/>
      <c r="G624" s="32"/>
      <c r="H624" s="36">
        <f>IF(D624="",0,IF(AND(B624&gt;=ThongTin!$C$9,B624&lt;=ThongTin!$C$10,COUNTIFS(ThongTin!$B$19:$B$48,C624,ThongTin!$A$19:$A$48,ThongTin!$C$8,ThongTin!$C$19:$C$48,"NHAP_NL")&gt;0),1,0))</f>
        <v>0</v>
      </c>
    </row>
    <row r="625" spans="1:8" x14ac:dyDescent="0.25">
      <c r="A625" s="41"/>
      <c r="B625" s="33"/>
      <c r="C625" s="32"/>
      <c r="D625" s="32"/>
      <c r="E625" s="37"/>
      <c r="F625" s="42"/>
      <c r="G625" s="32"/>
      <c r="H625" s="36">
        <f>IF(D625="",0,IF(AND(B625&gt;=ThongTin!$C$9,B625&lt;=ThongTin!$C$10,COUNTIFS(ThongTin!$B$19:$B$48,C625,ThongTin!$A$19:$A$48,ThongTin!$C$8,ThongTin!$C$19:$C$48,"NHAP_NL")&gt;0),1,0))</f>
        <v>0</v>
      </c>
    </row>
    <row r="626" spans="1:8" x14ac:dyDescent="0.25">
      <c r="A626" s="41"/>
      <c r="B626" s="33"/>
      <c r="C626" s="32"/>
      <c r="D626" s="32"/>
      <c r="E626" s="37"/>
      <c r="F626" s="42"/>
      <c r="G626" s="32"/>
      <c r="H626" s="36">
        <f>IF(D626="",0,IF(AND(B626&gt;=ThongTin!$C$9,B626&lt;=ThongTin!$C$10,COUNTIFS(ThongTin!$B$19:$B$48,C626,ThongTin!$A$19:$A$48,ThongTin!$C$8,ThongTin!$C$19:$C$48,"NHAP_NL")&gt;0),1,0))</f>
        <v>0</v>
      </c>
    </row>
    <row r="627" spans="1:8" x14ac:dyDescent="0.25">
      <c r="A627" s="41"/>
      <c r="B627" s="33"/>
      <c r="C627" s="32"/>
      <c r="D627" s="32"/>
      <c r="E627" s="37"/>
      <c r="F627" s="42"/>
      <c r="G627" s="32"/>
      <c r="H627" s="36">
        <f>IF(D627="",0,IF(AND(B627&gt;=ThongTin!$C$9,B627&lt;=ThongTin!$C$10,COUNTIFS(ThongTin!$B$19:$B$48,C627,ThongTin!$A$19:$A$48,ThongTin!$C$8,ThongTin!$C$19:$C$48,"NHAP_NL")&gt;0),1,0))</f>
        <v>0</v>
      </c>
    </row>
    <row r="628" spans="1:8" x14ac:dyDescent="0.25">
      <c r="A628" s="41"/>
      <c r="B628" s="33"/>
      <c r="C628" s="32"/>
      <c r="D628" s="32"/>
      <c r="E628" s="37"/>
      <c r="F628" s="42"/>
      <c r="G628" s="32"/>
      <c r="H628" s="36">
        <f>IF(D628="",0,IF(AND(B628&gt;=ThongTin!$C$9,B628&lt;=ThongTin!$C$10,COUNTIFS(ThongTin!$B$19:$B$48,C628,ThongTin!$A$19:$A$48,ThongTin!$C$8,ThongTin!$C$19:$C$48,"NHAP_NL")&gt;0),1,0))</f>
        <v>0</v>
      </c>
    </row>
    <row r="629" spans="1:8" x14ac:dyDescent="0.25">
      <c r="A629" s="41"/>
      <c r="B629" s="33"/>
      <c r="C629" s="32"/>
      <c r="D629" s="32"/>
      <c r="E629" s="37"/>
      <c r="F629" s="42"/>
      <c r="G629" s="32"/>
      <c r="H629" s="36">
        <f>IF(D629="",0,IF(AND(B629&gt;=ThongTin!$C$9,B629&lt;=ThongTin!$C$10,COUNTIFS(ThongTin!$B$19:$B$48,C629,ThongTin!$A$19:$A$48,ThongTin!$C$8,ThongTin!$C$19:$C$48,"NHAP_NL")&gt;0),1,0))</f>
        <v>0</v>
      </c>
    </row>
    <row r="630" spans="1:8" x14ac:dyDescent="0.25">
      <c r="A630" s="41"/>
      <c r="B630" s="33"/>
      <c r="C630" s="32"/>
      <c r="D630" s="32"/>
      <c r="E630" s="37"/>
      <c r="F630" s="42"/>
      <c r="G630" s="32"/>
      <c r="H630" s="36">
        <f>IF(D630="",0,IF(AND(B630&gt;=ThongTin!$C$9,B630&lt;=ThongTin!$C$10,COUNTIFS(ThongTin!$B$19:$B$48,C630,ThongTin!$A$19:$A$48,ThongTin!$C$8,ThongTin!$C$19:$C$48,"NHAP_NL")&gt;0),1,0))</f>
        <v>0</v>
      </c>
    </row>
    <row r="631" spans="1:8" x14ac:dyDescent="0.25">
      <c r="A631" s="41"/>
      <c r="B631" s="33"/>
      <c r="C631" s="32"/>
      <c r="D631" s="32"/>
      <c r="E631" s="37"/>
      <c r="F631" s="42"/>
      <c r="G631" s="32"/>
      <c r="H631" s="36">
        <f>IF(D631="",0,IF(AND(B631&gt;=ThongTin!$C$9,B631&lt;=ThongTin!$C$10,COUNTIFS(ThongTin!$B$19:$B$48,C631,ThongTin!$A$19:$A$48,ThongTin!$C$8,ThongTin!$C$19:$C$48,"NHAP_NL")&gt;0),1,0))</f>
        <v>0</v>
      </c>
    </row>
    <row r="632" spans="1:8" x14ac:dyDescent="0.25">
      <c r="A632" s="41"/>
      <c r="B632" s="33"/>
      <c r="C632" s="32"/>
      <c r="D632" s="32"/>
      <c r="E632" s="37"/>
      <c r="F632" s="42"/>
      <c r="G632" s="32"/>
      <c r="H632" s="36">
        <f>IF(D632="",0,IF(AND(B632&gt;=ThongTin!$C$9,B632&lt;=ThongTin!$C$10,COUNTIFS(ThongTin!$B$19:$B$48,C632,ThongTin!$A$19:$A$48,ThongTin!$C$8,ThongTin!$C$19:$C$48,"NHAP_NL")&gt;0),1,0))</f>
        <v>0</v>
      </c>
    </row>
    <row r="633" spans="1:8" x14ac:dyDescent="0.25">
      <c r="A633" s="41"/>
      <c r="B633" s="33"/>
      <c r="C633" s="32"/>
      <c r="D633" s="32"/>
      <c r="E633" s="37"/>
      <c r="F633" s="42"/>
      <c r="G633" s="32"/>
      <c r="H633" s="36">
        <f>IF(D633="",0,IF(AND(B633&gt;=ThongTin!$C$9,B633&lt;=ThongTin!$C$10,COUNTIFS(ThongTin!$B$19:$B$48,C633,ThongTin!$A$19:$A$48,ThongTin!$C$8,ThongTin!$C$19:$C$48,"NHAP_NL")&gt;0),1,0))</f>
        <v>0</v>
      </c>
    </row>
    <row r="634" spans="1:8" x14ac:dyDescent="0.25">
      <c r="A634" s="41"/>
      <c r="B634" s="33"/>
      <c r="C634" s="32"/>
      <c r="D634" s="32"/>
      <c r="E634" s="37"/>
      <c r="F634" s="42"/>
      <c r="G634" s="32"/>
      <c r="H634" s="36">
        <f>IF(D634="",0,IF(AND(B634&gt;=ThongTin!$C$9,B634&lt;=ThongTin!$C$10,COUNTIFS(ThongTin!$B$19:$B$48,C634,ThongTin!$A$19:$A$48,ThongTin!$C$8,ThongTin!$C$19:$C$48,"NHAP_NL")&gt;0),1,0))</f>
        <v>0</v>
      </c>
    </row>
    <row r="635" spans="1:8" x14ac:dyDescent="0.25">
      <c r="A635" s="41"/>
      <c r="B635" s="33"/>
      <c r="C635" s="32"/>
      <c r="D635" s="32"/>
      <c r="E635" s="37"/>
      <c r="F635" s="42"/>
      <c r="G635" s="32"/>
      <c r="H635" s="36">
        <f>IF(D635="",0,IF(AND(B635&gt;=ThongTin!$C$9,B635&lt;=ThongTin!$C$10,COUNTIFS(ThongTin!$B$19:$B$48,C635,ThongTin!$A$19:$A$48,ThongTin!$C$8,ThongTin!$C$19:$C$48,"NHAP_NL")&gt;0),1,0))</f>
        <v>0</v>
      </c>
    </row>
    <row r="636" spans="1:8" x14ac:dyDescent="0.25">
      <c r="A636" s="41"/>
      <c r="B636" s="33"/>
      <c r="C636" s="32"/>
      <c r="D636" s="32"/>
      <c r="E636" s="37"/>
      <c r="F636" s="42"/>
      <c r="G636" s="32"/>
      <c r="H636" s="36">
        <f>IF(D636="",0,IF(AND(B636&gt;=ThongTin!$C$9,B636&lt;=ThongTin!$C$10,COUNTIFS(ThongTin!$B$19:$B$48,C636,ThongTin!$A$19:$A$48,ThongTin!$C$8,ThongTin!$C$19:$C$48,"NHAP_NL")&gt;0),1,0))</f>
        <v>0</v>
      </c>
    </row>
    <row r="637" spans="1:8" x14ac:dyDescent="0.25">
      <c r="A637" s="41"/>
      <c r="B637" s="33"/>
      <c r="C637" s="32"/>
      <c r="D637" s="32"/>
      <c r="E637" s="37"/>
      <c r="F637" s="42"/>
      <c r="G637" s="32"/>
      <c r="H637" s="36">
        <f>IF(D637="",0,IF(AND(B637&gt;=ThongTin!$C$9,B637&lt;=ThongTin!$C$10,COUNTIFS(ThongTin!$B$19:$B$48,C637,ThongTin!$A$19:$A$48,ThongTin!$C$8,ThongTin!$C$19:$C$48,"NHAP_NL")&gt;0),1,0))</f>
        <v>0</v>
      </c>
    </row>
    <row r="638" spans="1:8" x14ac:dyDescent="0.25">
      <c r="A638" s="41"/>
      <c r="B638" s="33"/>
      <c r="C638" s="32"/>
      <c r="D638" s="32"/>
      <c r="E638" s="37"/>
      <c r="F638" s="42"/>
      <c r="G638" s="32"/>
      <c r="H638" s="36">
        <f>IF(D638="",0,IF(AND(B638&gt;=ThongTin!$C$9,B638&lt;=ThongTin!$C$10,COUNTIFS(ThongTin!$B$19:$B$48,C638,ThongTin!$A$19:$A$48,ThongTin!$C$8,ThongTin!$C$19:$C$48,"NHAP_NL")&gt;0),1,0))</f>
        <v>0</v>
      </c>
    </row>
    <row r="639" spans="1:8" x14ac:dyDescent="0.25">
      <c r="A639" s="41"/>
      <c r="B639" s="33"/>
      <c r="C639" s="32"/>
      <c r="D639" s="32"/>
      <c r="E639" s="37"/>
      <c r="F639" s="42"/>
      <c r="G639" s="32"/>
      <c r="H639" s="36">
        <f>IF(D639="",0,IF(AND(B639&gt;=ThongTin!$C$9,B639&lt;=ThongTin!$C$10,COUNTIFS(ThongTin!$B$19:$B$48,C639,ThongTin!$A$19:$A$48,ThongTin!$C$8,ThongTin!$C$19:$C$48,"NHAP_NL")&gt;0),1,0))</f>
        <v>0</v>
      </c>
    </row>
    <row r="640" spans="1:8" x14ac:dyDescent="0.25">
      <c r="A640" s="41"/>
      <c r="B640" s="33"/>
      <c r="C640" s="32"/>
      <c r="D640" s="32"/>
      <c r="E640" s="37"/>
      <c r="F640" s="42"/>
      <c r="G640" s="32"/>
      <c r="H640" s="36">
        <f>IF(D640="",0,IF(AND(B640&gt;=ThongTin!$C$9,B640&lt;=ThongTin!$C$10,COUNTIFS(ThongTin!$B$19:$B$48,C640,ThongTin!$A$19:$A$48,ThongTin!$C$8,ThongTin!$C$19:$C$48,"NHAP_NL")&gt;0),1,0))</f>
        <v>0</v>
      </c>
    </row>
    <row r="641" spans="1:8" x14ac:dyDescent="0.25">
      <c r="A641" s="41"/>
      <c r="B641" s="33"/>
      <c r="C641" s="32"/>
      <c r="D641" s="32"/>
      <c r="E641" s="37"/>
      <c r="F641" s="42"/>
      <c r="G641" s="32"/>
      <c r="H641" s="36">
        <f>IF(D641="",0,IF(AND(B641&gt;=ThongTin!$C$9,B641&lt;=ThongTin!$C$10,COUNTIFS(ThongTin!$B$19:$B$48,C641,ThongTin!$A$19:$A$48,ThongTin!$C$8,ThongTin!$C$19:$C$48,"NHAP_NL")&gt;0),1,0))</f>
        <v>0</v>
      </c>
    </row>
    <row r="642" spans="1:8" x14ac:dyDescent="0.25">
      <c r="A642" s="41"/>
      <c r="B642" s="33"/>
      <c r="C642" s="32"/>
      <c r="D642" s="32"/>
      <c r="E642" s="37"/>
      <c r="F642" s="42"/>
      <c r="G642" s="32"/>
      <c r="H642" s="36">
        <f>IF(D642="",0,IF(AND(B642&gt;=ThongTin!$C$9,B642&lt;=ThongTin!$C$10,COUNTIFS(ThongTin!$B$19:$B$48,C642,ThongTin!$A$19:$A$48,ThongTin!$C$8,ThongTin!$C$19:$C$48,"NHAP_NL")&gt;0),1,0))</f>
        <v>0</v>
      </c>
    </row>
    <row r="643" spans="1:8" x14ac:dyDescent="0.25">
      <c r="A643" s="41"/>
      <c r="B643" s="33"/>
      <c r="C643" s="32"/>
      <c r="D643" s="32"/>
      <c r="E643" s="37"/>
      <c r="F643" s="42"/>
      <c r="G643" s="32"/>
      <c r="H643" s="36">
        <f>IF(D643="",0,IF(AND(B643&gt;=ThongTin!$C$9,B643&lt;=ThongTin!$C$10,COUNTIFS(ThongTin!$B$19:$B$48,C643,ThongTin!$A$19:$A$48,ThongTin!$C$8,ThongTin!$C$19:$C$48,"NHAP_NL")&gt;0),1,0))</f>
        <v>0</v>
      </c>
    </row>
    <row r="644" spans="1:8" x14ac:dyDescent="0.25">
      <c r="A644" s="41"/>
      <c r="B644" s="33"/>
      <c r="C644" s="32"/>
      <c r="D644" s="32"/>
      <c r="E644" s="37"/>
      <c r="F644" s="42"/>
      <c r="G644" s="32"/>
      <c r="H644" s="36">
        <f>IF(D644="",0,IF(AND(B644&gt;=ThongTin!$C$9,B644&lt;=ThongTin!$C$10,COUNTIFS(ThongTin!$B$19:$B$48,C644,ThongTin!$A$19:$A$48,ThongTin!$C$8,ThongTin!$C$19:$C$48,"NHAP_NL")&gt;0),1,0))</f>
        <v>0</v>
      </c>
    </row>
    <row r="645" spans="1:8" x14ac:dyDescent="0.25">
      <c r="A645" s="41"/>
      <c r="B645" s="33"/>
      <c r="C645" s="32"/>
      <c r="D645" s="32"/>
      <c r="E645" s="37"/>
      <c r="F645" s="42"/>
      <c r="G645" s="32"/>
      <c r="H645" s="36">
        <f>IF(D645="",0,IF(AND(B645&gt;=ThongTin!$C$9,B645&lt;=ThongTin!$C$10,COUNTIFS(ThongTin!$B$19:$B$48,C645,ThongTin!$A$19:$A$48,ThongTin!$C$8,ThongTin!$C$19:$C$48,"NHAP_NL")&gt;0),1,0))</f>
        <v>0</v>
      </c>
    </row>
    <row r="646" spans="1:8" x14ac:dyDescent="0.25">
      <c r="A646" s="41"/>
      <c r="B646" s="33"/>
      <c r="C646" s="32"/>
      <c r="D646" s="32"/>
      <c r="E646" s="37"/>
      <c r="F646" s="42"/>
      <c r="G646" s="32"/>
      <c r="H646" s="36">
        <f>IF(D646="",0,IF(AND(B646&gt;=ThongTin!$C$9,B646&lt;=ThongTin!$C$10,COUNTIFS(ThongTin!$B$19:$B$48,C646,ThongTin!$A$19:$A$48,ThongTin!$C$8,ThongTin!$C$19:$C$48,"NHAP_NL")&gt;0),1,0))</f>
        <v>0</v>
      </c>
    </row>
    <row r="647" spans="1:8" x14ac:dyDescent="0.25">
      <c r="A647" s="41"/>
      <c r="B647" s="33"/>
      <c r="C647" s="32"/>
      <c r="D647" s="32"/>
      <c r="E647" s="37"/>
      <c r="F647" s="42"/>
      <c r="G647" s="32"/>
      <c r="H647" s="36">
        <f>IF(D647="",0,IF(AND(B647&gt;=ThongTin!$C$9,B647&lt;=ThongTin!$C$10,COUNTIFS(ThongTin!$B$19:$B$48,C647,ThongTin!$A$19:$A$48,ThongTin!$C$8,ThongTin!$C$19:$C$48,"NHAP_NL")&gt;0),1,0))</f>
        <v>0</v>
      </c>
    </row>
    <row r="648" spans="1:8" x14ac:dyDescent="0.25">
      <c r="A648" s="41"/>
      <c r="B648" s="33"/>
      <c r="C648" s="32"/>
      <c r="D648" s="32"/>
      <c r="E648" s="37"/>
      <c r="F648" s="42"/>
      <c r="G648" s="32"/>
      <c r="H648" s="36">
        <f>IF(D648="",0,IF(AND(B648&gt;=ThongTin!$C$9,B648&lt;=ThongTin!$C$10,COUNTIFS(ThongTin!$B$19:$B$48,C648,ThongTin!$A$19:$A$48,ThongTin!$C$8,ThongTin!$C$19:$C$48,"NHAP_NL")&gt;0),1,0))</f>
        <v>0</v>
      </c>
    </row>
    <row r="649" spans="1:8" x14ac:dyDescent="0.25">
      <c r="A649" s="41"/>
      <c r="B649" s="33"/>
      <c r="C649" s="32"/>
      <c r="D649" s="32"/>
      <c r="E649" s="37"/>
      <c r="F649" s="42"/>
      <c r="G649" s="32"/>
      <c r="H649" s="36">
        <f>IF(D649="",0,IF(AND(B649&gt;=ThongTin!$C$9,B649&lt;=ThongTin!$C$10,COUNTIFS(ThongTin!$B$19:$B$48,C649,ThongTin!$A$19:$A$48,ThongTin!$C$8,ThongTin!$C$19:$C$48,"NHAP_NL")&gt;0),1,0))</f>
        <v>0</v>
      </c>
    </row>
    <row r="650" spans="1:8" x14ac:dyDescent="0.25">
      <c r="A650" s="41"/>
      <c r="B650" s="33"/>
      <c r="C650" s="32"/>
      <c r="D650" s="32"/>
      <c r="E650" s="37"/>
      <c r="F650" s="42"/>
      <c r="G650" s="32"/>
      <c r="H650" s="36">
        <f>IF(D650="",0,IF(AND(B650&gt;=ThongTin!$C$9,B650&lt;=ThongTin!$C$10,COUNTIFS(ThongTin!$B$19:$B$48,C650,ThongTin!$A$19:$A$48,ThongTin!$C$8,ThongTin!$C$19:$C$48,"NHAP_NL")&gt;0),1,0))</f>
        <v>0</v>
      </c>
    </row>
    <row r="651" spans="1:8" x14ac:dyDescent="0.25">
      <c r="A651" s="41"/>
      <c r="B651" s="33"/>
      <c r="C651" s="32"/>
      <c r="D651" s="32"/>
      <c r="E651" s="37"/>
      <c r="F651" s="42"/>
      <c r="G651" s="32"/>
      <c r="H651" s="36">
        <f>IF(D651="",0,IF(AND(B651&gt;=ThongTin!$C$9,B651&lt;=ThongTin!$C$10,COUNTIFS(ThongTin!$B$19:$B$48,C651,ThongTin!$A$19:$A$48,ThongTin!$C$8,ThongTin!$C$19:$C$48,"NHAP_NL")&gt;0),1,0))</f>
        <v>0</v>
      </c>
    </row>
    <row r="652" spans="1:8" x14ac:dyDescent="0.25">
      <c r="A652" s="41"/>
      <c r="B652" s="33"/>
      <c r="C652" s="32"/>
      <c r="D652" s="32"/>
      <c r="E652" s="37"/>
      <c r="F652" s="42"/>
      <c r="G652" s="32"/>
      <c r="H652" s="36">
        <f>IF(D652="",0,IF(AND(B652&gt;=ThongTin!$C$9,B652&lt;=ThongTin!$C$10,COUNTIFS(ThongTin!$B$19:$B$48,C652,ThongTin!$A$19:$A$48,ThongTin!$C$8,ThongTin!$C$19:$C$48,"NHAP_NL")&gt;0),1,0))</f>
        <v>0</v>
      </c>
    </row>
    <row r="653" spans="1:8" x14ac:dyDescent="0.25">
      <c r="A653" s="41"/>
      <c r="B653" s="33"/>
      <c r="C653" s="32"/>
      <c r="D653" s="32"/>
      <c r="E653" s="37"/>
      <c r="F653" s="42"/>
      <c r="G653" s="32"/>
      <c r="H653" s="36">
        <f>IF(D653="",0,IF(AND(B653&gt;=ThongTin!$C$9,B653&lt;=ThongTin!$C$10,COUNTIFS(ThongTin!$B$19:$B$48,C653,ThongTin!$A$19:$A$48,ThongTin!$C$8,ThongTin!$C$19:$C$48,"NHAP_NL")&gt;0),1,0))</f>
        <v>0</v>
      </c>
    </row>
    <row r="654" spans="1:8" x14ac:dyDescent="0.25">
      <c r="A654" s="41"/>
      <c r="B654" s="33"/>
      <c r="C654" s="32"/>
      <c r="D654" s="32"/>
      <c r="E654" s="37"/>
      <c r="F654" s="42"/>
      <c r="G654" s="32"/>
      <c r="H654" s="36">
        <f>IF(D654="",0,IF(AND(B654&gt;=ThongTin!$C$9,B654&lt;=ThongTin!$C$10,COUNTIFS(ThongTin!$B$19:$B$48,C654,ThongTin!$A$19:$A$48,ThongTin!$C$8,ThongTin!$C$19:$C$48,"NHAP_NL")&gt;0),1,0))</f>
        <v>0</v>
      </c>
    </row>
    <row r="655" spans="1:8" x14ac:dyDescent="0.25">
      <c r="A655" s="41"/>
      <c r="B655" s="33"/>
      <c r="C655" s="32"/>
      <c r="D655" s="32"/>
      <c r="E655" s="37"/>
      <c r="F655" s="42"/>
      <c r="G655" s="32"/>
      <c r="H655" s="36">
        <f>IF(D655="",0,IF(AND(B655&gt;=ThongTin!$C$9,B655&lt;=ThongTin!$C$10,COUNTIFS(ThongTin!$B$19:$B$48,C655,ThongTin!$A$19:$A$48,ThongTin!$C$8,ThongTin!$C$19:$C$48,"NHAP_NL")&gt;0),1,0))</f>
        <v>0</v>
      </c>
    </row>
    <row r="656" spans="1:8" x14ac:dyDescent="0.25">
      <c r="A656" s="41"/>
      <c r="B656" s="33"/>
      <c r="C656" s="32"/>
      <c r="D656" s="32"/>
      <c r="E656" s="37"/>
      <c r="F656" s="42"/>
      <c r="G656" s="32"/>
      <c r="H656" s="36">
        <f>IF(D656="",0,IF(AND(B656&gt;=ThongTin!$C$9,B656&lt;=ThongTin!$C$10,COUNTIFS(ThongTin!$B$19:$B$48,C656,ThongTin!$A$19:$A$48,ThongTin!$C$8,ThongTin!$C$19:$C$48,"NHAP_NL")&gt;0),1,0))</f>
        <v>0</v>
      </c>
    </row>
    <row r="657" spans="1:8" x14ac:dyDescent="0.25">
      <c r="A657" s="41"/>
      <c r="B657" s="33"/>
      <c r="C657" s="32"/>
      <c r="D657" s="32"/>
      <c r="E657" s="37"/>
      <c r="F657" s="42"/>
      <c r="G657" s="32"/>
      <c r="H657" s="36">
        <f>IF(D657="",0,IF(AND(B657&gt;=ThongTin!$C$9,B657&lt;=ThongTin!$C$10,COUNTIFS(ThongTin!$B$19:$B$48,C657,ThongTin!$A$19:$A$48,ThongTin!$C$8,ThongTin!$C$19:$C$48,"NHAP_NL")&gt;0),1,0))</f>
        <v>0</v>
      </c>
    </row>
    <row r="658" spans="1:8" x14ac:dyDescent="0.25">
      <c r="A658" s="41"/>
      <c r="B658" s="33"/>
      <c r="C658" s="32"/>
      <c r="D658" s="32"/>
      <c r="E658" s="37"/>
      <c r="F658" s="42"/>
      <c r="G658" s="32"/>
      <c r="H658" s="36">
        <f>IF(D658="",0,IF(AND(B658&gt;=ThongTin!$C$9,B658&lt;=ThongTin!$C$10,COUNTIFS(ThongTin!$B$19:$B$48,C658,ThongTin!$A$19:$A$48,ThongTin!$C$8,ThongTin!$C$19:$C$48,"NHAP_NL")&gt;0),1,0))</f>
        <v>0</v>
      </c>
    </row>
    <row r="659" spans="1:8" x14ac:dyDescent="0.25">
      <c r="A659" s="41"/>
      <c r="B659" s="33"/>
      <c r="C659" s="32"/>
      <c r="D659" s="32"/>
      <c r="E659" s="37"/>
      <c r="F659" s="42"/>
      <c r="G659" s="32"/>
      <c r="H659" s="36">
        <f>IF(D659="",0,IF(AND(B659&gt;=ThongTin!$C$9,B659&lt;=ThongTin!$C$10,COUNTIFS(ThongTin!$B$19:$B$48,C659,ThongTin!$A$19:$A$48,ThongTin!$C$8,ThongTin!$C$19:$C$48,"NHAP_NL")&gt;0),1,0))</f>
        <v>0</v>
      </c>
    </row>
    <row r="660" spans="1:8" x14ac:dyDescent="0.25">
      <c r="A660" s="41"/>
      <c r="B660" s="33"/>
      <c r="C660" s="32"/>
      <c r="D660" s="32"/>
      <c r="E660" s="37"/>
      <c r="F660" s="42"/>
      <c r="G660" s="32"/>
      <c r="H660" s="36">
        <f>IF(D660="",0,IF(AND(B660&gt;=ThongTin!$C$9,B660&lt;=ThongTin!$C$10,COUNTIFS(ThongTin!$B$19:$B$48,C660,ThongTin!$A$19:$A$48,ThongTin!$C$8,ThongTin!$C$19:$C$48,"NHAP_NL")&gt;0),1,0))</f>
        <v>0</v>
      </c>
    </row>
    <row r="661" spans="1:8" x14ac:dyDescent="0.25">
      <c r="A661" s="41"/>
      <c r="B661" s="33"/>
      <c r="C661" s="32"/>
      <c r="D661" s="32"/>
      <c r="E661" s="37"/>
      <c r="F661" s="42"/>
      <c r="G661" s="32"/>
      <c r="H661" s="36">
        <f>IF(D661="",0,IF(AND(B661&gt;=ThongTin!$C$9,B661&lt;=ThongTin!$C$10,COUNTIFS(ThongTin!$B$19:$B$48,C661,ThongTin!$A$19:$A$48,ThongTin!$C$8,ThongTin!$C$19:$C$48,"NHAP_NL")&gt;0),1,0))</f>
        <v>0</v>
      </c>
    </row>
    <row r="662" spans="1:8" x14ac:dyDescent="0.25">
      <c r="A662" s="41"/>
      <c r="B662" s="33"/>
      <c r="C662" s="32"/>
      <c r="D662" s="32"/>
      <c r="E662" s="37"/>
      <c r="F662" s="42"/>
      <c r="G662" s="32"/>
      <c r="H662" s="36">
        <f>IF(D662="",0,IF(AND(B662&gt;=ThongTin!$C$9,B662&lt;=ThongTin!$C$10,COUNTIFS(ThongTin!$B$19:$B$48,C662,ThongTin!$A$19:$A$48,ThongTin!$C$8,ThongTin!$C$19:$C$48,"NHAP_NL")&gt;0),1,0))</f>
        <v>0</v>
      </c>
    </row>
    <row r="663" spans="1:8" x14ac:dyDescent="0.25">
      <c r="A663" s="41"/>
      <c r="B663" s="33"/>
      <c r="C663" s="32"/>
      <c r="D663" s="32"/>
      <c r="E663" s="37"/>
      <c r="F663" s="42"/>
      <c r="G663" s="32"/>
      <c r="H663" s="36">
        <f>IF(D663="",0,IF(AND(B663&gt;=ThongTin!$C$9,B663&lt;=ThongTin!$C$10,COUNTIFS(ThongTin!$B$19:$B$48,C663,ThongTin!$A$19:$A$48,ThongTin!$C$8,ThongTin!$C$19:$C$48,"NHAP_NL")&gt;0),1,0))</f>
        <v>0</v>
      </c>
    </row>
    <row r="664" spans="1:8" x14ac:dyDescent="0.25">
      <c r="A664" s="41"/>
      <c r="B664" s="33"/>
      <c r="C664" s="32"/>
      <c r="D664" s="32"/>
      <c r="E664" s="37"/>
      <c r="F664" s="42"/>
      <c r="G664" s="32"/>
      <c r="H664" s="36">
        <f>IF(D664="",0,IF(AND(B664&gt;=ThongTin!$C$9,B664&lt;=ThongTin!$C$10,COUNTIFS(ThongTin!$B$19:$B$48,C664,ThongTin!$A$19:$A$48,ThongTin!$C$8,ThongTin!$C$19:$C$48,"NHAP_NL")&gt;0),1,0))</f>
        <v>0</v>
      </c>
    </row>
    <row r="665" spans="1:8" x14ac:dyDescent="0.25">
      <c r="A665" s="41"/>
      <c r="B665" s="33"/>
      <c r="C665" s="32"/>
      <c r="D665" s="32"/>
      <c r="E665" s="37"/>
      <c r="F665" s="42"/>
      <c r="G665" s="32"/>
      <c r="H665" s="36">
        <f>IF(D665="",0,IF(AND(B665&gt;=ThongTin!$C$9,B665&lt;=ThongTin!$C$10,COUNTIFS(ThongTin!$B$19:$B$48,C665,ThongTin!$A$19:$A$48,ThongTin!$C$8,ThongTin!$C$19:$C$48,"NHAP_NL")&gt;0),1,0))</f>
        <v>0</v>
      </c>
    </row>
    <row r="666" spans="1:8" x14ac:dyDescent="0.25">
      <c r="A666" s="41"/>
      <c r="B666" s="33"/>
      <c r="C666" s="32"/>
      <c r="D666" s="32"/>
      <c r="E666" s="37"/>
      <c r="F666" s="42"/>
      <c r="G666" s="32"/>
      <c r="H666" s="36">
        <f>IF(D666="",0,IF(AND(B666&gt;=ThongTin!$C$9,B666&lt;=ThongTin!$C$10,COUNTIFS(ThongTin!$B$19:$B$48,C666,ThongTin!$A$19:$A$48,ThongTin!$C$8,ThongTin!$C$19:$C$48,"NHAP_NL")&gt;0),1,0))</f>
        <v>0</v>
      </c>
    </row>
    <row r="667" spans="1:8" x14ac:dyDescent="0.25">
      <c r="A667" s="41"/>
      <c r="B667" s="33"/>
      <c r="C667" s="32"/>
      <c r="D667" s="32"/>
      <c r="E667" s="37"/>
      <c r="F667" s="42"/>
      <c r="G667" s="32"/>
      <c r="H667" s="36">
        <f>IF(D667="",0,IF(AND(B667&gt;=ThongTin!$C$9,B667&lt;=ThongTin!$C$10,COUNTIFS(ThongTin!$B$19:$B$48,C667,ThongTin!$A$19:$A$48,ThongTin!$C$8,ThongTin!$C$19:$C$48,"NHAP_NL")&gt;0),1,0))</f>
        <v>0</v>
      </c>
    </row>
    <row r="668" spans="1:8" x14ac:dyDescent="0.25">
      <c r="A668" s="41"/>
      <c r="B668" s="33"/>
      <c r="C668" s="32"/>
      <c r="D668" s="32"/>
      <c r="E668" s="37"/>
      <c r="F668" s="42"/>
      <c r="G668" s="32"/>
      <c r="H668" s="36">
        <f>IF(D668="",0,IF(AND(B668&gt;=ThongTin!$C$9,B668&lt;=ThongTin!$C$10,COUNTIFS(ThongTin!$B$19:$B$48,C668,ThongTin!$A$19:$A$48,ThongTin!$C$8,ThongTin!$C$19:$C$48,"NHAP_NL")&gt;0),1,0))</f>
        <v>0</v>
      </c>
    </row>
    <row r="669" spans="1:8" x14ac:dyDescent="0.25">
      <c r="A669" s="41"/>
      <c r="B669" s="33"/>
      <c r="C669" s="32"/>
      <c r="D669" s="32"/>
      <c r="E669" s="37"/>
      <c r="F669" s="42"/>
      <c r="G669" s="32"/>
      <c r="H669" s="36">
        <f>IF(D669="",0,IF(AND(B669&gt;=ThongTin!$C$9,B669&lt;=ThongTin!$C$10,COUNTIFS(ThongTin!$B$19:$B$48,C669,ThongTin!$A$19:$A$48,ThongTin!$C$8,ThongTin!$C$19:$C$48,"NHAP_NL")&gt;0),1,0))</f>
        <v>0</v>
      </c>
    </row>
    <row r="670" spans="1:8" x14ac:dyDescent="0.25">
      <c r="A670" s="41"/>
      <c r="B670" s="33"/>
      <c r="C670" s="32"/>
      <c r="D670" s="32"/>
      <c r="E670" s="37"/>
      <c r="F670" s="42"/>
      <c r="G670" s="32"/>
      <c r="H670" s="36">
        <f>IF(D670="",0,IF(AND(B670&gt;=ThongTin!$C$9,B670&lt;=ThongTin!$C$10,COUNTIFS(ThongTin!$B$19:$B$48,C670,ThongTin!$A$19:$A$48,ThongTin!$C$8,ThongTin!$C$19:$C$48,"NHAP_NL")&gt;0),1,0))</f>
        <v>0</v>
      </c>
    </row>
    <row r="671" spans="1:8" x14ac:dyDescent="0.25">
      <c r="A671" s="41"/>
      <c r="B671" s="33"/>
      <c r="C671" s="32"/>
      <c r="D671" s="32"/>
      <c r="E671" s="37"/>
      <c r="F671" s="42"/>
      <c r="G671" s="32"/>
      <c r="H671" s="36">
        <f>IF(D671="",0,IF(AND(B671&gt;=ThongTin!$C$9,B671&lt;=ThongTin!$C$10,COUNTIFS(ThongTin!$B$19:$B$48,C671,ThongTin!$A$19:$A$48,ThongTin!$C$8,ThongTin!$C$19:$C$48,"NHAP_NL")&gt;0),1,0))</f>
        <v>0</v>
      </c>
    </row>
    <row r="672" spans="1:8" x14ac:dyDescent="0.25">
      <c r="A672" s="41"/>
      <c r="B672" s="33"/>
      <c r="C672" s="32"/>
      <c r="D672" s="32"/>
      <c r="E672" s="37"/>
      <c r="F672" s="42"/>
      <c r="G672" s="32"/>
      <c r="H672" s="36">
        <f>IF(D672="",0,IF(AND(B672&gt;=ThongTin!$C$9,B672&lt;=ThongTin!$C$10,COUNTIFS(ThongTin!$B$19:$B$48,C672,ThongTin!$A$19:$A$48,ThongTin!$C$8,ThongTin!$C$19:$C$48,"NHAP_NL")&gt;0),1,0))</f>
        <v>0</v>
      </c>
    </row>
    <row r="673" spans="1:8" x14ac:dyDescent="0.25">
      <c r="A673" s="41"/>
      <c r="B673" s="33"/>
      <c r="C673" s="32"/>
      <c r="D673" s="32"/>
      <c r="E673" s="37"/>
      <c r="F673" s="42"/>
      <c r="G673" s="32"/>
      <c r="H673" s="36">
        <f>IF(D673="",0,IF(AND(B673&gt;=ThongTin!$C$9,B673&lt;=ThongTin!$C$10,COUNTIFS(ThongTin!$B$19:$B$48,C673,ThongTin!$A$19:$A$48,ThongTin!$C$8,ThongTin!$C$19:$C$48,"NHAP_NL")&gt;0),1,0))</f>
        <v>0</v>
      </c>
    </row>
    <row r="674" spans="1:8" x14ac:dyDescent="0.25">
      <c r="A674" s="41"/>
      <c r="B674" s="33"/>
      <c r="C674" s="32"/>
      <c r="D674" s="32"/>
      <c r="E674" s="37"/>
      <c r="F674" s="42"/>
      <c r="G674" s="32"/>
      <c r="H674" s="36">
        <f>IF(D674="",0,IF(AND(B674&gt;=ThongTin!$C$9,B674&lt;=ThongTin!$C$10,COUNTIFS(ThongTin!$B$19:$B$48,C674,ThongTin!$A$19:$A$48,ThongTin!$C$8,ThongTin!$C$19:$C$48,"NHAP_NL")&gt;0),1,0))</f>
        <v>0</v>
      </c>
    </row>
    <row r="675" spans="1:8" x14ac:dyDescent="0.25">
      <c r="A675" s="41"/>
      <c r="B675" s="33"/>
      <c r="C675" s="32"/>
      <c r="D675" s="32"/>
      <c r="E675" s="37"/>
      <c r="F675" s="42"/>
      <c r="G675" s="32"/>
      <c r="H675" s="36">
        <f>IF(D675="",0,IF(AND(B675&gt;=ThongTin!$C$9,B675&lt;=ThongTin!$C$10,COUNTIFS(ThongTin!$B$19:$B$48,C675,ThongTin!$A$19:$A$48,ThongTin!$C$8,ThongTin!$C$19:$C$48,"NHAP_NL")&gt;0),1,0))</f>
        <v>0</v>
      </c>
    </row>
    <row r="676" spans="1:8" x14ac:dyDescent="0.25">
      <c r="A676" s="41"/>
      <c r="B676" s="33"/>
      <c r="C676" s="32"/>
      <c r="D676" s="32"/>
      <c r="E676" s="37"/>
      <c r="F676" s="42"/>
      <c r="G676" s="32"/>
      <c r="H676" s="36">
        <f>IF(D676="",0,IF(AND(B676&gt;=ThongTin!$C$9,B676&lt;=ThongTin!$C$10,COUNTIFS(ThongTin!$B$19:$B$48,C676,ThongTin!$A$19:$A$48,ThongTin!$C$8,ThongTin!$C$19:$C$48,"NHAP_NL")&gt;0),1,0))</f>
        <v>0</v>
      </c>
    </row>
    <row r="677" spans="1:8" x14ac:dyDescent="0.25">
      <c r="A677" s="41"/>
      <c r="B677" s="33"/>
      <c r="C677" s="32"/>
      <c r="D677" s="32"/>
      <c r="E677" s="37"/>
      <c r="F677" s="42"/>
      <c r="G677" s="32"/>
      <c r="H677" s="36">
        <f>IF(D677="",0,IF(AND(B677&gt;=ThongTin!$C$9,B677&lt;=ThongTin!$C$10,COUNTIFS(ThongTin!$B$19:$B$48,C677,ThongTin!$A$19:$A$48,ThongTin!$C$8,ThongTin!$C$19:$C$48,"NHAP_NL")&gt;0),1,0))</f>
        <v>0</v>
      </c>
    </row>
    <row r="678" spans="1:8" x14ac:dyDescent="0.25">
      <c r="A678" s="41"/>
      <c r="B678" s="33"/>
      <c r="C678" s="32"/>
      <c r="D678" s="32"/>
      <c r="E678" s="37"/>
      <c r="F678" s="42"/>
      <c r="G678" s="32"/>
      <c r="H678" s="36">
        <f>IF(D678="",0,IF(AND(B678&gt;=ThongTin!$C$9,B678&lt;=ThongTin!$C$10,COUNTIFS(ThongTin!$B$19:$B$48,C678,ThongTin!$A$19:$A$48,ThongTin!$C$8,ThongTin!$C$19:$C$48,"NHAP_NL")&gt;0),1,0))</f>
        <v>0</v>
      </c>
    </row>
    <row r="679" spans="1:8" x14ac:dyDescent="0.25">
      <c r="A679" s="41"/>
      <c r="B679" s="33"/>
      <c r="C679" s="32"/>
      <c r="D679" s="32"/>
      <c r="E679" s="37"/>
      <c r="F679" s="42"/>
      <c r="G679" s="32"/>
      <c r="H679" s="36">
        <f>IF(D679="",0,IF(AND(B679&gt;=ThongTin!$C$9,B679&lt;=ThongTin!$C$10,COUNTIFS(ThongTin!$B$19:$B$48,C679,ThongTin!$A$19:$A$48,ThongTin!$C$8,ThongTin!$C$19:$C$48,"NHAP_NL")&gt;0),1,0))</f>
        <v>0</v>
      </c>
    </row>
    <row r="680" spans="1:8" x14ac:dyDescent="0.25">
      <c r="A680" s="41"/>
      <c r="B680" s="33"/>
      <c r="C680" s="32"/>
      <c r="D680" s="32"/>
      <c r="E680" s="37"/>
      <c r="F680" s="42"/>
      <c r="G680" s="32"/>
      <c r="H680" s="36">
        <f>IF(D680="",0,IF(AND(B680&gt;=ThongTin!$C$9,B680&lt;=ThongTin!$C$10,COUNTIFS(ThongTin!$B$19:$B$48,C680,ThongTin!$A$19:$A$48,ThongTin!$C$8,ThongTin!$C$19:$C$48,"NHAP_NL")&gt;0),1,0))</f>
        <v>0</v>
      </c>
    </row>
    <row r="681" spans="1:8" x14ac:dyDescent="0.25">
      <c r="A681" s="41"/>
      <c r="B681" s="33"/>
      <c r="C681" s="32"/>
      <c r="D681" s="32"/>
      <c r="E681" s="37"/>
      <c r="F681" s="42"/>
      <c r="G681" s="32"/>
      <c r="H681" s="36">
        <f>IF(D681="",0,IF(AND(B681&gt;=ThongTin!$C$9,B681&lt;=ThongTin!$C$10,COUNTIFS(ThongTin!$B$19:$B$48,C681,ThongTin!$A$19:$A$48,ThongTin!$C$8,ThongTin!$C$19:$C$48,"NHAP_NL")&gt;0),1,0))</f>
        <v>0</v>
      </c>
    </row>
    <row r="682" spans="1:8" x14ac:dyDescent="0.25">
      <c r="A682" s="41"/>
      <c r="B682" s="33"/>
      <c r="C682" s="32"/>
      <c r="D682" s="32"/>
      <c r="E682" s="37"/>
      <c r="F682" s="42"/>
      <c r="G682" s="32"/>
      <c r="H682" s="36">
        <f>IF(D682="",0,IF(AND(B682&gt;=ThongTin!$C$9,B682&lt;=ThongTin!$C$10,COUNTIFS(ThongTin!$B$19:$B$48,C682,ThongTin!$A$19:$A$48,ThongTin!$C$8,ThongTin!$C$19:$C$48,"NHAP_NL")&gt;0),1,0))</f>
        <v>0</v>
      </c>
    </row>
    <row r="683" spans="1:8" x14ac:dyDescent="0.25">
      <c r="A683" s="41"/>
      <c r="B683" s="33"/>
      <c r="C683" s="32"/>
      <c r="D683" s="32"/>
      <c r="E683" s="37"/>
      <c r="F683" s="42"/>
      <c r="G683" s="32"/>
      <c r="H683" s="36">
        <f>IF(D683="",0,IF(AND(B683&gt;=ThongTin!$C$9,B683&lt;=ThongTin!$C$10,COUNTIFS(ThongTin!$B$19:$B$48,C683,ThongTin!$A$19:$A$48,ThongTin!$C$8,ThongTin!$C$19:$C$48,"NHAP_NL")&gt;0),1,0))</f>
        <v>0</v>
      </c>
    </row>
    <row r="684" spans="1:8" x14ac:dyDescent="0.25">
      <c r="A684" s="41"/>
      <c r="B684" s="33"/>
      <c r="C684" s="32"/>
      <c r="D684" s="32"/>
      <c r="E684" s="37"/>
      <c r="F684" s="42"/>
      <c r="G684" s="32"/>
      <c r="H684" s="36">
        <f>IF(D684="",0,IF(AND(B684&gt;=ThongTin!$C$9,B684&lt;=ThongTin!$C$10,COUNTIFS(ThongTin!$B$19:$B$48,C684,ThongTin!$A$19:$A$48,ThongTin!$C$8,ThongTin!$C$19:$C$48,"NHAP_NL")&gt;0),1,0))</f>
        <v>0</v>
      </c>
    </row>
    <row r="685" spans="1:8" x14ac:dyDescent="0.25">
      <c r="A685" s="41"/>
      <c r="B685" s="33"/>
      <c r="C685" s="32"/>
      <c r="D685" s="32"/>
      <c r="E685" s="37"/>
      <c r="F685" s="42"/>
      <c r="G685" s="32"/>
      <c r="H685" s="36">
        <f>IF(D685="",0,IF(AND(B685&gt;=ThongTin!$C$9,B685&lt;=ThongTin!$C$10,COUNTIFS(ThongTin!$B$19:$B$48,C685,ThongTin!$A$19:$A$48,ThongTin!$C$8,ThongTin!$C$19:$C$48,"NHAP_NL")&gt;0),1,0))</f>
        <v>0</v>
      </c>
    </row>
    <row r="686" spans="1:8" x14ac:dyDescent="0.25">
      <c r="A686" s="41"/>
      <c r="B686" s="33"/>
      <c r="C686" s="32"/>
      <c r="D686" s="32"/>
      <c r="E686" s="37"/>
      <c r="F686" s="42"/>
      <c r="G686" s="32"/>
      <c r="H686" s="36">
        <f>IF(D686="",0,IF(AND(B686&gt;=ThongTin!$C$9,B686&lt;=ThongTin!$C$10,COUNTIFS(ThongTin!$B$19:$B$48,C686,ThongTin!$A$19:$A$48,ThongTin!$C$8,ThongTin!$C$19:$C$48,"NHAP_NL")&gt;0),1,0))</f>
        <v>0</v>
      </c>
    </row>
    <row r="687" spans="1:8" x14ac:dyDescent="0.25">
      <c r="A687" s="41"/>
      <c r="B687" s="33"/>
      <c r="C687" s="32"/>
      <c r="D687" s="32"/>
      <c r="E687" s="37"/>
      <c r="F687" s="42"/>
      <c r="G687" s="32"/>
      <c r="H687" s="36">
        <f>IF(D687="",0,IF(AND(B687&gt;=ThongTin!$C$9,B687&lt;=ThongTin!$C$10,COUNTIFS(ThongTin!$B$19:$B$48,C687,ThongTin!$A$19:$A$48,ThongTin!$C$8,ThongTin!$C$19:$C$48,"NHAP_NL")&gt;0),1,0))</f>
        <v>0</v>
      </c>
    </row>
    <row r="688" spans="1:8" x14ac:dyDescent="0.25">
      <c r="A688" s="41"/>
      <c r="B688" s="33"/>
      <c r="C688" s="32"/>
      <c r="D688" s="32"/>
      <c r="E688" s="37"/>
      <c r="F688" s="42"/>
      <c r="G688" s="32"/>
      <c r="H688" s="36">
        <f>IF(D688="",0,IF(AND(B688&gt;=ThongTin!$C$9,B688&lt;=ThongTin!$C$10,COUNTIFS(ThongTin!$B$19:$B$48,C688,ThongTin!$A$19:$A$48,ThongTin!$C$8,ThongTin!$C$19:$C$48,"NHAP_NL")&gt;0),1,0))</f>
        <v>0</v>
      </c>
    </row>
    <row r="689" spans="1:8" x14ac:dyDescent="0.25">
      <c r="A689" s="41"/>
      <c r="B689" s="33"/>
      <c r="C689" s="32"/>
      <c r="D689" s="32"/>
      <c r="E689" s="37"/>
      <c r="F689" s="42"/>
      <c r="G689" s="32"/>
      <c r="H689" s="36">
        <f>IF(D689="",0,IF(AND(B689&gt;=ThongTin!$C$9,B689&lt;=ThongTin!$C$10,COUNTIFS(ThongTin!$B$19:$B$48,C689,ThongTin!$A$19:$A$48,ThongTin!$C$8,ThongTin!$C$19:$C$48,"NHAP_NL")&gt;0),1,0))</f>
        <v>0</v>
      </c>
    </row>
    <row r="690" spans="1:8" x14ac:dyDescent="0.25">
      <c r="A690" s="41"/>
      <c r="B690" s="33"/>
      <c r="C690" s="32"/>
      <c r="D690" s="32"/>
      <c r="E690" s="37"/>
      <c r="F690" s="42"/>
      <c r="G690" s="32"/>
      <c r="H690" s="36">
        <f>IF(D690="",0,IF(AND(B690&gt;=ThongTin!$C$9,B690&lt;=ThongTin!$C$10,COUNTIFS(ThongTin!$B$19:$B$48,C690,ThongTin!$A$19:$A$48,ThongTin!$C$8,ThongTin!$C$19:$C$48,"NHAP_NL")&gt;0),1,0))</f>
        <v>0</v>
      </c>
    </row>
    <row r="691" spans="1:8" x14ac:dyDescent="0.25">
      <c r="A691" s="41"/>
      <c r="B691" s="33"/>
      <c r="C691" s="32"/>
      <c r="D691" s="32"/>
      <c r="E691" s="37"/>
      <c r="F691" s="42"/>
      <c r="G691" s="32"/>
      <c r="H691" s="36">
        <f>IF(D691="",0,IF(AND(B691&gt;=ThongTin!$C$9,B691&lt;=ThongTin!$C$10,COUNTIFS(ThongTin!$B$19:$B$48,C691,ThongTin!$A$19:$A$48,ThongTin!$C$8,ThongTin!$C$19:$C$48,"NHAP_NL")&gt;0),1,0))</f>
        <v>0</v>
      </c>
    </row>
    <row r="692" spans="1:8" x14ac:dyDescent="0.25">
      <c r="A692" s="41"/>
      <c r="B692" s="33"/>
      <c r="C692" s="32"/>
      <c r="D692" s="32"/>
      <c r="E692" s="37"/>
      <c r="F692" s="42"/>
      <c r="G692" s="32"/>
      <c r="H692" s="36">
        <f>IF(D692="",0,IF(AND(B692&gt;=ThongTin!$C$9,B692&lt;=ThongTin!$C$10,COUNTIFS(ThongTin!$B$19:$B$48,C692,ThongTin!$A$19:$A$48,ThongTin!$C$8,ThongTin!$C$19:$C$48,"NHAP_NL")&gt;0),1,0))</f>
        <v>0</v>
      </c>
    </row>
    <row r="693" spans="1:8" x14ac:dyDescent="0.25">
      <c r="A693" s="41"/>
      <c r="B693" s="33"/>
      <c r="C693" s="32"/>
      <c r="D693" s="32"/>
      <c r="E693" s="37"/>
      <c r="F693" s="42"/>
      <c r="G693" s="32"/>
      <c r="H693" s="36">
        <f>IF(D693="",0,IF(AND(B693&gt;=ThongTin!$C$9,B693&lt;=ThongTin!$C$10,COUNTIFS(ThongTin!$B$19:$B$48,C693,ThongTin!$A$19:$A$48,ThongTin!$C$8,ThongTin!$C$19:$C$48,"NHAP_NL")&gt;0),1,0))</f>
        <v>0</v>
      </c>
    </row>
    <row r="694" spans="1:8" x14ac:dyDescent="0.25">
      <c r="A694" s="41"/>
      <c r="B694" s="33"/>
      <c r="C694" s="32"/>
      <c r="D694" s="32"/>
      <c r="E694" s="37"/>
      <c r="F694" s="42"/>
      <c r="G694" s="32"/>
      <c r="H694" s="36">
        <f>IF(D694="",0,IF(AND(B694&gt;=ThongTin!$C$9,B694&lt;=ThongTin!$C$10,COUNTIFS(ThongTin!$B$19:$B$48,C694,ThongTin!$A$19:$A$48,ThongTin!$C$8,ThongTin!$C$19:$C$48,"NHAP_NL")&gt;0),1,0))</f>
        <v>0</v>
      </c>
    </row>
    <row r="695" spans="1:8" x14ac:dyDescent="0.25">
      <c r="A695" s="41"/>
      <c r="B695" s="33"/>
      <c r="C695" s="32"/>
      <c r="D695" s="32"/>
      <c r="E695" s="37"/>
      <c r="F695" s="42"/>
      <c r="G695" s="32"/>
      <c r="H695" s="36">
        <f>IF(D695="",0,IF(AND(B695&gt;=ThongTin!$C$9,B695&lt;=ThongTin!$C$10,COUNTIFS(ThongTin!$B$19:$B$48,C695,ThongTin!$A$19:$A$48,ThongTin!$C$8,ThongTin!$C$19:$C$48,"NHAP_NL")&gt;0),1,0))</f>
        <v>0</v>
      </c>
    </row>
    <row r="696" spans="1:8" x14ac:dyDescent="0.25">
      <c r="A696" s="41"/>
      <c r="B696" s="33"/>
      <c r="C696" s="32"/>
      <c r="D696" s="32"/>
      <c r="E696" s="37"/>
      <c r="F696" s="42"/>
      <c r="G696" s="32"/>
      <c r="H696" s="36">
        <f>IF(D696="",0,IF(AND(B696&gt;=ThongTin!$C$9,B696&lt;=ThongTin!$C$10,COUNTIFS(ThongTin!$B$19:$B$48,C696,ThongTin!$A$19:$A$48,ThongTin!$C$8,ThongTin!$C$19:$C$48,"NHAP_NL")&gt;0),1,0))</f>
        <v>0</v>
      </c>
    </row>
    <row r="697" spans="1:8" x14ac:dyDescent="0.25">
      <c r="A697" s="41"/>
      <c r="B697" s="33"/>
      <c r="C697" s="32"/>
      <c r="D697" s="32"/>
      <c r="E697" s="37"/>
      <c r="F697" s="42"/>
      <c r="G697" s="32"/>
      <c r="H697" s="36">
        <f>IF(D697="",0,IF(AND(B697&gt;=ThongTin!$C$9,B697&lt;=ThongTin!$C$10,COUNTIFS(ThongTin!$B$19:$B$48,C697,ThongTin!$A$19:$A$48,ThongTin!$C$8,ThongTin!$C$19:$C$48,"NHAP_NL")&gt;0),1,0))</f>
        <v>0</v>
      </c>
    </row>
    <row r="698" spans="1:8" x14ac:dyDescent="0.25">
      <c r="A698" s="41"/>
      <c r="B698" s="33"/>
      <c r="C698" s="32"/>
      <c r="D698" s="32"/>
      <c r="E698" s="37"/>
      <c r="F698" s="42"/>
      <c r="G698" s="32"/>
      <c r="H698" s="36">
        <f>IF(D698="",0,IF(AND(B698&gt;=ThongTin!$C$9,B698&lt;=ThongTin!$C$10,COUNTIFS(ThongTin!$B$19:$B$48,C698,ThongTin!$A$19:$A$48,ThongTin!$C$8,ThongTin!$C$19:$C$48,"NHAP_NL")&gt;0),1,0))</f>
        <v>0</v>
      </c>
    </row>
    <row r="699" spans="1:8" x14ac:dyDescent="0.25">
      <c r="A699" s="41"/>
      <c r="B699" s="33"/>
      <c r="C699" s="32"/>
      <c r="D699" s="32"/>
      <c r="E699" s="37"/>
      <c r="F699" s="42"/>
      <c r="G699" s="32"/>
      <c r="H699" s="36">
        <f>IF(D699="",0,IF(AND(B699&gt;=ThongTin!$C$9,B699&lt;=ThongTin!$C$10,COUNTIFS(ThongTin!$B$19:$B$48,C699,ThongTin!$A$19:$A$48,ThongTin!$C$8,ThongTin!$C$19:$C$48,"NHAP_NL")&gt;0),1,0))</f>
        <v>0</v>
      </c>
    </row>
    <row r="700" spans="1:8" x14ac:dyDescent="0.25">
      <c r="A700" s="41"/>
      <c r="B700" s="33"/>
      <c r="C700" s="32"/>
      <c r="D700" s="32"/>
      <c r="E700" s="37"/>
      <c r="F700" s="42"/>
      <c r="G700" s="32"/>
      <c r="H700" s="36">
        <f>IF(D700="",0,IF(AND(B700&gt;=ThongTin!$C$9,B700&lt;=ThongTin!$C$10,COUNTIFS(ThongTin!$B$19:$B$48,C700,ThongTin!$A$19:$A$48,ThongTin!$C$8,ThongTin!$C$19:$C$48,"NHAP_NL")&gt;0),1,0))</f>
        <v>0</v>
      </c>
    </row>
    <row r="701" spans="1:8" x14ac:dyDescent="0.25">
      <c r="A701" s="41"/>
      <c r="B701" s="33"/>
      <c r="C701" s="32"/>
      <c r="D701" s="32"/>
      <c r="E701" s="37"/>
      <c r="F701" s="42"/>
      <c r="G701" s="32"/>
      <c r="H701" s="36">
        <f>IF(D701="",0,IF(AND(B701&gt;=ThongTin!$C$9,B701&lt;=ThongTin!$C$10,COUNTIFS(ThongTin!$B$19:$B$48,C701,ThongTin!$A$19:$A$48,ThongTin!$C$8,ThongTin!$C$19:$C$48,"NHAP_NL")&gt;0),1,0))</f>
        <v>0</v>
      </c>
    </row>
    <row r="702" spans="1:8" x14ac:dyDescent="0.25">
      <c r="A702" s="41"/>
      <c r="B702" s="33"/>
      <c r="C702" s="32"/>
      <c r="D702" s="32"/>
      <c r="E702" s="37"/>
      <c r="F702" s="42"/>
      <c r="G702" s="32"/>
      <c r="H702" s="36">
        <f>IF(D702="",0,IF(AND(B702&gt;=ThongTin!$C$9,B702&lt;=ThongTin!$C$10,COUNTIFS(ThongTin!$B$19:$B$48,C702,ThongTin!$A$19:$A$48,ThongTin!$C$8,ThongTin!$C$19:$C$48,"NHAP_NL")&gt;0),1,0))</f>
        <v>0</v>
      </c>
    </row>
    <row r="703" spans="1:8" x14ac:dyDescent="0.25">
      <c r="A703" s="41"/>
      <c r="B703" s="33"/>
      <c r="C703" s="32"/>
      <c r="D703" s="32"/>
      <c r="E703" s="37"/>
      <c r="F703" s="42"/>
      <c r="G703" s="32"/>
      <c r="H703" s="36">
        <f>IF(D703="",0,IF(AND(B703&gt;=ThongTin!$C$9,B703&lt;=ThongTin!$C$10,COUNTIFS(ThongTin!$B$19:$B$48,C703,ThongTin!$A$19:$A$48,ThongTin!$C$8,ThongTin!$C$19:$C$48,"NHAP_NL")&gt;0),1,0))</f>
        <v>0</v>
      </c>
    </row>
    <row r="704" spans="1:8" x14ac:dyDescent="0.25">
      <c r="A704" s="41"/>
      <c r="B704" s="33"/>
      <c r="C704" s="32"/>
      <c r="D704" s="32"/>
      <c r="E704" s="37"/>
      <c r="F704" s="42"/>
      <c r="G704" s="32"/>
      <c r="H704" s="36">
        <f>IF(D704="",0,IF(AND(B704&gt;=ThongTin!$C$9,B704&lt;=ThongTin!$C$10,COUNTIFS(ThongTin!$B$19:$B$48,C704,ThongTin!$A$19:$A$48,ThongTin!$C$8,ThongTin!$C$19:$C$48,"NHAP_NL")&gt;0),1,0))</f>
        <v>0</v>
      </c>
    </row>
    <row r="705" spans="1:8" x14ac:dyDescent="0.25">
      <c r="A705" s="41"/>
      <c r="B705" s="33"/>
      <c r="C705" s="32"/>
      <c r="D705" s="32"/>
      <c r="E705" s="37"/>
      <c r="F705" s="42"/>
      <c r="G705" s="32"/>
      <c r="H705" s="36">
        <f>IF(D705="",0,IF(AND(B705&gt;=ThongTin!$C$9,B705&lt;=ThongTin!$C$10,COUNTIFS(ThongTin!$B$19:$B$48,C705,ThongTin!$A$19:$A$48,ThongTin!$C$8,ThongTin!$C$19:$C$48,"NHAP_NL")&gt;0),1,0))</f>
        <v>0</v>
      </c>
    </row>
    <row r="706" spans="1:8" x14ac:dyDescent="0.25">
      <c r="A706" s="41"/>
      <c r="B706" s="33"/>
      <c r="C706" s="32"/>
      <c r="D706" s="32"/>
      <c r="E706" s="37"/>
      <c r="F706" s="42"/>
      <c r="G706" s="32"/>
      <c r="H706" s="36">
        <f>IF(D706="",0,IF(AND(B706&gt;=ThongTin!$C$9,B706&lt;=ThongTin!$C$10,COUNTIFS(ThongTin!$B$19:$B$48,C706,ThongTin!$A$19:$A$48,ThongTin!$C$8,ThongTin!$C$19:$C$48,"NHAP_NL")&gt;0),1,0))</f>
        <v>0</v>
      </c>
    </row>
    <row r="707" spans="1:8" x14ac:dyDescent="0.25">
      <c r="A707" s="41"/>
      <c r="B707" s="33"/>
      <c r="C707" s="32"/>
      <c r="D707" s="32"/>
      <c r="E707" s="37"/>
      <c r="F707" s="42"/>
      <c r="G707" s="32"/>
      <c r="H707" s="36">
        <f>IF(D707="",0,IF(AND(B707&gt;=ThongTin!$C$9,B707&lt;=ThongTin!$C$10,COUNTIFS(ThongTin!$B$19:$B$48,C707,ThongTin!$A$19:$A$48,ThongTin!$C$8,ThongTin!$C$19:$C$48,"NHAP_NL")&gt;0),1,0))</f>
        <v>0</v>
      </c>
    </row>
    <row r="708" spans="1:8" x14ac:dyDescent="0.25">
      <c r="A708" s="41"/>
      <c r="B708" s="33"/>
      <c r="C708" s="32"/>
      <c r="D708" s="32"/>
      <c r="E708" s="37"/>
      <c r="F708" s="42"/>
      <c r="G708" s="32"/>
      <c r="H708" s="36">
        <f>IF(D708="",0,IF(AND(B708&gt;=ThongTin!$C$9,B708&lt;=ThongTin!$C$10,COUNTIFS(ThongTin!$B$19:$B$48,C708,ThongTin!$A$19:$A$48,ThongTin!$C$8,ThongTin!$C$19:$C$48,"NHAP_NL")&gt;0),1,0))</f>
        <v>0</v>
      </c>
    </row>
    <row r="709" spans="1:8" x14ac:dyDescent="0.25">
      <c r="A709" s="41"/>
      <c r="B709" s="33"/>
      <c r="C709" s="32"/>
      <c r="D709" s="32"/>
      <c r="E709" s="37"/>
      <c r="F709" s="42"/>
      <c r="G709" s="32"/>
      <c r="H709" s="36">
        <f>IF(D709="",0,IF(AND(B709&gt;=ThongTin!$C$9,B709&lt;=ThongTin!$C$10,COUNTIFS(ThongTin!$B$19:$B$48,C709,ThongTin!$A$19:$A$48,ThongTin!$C$8,ThongTin!$C$19:$C$48,"NHAP_NL")&gt;0),1,0))</f>
        <v>0</v>
      </c>
    </row>
    <row r="710" spans="1:8" x14ac:dyDescent="0.25">
      <c r="A710" s="41"/>
      <c r="B710" s="33"/>
      <c r="C710" s="32"/>
      <c r="D710" s="32"/>
      <c r="E710" s="37"/>
      <c r="F710" s="42"/>
      <c r="G710" s="32"/>
      <c r="H710" s="36">
        <f>IF(D710="",0,IF(AND(B710&gt;=ThongTin!$C$9,B710&lt;=ThongTin!$C$10,COUNTIFS(ThongTin!$B$19:$B$48,C710,ThongTin!$A$19:$A$48,ThongTin!$C$8,ThongTin!$C$19:$C$48,"NHAP_NL")&gt;0),1,0))</f>
        <v>0</v>
      </c>
    </row>
    <row r="711" spans="1:8" x14ac:dyDescent="0.25">
      <c r="A711" s="41"/>
      <c r="B711" s="33"/>
      <c r="C711" s="32"/>
      <c r="D711" s="32"/>
      <c r="E711" s="37"/>
      <c r="F711" s="42"/>
      <c r="G711" s="32"/>
      <c r="H711" s="36">
        <f>IF(D711="",0,IF(AND(B711&gt;=ThongTin!$C$9,B711&lt;=ThongTin!$C$10,COUNTIFS(ThongTin!$B$19:$B$48,C711,ThongTin!$A$19:$A$48,ThongTin!$C$8,ThongTin!$C$19:$C$48,"NHAP_NL")&gt;0),1,0))</f>
        <v>0</v>
      </c>
    </row>
    <row r="712" spans="1:8" x14ac:dyDescent="0.25">
      <c r="A712" s="41"/>
      <c r="B712" s="33"/>
      <c r="C712" s="32"/>
      <c r="D712" s="32"/>
      <c r="E712" s="37"/>
      <c r="F712" s="42"/>
      <c r="G712" s="32"/>
      <c r="H712" s="36">
        <f>IF(D712="",0,IF(AND(B712&gt;=ThongTin!$C$9,B712&lt;=ThongTin!$C$10,COUNTIFS(ThongTin!$B$19:$B$48,C712,ThongTin!$A$19:$A$48,ThongTin!$C$8,ThongTin!$C$19:$C$48,"NHAP_NL")&gt;0),1,0))</f>
        <v>0</v>
      </c>
    </row>
    <row r="713" spans="1:8" x14ac:dyDescent="0.25">
      <c r="A713" s="41"/>
      <c r="B713" s="33"/>
      <c r="C713" s="32"/>
      <c r="D713" s="32"/>
      <c r="E713" s="37"/>
      <c r="F713" s="42"/>
      <c r="G713" s="32"/>
      <c r="H713" s="36">
        <f>IF(D713="",0,IF(AND(B713&gt;=ThongTin!$C$9,B713&lt;=ThongTin!$C$10,COUNTIFS(ThongTin!$B$19:$B$48,C713,ThongTin!$A$19:$A$48,ThongTin!$C$8,ThongTin!$C$19:$C$48,"NHAP_NL")&gt;0),1,0))</f>
        <v>0</v>
      </c>
    </row>
    <row r="714" spans="1:8" x14ac:dyDescent="0.25">
      <c r="A714" s="41"/>
      <c r="B714" s="33"/>
      <c r="C714" s="32"/>
      <c r="D714" s="32"/>
      <c r="E714" s="37"/>
      <c r="F714" s="42"/>
      <c r="G714" s="32"/>
      <c r="H714" s="36">
        <f>IF(D714="",0,IF(AND(B714&gt;=ThongTin!$C$9,B714&lt;=ThongTin!$C$10,COUNTIFS(ThongTin!$B$19:$B$48,C714,ThongTin!$A$19:$A$48,ThongTin!$C$8,ThongTin!$C$19:$C$48,"NHAP_NL")&gt;0),1,0))</f>
        <v>0</v>
      </c>
    </row>
    <row r="715" spans="1:8" x14ac:dyDescent="0.25">
      <c r="A715" s="41"/>
      <c r="B715" s="33"/>
      <c r="C715" s="32"/>
      <c r="D715" s="32"/>
      <c r="E715" s="37"/>
      <c r="F715" s="42"/>
      <c r="G715" s="32"/>
      <c r="H715" s="36">
        <f>IF(D715="",0,IF(AND(B715&gt;=ThongTin!$C$9,B715&lt;=ThongTin!$C$10,COUNTIFS(ThongTin!$B$19:$B$48,C715,ThongTin!$A$19:$A$48,ThongTin!$C$8,ThongTin!$C$19:$C$48,"NHAP_NL")&gt;0),1,0))</f>
        <v>0</v>
      </c>
    </row>
    <row r="716" spans="1:8" x14ac:dyDescent="0.25">
      <c r="A716" s="41"/>
      <c r="B716" s="33"/>
      <c r="C716" s="32"/>
      <c r="D716" s="32"/>
      <c r="E716" s="37"/>
      <c r="F716" s="42"/>
      <c r="G716" s="32"/>
      <c r="H716" s="36">
        <f>IF(D716="",0,IF(AND(B716&gt;=ThongTin!$C$9,B716&lt;=ThongTin!$C$10,COUNTIFS(ThongTin!$B$19:$B$48,C716,ThongTin!$A$19:$A$48,ThongTin!$C$8,ThongTin!$C$19:$C$48,"NHAP_NL")&gt;0),1,0))</f>
        <v>0</v>
      </c>
    </row>
    <row r="717" spans="1:8" x14ac:dyDescent="0.25">
      <c r="A717" s="41"/>
      <c r="B717" s="33"/>
      <c r="C717" s="32"/>
      <c r="D717" s="32"/>
      <c r="E717" s="37"/>
      <c r="F717" s="42"/>
      <c r="G717" s="32"/>
      <c r="H717" s="36">
        <f>IF(D717="",0,IF(AND(B717&gt;=ThongTin!$C$9,B717&lt;=ThongTin!$C$10,COUNTIFS(ThongTin!$B$19:$B$48,C717,ThongTin!$A$19:$A$48,ThongTin!$C$8,ThongTin!$C$19:$C$48,"NHAP_NL")&gt;0),1,0))</f>
        <v>0</v>
      </c>
    </row>
    <row r="718" spans="1:8" x14ac:dyDescent="0.25">
      <c r="A718" s="41"/>
      <c r="B718" s="33"/>
      <c r="C718" s="32"/>
      <c r="D718" s="32"/>
      <c r="E718" s="37"/>
      <c r="F718" s="42"/>
      <c r="G718" s="32"/>
      <c r="H718" s="36">
        <f>IF(D718="",0,IF(AND(B718&gt;=ThongTin!$C$9,B718&lt;=ThongTin!$C$10,COUNTIFS(ThongTin!$B$19:$B$48,C718,ThongTin!$A$19:$A$48,ThongTin!$C$8,ThongTin!$C$19:$C$48,"NHAP_NL")&gt;0),1,0))</f>
        <v>0</v>
      </c>
    </row>
    <row r="719" spans="1:8" x14ac:dyDescent="0.25">
      <c r="A719" s="41"/>
      <c r="B719" s="33"/>
      <c r="C719" s="32"/>
      <c r="D719" s="32"/>
      <c r="E719" s="37"/>
      <c r="F719" s="42"/>
      <c r="G719" s="32"/>
      <c r="H719" s="36">
        <f>IF(D719="",0,IF(AND(B719&gt;=ThongTin!$C$9,B719&lt;=ThongTin!$C$10,COUNTIFS(ThongTin!$B$19:$B$48,C719,ThongTin!$A$19:$A$48,ThongTin!$C$8,ThongTin!$C$19:$C$48,"NHAP_NL")&gt;0),1,0))</f>
        <v>0</v>
      </c>
    </row>
    <row r="720" spans="1:8" x14ac:dyDescent="0.25">
      <c r="A720" s="41"/>
      <c r="B720" s="33"/>
      <c r="C720" s="32"/>
      <c r="D720" s="32"/>
      <c r="E720" s="37"/>
      <c r="F720" s="42"/>
      <c r="G720" s="32"/>
      <c r="H720" s="36">
        <f>IF(D720="",0,IF(AND(B720&gt;=ThongTin!$C$9,B720&lt;=ThongTin!$C$10,COUNTIFS(ThongTin!$B$19:$B$48,C720,ThongTin!$A$19:$A$48,ThongTin!$C$8,ThongTin!$C$19:$C$48,"NHAP_NL")&gt;0),1,0))</f>
        <v>0</v>
      </c>
    </row>
    <row r="721" spans="1:8" x14ac:dyDescent="0.25">
      <c r="A721" s="41"/>
      <c r="B721" s="33"/>
      <c r="C721" s="32"/>
      <c r="D721" s="32"/>
      <c r="E721" s="37"/>
      <c r="F721" s="42"/>
      <c r="G721" s="32"/>
      <c r="H721" s="36">
        <f>IF(D721="",0,IF(AND(B721&gt;=ThongTin!$C$9,B721&lt;=ThongTin!$C$10,COUNTIFS(ThongTin!$B$19:$B$48,C721,ThongTin!$A$19:$A$48,ThongTin!$C$8,ThongTin!$C$19:$C$48,"NHAP_NL")&gt;0),1,0))</f>
        <v>0</v>
      </c>
    </row>
    <row r="722" spans="1:8" x14ac:dyDescent="0.25">
      <c r="A722" s="41"/>
      <c r="B722" s="33"/>
      <c r="C722" s="32"/>
      <c r="D722" s="32"/>
      <c r="E722" s="37"/>
      <c r="F722" s="42"/>
      <c r="G722" s="32"/>
      <c r="H722" s="36">
        <f>IF(D722="",0,IF(AND(B722&gt;=ThongTin!$C$9,B722&lt;=ThongTin!$C$10,COUNTIFS(ThongTin!$B$19:$B$48,C722,ThongTin!$A$19:$A$48,ThongTin!$C$8,ThongTin!$C$19:$C$48,"NHAP_NL")&gt;0),1,0))</f>
        <v>0</v>
      </c>
    </row>
    <row r="723" spans="1:8" x14ac:dyDescent="0.25">
      <c r="A723" s="41"/>
      <c r="B723" s="33"/>
      <c r="C723" s="32"/>
      <c r="D723" s="32"/>
      <c r="E723" s="37"/>
      <c r="F723" s="42"/>
      <c r="G723" s="32"/>
      <c r="H723" s="36">
        <f>IF(D723="",0,IF(AND(B723&gt;=ThongTin!$C$9,B723&lt;=ThongTin!$C$10,COUNTIFS(ThongTin!$B$19:$B$48,C723,ThongTin!$A$19:$A$48,ThongTin!$C$8,ThongTin!$C$19:$C$48,"NHAP_NL")&gt;0),1,0))</f>
        <v>0</v>
      </c>
    </row>
    <row r="724" spans="1:8" x14ac:dyDescent="0.25">
      <c r="A724" s="41"/>
      <c r="B724" s="33"/>
      <c r="C724" s="32"/>
      <c r="D724" s="32"/>
      <c r="E724" s="37"/>
      <c r="F724" s="42"/>
      <c r="G724" s="32"/>
      <c r="H724" s="36">
        <f>IF(D724="",0,IF(AND(B724&gt;=ThongTin!$C$9,B724&lt;=ThongTin!$C$10,COUNTIFS(ThongTin!$B$19:$B$48,C724,ThongTin!$A$19:$A$48,ThongTin!$C$8,ThongTin!$C$19:$C$48,"NHAP_NL")&gt;0),1,0))</f>
        <v>0</v>
      </c>
    </row>
    <row r="725" spans="1:8" x14ac:dyDescent="0.25">
      <c r="A725" s="41"/>
      <c r="B725" s="33"/>
      <c r="C725" s="32"/>
      <c r="D725" s="32"/>
      <c r="E725" s="37"/>
      <c r="F725" s="42"/>
      <c r="G725" s="32"/>
      <c r="H725" s="36">
        <f>IF(D725="",0,IF(AND(B725&gt;=ThongTin!$C$9,B725&lt;=ThongTin!$C$10,COUNTIFS(ThongTin!$B$19:$B$48,C725,ThongTin!$A$19:$A$48,ThongTin!$C$8,ThongTin!$C$19:$C$48,"NHAP_NL")&gt;0),1,0))</f>
        <v>0</v>
      </c>
    </row>
    <row r="726" spans="1:8" x14ac:dyDescent="0.25">
      <c r="A726" s="41"/>
      <c r="B726" s="33"/>
      <c r="C726" s="32"/>
      <c r="D726" s="32"/>
      <c r="E726" s="37"/>
      <c r="F726" s="42"/>
      <c r="G726" s="32"/>
      <c r="H726" s="36">
        <f>IF(D726="",0,IF(AND(B726&gt;=ThongTin!$C$9,B726&lt;=ThongTin!$C$10,COUNTIFS(ThongTin!$B$19:$B$48,C726,ThongTin!$A$19:$A$48,ThongTin!$C$8,ThongTin!$C$19:$C$48,"NHAP_NL")&gt;0),1,0))</f>
        <v>0</v>
      </c>
    </row>
    <row r="727" spans="1:8" x14ac:dyDescent="0.25">
      <c r="A727" s="41"/>
      <c r="B727" s="33"/>
      <c r="C727" s="32"/>
      <c r="D727" s="32"/>
      <c r="E727" s="37"/>
      <c r="F727" s="42"/>
      <c r="G727" s="32"/>
      <c r="H727" s="36">
        <f>IF(D727="",0,IF(AND(B727&gt;=ThongTin!$C$9,B727&lt;=ThongTin!$C$10,COUNTIFS(ThongTin!$B$19:$B$48,C727,ThongTin!$A$19:$A$48,ThongTin!$C$8,ThongTin!$C$19:$C$48,"NHAP_NL")&gt;0),1,0))</f>
        <v>0</v>
      </c>
    </row>
    <row r="728" spans="1:8" x14ac:dyDescent="0.25">
      <c r="A728" s="41"/>
      <c r="B728" s="33"/>
      <c r="C728" s="32"/>
      <c r="D728" s="32"/>
      <c r="E728" s="37"/>
      <c r="F728" s="42"/>
      <c r="G728" s="32"/>
      <c r="H728" s="36">
        <f>IF(D728="",0,IF(AND(B728&gt;=ThongTin!$C$9,B728&lt;=ThongTin!$C$10,COUNTIFS(ThongTin!$B$19:$B$48,C728,ThongTin!$A$19:$A$48,ThongTin!$C$8,ThongTin!$C$19:$C$48,"NHAP_NL")&gt;0),1,0))</f>
        <v>0</v>
      </c>
    </row>
    <row r="729" spans="1:8" x14ac:dyDescent="0.25">
      <c r="A729" s="41"/>
      <c r="B729" s="33"/>
      <c r="C729" s="32"/>
      <c r="D729" s="32"/>
      <c r="E729" s="37"/>
      <c r="F729" s="42"/>
      <c r="G729" s="32"/>
      <c r="H729" s="36">
        <f>IF(D729="",0,IF(AND(B729&gt;=ThongTin!$C$9,B729&lt;=ThongTin!$C$10,COUNTIFS(ThongTin!$B$19:$B$48,C729,ThongTin!$A$19:$A$48,ThongTin!$C$8,ThongTin!$C$19:$C$48,"NHAP_NL")&gt;0),1,0))</f>
        <v>0</v>
      </c>
    </row>
    <row r="730" spans="1:8" x14ac:dyDescent="0.25">
      <c r="A730" s="41"/>
      <c r="B730" s="33"/>
      <c r="C730" s="32"/>
      <c r="D730" s="32"/>
      <c r="E730" s="37"/>
      <c r="F730" s="42"/>
      <c r="G730" s="32"/>
      <c r="H730" s="36">
        <f>IF(D730="",0,IF(AND(B730&gt;=ThongTin!$C$9,B730&lt;=ThongTin!$C$10,COUNTIFS(ThongTin!$B$19:$B$48,C730,ThongTin!$A$19:$A$48,ThongTin!$C$8,ThongTin!$C$19:$C$48,"NHAP_NL")&gt;0),1,0))</f>
        <v>0</v>
      </c>
    </row>
    <row r="731" spans="1:8" x14ac:dyDescent="0.25">
      <c r="A731" s="41"/>
      <c r="B731" s="33"/>
      <c r="C731" s="32"/>
      <c r="D731" s="32"/>
      <c r="E731" s="37"/>
      <c r="F731" s="42"/>
      <c r="G731" s="32"/>
      <c r="H731" s="36">
        <f>IF(D731="",0,IF(AND(B731&gt;=ThongTin!$C$9,B731&lt;=ThongTin!$C$10,COUNTIFS(ThongTin!$B$19:$B$48,C731,ThongTin!$A$19:$A$48,ThongTin!$C$8,ThongTin!$C$19:$C$48,"NHAP_NL")&gt;0),1,0))</f>
        <v>0</v>
      </c>
    </row>
    <row r="732" spans="1:8" x14ac:dyDescent="0.25">
      <c r="A732" s="41"/>
      <c r="B732" s="33"/>
      <c r="C732" s="32"/>
      <c r="D732" s="32"/>
      <c r="E732" s="37"/>
      <c r="F732" s="42"/>
      <c r="G732" s="32"/>
      <c r="H732" s="36">
        <f>IF(D732="",0,IF(AND(B732&gt;=ThongTin!$C$9,B732&lt;=ThongTin!$C$10,COUNTIFS(ThongTin!$B$19:$B$48,C732,ThongTin!$A$19:$A$48,ThongTin!$C$8,ThongTin!$C$19:$C$48,"NHAP_NL")&gt;0),1,0))</f>
        <v>0</v>
      </c>
    </row>
    <row r="733" spans="1:8" x14ac:dyDescent="0.25">
      <c r="A733" s="41"/>
      <c r="B733" s="33"/>
      <c r="C733" s="32"/>
      <c r="D733" s="32"/>
      <c r="E733" s="37"/>
      <c r="F733" s="42"/>
      <c r="G733" s="32"/>
      <c r="H733" s="36">
        <f>IF(D733="",0,IF(AND(B733&gt;=ThongTin!$C$9,B733&lt;=ThongTin!$C$10,COUNTIFS(ThongTin!$B$19:$B$48,C733,ThongTin!$A$19:$A$48,ThongTin!$C$8,ThongTin!$C$19:$C$48,"NHAP_NL")&gt;0),1,0))</f>
        <v>0</v>
      </c>
    </row>
    <row r="734" spans="1:8" x14ac:dyDescent="0.25">
      <c r="A734" s="41"/>
      <c r="B734" s="33"/>
      <c r="C734" s="32"/>
      <c r="D734" s="32"/>
      <c r="E734" s="37"/>
      <c r="F734" s="42"/>
      <c r="G734" s="32"/>
      <c r="H734" s="36">
        <f>IF(D734="",0,IF(AND(B734&gt;=ThongTin!$C$9,B734&lt;=ThongTin!$C$10,COUNTIFS(ThongTin!$B$19:$B$48,C734,ThongTin!$A$19:$A$48,ThongTin!$C$8,ThongTin!$C$19:$C$48,"NHAP_NL")&gt;0),1,0))</f>
        <v>0</v>
      </c>
    </row>
    <row r="735" spans="1:8" x14ac:dyDescent="0.25">
      <c r="A735" s="41"/>
      <c r="B735" s="33"/>
      <c r="C735" s="32"/>
      <c r="D735" s="32"/>
      <c r="E735" s="37"/>
      <c r="F735" s="42"/>
      <c r="G735" s="32"/>
      <c r="H735" s="36">
        <f>IF(D735="",0,IF(AND(B735&gt;=ThongTin!$C$9,B735&lt;=ThongTin!$C$10,COUNTIFS(ThongTin!$B$19:$B$48,C735,ThongTin!$A$19:$A$48,ThongTin!$C$8,ThongTin!$C$19:$C$48,"NHAP_NL")&gt;0),1,0))</f>
        <v>0</v>
      </c>
    </row>
    <row r="736" spans="1:8" x14ac:dyDescent="0.25">
      <c r="A736" s="41"/>
      <c r="B736" s="33"/>
      <c r="C736" s="32"/>
      <c r="D736" s="32"/>
      <c r="E736" s="37"/>
      <c r="F736" s="42"/>
      <c r="G736" s="32"/>
      <c r="H736" s="36">
        <f>IF(D736="",0,IF(AND(B736&gt;=ThongTin!$C$9,B736&lt;=ThongTin!$C$10,COUNTIFS(ThongTin!$B$19:$B$48,C736,ThongTin!$A$19:$A$48,ThongTin!$C$8,ThongTin!$C$19:$C$48,"NHAP_NL")&gt;0),1,0))</f>
        <v>0</v>
      </c>
    </row>
    <row r="737" spans="1:8" x14ac:dyDescent="0.25">
      <c r="A737" s="41"/>
      <c r="B737" s="33"/>
      <c r="C737" s="32"/>
      <c r="D737" s="32"/>
      <c r="E737" s="37"/>
      <c r="F737" s="42"/>
      <c r="G737" s="32"/>
      <c r="H737" s="36">
        <f>IF(D737="",0,IF(AND(B737&gt;=ThongTin!$C$9,B737&lt;=ThongTin!$C$10,COUNTIFS(ThongTin!$B$19:$B$48,C737,ThongTin!$A$19:$A$48,ThongTin!$C$8,ThongTin!$C$19:$C$48,"NHAP_NL")&gt;0),1,0))</f>
        <v>0</v>
      </c>
    </row>
    <row r="738" spans="1:8" x14ac:dyDescent="0.25">
      <c r="A738" s="41"/>
      <c r="B738" s="33"/>
      <c r="C738" s="32"/>
      <c r="D738" s="32"/>
      <c r="E738" s="37"/>
      <c r="F738" s="42"/>
      <c r="G738" s="32"/>
      <c r="H738" s="36">
        <f>IF(D738="",0,IF(AND(B738&gt;=ThongTin!$C$9,B738&lt;=ThongTin!$C$10,COUNTIFS(ThongTin!$B$19:$B$48,C738,ThongTin!$A$19:$A$48,ThongTin!$C$8,ThongTin!$C$19:$C$48,"NHAP_NL")&gt;0),1,0))</f>
        <v>0</v>
      </c>
    </row>
    <row r="739" spans="1:8" x14ac:dyDescent="0.25">
      <c r="A739" s="41"/>
      <c r="B739" s="33"/>
      <c r="C739" s="32"/>
      <c r="D739" s="32"/>
      <c r="E739" s="37"/>
      <c r="F739" s="42"/>
      <c r="G739" s="32"/>
      <c r="H739" s="36">
        <f>IF(D739="",0,IF(AND(B739&gt;=ThongTin!$C$9,B739&lt;=ThongTin!$C$10,COUNTIFS(ThongTin!$B$19:$B$48,C739,ThongTin!$A$19:$A$48,ThongTin!$C$8,ThongTin!$C$19:$C$48,"NHAP_NL")&gt;0),1,0))</f>
        <v>0</v>
      </c>
    </row>
    <row r="740" spans="1:8" x14ac:dyDescent="0.25">
      <c r="A740" s="41"/>
      <c r="B740" s="33"/>
      <c r="C740" s="32"/>
      <c r="D740" s="32"/>
      <c r="E740" s="37"/>
      <c r="F740" s="42"/>
      <c r="G740" s="32"/>
      <c r="H740" s="36">
        <f>IF(D740="",0,IF(AND(B740&gt;=ThongTin!$C$9,B740&lt;=ThongTin!$C$10,COUNTIFS(ThongTin!$B$19:$B$48,C740,ThongTin!$A$19:$A$48,ThongTin!$C$8,ThongTin!$C$19:$C$48,"NHAP_NL")&gt;0),1,0))</f>
        <v>0</v>
      </c>
    </row>
    <row r="741" spans="1:8" x14ac:dyDescent="0.25">
      <c r="A741" s="41"/>
      <c r="B741" s="33"/>
      <c r="C741" s="32"/>
      <c r="D741" s="32"/>
      <c r="E741" s="37"/>
      <c r="F741" s="42"/>
      <c r="G741" s="32"/>
      <c r="H741" s="36">
        <f>IF(D741="",0,IF(AND(B741&gt;=ThongTin!$C$9,B741&lt;=ThongTin!$C$10,COUNTIFS(ThongTin!$B$19:$B$48,C741,ThongTin!$A$19:$A$48,ThongTin!$C$8,ThongTin!$C$19:$C$48,"NHAP_NL")&gt;0),1,0))</f>
        <v>0</v>
      </c>
    </row>
    <row r="742" spans="1:8" x14ac:dyDescent="0.25">
      <c r="A742" s="41"/>
      <c r="B742" s="33"/>
      <c r="C742" s="32"/>
      <c r="D742" s="32"/>
      <c r="E742" s="37"/>
      <c r="F742" s="42"/>
      <c r="G742" s="32"/>
      <c r="H742" s="36">
        <f>IF(D742="",0,IF(AND(B742&gt;=ThongTin!$C$9,B742&lt;=ThongTin!$C$10,COUNTIFS(ThongTin!$B$19:$B$48,C742,ThongTin!$A$19:$A$48,ThongTin!$C$8,ThongTin!$C$19:$C$48,"NHAP_NL")&gt;0),1,0))</f>
        <v>0</v>
      </c>
    </row>
    <row r="743" spans="1:8" x14ac:dyDescent="0.25">
      <c r="A743" s="41"/>
      <c r="B743" s="33"/>
      <c r="C743" s="32"/>
      <c r="D743" s="32"/>
      <c r="E743" s="37"/>
      <c r="F743" s="42"/>
      <c r="G743" s="32"/>
      <c r="H743" s="36">
        <f>IF(D743="",0,IF(AND(B743&gt;=ThongTin!$C$9,B743&lt;=ThongTin!$C$10,COUNTIFS(ThongTin!$B$19:$B$48,C743,ThongTin!$A$19:$A$48,ThongTin!$C$8,ThongTin!$C$19:$C$48,"NHAP_NL")&gt;0),1,0))</f>
        <v>0</v>
      </c>
    </row>
    <row r="744" spans="1:8" x14ac:dyDescent="0.25">
      <c r="A744" s="41"/>
      <c r="B744" s="33"/>
      <c r="C744" s="32"/>
      <c r="D744" s="32"/>
      <c r="E744" s="37"/>
      <c r="F744" s="42"/>
      <c r="G744" s="32"/>
      <c r="H744" s="36">
        <f>IF(D744="",0,IF(AND(B744&gt;=ThongTin!$C$9,B744&lt;=ThongTin!$C$10,COUNTIFS(ThongTin!$B$19:$B$48,C744,ThongTin!$A$19:$A$48,ThongTin!$C$8,ThongTin!$C$19:$C$48,"NHAP_NL")&gt;0),1,0))</f>
        <v>0</v>
      </c>
    </row>
    <row r="745" spans="1:8" x14ac:dyDescent="0.25">
      <c r="A745" s="41"/>
      <c r="B745" s="33"/>
      <c r="C745" s="32"/>
      <c r="D745" s="32"/>
      <c r="E745" s="37"/>
      <c r="F745" s="42"/>
      <c r="G745" s="32"/>
      <c r="H745" s="36">
        <f>IF(D745="",0,IF(AND(B745&gt;=ThongTin!$C$9,B745&lt;=ThongTin!$C$10,COUNTIFS(ThongTin!$B$19:$B$48,C745,ThongTin!$A$19:$A$48,ThongTin!$C$8,ThongTin!$C$19:$C$48,"NHAP_NL")&gt;0),1,0))</f>
        <v>0</v>
      </c>
    </row>
    <row r="746" spans="1:8" x14ac:dyDescent="0.25">
      <c r="A746" s="41"/>
      <c r="B746" s="33"/>
      <c r="C746" s="32"/>
      <c r="D746" s="32"/>
      <c r="E746" s="37"/>
      <c r="F746" s="42"/>
      <c r="G746" s="32"/>
      <c r="H746" s="36">
        <f>IF(D746="",0,IF(AND(B746&gt;=ThongTin!$C$9,B746&lt;=ThongTin!$C$10,COUNTIFS(ThongTin!$B$19:$B$48,C746,ThongTin!$A$19:$A$48,ThongTin!$C$8,ThongTin!$C$19:$C$48,"NHAP_NL")&gt;0),1,0))</f>
        <v>0</v>
      </c>
    </row>
    <row r="747" spans="1:8" x14ac:dyDescent="0.25">
      <c r="A747" s="41"/>
      <c r="B747" s="33"/>
      <c r="C747" s="32"/>
      <c r="D747" s="32"/>
      <c r="E747" s="37"/>
      <c r="F747" s="42"/>
      <c r="G747" s="32"/>
      <c r="H747" s="36">
        <f>IF(D747="",0,IF(AND(B747&gt;=ThongTin!$C$9,B747&lt;=ThongTin!$C$10,COUNTIFS(ThongTin!$B$19:$B$48,C747,ThongTin!$A$19:$A$48,ThongTin!$C$8,ThongTin!$C$19:$C$48,"NHAP_NL")&gt;0),1,0))</f>
        <v>0</v>
      </c>
    </row>
    <row r="748" spans="1:8" x14ac:dyDescent="0.25">
      <c r="A748" s="41"/>
      <c r="B748" s="33"/>
      <c r="C748" s="32"/>
      <c r="D748" s="32"/>
      <c r="E748" s="37"/>
      <c r="F748" s="42"/>
      <c r="G748" s="32"/>
      <c r="H748" s="36">
        <f>IF(D748="",0,IF(AND(B748&gt;=ThongTin!$C$9,B748&lt;=ThongTin!$C$10,COUNTIFS(ThongTin!$B$19:$B$48,C748,ThongTin!$A$19:$A$48,ThongTin!$C$8,ThongTin!$C$19:$C$48,"NHAP_NL")&gt;0),1,0))</f>
        <v>0</v>
      </c>
    </row>
    <row r="749" spans="1:8" x14ac:dyDescent="0.25">
      <c r="A749" s="41"/>
      <c r="B749" s="33"/>
      <c r="C749" s="32"/>
      <c r="D749" s="32"/>
      <c r="E749" s="37"/>
      <c r="F749" s="42"/>
      <c r="G749" s="32"/>
      <c r="H749" s="36">
        <f>IF(D749="",0,IF(AND(B749&gt;=ThongTin!$C$9,B749&lt;=ThongTin!$C$10,COUNTIFS(ThongTin!$B$19:$B$48,C749,ThongTin!$A$19:$A$48,ThongTin!$C$8,ThongTin!$C$19:$C$48,"NHAP_NL")&gt;0),1,0))</f>
        <v>0</v>
      </c>
    </row>
    <row r="750" spans="1:8" x14ac:dyDescent="0.25">
      <c r="A750" s="41"/>
      <c r="B750" s="33"/>
      <c r="C750" s="32"/>
      <c r="D750" s="32"/>
      <c r="E750" s="37"/>
      <c r="F750" s="42"/>
      <c r="G750" s="32"/>
      <c r="H750" s="36">
        <f>IF(D750="",0,IF(AND(B750&gt;=ThongTin!$C$9,B750&lt;=ThongTin!$C$10,COUNTIFS(ThongTin!$B$19:$B$48,C750,ThongTin!$A$19:$A$48,ThongTin!$C$8,ThongTin!$C$19:$C$48,"NHAP_NL")&gt;0),1,0))</f>
        <v>0</v>
      </c>
    </row>
    <row r="751" spans="1:8" x14ac:dyDescent="0.25">
      <c r="A751" s="41"/>
      <c r="B751" s="33"/>
      <c r="C751" s="32"/>
      <c r="D751" s="32"/>
      <c r="E751" s="37"/>
      <c r="F751" s="42"/>
      <c r="G751" s="32"/>
      <c r="H751" s="36">
        <f>IF(D751="",0,IF(AND(B751&gt;=ThongTin!$C$9,B751&lt;=ThongTin!$C$10,COUNTIFS(ThongTin!$B$19:$B$48,C751,ThongTin!$A$19:$A$48,ThongTin!$C$8,ThongTin!$C$19:$C$48,"NHAP_NL")&gt;0),1,0))</f>
        <v>0</v>
      </c>
    </row>
    <row r="752" spans="1:8" x14ac:dyDescent="0.25">
      <c r="A752" s="41"/>
      <c r="B752" s="33"/>
      <c r="C752" s="32"/>
      <c r="D752" s="32"/>
      <c r="E752" s="37"/>
      <c r="F752" s="42"/>
      <c r="G752" s="32"/>
      <c r="H752" s="36">
        <f>IF(D752="",0,IF(AND(B752&gt;=ThongTin!$C$9,B752&lt;=ThongTin!$C$10,COUNTIFS(ThongTin!$B$19:$B$48,C752,ThongTin!$A$19:$A$48,ThongTin!$C$8,ThongTin!$C$19:$C$48,"NHAP_NL")&gt;0),1,0))</f>
        <v>0</v>
      </c>
    </row>
    <row r="753" spans="1:8" x14ac:dyDescent="0.25">
      <c r="A753" s="41"/>
      <c r="B753" s="33"/>
      <c r="C753" s="32"/>
      <c r="D753" s="32"/>
      <c r="E753" s="37"/>
      <c r="F753" s="42"/>
      <c r="G753" s="32"/>
      <c r="H753" s="36">
        <f>IF(D753="",0,IF(AND(B753&gt;=ThongTin!$C$9,B753&lt;=ThongTin!$C$10,COUNTIFS(ThongTin!$B$19:$B$48,C753,ThongTin!$A$19:$A$48,ThongTin!$C$8,ThongTin!$C$19:$C$48,"NHAP_NL")&gt;0),1,0))</f>
        <v>0</v>
      </c>
    </row>
    <row r="754" spans="1:8" x14ac:dyDescent="0.25">
      <c r="A754" s="41"/>
      <c r="B754" s="33"/>
      <c r="C754" s="32"/>
      <c r="D754" s="32"/>
      <c r="E754" s="37"/>
      <c r="F754" s="42"/>
      <c r="G754" s="32"/>
      <c r="H754" s="36">
        <f>IF(D754="",0,IF(AND(B754&gt;=ThongTin!$C$9,B754&lt;=ThongTin!$C$10,COUNTIFS(ThongTin!$B$19:$B$48,C754,ThongTin!$A$19:$A$48,ThongTin!$C$8,ThongTin!$C$19:$C$48,"NHAP_NL")&gt;0),1,0))</f>
        <v>0</v>
      </c>
    </row>
    <row r="755" spans="1:8" x14ac:dyDescent="0.25">
      <c r="A755" s="41"/>
      <c r="B755" s="33"/>
      <c r="C755" s="32"/>
      <c r="D755" s="32"/>
      <c r="E755" s="37"/>
      <c r="F755" s="42"/>
      <c r="G755" s="32"/>
      <c r="H755" s="36">
        <f>IF(D755="",0,IF(AND(B755&gt;=ThongTin!$C$9,B755&lt;=ThongTin!$C$10,COUNTIFS(ThongTin!$B$19:$B$48,C755,ThongTin!$A$19:$A$48,ThongTin!$C$8,ThongTin!$C$19:$C$48,"NHAP_NL")&gt;0),1,0))</f>
        <v>0</v>
      </c>
    </row>
    <row r="756" spans="1:8" x14ac:dyDescent="0.25">
      <c r="A756" s="41"/>
      <c r="B756" s="33"/>
      <c r="C756" s="32"/>
      <c r="D756" s="32"/>
      <c r="E756" s="37"/>
      <c r="F756" s="42"/>
      <c r="G756" s="32"/>
      <c r="H756" s="36">
        <f>IF(D756="",0,IF(AND(B756&gt;=ThongTin!$C$9,B756&lt;=ThongTin!$C$10,COUNTIFS(ThongTin!$B$19:$B$48,C756,ThongTin!$A$19:$A$48,ThongTin!$C$8,ThongTin!$C$19:$C$48,"NHAP_NL")&gt;0),1,0))</f>
        <v>0</v>
      </c>
    </row>
    <row r="757" spans="1:8" x14ac:dyDescent="0.25">
      <c r="A757" s="41"/>
      <c r="B757" s="33"/>
      <c r="C757" s="32"/>
      <c r="D757" s="32"/>
      <c r="E757" s="37"/>
      <c r="F757" s="42"/>
      <c r="G757" s="32"/>
      <c r="H757" s="36">
        <f>IF(D757="",0,IF(AND(B757&gt;=ThongTin!$C$9,B757&lt;=ThongTin!$C$10,COUNTIFS(ThongTin!$B$19:$B$48,C757,ThongTin!$A$19:$A$48,ThongTin!$C$8,ThongTin!$C$19:$C$48,"NHAP_NL")&gt;0),1,0))</f>
        <v>0</v>
      </c>
    </row>
    <row r="758" spans="1:8" x14ac:dyDescent="0.25">
      <c r="A758" s="41"/>
      <c r="B758" s="33"/>
      <c r="C758" s="32"/>
      <c r="D758" s="32"/>
      <c r="E758" s="37"/>
      <c r="F758" s="42"/>
      <c r="G758" s="32"/>
      <c r="H758" s="36">
        <f>IF(D758="",0,IF(AND(B758&gt;=ThongTin!$C$9,B758&lt;=ThongTin!$C$10,COUNTIFS(ThongTin!$B$19:$B$48,C758,ThongTin!$A$19:$A$48,ThongTin!$C$8,ThongTin!$C$19:$C$48,"NHAP_NL")&gt;0),1,0))</f>
        <v>0</v>
      </c>
    </row>
    <row r="759" spans="1:8" x14ac:dyDescent="0.25">
      <c r="A759" s="41"/>
      <c r="B759" s="33"/>
      <c r="C759" s="32"/>
      <c r="D759" s="32"/>
      <c r="E759" s="37"/>
      <c r="F759" s="42"/>
      <c r="G759" s="32"/>
      <c r="H759" s="36">
        <f>IF(D759="",0,IF(AND(B759&gt;=ThongTin!$C$9,B759&lt;=ThongTin!$C$10,COUNTIFS(ThongTin!$B$19:$B$48,C759,ThongTin!$A$19:$A$48,ThongTin!$C$8,ThongTin!$C$19:$C$48,"NHAP_NL")&gt;0),1,0))</f>
        <v>0</v>
      </c>
    </row>
    <row r="760" spans="1:8" x14ac:dyDescent="0.25">
      <c r="A760" s="41"/>
      <c r="B760" s="33"/>
      <c r="C760" s="32"/>
      <c r="D760" s="32"/>
      <c r="E760" s="37"/>
      <c r="F760" s="42"/>
      <c r="G760" s="32"/>
      <c r="H760" s="36">
        <f>IF(D760="",0,IF(AND(B760&gt;=ThongTin!$C$9,B760&lt;=ThongTin!$C$10,COUNTIFS(ThongTin!$B$19:$B$48,C760,ThongTin!$A$19:$A$48,ThongTin!$C$8,ThongTin!$C$19:$C$48,"NHAP_NL")&gt;0),1,0))</f>
        <v>0</v>
      </c>
    </row>
    <row r="761" spans="1:8" x14ac:dyDescent="0.25">
      <c r="A761" s="41"/>
      <c r="B761" s="33"/>
      <c r="C761" s="32"/>
      <c r="D761" s="32"/>
      <c r="E761" s="37"/>
      <c r="F761" s="42"/>
      <c r="G761" s="32"/>
      <c r="H761" s="36">
        <f>IF(D761="",0,IF(AND(B761&gt;=ThongTin!$C$9,B761&lt;=ThongTin!$C$10,COUNTIFS(ThongTin!$B$19:$B$48,C761,ThongTin!$A$19:$A$48,ThongTin!$C$8,ThongTin!$C$19:$C$48,"NHAP_NL")&gt;0),1,0))</f>
        <v>0</v>
      </c>
    </row>
    <row r="762" spans="1:8" x14ac:dyDescent="0.25">
      <c r="A762" s="41"/>
      <c r="B762" s="33"/>
      <c r="C762" s="32"/>
      <c r="D762" s="32"/>
      <c r="E762" s="37"/>
      <c r="F762" s="42"/>
      <c r="G762" s="32"/>
      <c r="H762" s="36">
        <f>IF(D762="",0,IF(AND(B762&gt;=ThongTin!$C$9,B762&lt;=ThongTin!$C$10,COUNTIFS(ThongTin!$B$19:$B$48,C762,ThongTin!$A$19:$A$48,ThongTin!$C$8,ThongTin!$C$19:$C$48,"NHAP_NL")&gt;0),1,0))</f>
        <v>0</v>
      </c>
    </row>
    <row r="763" spans="1:8" x14ac:dyDescent="0.25">
      <c r="A763" s="41"/>
      <c r="B763" s="33"/>
      <c r="C763" s="32"/>
      <c r="D763" s="32"/>
      <c r="E763" s="37"/>
      <c r="F763" s="42"/>
      <c r="G763" s="32"/>
      <c r="H763" s="36">
        <f>IF(D763="",0,IF(AND(B763&gt;=ThongTin!$C$9,B763&lt;=ThongTin!$C$10,COUNTIFS(ThongTin!$B$19:$B$48,C763,ThongTin!$A$19:$A$48,ThongTin!$C$8,ThongTin!$C$19:$C$48,"NHAP_NL")&gt;0),1,0))</f>
        <v>0</v>
      </c>
    </row>
    <row r="764" spans="1:8" x14ac:dyDescent="0.25">
      <c r="A764" s="41"/>
      <c r="B764" s="33"/>
      <c r="C764" s="32"/>
      <c r="D764" s="32"/>
      <c r="E764" s="37"/>
      <c r="F764" s="42"/>
      <c r="G764" s="32"/>
      <c r="H764" s="36">
        <f>IF(D764="",0,IF(AND(B764&gt;=ThongTin!$C$9,B764&lt;=ThongTin!$C$10,COUNTIFS(ThongTin!$B$19:$B$48,C764,ThongTin!$A$19:$A$48,ThongTin!$C$8,ThongTin!$C$19:$C$48,"NHAP_NL")&gt;0),1,0))</f>
        <v>0</v>
      </c>
    </row>
    <row r="765" spans="1:8" x14ac:dyDescent="0.25">
      <c r="A765" s="41"/>
      <c r="B765" s="33"/>
      <c r="C765" s="32"/>
      <c r="D765" s="32"/>
      <c r="E765" s="37"/>
      <c r="F765" s="42"/>
      <c r="G765" s="32"/>
      <c r="H765" s="36">
        <f>IF(D765="",0,IF(AND(B765&gt;=ThongTin!$C$9,B765&lt;=ThongTin!$C$10,COUNTIFS(ThongTin!$B$19:$B$48,C765,ThongTin!$A$19:$A$48,ThongTin!$C$8,ThongTin!$C$19:$C$48,"NHAP_NL")&gt;0),1,0))</f>
        <v>0</v>
      </c>
    </row>
    <row r="766" spans="1:8" x14ac:dyDescent="0.25">
      <c r="A766" s="41"/>
      <c r="B766" s="33"/>
      <c r="C766" s="32"/>
      <c r="D766" s="32"/>
      <c r="E766" s="37"/>
      <c r="F766" s="42"/>
      <c r="G766" s="32"/>
      <c r="H766" s="36">
        <f>IF(D766="",0,IF(AND(B766&gt;=ThongTin!$C$9,B766&lt;=ThongTin!$C$10,COUNTIFS(ThongTin!$B$19:$B$48,C766,ThongTin!$A$19:$A$48,ThongTin!$C$8,ThongTin!$C$19:$C$48,"NHAP_NL")&gt;0),1,0))</f>
        <v>0</v>
      </c>
    </row>
    <row r="767" spans="1:8" x14ac:dyDescent="0.25">
      <c r="A767" s="41"/>
      <c r="B767" s="33"/>
      <c r="C767" s="32"/>
      <c r="D767" s="32"/>
      <c r="E767" s="37"/>
      <c r="F767" s="42"/>
      <c r="G767" s="32"/>
      <c r="H767" s="36">
        <f>IF(D767="",0,IF(AND(B767&gt;=ThongTin!$C$9,B767&lt;=ThongTin!$C$10,COUNTIFS(ThongTin!$B$19:$B$48,C767,ThongTin!$A$19:$A$48,ThongTin!$C$8,ThongTin!$C$19:$C$48,"NHAP_NL")&gt;0),1,0))</f>
        <v>0</v>
      </c>
    </row>
    <row r="768" spans="1:8" x14ac:dyDescent="0.25">
      <c r="A768" s="41"/>
      <c r="B768" s="33"/>
      <c r="C768" s="32"/>
      <c r="D768" s="32"/>
      <c r="E768" s="37"/>
      <c r="F768" s="42"/>
      <c r="G768" s="32"/>
      <c r="H768" s="36">
        <f>IF(D768="",0,IF(AND(B768&gt;=ThongTin!$C$9,B768&lt;=ThongTin!$C$10,COUNTIFS(ThongTin!$B$19:$B$48,C768,ThongTin!$A$19:$A$48,ThongTin!$C$8,ThongTin!$C$19:$C$48,"NHAP_NL")&gt;0),1,0))</f>
        <v>0</v>
      </c>
    </row>
    <row r="769" spans="1:8" x14ac:dyDescent="0.25">
      <c r="A769" s="41"/>
      <c r="B769" s="33"/>
      <c r="C769" s="32"/>
      <c r="D769" s="32"/>
      <c r="E769" s="37"/>
      <c r="F769" s="42"/>
      <c r="G769" s="32"/>
      <c r="H769" s="36">
        <f>IF(D769="",0,IF(AND(B769&gt;=ThongTin!$C$9,B769&lt;=ThongTin!$C$10,COUNTIFS(ThongTin!$B$19:$B$48,C769,ThongTin!$A$19:$A$48,ThongTin!$C$8,ThongTin!$C$19:$C$48,"NHAP_NL")&gt;0),1,0))</f>
        <v>0</v>
      </c>
    </row>
    <row r="770" spans="1:8" x14ac:dyDescent="0.25">
      <c r="A770" s="41"/>
      <c r="B770" s="33"/>
      <c r="C770" s="32"/>
      <c r="D770" s="32"/>
      <c r="E770" s="37"/>
      <c r="F770" s="42"/>
      <c r="G770" s="32"/>
      <c r="H770" s="36">
        <f>IF(D770="",0,IF(AND(B770&gt;=ThongTin!$C$9,B770&lt;=ThongTin!$C$10,COUNTIFS(ThongTin!$B$19:$B$48,C770,ThongTin!$A$19:$A$48,ThongTin!$C$8,ThongTin!$C$19:$C$48,"NHAP_NL")&gt;0),1,0))</f>
        <v>0</v>
      </c>
    </row>
    <row r="771" spans="1:8" x14ac:dyDescent="0.25">
      <c r="A771" s="41"/>
      <c r="B771" s="33"/>
      <c r="C771" s="32"/>
      <c r="D771" s="32"/>
      <c r="E771" s="37"/>
      <c r="F771" s="42"/>
      <c r="G771" s="32"/>
      <c r="H771" s="36">
        <f>IF(D771="",0,IF(AND(B771&gt;=ThongTin!$C$9,B771&lt;=ThongTin!$C$10,COUNTIFS(ThongTin!$B$19:$B$48,C771,ThongTin!$A$19:$A$48,ThongTin!$C$8,ThongTin!$C$19:$C$48,"NHAP_NL")&gt;0),1,0))</f>
        <v>0</v>
      </c>
    </row>
    <row r="772" spans="1:8" x14ac:dyDescent="0.25">
      <c r="A772" s="41"/>
      <c r="B772" s="33"/>
      <c r="C772" s="32"/>
      <c r="D772" s="32"/>
      <c r="E772" s="37"/>
      <c r="F772" s="42"/>
      <c r="G772" s="32"/>
      <c r="H772" s="36">
        <f>IF(D772="",0,IF(AND(B772&gt;=ThongTin!$C$9,B772&lt;=ThongTin!$C$10,COUNTIFS(ThongTin!$B$19:$B$48,C772,ThongTin!$A$19:$A$48,ThongTin!$C$8,ThongTin!$C$19:$C$48,"NHAP_NL")&gt;0),1,0))</f>
        <v>0</v>
      </c>
    </row>
    <row r="773" spans="1:8" x14ac:dyDescent="0.25">
      <c r="A773" s="41"/>
      <c r="B773" s="33"/>
      <c r="C773" s="32"/>
      <c r="D773" s="32"/>
      <c r="E773" s="37"/>
      <c r="F773" s="42"/>
      <c r="G773" s="32"/>
      <c r="H773" s="36">
        <f>IF(D773="",0,IF(AND(B773&gt;=ThongTin!$C$9,B773&lt;=ThongTin!$C$10,COUNTIFS(ThongTin!$B$19:$B$48,C773,ThongTin!$A$19:$A$48,ThongTin!$C$8,ThongTin!$C$19:$C$48,"NHAP_NL")&gt;0),1,0))</f>
        <v>0</v>
      </c>
    </row>
    <row r="774" spans="1:8" x14ac:dyDescent="0.25">
      <c r="A774" s="41"/>
      <c r="B774" s="33"/>
      <c r="C774" s="32"/>
      <c r="D774" s="32"/>
      <c r="E774" s="37"/>
      <c r="F774" s="42"/>
      <c r="G774" s="32"/>
      <c r="H774" s="36">
        <f>IF(D774="",0,IF(AND(B774&gt;=ThongTin!$C$9,B774&lt;=ThongTin!$C$10,COUNTIFS(ThongTin!$B$19:$B$48,C774,ThongTin!$A$19:$A$48,ThongTin!$C$8,ThongTin!$C$19:$C$48,"NHAP_NL")&gt;0),1,0))</f>
        <v>0</v>
      </c>
    </row>
    <row r="775" spans="1:8" x14ac:dyDescent="0.25">
      <c r="A775" s="41"/>
      <c r="B775" s="33"/>
      <c r="C775" s="32"/>
      <c r="D775" s="32"/>
      <c r="E775" s="37"/>
      <c r="F775" s="42"/>
      <c r="G775" s="32"/>
      <c r="H775" s="36">
        <f>IF(D775="",0,IF(AND(B775&gt;=ThongTin!$C$9,B775&lt;=ThongTin!$C$10,COUNTIFS(ThongTin!$B$19:$B$48,C775,ThongTin!$A$19:$A$48,ThongTin!$C$8,ThongTin!$C$19:$C$48,"NHAP_NL")&gt;0),1,0))</f>
        <v>0</v>
      </c>
    </row>
    <row r="776" spans="1:8" x14ac:dyDescent="0.25">
      <c r="A776" s="41"/>
      <c r="B776" s="33"/>
      <c r="C776" s="32"/>
      <c r="D776" s="32"/>
      <c r="E776" s="37"/>
      <c r="F776" s="42"/>
      <c r="G776" s="32"/>
      <c r="H776" s="36">
        <f>IF(D776="",0,IF(AND(B776&gt;=ThongTin!$C$9,B776&lt;=ThongTin!$C$10,COUNTIFS(ThongTin!$B$19:$B$48,C776,ThongTin!$A$19:$A$48,ThongTin!$C$8,ThongTin!$C$19:$C$48,"NHAP_NL")&gt;0),1,0))</f>
        <v>0</v>
      </c>
    </row>
    <row r="777" spans="1:8" x14ac:dyDescent="0.25">
      <c r="A777" s="41"/>
      <c r="B777" s="33"/>
      <c r="C777" s="32"/>
      <c r="D777" s="32"/>
      <c r="E777" s="37"/>
      <c r="F777" s="42"/>
      <c r="G777" s="32"/>
      <c r="H777" s="36">
        <f>IF(D777="",0,IF(AND(B777&gt;=ThongTin!$C$9,B777&lt;=ThongTin!$C$10,COUNTIFS(ThongTin!$B$19:$B$48,C777,ThongTin!$A$19:$A$48,ThongTin!$C$8,ThongTin!$C$19:$C$48,"NHAP_NL")&gt;0),1,0))</f>
        <v>0</v>
      </c>
    </row>
    <row r="778" spans="1:8" x14ac:dyDescent="0.25">
      <c r="A778" s="41"/>
      <c r="B778" s="33"/>
      <c r="C778" s="32"/>
      <c r="D778" s="32"/>
      <c r="E778" s="37"/>
      <c r="F778" s="42"/>
      <c r="G778" s="32"/>
      <c r="H778" s="36">
        <f>IF(D778="",0,IF(AND(B778&gt;=ThongTin!$C$9,B778&lt;=ThongTin!$C$10,COUNTIFS(ThongTin!$B$19:$B$48,C778,ThongTin!$A$19:$A$48,ThongTin!$C$8,ThongTin!$C$19:$C$48,"NHAP_NL")&gt;0),1,0))</f>
        <v>0</v>
      </c>
    </row>
    <row r="779" spans="1:8" x14ac:dyDescent="0.25">
      <c r="A779" s="41"/>
      <c r="B779" s="33"/>
      <c r="C779" s="32"/>
      <c r="D779" s="32"/>
      <c r="E779" s="37"/>
      <c r="F779" s="42"/>
      <c r="G779" s="32"/>
      <c r="H779" s="36">
        <f>IF(D779="",0,IF(AND(B779&gt;=ThongTin!$C$9,B779&lt;=ThongTin!$C$10,COUNTIFS(ThongTin!$B$19:$B$48,C779,ThongTin!$A$19:$A$48,ThongTin!$C$8,ThongTin!$C$19:$C$48,"NHAP_NL")&gt;0),1,0))</f>
        <v>0</v>
      </c>
    </row>
    <row r="780" spans="1:8" x14ac:dyDescent="0.25">
      <c r="A780" s="41"/>
      <c r="B780" s="33"/>
      <c r="C780" s="32"/>
      <c r="D780" s="32"/>
      <c r="E780" s="37"/>
      <c r="F780" s="42"/>
      <c r="G780" s="32"/>
      <c r="H780" s="36">
        <f>IF(D780="",0,IF(AND(B780&gt;=ThongTin!$C$9,B780&lt;=ThongTin!$C$10,COUNTIFS(ThongTin!$B$19:$B$48,C780,ThongTin!$A$19:$A$48,ThongTin!$C$8,ThongTin!$C$19:$C$48,"NHAP_NL")&gt;0),1,0))</f>
        <v>0</v>
      </c>
    </row>
    <row r="781" spans="1:8" x14ac:dyDescent="0.25">
      <c r="A781" s="41"/>
      <c r="B781" s="33"/>
      <c r="C781" s="32"/>
      <c r="D781" s="32"/>
      <c r="E781" s="37"/>
      <c r="F781" s="42"/>
      <c r="G781" s="32"/>
      <c r="H781" s="36">
        <f>IF(D781="",0,IF(AND(B781&gt;=ThongTin!$C$9,B781&lt;=ThongTin!$C$10,COUNTIFS(ThongTin!$B$19:$B$48,C781,ThongTin!$A$19:$A$48,ThongTin!$C$8,ThongTin!$C$19:$C$48,"NHAP_NL")&gt;0),1,0))</f>
        <v>0</v>
      </c>
    </row>
    <row r="782" spans="1:8" x14ac:dyDescent="0.25">
      <c r="A782" s="41"/>
      <c r="B782" s="33"/>
      <c r="C782" s="32"/>
      <c r="D782" s="32"/>
      <c r="E782" s="37"/>
      <c r="F782" s="42"/>
      <c r="G782" s="32"/>
      <c r="H782" s="36">
        <f>IF(D782="",0,IF(AND(B782&gt;=ThongTin!$C$9,B782&lt;=ThongTin!$C$10,COUNTIFS(ThongTin!$B$19:$B$48,C782,ThongTin!$A$19:$A$48,ThongTin!$C$8,ThongTin!$C$19:$C$48,"NHAP_NL")&gt;0),1,0))</f>
        <v>0</v>
      </c>
    </row>
    <row r="783" spans="1:8" x14ac:dyDescent="0.25">
      <c r="A783" s="41"/>
      <c r="B783" s="33"/>
      <c r="C783" s="32"/>
      <c r="D783" s="32"/>
      <c r="E783" s="37"/>
      <c r="F783" s="42"/>
      <c r="G783" s="32"/>
      <c r="H783" s="36">
        <f>IF(D783="",0,IF(AND(B783&gt;=ThongTin!$C$9,B783&lt;=ThongTin!$C$10,COUNTIFS(ThongTin!$B$19:$B$48,C783,ThongTin!$A$19:$A$48,ThongTin!$C$8,ThongTin!$C$19:$C$48,"NHAP_NL")&gt;0),1,0))</f>
        <v>0</v>
      </c>
    </row>
    <row r="784" spans="1:8" x14ac:dyDescent="0.25">
      <c r="A784" s="41"/>
      <c r="B784" s="33"/>
      <c r="C784" s="32"/>
      <c r="D784" s="32"/>
      <c r="E784" s="37"/>
      <c r="F784" s="42"/>
      <c r="G784" s="32"/>
      <c r="H784" s="36">
        <f>IF(D784="",0,IF(AND(B784&gt;=ThongTin!$C$9,B784&lt;=ThongTin!$C$10,COUNTIFS(ThongTin!$B$19:$B$48,C784,ThongTin!$A$19:$A$48,ThongTin!$C$8,ThongTin!$C$19:$C$48,"NHAP_NL")&gt;0),1,0))</f>
        <v>0</v>
      </c>
    </row>
    <row r="785" spans="1:8" x14ac:dyDescent="0.25">
      <c r="A785" s="41"/>
      <c r="B785" s="33"/>
      <c r="C785" s="32"/>
      <c r="D785" s="32"/>
      <c r="E785" s="37"/>
      <c r="F785" s="42"/>
      <c r="G785" s="32"/>
      <c r="H785" s="36">
        <f>IF(D785="",0,IF(AND(B785&gt;=ThongTin!$C$9,B785&lt;=ThongTin!$C$10,COUNTIFS(ThongTin!$B$19:$B$48,C785,ThongTin!$A$19:$A$48,ThongTin!$C$8,ThongTin!$C$19:$C$48,"NHAP_NL")&gt;0),1,0))</f>
        <v>0</v>
      </c>
    </row>
    <row r="786" spans="1:8" x14ac:dyDescent="0.25">
      <c r="A786" s="41"/>
      <c r="B786" s="33"/>
      <c r="C786" s="32"/>
      <c r="D786" s="32"/>
      <c r="E786" s="37"/>
      <c r="F786" s="42"/>
      <c r="G786" s="32"/>
      <c r="H786" s="36">
        <f>IF(D786="",0,IF(AND(B786&gt;=ThongTin!$C$9,B786&lt;=ThongTin!$C$10,COUNTIFS(ThongTin!$B$19:$B$48,C786,ThongTin!$A$19:$A$48,ThongTin!$C$8,ThongTin!$C$19:$C$48,"NHAP_NL")&gt;0),1,0))</f>
        <v>0</v>
      </c>
    </row>
    <row r="787" spans="1:8" x14ac:dyDescent="0.25">
      <c r="A787" s="41"/>
      <c r="B787" s="33"/>
      <c r="C787" s="32"/>
      <c r="D787" s="32"/>
      <c r="E787" s="37"/>
      <c r="F787" s="42"/>
      <c r="G787" s="32"/>
      <c r="H787" s="36">
        <f>IF(D787="",0,IF(AND(B787&gt;=ThongTin!$C$9,B787&lt;=ThongTin!$C$10,COUNTIFS(ThongTin!$B$19:$B$48,C787,ThongTin!$A$19:$A$48,ThongTin!$C$8,ThongTin!$C$19:$C$48,"NHAP_NL")&gt;0),1,0))</f>
        <v>0</v>
      </c>
    </row>
    <row r="788" spans="1:8" x14ac:dyDescent="0.25">
      <c r="A788" s="41"/>
      <c r="B788" s="33"/>
      <c r="C788" s="32"/>
      <c r="D788" s="32"/>
      <c r="E788" s="37"/>
      <c r="F788" s="42"/>
      <c r="G788" s="32"/>
      <c r="H788" s="36">
        <f>IF(D788="",0,IF(AND(B788&gt;=ThongTin!$C$9,B788&lt;=ThongTin!$C$10,COUNTIFS(ThongTin!$B$19:$B$48,C788,ThongTin!$A$19:$A$48,ThongTin!$C$8,ThongTin!$C$19:$C$48,"NHAP_NL")&gt;0),1,0))</f>
        <v>0</v>
      </c>
    </row>
    <row r="789" spans="1:8" x14ac:dyDescent="0.25">
      <c r="A789" s="41"/>
      <c r="B789" s="33"/>
      <c r="C789" s="32"/>
      <c r="D789" s="32"/>
      <c r="E789" s="37"/>
      <c r="F789" s="42"/>
      <c r="G789" s="32"/>
      <c r="H789" s="36">
        <f>IF(D789="",0,IF(AND(B789&gt;=ThongTin!$C$9,B789&lt;=ThongTin!$C$10,COUNTIFS(ThongTin!$B$19:$B$48,C789,ThongTin!$A$19:$A$48,ThongTin!$C$8,ThongTin!$C$19:$C$48,"NHAP_NL")&gt;0),1,0))</f>
        <v>0</v>
      </c>
    </row>
    <row r="790" spans="1:8" x14ac:dyDescent="0.25">
      <c r="A790" s="41"/>
      <c r="B790" s="33"/>
      <c r="C790" s="32"/>
      <c r="D790" s="32"/>
      <c r="E790" s="37"/>
      <c r="F790" s="42"/>
      <c r="G790" s="32"/>
      <c r="H790" s="36">
        <f>IF(D790="",0,IF(AND(B790&gt;=ThongTin!$C$9,B790&lt;=ThongTin!$C$10,COUNTIFS(ThongTin!$B$19:$B$48,C790,ThongTin!$A$19:$A$48,ThongTin!$C$8,ThongTin!$C$19:$C$48,"NHAP_NL")&gt;0),1,0))</f>
        <v>0</v>
      </c>
    </row>
    <row r="791" spans="1:8" x14ac:dyDescent="0.25">
      <c r="A791" s="41"/>
      <c r="B791" s="33"/>
      <c r="C791" s="32"/>
      <c r="D791" s="32"/>
      <c r="E791" s="37"/>
      <c r="F791" s="42"/>
      <c r="G791" s="32"/>
      <c r="H791" s="36">
        <f>IF(D791="",0,IF(AND(B791&gt;=ThongTin!$C$9,B791&lt;=ThongTin!$C$10,COUNTIFS(ThongTin!$B$19:$B$48,C791,ThongTin!$A$19:$A$48,ThongTin!$C$8,ThongTin!$C$19:$C$48,"NHAP_NL")&gt;0),1,0))</f>
        <v>0</v>
      </c>
    </row>
    <row r="792" spans="1:8" x14ac:dyDescent="0.25">
      <c r="A792" s="41"/>
      <c r="B792" s="33"/>
      <c r="C792" s="32"/>
      <c r="D792" s="32"/>
      <c r="E792" s="37"/>
      <c r="F792" s="42"/>
      <c r="G792" s="32"/>
      <c r="H792" s="36">
        <f>IF(D792="",0,IF(AND(B792&gt;=ThongTin!$C$9,B792&lt;=ThongTin!$C$10,COUNTIFS(ThongTin!$B$19:$B$48,C792,ThongTin!$A$19:$A$48,ThongTin!$C$8,ThongTin!$C$19:$C$48,"NHAP_NL")&gt;0),1,0))</f>
        <v>0</v>
      </c>
    </row>
    <row r="793" spans="1:8" x14ac:dyDescent="0.25">
      <c r="A793" s="41"/>
      <c r="B793" s="33"/>
      <c r="C793" s="32"/>
      <c r="D793" s="32"/>
      <c r="E793" s="37"/>
      <c r="F793" s="42"/>
      <c r="G793" s="32"/>
      <c r="H793" s="36">
        <f>IF(D793="",0,IF(AND(B793&gt;=ThongTin!$C$9,B793&lt;=ThongTin!$C$10,COUNTIFS(ThongTin!$B$19:$B$48,C793,ThongTin!$A$19:$A$48,ThongTin!$C$8,ThongTin!$C$19:$C$48,"NHAP_NL")&gt;0),1,0))</f>
        <v>0</v>
      </c>
    </row>
    <row r="794" spans="1:8" x14ac:dyDescent="0.25">
      <c r="A794" s="41"/>
      <c r="B794" s="33"/>
      <c r="C794" s="32"/>
      <c r="D794" s="32"/>
      <c r="E794" s="37"/>
      <c r="F794" s="42"/>
      <c r="G794" s="32"/>
      <c r="H794" s="36">
        <f>IF(D794="",0,IF(AND(B794&gt;=ThongTin!$C$9,B794&lt;=ThongTin!$C$10,COUNTIFS(ThongTin!$B$19:$B$48,C794,ThongTin!$A$19:$A$48,ThongTin!$C$8,ThongTin!$C$19:$C$48,"NHAP_NL")&gt;0),1,0))</f>
        <v>0</v>
      </c>
    </row>
    <row r="795" spans="1:8" x14ac:dyDescent="0.25">
      <c r="A795" s="41"/>
      <c r="B795" s="33"/>
      <c r="C795" s="32"/>
      <c r="D795" s="32"/>
      <c r="E795" s="37"/>
      <c r="F795" s="42"/>
      <c r="G795" s="32"/>
      <c r="H795" s="36">
        <f>IF(D795="",0,IF(AND(B795&gt;=ThongTin!$C$9,B795&lt;=ThongTin!$C$10,COUNTIFS(ThongTin!$B$19:$B$48,C795,ThongTin!$A$19:$A$48,ThongTin!$C$8,ThongTin!$C$19:$C$48,"NHAP_NL")&gt;0),1,0))</f>
        <v>0</v>
      </c>
    </row>
    <row r="796" spans="1:8" x14ac:dyDescent="0.25">
      <c r="A796" s="41"/>
      <c r="B796" s="33"/>
      <c r="C796" s="32"/>
      <c r="D796" s="32"/>
      <c r="E796" s="37"/>
      <c r="F796" s="42"/>
      <c r="G796" s="32"/>
      <c r="H796" s="36">
        <f>IF(D796="",0,IF(AND(B796&gt;=ThongTin!$C$9,B796&lt;=ThongTin!$C$10,COUNTIFS(ThongTin!$B$19:$B$48,C796,ThongTin!$A$19:$A$48,ThongTin!$C$8,ThongTin!$C$19:$C$48,"NHAP_NL")&gt;0),1,0))</f>
        <v>0</v>
      </c>
    </row>
    <row r="797" spans="1:8" x14ac:dyDescent="0.25">
      <c r="A797" s="41"/>
      <c r="B797" s="33"/>
      <c r="C797" s="32"/>
      <c r="D797" s="32"/>
      <c r="E797" s="37"/>
      <c r="F797" s="42"/>
      <c r="G797" s="32"/>
      <c r="H797" s="36">
        <f>IF(D797="",0,IF(AND(B797&gt;=ThongTin!$C$9,B797&lt;=ThongTin!$C$10,COUNTIFS(ThongTin!$B$19:$B$48,C797,ThongTin!$A$19:$A$48,ThongTin!$C$8,ThongTin!$C$19:$C$48,"NHAP_NL")&gt;0),1,0))</f>
        <v>0</v>
      </c>
    </row>
    <row r="798" spans="1:8" x14ac:dyDescent="0.25">
      <c r="A798" s="41"/>
      <c r="B798" s="33"/>
      <c r="C798" s="32"/>
      <c r="D798" s="32"/>
      <c r="E798" s="37"/>
      <c r="F798" s="42"/>
      <c r="G798" s="32"/>
      <c r="H798" s="36">
        <f>IF(D798="",0,IF(AND(B798&gt;=ThongTin!$C$9,B798&lt;=ThongTin!$C$10,COUNTIFS(ThongTin!$B$19:$B$48,C798,ThongTin!$A$19:$A$48,ThongTin!$C$8,ThongTin!$C$19:$C$48,"NHAP_NL")&gt;0),1,0))</f>
        <v>0</v>
      </c>
    </row>
    <row r="799" spans="1:8" x14ac:dyDescent="0.25">
      <c r="A799" s="41"/>
      <c r="B799" s="33"/>
      <c r="C799" s="32"/>
      <c r="D799" s="32"/>
      <c r="E799" s="37"/>
      <c r="F799" s="42"/>
      <c r="G799" s="32"/>
      <c r="H799" s="36">
        <f>IF(D799="",0,IF(AND(B799&gt;=ThongTin!$C$9,B799&lt;=ThongTin!$C$10,COUNTIFS(ThongTin!$B$19:$B$48,C799,ThongTin!$A$19:$A$48,ThongTin!$C$8,ThongTin!$C$19:$C$48,"NHAP_NL")&gt;0),1,0))</f>
        <v>0</v>
      </c>
    </row>
    <row r="800" spans="1:8" x14ac:dyDescent="0.25">
      <c r="A800" s="41"/>
      <c r="B800" s="33"/>
      <c r="C800" s="32"/>
      <c r="D800" s="32"/>
      <c r="E800" s="37"/>
      <c r="F800" s="42"/>
      <c r="G800" s="32"/>
      <c r="H800" s="36">
        <f>IF(D800="",0,IF(AND(B800&gt;=ThongTin!$C$9,B800&lt;=ThongTin!$C$10,COUNTIFS(ThongTin!$B$19:$B$48,C800,ThongTin!$A$19:$A$48,ThongTin!$C$8,ThongTin!$C$19:$C$48,"NHAP_NL")&gt;0),1,0))</f>
        <v>0</v>
      </c>
    </row>
    <row r="801" spans="1:8" x14ac:dyDescent="0.25">
      <c r="A801" s="41"/>
      <c r="B801" s="33"/>
      <c r="C801" s="32"/>
      <c r="D801" s="32"/>
      <c r="E801" s="37"/>
      <c r="F801" s="42"/>
      <c r="G801" s="32"/>
      <c r="H801" s="36">
        <f>IF(D801="",0,IF(AND(B801&gt;=ThongTin!$C$9,B801&lt;=ThongTin!$C$10,COUNTIFS(ThongTin!$B$19:$B$48,C801,ThongTin!$A$19:$A$48,ThongTin!$C$8,ThongTin!$C$19:$C$48,"NHAP_NL")&gt;0),1,0))</f>
        <v>0</v>
      </c>
    </row>
    <row r="802" spans="1:8" x14ac:dyDescent="0.25">
      <c r="A802" s="41"/>
      <c r="B802" s="33"/>
      <c r="C802" s="32"/>
      <c r="D802" s="32"/>
      <c r="E802" s="37"/>
      <c r="F802" s="42"/>
      <c r="G802" s="32"/>
      <c r="H802" s="36">
        <f>IF(D802="",0,IF(AND(B802&gt;=ThongTin!$C$9,B802&lt;=ThongTin!$C$10,COUNTIFS(ThongTin!$B$19:$B$48,C802,ThongTin!$A$19:$A$48,ThongTin!$C$8,ThongTin!$C$19:$C$48,"NHAP_NL")&gt;0),1,0))</f>
        <v>0</v>
      </c>
    </row>
    <row r="803" spans="1:8" x14ac:dyDescent="0.25">
      <c r="A803" s="41"/>
      <c r="B803" s="33"/>
      <c r="C803" s="32"/>
      <c r="D803" s="32"/>
      <c r="E803" s="37"/>
      <c r="F803" s="42"/>
      <c r="G803" s="32"/>
      <c r="H803" s="36">
        <f>IF(D803="",0,IF(AND(B803&gt;=ThongTin!$C$9,B803&lt;=ThongTin!$C$10,COUNTIFS(ThongTin!$B$19:$B$48,C803,ThongTin!$A$19:$A$48,ThongTin!$C$8,ThongTin!$C$19:$C$48,"NHAP_NL")&gt;0),1,0))</f>
        <v>0</v>
      </c>
    </row>
    <row r="804" spans="1:8" x14ac:dyDescent="0.25">
      <c r="A804" s="41"/>
      <c r="B804" s="33"/>
      <c r="C804" s="32"/>
      <c r="D804" s="32"/>
      <c r="E804" s="37"/>
      <c r="F804" s="42"/>
      <c r="G804" s="32"/>
      <c r="H804" s="36">
        <f>IF(D804="",0,IF(AND(B804&gt;=ThongTin!$C$9,B804&lt;=ThongTin!$C$10,COUNTIFS(ThongTin!$B$19:$B$48,C804,ThongTin!$A$19:$A$48,ThongTin!$C$8,ThongTin!$C$19:$C$48,"NHAP_NL")&gt;0),1,0))</f>
        <v>0</v>
      </c>
    </row>
    <row r="805" spans="1:8" x14ac:dyDescent="0.25">
      <c r="A805" s="41"/>
      <c r="B805" s="33"/>
      <c r="C805" s="32"/>
      <c r="D805" s="32"/>
      <c r="E805" s="37"/>
      <c r="F805" s="42"/>
      <c r="G805" s="32"/>
      <c r="H805" s="36">
        <f>IF(D805="",0,IF(AND(B805&gt;=ThongTin!$C$9,B805&lt;=ThongTin!$C$10,COUNTIFS(ThongTin!$B$19:$B$48,C805,ThongTin!$A$19:$A$48,ThongTin!$C$8,ThongTin!$C$19:$C$48,"NHAP_NL")&gt;0),1,0))</f>
        <v>0</v>
      </c>
    </row>
    <row r="806" spans="1:8" x14ac:dyDescent="0.25">
      <c r="A806" s="41"/>
      <c r="B806" s="33"/>
      <c r="C806" s="32"/>
      <c r="D806" s="32"/>
      <c r="E806" s="37"/>
      <c r="F806" s="42"/>
      <c r="G806" s="32"/>
      <c r="H806" s="36">
        <f>IF(D806="",0,IF(AND(B806&gt;=ThongTin!$C$9,B806&lt;=ThongTin!$C$10,COUNTIFS(ThongTin!$B$19:$B$48,C806,ThongTin!$A$19:$A$48,ThongTin!$C$8,ThongTin!$C$19:$C$48,"NHAP_NL")&gt;0),1,0))</f>
        <v>0</v>
      </c>
    </row>
    <row r="807" spans="1:8" x14ac:dyDescent="0.25">
      <c r="A807" s="41"/>
      <c r="B807" s="33"/>
      <c r="C807" s="32"/>
      <c r="D807" s="32"/>
      <c r="E807" s="37"/>
      <c r="F807" s="42"/>
      <c r="G807" s="32"/>
      <c r="H807" s="36">
        <f>IF(D807="",0,IF(AND(B807&gt;=ThongTin!$C$9,B807&lt;=ThongTin!$C$10,COUNTIFS(ThongTin!$B$19:$B$48,C807,ThongTin!$A$19:$A$48,ThongTin!$C$8,ThongTin!$C$19:$C$48,"NHAP_NL")&gt;0),1,0))</f>
        <v>0</v>
      </c>
    </row>
    <row r="808" spans="1:8" x14ac:dyDescent="0.25">
      <c r="A808" s="41"/>
      <c r="B808" s="33"/>
      <c r="C808" s="32"/>
      <c r="D808" s="32"/>
      <c r="E808" s="37"/>
      <c r="F808" s="42"/>
      <c r="G808" s="32"/>
      <c r="H808" s="36">
        <f>IF(D808="",0,IF(AND(B808&gt;=ThongTin!$C$9,B808&lt;=ThongTin!$C$10,COUNTIFS(ThongTin!$B$19:$B$48,C808,ThongTin!$A$19:$A$48,ThongTin!$C$8,ThongTin!$C$19:$C$48,"NHAP_NL")&gt;0),1,0))</f>
        <v>0</v>
      </c>
    </row>
    <row r="809" spans="1:8" x14ac:dyDescent="0.25">
      <c r="A809" s="41"/>
      <c r="B809" s="33"/>
      <c r="C809" s="32"/>
      <c r="D809" s="32"/>
      <c r="E809" s="37"/>
      <c r="F809" s="42"/>
      <c r="G809" s="32"/>
      <c r="H809" s="36">
        <f>IF(D809="",0,IF(AND(B809&gt;=ThongTin!$C$9,B809&lt;=ThongTin!$C$10,COUNTIFS(ThongTin!$B$19:$B$48,C809,ThongTin!$A$19:$A$48,ThongTin!$C$8,ThongTin!$C$19:$C$48,"NHAP_NL")&gt;0),1,0))</f>
        <v>0</v>
      </c>
    </row>
    <row r="810" spans="1:8" x14ac:dyDescent="0.25">
      <c r="A810" s="41"/>
      <c r="B810" s="33"/>
      <c r="C810" s="32"/>
      <c r="D810" s="32"/>
      <c r="E810" s="37"/>
      <c r="F810" s="42"/>
      <c r="G810" s="32"/>
      <c r="H810" s="36">
        <f>IF(D810="",0,IF(AND(B810&gt;=ThongTin!$C$9,B810&lt;=ThongTin!$C$10,COUNTIFS(ThongTin!$B$19:$B$48,C810,ThongTin!$A$19:$A$48,ThongTin!$C$8,ThongTin!$C$19:$C$48,"NHAP_NL")&gt;0),1,0))</f>
        <v>0</v>
      </c>
    </row>
    <row r="811" spans="1:8" x14ac:dyDescent="0.25">
      <c r="A811" s="41"/>
      <c r="B811" s="33"/>
      <c r="C811" s="32"/>
      <c r="D811" s="32"/>
      <c r="E811" s="37"/>
      <c r="F811" s="42"/>
      <c r="G811" s="32"/>
      <c r="H811" s="36">
        <f>IF(D811="",0,IF(AND(B811&gt;=ThongTin!$C$9,B811&lt;=ThongTin!$C$10,COUNTIFS(ThongTin!$B$19:$B$48,C811,ThongTin!$A$19:$A$48,ThongTin!$C$8,ThongTin!$C$19:$C$48,"NHAP_NL")&gt;0),1,0))</f>
        <v>0</v>
      </c>
    </row>
    <row r="812" spans="1:8" x14ac:dyDescent="0.25">
      <c r="A812" s="41"/>
      <c r="B812" s="33"/>
      <c r="C812" s="32"/>
      <c r="D812" s="32"/>
      <c r="E812" s="37"/>
      <c r="F812" s="42"/>
      <c r="G812" s="32"/>
      <c r="H812" s="36">
        <f>IF(D812="",0,IF(AND(B812&gt;=ThongTin!$C$9,B812&lt;=ThongTin!$C$10,COUNTIFS(ThongTin!$B$19:$B$48,C812,ThongTin!$A$19:$A$48,ThongTin!$C$8,ThongTin!$C$19:$C$48,"NHAP_NL")&gt;0),1,0))</f>
        <v>0</v>
      </c>
    </row>
    <row r="813" spans="1:8" x14ac:dyDescent="0.25">
      <c r="A813" s="41"/>
      <c r="B813" s="33"/>
      <c r="C813" s="32"/>
      <c r="D813" s="32"/>
      <c r="E813" s="37"/>
      <c r="F813" s="42"/>
      <c r="G813" s="32"/>
      <c r="H813" s="36">
        <f>IF(D813="",0,IF(AND(B813&gt;=ThongTin!$C$9,B813&lt;=ThongTin!$C$10,COUNTIFS(ThongTin!$B$19:$B$48,C813,ThongTin!$A$19:$A$48,ThongTin!$C$8,ThongTin!$C$19:$C$48,"NHAP_NL")&gt;0),1,0))</f>
        <v>0</v>
      </c>
    </row>
    <row r="814" spans="1:8" x14ac:dyDescent="0.25">
      <c r="A814" s="41"/>
      <c r="B814" s="33"/>
      <c r="C814" s="32"/>
      <c r="D814" s="32"/>
      <c r="E814" s="37"/>
      <c r="F814" s="42"/>
      <c r="G814" s="32"/>
      <c r="H814" s="36">
        <f>IF(D814="",0,IF(AND(B814&gt;=ThongTin!$C$9,B814&lt;=ThongTin!$C$10,COUNTIFS(ThongTin!$B$19:$B$48,C814,ThongTin!$A$19:$A$48,ThongTin!$C$8,ThongTin!$C$19:$C$48,"NHAP_NL")&gt;0),1,0))</f>
        <v>0</v>
      </c>
    </row>
    <row r="815" spans="1:8" x14ac:dyDescent="0.25">
      <c r="A815" s="41"/>
      <c r="B815" s="33"/>
      <c r="C815" s="32"/>
      <c r="D815" s="32"/>
      <c r="E815" s="37"/>
      <c r="F815" s="42"/>
      <c r="G815" s="32"/>
      <c r="H815" s="36">
        <f>IF(D815="",0,IF(AND(B815&gt;=ThongTin!$C$9,B815&lt;=ThongTin!$C$10,COUNTIFS(ThongTin!$B$19:$B$48,C815,ThongTin!$A$19:$A$48,ThongTin!$C$8,ThongTin!$C$19:$C$48,"NHAP_NL")&gt;0),1,0))</f>
        <v>0</v>
      </c>
    </row>
    <row r="816" spans="1:8" x14ac:dyDescent="0.25">
      <c r="A816" s="41"/>
      <c r="B816" s="33"/>
      <c r="C816" s="32"/>
      <c r="D816" s="32"/>
      <c r="E816" s="37"/>
      <c r="F816" s="42"/>
      <c r="G816" s="32"/>
      <c r="H816" s="36">
        <f>IF(D816="",0,IF(AND(B816&gt;=ThongTin!$C$9,B816&lt;=ThongTin!$C$10,COUNTIFS(ThongTin!$B$19:$B$48,C816,ThongTin!$A$19:$A$48,ThongTin!$C$8,ThongTin!$C$19:$C$48,"NHAP_NL")&gt;0),1,0))</f>
        <v>0</v>
      </c>
    </row>
    <row r="817" spans="1:8" x14ac:dyDescent="0.25">
      <c r="A817" s="41"/>
      <c r="B817" s="33"/>
      <c r="C817" s="32"/>
      <c r="D817" s="32"/>
      <c r="E817" s="37"/>
      <c r="F817" s="42"/>
      <c r="G817" s="32"/>
      <c r="H817" s="36">
        <f>IF(D817="",0,IF(AND(B817&gt;=ThongTin!$C$9,B817&lt;=ThongTin!$C$10,COUNTIFS(ThongTin!$B$19:$B$48,C817,ThongTin!$A$19:$A$48,ThongTin!$C$8,ThongTin!$C$19:$C$48,"NHAP_NL")&gt;0),1,0))</f>
        <v>0</v>
      </c>
    </row>
    <row r="818" spans="1:8" x14ac:dyDescent="0.25">
      <c r="A818" s="41"/>
      <c r="B818" s="33"/>
      <c r="C818" s="32"/>
      <c r="D818" s="32"/>
      <c r="E818" s="37"/>
      <c r="F818" s="42"/>
      <c r="G818" s="32"/>
      <c r="H818" s="36">
        <f>IF(D818="",0,IF(AND(B818&gt;=ThongTin!$C$9,B818&lt;=ThongTin!$C$10,COUNTIFS(ThongTin!$B$19:$B$48,C818,ThongTin!$A$19:$A$48,ThongTin!$C$8,ThongTin!$C$19:$C$48,"NHAP_NL")&gt;0),1,0))</f>
        <v>0</v>
      </c>
    </row>
    <row r="819" spans="1:8" x14ac:dyDescent="0.25">
      <c r="A819" s="41"/>
      <c r="B819" s="33"/>
      <c r="C819" s="32"/>
      <c r="D819" s="32"/>
      <c r="E819" s="37"/>
      <c r="F819" s="42"/>
      <c r="G819" s="32"/>
      <c r="H819" s="36">
        <f>IF(D819="",0,IF(AND(B819&gt;=ThongTin!$C$9,B819&lt;=ThongTin!$C$10,COUNTIFS(ThongTin!$B$19:$B$48,C819,ThongTin!$A$19:$A$48,ThongTin!$C$8,ThongTin!$C$19:$C$48,"NHAP_NL")&gt;0),1,0))</f>
        <v>0</v>
      </c>
    </row>
    <row r="820" spans="1:8" x14ac:dyDescent="0.25">
      <c r="A820" s="41"/>
      <c r="B820" s="33"/>
      <c r="C820" s="32"/>
      <c r="D820" s="32"/>
      <c r="E820" s="37"/>
      <c r="F820" s="42"/>
      <c r="G820" s="32"/>
      <c r="H820" s="36">
        <f>IF(D820="",0,IF(AND(B820&gt;=ThongTin!$C$9,B820&lt;=ThongTin!$C$10,COUNTIFS(ThongTin!$B$19:$B$48,C820,ThongTin!$A$19:$A$48,ThongTin!$C$8,ThongTin!$C$19:$C$48,"NHAP_NL")&gt;0),1,0))</f>
        <v>0</v>
      </c>
    </row>
    <row r="821" spans="1:8" x14ac:dyDescent="0.25">
      <c r="A821" s="41"/>
      <c r="B821" s="33"/>
      <c r="C821" s="32"/>
      <c r="D821" s="32"/>
      <c r="E821" s="37"/>
      <c r="F821" s="42"/>
      <c r="G821" s="32"/>
      <c r="H821" s="36">
        <f>IF(D821="",0,IF(AND(B821&gt;=ThongTin!$C$9,B821&lt;=ThongTin!$C$10,COUNTIFS(ThongTin!$B$19:$B$48,C821,ThongTin!$A$19:$A$48,ThongTin!$C$8,ThongTin!$C$19:$C$48,"NHAP_NL")&gt;0),1,0))</f>
        <v>0</v>
      </c>
    </row>
    <row r="822" spans="1:8" x14ac:dyDescent="0.25">
      <c r="A822" s="41"/>
      <c r="B822" s="33"/>
      <c r="C822" s="32"/>
      <c r="D822" s="32"/>
      <c r="E822" s="37"/>
      <c r="F822" s="42"/>
      <c r="G822" s="32"/>
      <c r="H822" s="36">
        <f>IF(D822="",0,IF(AND(B822&gt;=ThongTin!$C$9,B822&lt;=ThongTin!$C$10,COUNTIFS(ThongTin!$B$19:$B$48,C822,ThongTin!$A$19:$A$48,ThongTin!$C$8,ThongTin!$C$19:$C$48,"NHAP_NL")&gt;0),1,0))</f>
        <v>0</v>
      </c>
    </row>
    <row r="823" spans="1:8" x14ac:dyDescent="0.25">
      <c r="A823" s="41"/>
      <c r="B823" s="33"/>
      <c r="C823" s="32"/>
      <c r="D823" s="32"/>
      <c r="E823" s="37"/>
      <c r="F823" s="42"/>
      <c r="G823" s="32"/>
      <c r="H823" s="36">
        <f>IF(D823="",0,IF(AND(B823&gt;=ThongTin!$C$9,B823&lt;=ThongTin!$C$10,COUNTIFS(ThongTin!$B$19:$B$48,C823,ThongTin!$A$19:$A$48,ThongTin!$C$8,ThongTin!$C$19:$C$48,"NHAP_NL")&gt;0),1,0))</f>
        <v>0</v>
      </c>
    </row>
    <row r="824" spans="1:8" x14ac:dyDescent="0.25">
      <c r="A824" s="41"/>
      <c r="B824" s="33"/>
      <c r="C824" s="32"/>
      <c r="D824" s="32"/>
      <c r="E824" s="37"/>
      <c r="F824" s="42"/>
      <c r="G824" s="32"/>
      <c r="H824" s="36">
        <f>IF(D824="",0,IF(AND(B824&gt;=ThongTin!$C$9,B824&lt;=ThongTin!$C$10,COUNTIFS(ThongTin!$B$19:$B$48,C824,ThongTin!$A$19:$A$48,ThongTin!$C$8,ThongTin!$C$19:$C$48,"NHAP_NL")&gt;0),1,0))</f>
        <v>0</v>
      </c>
    </row>
    <row r="825" spans="1:8" x14ac:dyDescent="0.25">
      <c r="A825" s="41"/>
      <c r="B825" s="33"/>
      <c r="C825" s="32"/>
      <c r="D825" s="32"/>
      <c r="E825" s="37"/>
      <c r="F825" s="42"/>
      <c r="G825" s="32"/>
      <c r="H825" s="36">
        <f>IF(D825="",0,IF(AND(B825&gt;=ThongTin!$C$9,B825&lt;=ThongTin!$C$10,COUNTIFS(ThongTin!$B$19:$B$48,C825,ThongTin!$A$19:$A$48,ThongTin!$C$8,ThongTin!$C$19:$C$48,"NHAP_NL")&gt;0),1,0))</f>
        <v>0</v>
      </c>
    </row>
    <row r="826" spans="1:8" x14ac:dyDescent="0.25">
      <c r="A826" s="41"/>
      <c r="B826" s="33"/>
      <c r="C826" s="32"/>
      <c r="D826" s="32"/>
      <c r="E826" s="37"/>
      <c r="F826" s="42"/>
      <c r="G826" s="32"/>
      <c r="H826" s="36">
        <f>IF(D826="",0,IF(AND(B826&gt;=ThongTin!$C$9,B826&lt;=ThongTin!$C$10,COUNTIFS(ThongTin!$B$19:$B$48,C826,ThongTin!$A$19:$A$48,ThongTin!$C$8,ThongTin!$C$19:$C$48,"NHAP_NL")&gt;0),1,0))</f>
        <v>0</v>
      </c>
    </row>
    <row r="827" spans="1:8" x14ac:dyDescent="0.25">
      <c r="A827" s="41"/>
      <c r="B827" s="33"/>
      <c r="C827" s="32"/>
      <c r="D827" s="32"/>
      <c r="E827" s="37"/>
      <c r="F827" s="42"/>
      <c r="G827" s="32"/>
      <c r="H827" s="36">
        <f>IF(D827="",0,IF(AND(B827&gt;=ThongTin!$C$9,B827&lt;=ThongTin!$C$10,COUNTIFS(ThongTin!$B$19:$B$48,C827,ThongTin!$A$19:$A$48,ThongTin!$C$8,ThongTin!$C$19:$C$48,"NHAP_NL")&gt;0),1,0))</f>
        <v>0</v>
      </c>
    </row>
    <row r="828" spans="1:8" x14ac:dyDescent="0.25">
      <c r="A828" s="41"/>
      <c r="B828" s="33"/>
      <c r="C828" s="32"/>
      <c r="D828" s="32"/>
      <c r="E828" s="37"/>
      <c r="F828" s="42"/>
      <c r="G828" s="32"/>
      <c r="H828" s="36">
        <f>IF(D828="",0,IF(AND(B828&gt;=ThongTin!$C$9,B828&lt;=ThongTin!$C$10,COUNTIFS(ThongTin!$B$19:$B$48,C828,ThongTin!$A$19:$A$48,ThongTin!$C$8,ThongTin!$C$19:$C$48,"NHAP_NL")&gt;0),1,0))</f>
        <v>0</v>
      </c>
    </row>
    <row r="829" spans="1:8" x14ac:dyDescent="0.25">
      <c r="A829" s="41"/>
      <c r="B829" s="33"/>
      <c r="C829" s="32"/>
      <c r="D829" s="32"/>
      <c r="E829" s="37"/>
      <c r="F829" s="42"/>
      <c r="G829" s="32"/>
      <c r="H829" s="36">
        <f>IF(D829="",0,IF(AND(B829&gt;=ThongTin!$C$9,B829&lt;=ThongTin!$C$10,COUNTIFS(ThongTin!$B$19:$B$48,C829,ThongTin!$A$19:$A$48,ThongTin!$C$8,ThongTin!$C$19:$C$48,"NHAP_NL")&gt;0),1,0))</f>
        <v>0</v>
      </c>
    </row>
    <row r="830" spans="1:8" x14ac:dyDescent="0.25">
      <c r="A830" s="41"/>
      <c r="B830" s="33"/>
      <c r="C830" s="32"/>
      <c r="D830" s="32"/>
      <c r="E830" s="37"/>
      <c r="F830" s="42"/>
      <c r="G830" s="32"/>
      <c r="H830" s="36">
        <f>IF(D830="",0,IF(AND(B830&gt;=ThongTin!$C$9,B830&lt;=ThongTin!$C$10,COUNTIFS(ThongTin!$B$19:$B$48,C830,ThongTin!$A$19:$A$48,ThongTin!$C$8,ThongTin!$C$19:$C$48,"NHAP_NL")&gt;0),1,0))</f>
        <v>0</v>
      </c>
    </row>
    <row r="831" spans="1:8" x14ac:dyDescent="0.25">
      <c r="A831" s="41"/>
      <c r="B831" s="33"/>
      <c r="C831" s="32"/>
      <c r="D831" s="32"/>
      <c r="E831" s="37"/>
      <c r="F831" s="42"/>
      <c r="G831" s="32"/>
      <c r="H831" s="36">
        <f>IF(D831="",0,IF(AND(B831&gt;=ThongTin!$C$9,B831&lt;=ThongTin!$C$10,COUNTIFS(ThongTin!$B$19:$B$48,C831,ThongTin!$A$19:$A$48,ThongTin!$C$8,ThongTin!$C$19:$C$48,"NHAP_NL")&gt;0),1,0))</f>
        <v>0</v>
      </c>
    </row>
    <row r="832" spans="1:8" x14ac:dyDescent="0.25">
      <c r="A832" s="41"/>
      <c r="B832" s="33"/>
      <c r="C832" s="32"/>
      <c r="D832" s="32"/>
      <c r="E832" s="37"/>
      <c r="F832" s="42"/>
      <c r="G832" s="32"/>
      <c r="H832" s="36">
        <f>IF(D832="",0,IF(AND(B832&gt;=ThongTin!$C$9,B832&lt;=ThongTin!$C$10,COUNTIFS(ThongTin!$B$19:$B$48,C832,ThongTin!$A$19:$A$48,ThongTin!$C$8,ThongTin!$C$19:$C$48,"NHAP_NL")&gt;0),1,0))</f>
        <v>0</v>
      </c>
    </row>
    <row r="833" spans="1:8" x14ac:dyDescent="0.25">
      <c r="A833" s="41"/>
      <c r="B833" s="33"/>
      <c r="C833" s="32"/>
      <c r="D833" s="32"/>
      <c r="E833" s="37"/>
      <c r="F833" s="42"/>
      <c r="G833" s="32"/>
      <c r="H833" s="36">
        <f>IF(D833="",0,IF(AND(B833&gt;=ThongTin!$C$9,B833&lt;=ThongTin!$C$10,COUNTIFS(ThongTin!$B$19:$B$48,C833,ThongTin!$A$19:$A$48,ThongTin!$C$8,ThongTin!$C$19:$C$48,"NHAP_NL")&gt;0),1,0))</f>
        <v>0</v>
      </c>
    </row>
    <row r="834" spans="1:8" x14ac:dyDescent="0.25">
      <c r="A834" s="41"/>
      <c r="B834" s="33"/>
      <c r="C834" s="32"/>
      <c r="D834" s="32"/>
      <c r="E834" s="37"/>
      <c r="F834" s="42"/>
      <c r="G834" s="32"/>
      <c r="H834" s="36">
        <f>IF(D834="",0,IF(AND(B834&gt;=ThongTin!$C$9,B834&lt;=ThongTin!$C$10,COUNTIFS(ThongTin!$B$19:$B$48,C834,ThongTin!$A$19:$A$48,ThongTin!$C$8,ThongTin!$C$19:$C$48,"NHAP_NL")&gt;0),1,0))</f>
        <v>0</v>
      </c>
    </row>
    <row r="835" spans="1:8" x14ac:dyDescent="0.25">
      <c r="A835" s="41"/>
      <c r="B835" s="33"/>
      <c r="C835" s="32"/>
      <c r="D835" s="32"/>
      <c r="E835" s="37"/>
      <c r="F835" s="42"/>
      <c r="G835" s="32"/>
      <c r="H835" s="36">
        <f>IF(D835="",0,IF(AND(B835&gt;=ThongTin!$C$9,B835&lt;=ThongTin!$C$10,COUNTIFS(ThongTin!$B$19:$B$48,C835,ThongTin!$A$19:$A$48,ThongTin!$C$8,ThongTin!$C$19:$C$48,"NHAP_NL")&gt;0),1,0))</f>
        <v>0</v>
      </c>
    </row>
    <row r="836" spans="1:8" x14ac:dyDescent="0.25">
      <c r="A836" s="41"/>
      <c r="B836" s="33"/>
      <c r="C836" s="32"/>
      <c r="D836" s="32"/>
      <c r="E836" s="37"/>
      <c r="F836" s="42"/>
      <c r="G836" s="32"/>
      <c r="H836" s="36">
        <f>IF(D836="",0,IF(AND(B836&gt;=ThongTin!$C$9,B836&lt;=ThongTin!$C$10,COUNTIFS(ThongTin!$B$19:$B$48,C836,ThongTin!$A$19:$A$48,ThongTin!$C$8,ThongTin!$C$19:$C$48,"NHAP_NL")&gt;0),1,0))</f>
        <v>0</v>
      </c>
    </row>
    <row r="837" spans="1:8" x14ac:dyDescent="0.25">
      <c r="A837" s="41"/>
      <c r="B837" s="33"/>
      <c r="C837" s="32"/>
      <c r="D837" s="32"/>
      <c r="E837" s="37"/>
      <c r="F837" s="42"/>
      <c r="G837" s="32"/>
      <c r="H837" s="36">
        <f>IF(D837="",0,IF(AND(B837&gt;=ThongTin!$C$9,B837&lt;=ThongTin!$C$10,COUNTIFS(ThongTin!$B$19:$B$48,C837,ThongTin!$A$19:$A$48,ThongTin!$C$8,ThongTin!$C$19:$C$48,"NHAP_NL")&gt;0),1,0))</f>
        <v>0</v>
      </c>
    </row>
    <row r="838" spans="1:8" x14ac:dyDescent="0.25">
      <c r="A838" s="41"/>
      <c r="B838" s="33"/>
      <c r="C838" s="32"/>
      <c r="D838" s="32"/>
      <c r="E838" s="37"/>
      <c r="F838" s="42"/>
      <c r="G838" s="32"/>
      <c r="H838" s="36">
        <f>IF(D838="",0,IF(AND(B838&gt;=ThongTin!$C$9,B838&lt;=ThongTin!$C$10,COUNTIFS(ThongTin!$B$19:$B$48,C838,ThongTin!$A$19:$A$48,ThongTin!$C$8,ThongTin!$C$19:$C$48,"NHAP_NL")&gt;0),1,0))</f>
        <v>0</v>
      </c>
    </row>
    <row r="839" spans="1:8" x14ac:dyDescent="0.25">
      <c r="A839" s="41"/>
      <c r="B839" s="33"/>
      <c r="C839" s="32"/>
      <c r="D839" s="32"/>
      <c r="E839" s="37"/>
      <c r="F839" s="42"/>
      <c r="G839" s="32"/>
      <c r="H839" s="36">
        <f>IF(D839="",0,IF(AND(B839&gt;=ThongTin!$C$9,B839&lt;=ThongTin!$C$10,COUNTIFS(ThongTin!$B$19:$B$48,C839,ThongTin!$A$19:$A$48,ThongTin!$C$8,ThongTin!$C$19:$C$48,"NHAP_NL")&gt;0),1,0))</f>
        <v>0</v>
      </c>
    </row>
    <row r="840" spans="1:8" x14ac:dyDescent="0.25">
      <c r="A840" s="41"/>
      <c r="B840" s="33"/>
      <c r="C840" s="32"/>
      <c r="D840" s="32"/>
      <c r="E840" s="37"/>
      <c r="F840" s="42"/>
      <c r="G840" s="32"/>
      <c r="H840" s="36">
        <f>IF(D840="",0,IF(AND(B840&gt;=ThongTin!$C$9,B840&lt;=ThongTin!$C$10,COUNTIFS(ThongTin!$B$19:$B$48,C840,ThongTin!$A$19:$A$48,ThongTin!$C$8,ThongTin!$C$19:$C$48,"NHAP_NL")&gt;0),1,0))</f>
        <v>0</v>
      </c>
    </row>
    <row r="841" spans="1:8" x14ac:dyDescent="0.25">
      <c r="A841" s="41"/>
      <c r="B841" s="33"/>
      <c r="C841" s="32"/>
      <c r="D841" s="32"/>
      <c r="E841" s="37"/>
      <c r="F841" s="42"/>
      <c r="G841" s="32"/>
      <c r="H841" s="36">
        <f>IF(D841="",0,IF(AND(B841&gt;=ThongTin!$C$9,B841&lt;=ThongTin!$C$10,COUNTIFS(ThongTin!$B$19:$B$48,C841,ThongTin!$A$19:$A$48,ThongTin!$C$8,ThongTin!$C$19:$C$48,"NHAP_NL")&gt;0),1,0))</f>
        <v>0</v>
      </c>
    </row>
    <row r="842" spans="1:8" x14ac:dyDescent="0.25">
      <c r="A842" s="41"/>
      <c r="B842" s="33"/>
      <c r="C842" s="32"/>
      <c r="D842" s="32"/>
      <c r="E842" s="37"/>
      <c r="F842" s="42"/>
      <c r="G842" s="32"/>
      <c r="H842" s="36">
        <f>IF(D842="",0,IF(AND(B842&gt;=ThongTin!$C$9,B842&lt;=ThongTin!$C$10,COUNTIFS(ThongTin!$B$19:$B$48,C842,ThongTin!$A$19:$A$48,ThongTin!$C$8,ThongTin!$C$19:$C$48,"NHAP_NL")&gt;0),1,0))</f>
        <v>0</v>
      </c>
    </row>
    <row r="843" spans="1:8" x14ac:dyDescent="0.25">
      <c r="A843" s="41"/>
      <c r="B843" s="33"/>
      <c r="C843" s="32"/>
      <c r="D843" s="32"/>
      <c r="E843" s="37"/>
      <c r="F843" s="42"/>
      <c r="G843" s="32"/>
      <c r="H843" s="36">
        <f>IF(D843="",0,IF(AND(B843&gt;=ThongTin!$C$9,B843&lt;=ThongTin!$C$10,COUNTIFS(ThongTin!$B$19:$B$48,C843,ThongTin!$A$19:$A$48,ThongTin!$C$8,ThongTin!$C$19:$C$48,"NHAP_NL")&gt;0),1,0))</f>
        <v>0</v>
      </c>
    </row>
    <row r="844" spans="1:8" x14ac:dyDescent="0.25">
      <c r="A844" s="41"/>
      <c r="B844" s="33"/>
      <c r="C844" s="32"/>
      <c r="D844" s="32"/>
      <c r="E844" s="37"/>
      <c r="F844" s="42"/>
      <c r="G844" s="32"/>
      <c r="H844" s="36">
        <f>IF(D844="",0,IF(AND(B844&gt;=ThongTin!$C$9,B844&lt;=ThongTin!$C$10,COUNTIFS(ThongTin!$B$19:$B$48,C844,ThongTin!$A$19:$A$48,ThongTin!$C$8,ThongTin!$C$19:$C$48,"NHAP_NL")&gt;0),1,0))</f>
        <v>0</v>
      </c>
    </row>
    <row r="845" spans="1:8" x14ac:dyDescent="0.25">
      <c r="A845" s="41"/>
      <c r="B845" s="33"/>
      <c r="C845" s="32"/>
      <c r="D845" s="32"/>
      <c r="E845" s="37"/>
      <c r="F845" s="42"/>
      <c r="G845" s="32"/>
      <c r="H845" s="36">
        <f>IF(D845="",0,IF(AND(B845&gt;=ThongTin!$C$9,B845&lt;=ThongTin!$C$10,COUNTIFS(ThongTin!$B$19:$B$48,C845,ThongTin!$A$19:$A$48,ThongTin!$C$8,ThongTin!$C$19:$C$48,"NHAP_NL")&gt;0),1,0))</f>
        <v>0</v>
      </c>
    </row>
    <row r="846" spans="1:8" x14ac:dyDescent="0.25">
      <c r="A846" s="41"/>
      <c r="B846" s="33"/>
      <c r="C846" s="32"/>
      <c r="D846" s="32"/>
      <c r="E846" s="37"/>
      <c r="F846" s="42"/>
      <c r="G846" s="32"/>
      <c r="H846" s="36">
        <f>IF(D846="",0,IF(AND(B846&gt;=ThongTin!$C$9,B846&lt;=ThongTin!$C$10,COUNTIFS(ThongTin!$B$19:$B$48,C846,ThongTin!$A$19:$A$48,ThongTin!$C$8,ThongTin!$C$19:$C$48,"NHAP_NL")&gt;0),1,0))</f>
        <v>0</v>
      </c>
    </row>
    <row r="847" spans="1:8" x14ac:dyDescent="0.25">
      <c r="A847" s="41"/>
      <c r="B847" s="33"/>
      <c r="C847" s="32"/>
      <c r="D847" s="32"/>
      <c r="E847" s="37"/>
      <c r="F847" s="42"/>
      <c r="G847" s="32"/>
      <c r="H847" s="36">
        <f>IF(D847="",0,IF(AND(B847&gt;=ThongTin!$C$9,B847&lt;=ThongTin!$C$10,COUNTIFS(ThongTin!$B$19:$B$48,C847,ThongTin!$A$19:$A$48,ThongTin!$C$8,ThongTin!$C$19:$C$48,"NHAP_NL")&gt;0),1,0))</f>
        <v>0</v>
      </c>
    </row>
    <row r="848" spans="1:8" x14ac:dyDescent="0.25">
      <c r="A848" s="41"/>
      <c r="B848" s="33"/>
      <c r="C848" s="32"/>
      <c r="D848" s="32"/>
      <c r="E848" s="37"/>
      <c r="F848" s="42"/>
      <c r="G848" s="32"/>
      <c r="H848" s="36">
        <f>IF(D848="",0,IF(AND(B848&gt;=ThongTin!$C$9,B848&lt;=ThongTin!$C$10,COUNTIFS(ThongTin!$B$19:$B$48,C848,ThongTin!$A$19:$A$48,ThongTin!$C$8,ThongTin!$C$19:$C$48,"NHAP_NL")&gt;0),1,0))</f>
        <v>0</v>
      </c>
    </row>
    <row r="849" spans="1:8" x14ac:dyDescent="0.25">
      <c r="A849" s="41"/>
      <c r="B849" s="33"/>
      <c r="C849" s="32"/>
      <c r="D849" s="32"/>
      <c r="E849" s="37"/>
      <c r="F849" s="42"/>
      <c r="G849" s="32"/>
      <c r="H849" s="36">
        <f>IF(D849="",0,IF(AND(B849&gt;=ThongTin!$C$9,B849&lt;=ThongTin!$C$10,COUNTIFS(ThongTin!$B$19:$B$48,C849,ThongTin!$A$19:$A$48,ThongTin!$C$8,ThongTin!$C$19:$C$48,"NHAP_NL")&gt;0),1,0))</f>
        <v>0</v>
      </c>
    </row>
    <row r="850" spans="1:8" x14ac:dyDescent="0.25">
      <c r="A850" s="41"/>
      <c r="B850" s="33"/>
      <c r="C850" s="32"/>
      <c r="D850" s="32"/>
      <c r="E850" s="37"/>
      <c r="F850" s="42"/>
      <c r="G850" s="32"/>
      <c r="H850" s="36">
        <f>IF(D850="",0,IF(AND(B850&gt;=ThongTin!$C$9,B850&lt;=ThongTin!$C$10,COUNTIFS(ThongTin!$B$19:$B$48,C850,ThongTin!$A$19:$A$48,ThongTin!$C$8,ThongTin!$C$19:$C$48,"NHAP_NL")&gt;0),1,0))</f>
        <v>0</v>
      </c>
    </row>
    <row r="851" spans="1:8" x14ac:dyDescent="0.25">
      <c r="A851" s="41"/>
      <c r="B851" s="33"/>
      <c r="C851" s="32"/>
      <c r="D851" s="32"/>
      <c r="E851" s="37"/>
      <c r="F851" s="42"/>
      <c r="G851" s="32"/>
      <c r="H851" s="36">
        <f>IF(D851="",0,IF(AND(B851&gt;=ThongTin!$C$9,B851&lt;=ThongTin!$C$10,COUNTIFS(ThongTin!$B$19:$B$48,C851,ThongTin!$A$19:$A$48,ThongTin!$C$8,ThongTin!$C$19:$C$48,"NHAP_NL")&gt;0),1,0))</f>
        <v>0</v>
      </c>
    </row>
    <row r="852" spans="1:8" x14ac:dyDescent="0.25">
      <c r="A852" s="41"/>
      <c r="B852" s="33"/>
      <c r="C852" s="32"/>
      <c r="D852" s="32"/>
      <c r="E852" s="37"/>
      <c r="F852" s="42"/>
      <c r="G852" s="32"/>
      <c r="H852" s="36">
        <f>IF(D852="",0,IF(AND(B852&gt;=ThongTin!$C$9,B852&lt;=ThongTin!$C$10,COUNTIFS(ThongTin!$B$19:$B$48,C852,ThongTin!$A$19:$A$48,ThongTin!$C$8,ThongTin!$C$19:$C$48,"NHAP_NL")&gt;0),1,0))</f>
        <v>0</v>
      </c>
    </row>
    <row r="853" spans="1:8" x14ac:dyDescent="0.25">
      <c r="A853" s="41"/>
      <c r="B853" s="33"/>
      <c r="C853" s="32"/>
      <c r="D853" s="32"/>
      <c r="E853" s="37"/>
      <c r="F853" s="42"/>
      <c r="G853" s="32"/>
      <c r="H853" s="36">
        <f>IF(D853="",0,IF(AND(B853&gt;=ThongTin!$C$9,B853&lt;=ThongTin!$C$10,COUNTIFS(ThongTin!$B$19:$B$48,C853,ThongTin!$A$19:$A$48,ThongTin!$C$8,ThongTin!$C$19:$C$48,"NHAP_NL")&gt;0),1,0))</f>
        <v>0</v>
      </c>
    </row>
    <row r="854" spans="1:8" x14ac:dyDescent="0.25">
      <c r="A854" s="41"/>
      <c r="B854" s="33"/>
      <c r="C854" s="32"/>
      <c r="D854" s="32"/>
      <c r="E854" s="37"/>
      <c r="F854" s="42"/>
      <c r="G854" s="32"/>
      <c r="H854" s="36">
        <f>IF(D854="",0,IF(AND(B854&gt;=ThongTin!$C$9,B854&lt;=ThongTin!$C$10,COUNTIFS(ThongTin!$B$19:$B$48,C854,ThongTin!$A$19:$A$48,ThongTin!$C$8,ThongTin!$C$19:$C$48,"NHAP_NL")&gt;0),1,0))</f>
        <v>0</v>
      </c>
    </row>
    <row r="855" spans="1:8" x14ac:dyDescent="0.25">
      <c r="A855" s="41"/>
      <c r="B855" s="33"/>
      <c r="C855" s="32"/>
      <c r="D855" s="32"/>
      <c r="E855" s="37"/>
      <c r="F855" s="42"/>
      <c r="G855" s="32"/>
      <c r="H855" s="36">
        <f>IF(D855="",0,IF(AND(B855&gt;=ThongTin!$C$9,B855&lt;=ThongTin!$C$10,COUNTIFS(ThongTin!$B$19:$B$48,C855,ThongTin!$A$19:$A$48,ThongTin!$C$8,ThongTin!$C$19:$C$48,"NHAP_NL")&gt;0),1,0))</f>
        <v>0</v>
      </c>
    </row>
    <row r="856" spans="1:8" x14ac:dyDescent="0.25">
      <c r="A856" s="41"/>
      <c r="B856" s="33"/>
      <c r="C856" s="32"/>
      <c r="D856" s="32"/>
      <c r="E856" s="37"/>
      <c r="F856" s="42"/>
      <c r="G856" s="32"/>
      <c r="H856" s="36">
        <f>IF(D856="",0,IF(AND(B856&gt;=ThongTin!$C$9,B856&lt;=ThongTin!$C$10,COUNTIFS(ThongTin!$B$19:$B$48,C856,ThongTin!$A$19:$A$48,ThongTin!$C$8,ThongTin!$C$19:$C$48,"NHAP_NL")&gt;0),1,0))</f>
        <v>0</v>
      </c>
    </row>
    <row r="857" spans="1:8" x14ac:dyDescent="0.25">
      <c r="A857" s="41"/>
      <c r="B857" s="33"/>
      <c r="C857" s="32"/>
      <c r="D857" s="32"/>
      <c r="E857" s="37"/>
      <c r="F857" s="42"/>
      <c r="G857" s="32"/>
      <c r="H857" s="36">
        <f>IF(D857="",0,IF(AND(B857&gt;=ThongTin!$C$9,B857&lt;=ThongTin!$C$10,COUNTIFS(ThongTin!$B$19:$B$48,C857,ThongTin!$A$19:$A$48,ThongTin!$C$8,ThongTin!$C$19:$C$48,"NHAP_NL")&gt;0),1,0))</f>
        <v>0</v>
      </c>
    </row>
    <row r="858" spans="1:8" x14ac:dyDescent="0.25">
      <c r="A858" s="41"/>
      <c r="B858" s="33"/>
      <c r="C858" s="32"/>
      <c r="D858" s="32"/>
      <c r="E858" s="37"/>
      <c r="F858" s="42"/>
      <c r="G858" s="32"/>
      <c r="H858" s="36">
        <f>IF(D858="",0,IF(AND(B858&gt;=ThongTin!$C$9,B858&lt;=ThongTin!$C$10,COUNTIFS(ThongTin!$B$19:$B$48,C858,ThongTin!$A$19:$A$48,ThongTin!$C$8,ThongTin!$C$19:$C$48,"NHAP_NL")&gt;0),1,0))</f>
        <v>0</v>
      </c>
    </row>
    <row r="859" spans="1:8" x14ac:dyDescent="0.25">
      <c r="A859" s="41"/>
      <c r="B859" s="33"/>
      <c r="C859" s="32"/>
      <c r="D859" s="32"/>
      <c r="E859" s="37"/>
      <c r="F859" s="42"/>
      <c r="G859" s="32"/>
      <c r="H859" s="36">
        <f>IF(D859="",0,IF(AND(B859&gt;=ThongTin!$C$9,B859&lt;=ThongTin!$C$10,COUNTIFS(ThongTin!$B$19:$B$48,C859,ThongTin!$A$19:$A$48,ThongTin!$C$8,ThongTin!$C$19:$C$48,"NHAP_NL")&gt;0),1,0))</f>
        <v>0</v>
      </c>
    </row>
    <row r="860" spans="1:8" x14ac:dyDescent="0.25">
      <c r="A860" s="41"/>
      <c r="B860" s="33"/>
      <c r="C860" s="32"/>
      <c r="D860" s="32"/>
      <c r="E860" s="37"/>
      <c r="F860" s="42"/>
      <c r="G860" s="32"/>
      <c r="H860" s="36">
        <f>IF(D860="",0,IF(AND(B860&gt;=ThongTin!$C$9,B860&lt;=ThongTin!$C$10,COUNTIFS(ThongTin!$B$19:$B$48,C860,ThongTin!$A$19:$A$48,ThongTin!$C$8,ThongTin!$C$19:$C$48,"NHAP_NL")&gt;0),1,0))</f>
        <v>0</v>
      </c>
    </row>
    <row r="861" spans="1:8" x14ac:dyDescent="0.25">
      <c r="A861" s="41"/>
      <c r="B861" s="33"/>
      <c r="C861" s="32"/>
      <c r="D861" s="32"/>
      <c r="E861" s="37"/>
      <c r="F861" s="42"/>
      <c r="G861" s="32"/>
      <c r="H861" s="36">
        <f>IF(D861="",0,IF(AND(B861&gt;=ThongTin!$C$9,B861&lt;=ThongTin!$C$10,COUNTIFS(ThongTin!$B$19:$B$48,C861,ThongTin!$A$19:$A$48,ThongTin!$C$8,ThongTin!$C$19:$C$48,"NHAP_NL")&gt;0),1,0))</f>
        <v>0</v>
      </c>
    </row>
    <row r="862" spans="1:8" x14ac:dyDescent="0.25">
      <c r="A862" s="41"/>
      <c r="B862" s="33"/>
      <c r="C862" s="32"/>
      <c r="D862" s="32"/>
      <c r="E862" s="37"/>
      <c r="F862" s="42"/>
      <c r="G862" s="32"/>
      <c r="H862" s="36">
        <f>IF(D862="",0,IF(AND(B862&gt;=ThongTin!$C$9,B862&lt;=ThongTin!$C$10,COUNTIFS(ThongTin!$B$19:$B$48,C862,ThongTin!$A$19:$A$48,ThongTin!$C$8,ThongTin!$C$19:$C$48,"NHAP_NL")&gt;0),1,0))</f>
        <v>0</v>
      </c>
    </row>
    <row r="863" spans="1:8" x14ac:dyDescent="0.25">
      <c r="A863" s="41"/>
      <c r="B863" s="33"/>
      <c r="C863" s="32"/>
      <c r="D863" s="32"/>
      <c r="E863" s="37"/>
      <c r="F863" s="42"/>
      <c r="G863" s="32"/>
      <c r="H863" s="36">
        <f>IF(D863="",0,IF(AND(B863&gt;=ThongTin!$C$9,B863&lt;=ThongTin!$C$10,COUNTIFS(ThongTin!$B$19:$B$48,C863,ThongTin!$A$19:$A$48,ThongTin!$C$8,ThongTin!$C$19:$C$48,"NHAP_NL")&gt;0),1,0))</f>
        <v>0</v>
      </c>
    </row>
    <row r="864" spans="1:8" x14ac:dyDescent="0.25">
      <c r="A864" s="41"/>
      <c r="B864" s="33"/>
      <c r="C864" s="32"/>
      <c r="D864" s="32"/>
      <c r="E864" s="37"/>
      <c r="F864" s="42"/>
      <c r="G864" s="32"/>
      <c r="H864" s="36">
        <f>IF(D864="",0,IF(AND(B864&gt;=ThongTin!$C$9,B864&lt;=ThongTin!$C$10,COUNTIFS(ThongTin!$B$19:$B$48,C864,ThongTin!$A$19:$A$48,ThongTin!$C$8,ThongTin!$C$19:$C$48,"NHAP_NL")&gt;0),1,0))</f>
        <v>0</v>
      </c>
    </row>
    <row r="865" spans="1:8" x14ac:dyDescent="0.25">
      <c r="A865" s="41"/>
      <c r="B865" s="33"/>
      <c r="C865" s="32"/>
      <c r="D865" s="32"/>
      <c r="E865" s="37"/>
      <c r="F865" s="42"/>
      <c r="G865" s="32"/>
      <c r="H865" s="36">
        <f>IF(D865="",0,IF(AND(B865&gt;=ThongTin!$C$9,B865&lt;=ThongTin!$C$10,COUNTIFS(ThongTin!$B$19:$B$48,C865,ThongTin!$A$19:$A$48,ThongTin!$C$8,ThongTin!$C$19:$C$48,"NHAP_NL")&gt;0),1,0))</f>
        <v>0</v>
      </c>
    </row>
    <row r="866" spans="1:8" x14ac:dyDescent="0.25">
      <c r="A866" s="41"/>
      <c r="B866" s="33"/>
      <c r="C866" s="32"/>
      <c r="D866" s="32"/>
      <c r="E866" s="37"/>
      <c r="F866" s="42"/>
      <c r="G866" s="32"/>
      <c r="H866" s="36">
        <f>IF(D866="",0,IF(AND(B866&gt;=ThongTin!$C$9,B866&lt;=ThongTin!$C$10,COUNTIFS(ThongTin!$B$19:$B$48,C866,ThongTin!$A$19:$A$48,ThongTin!$C$8,ThongTin!$C$19:$C$48,"NHAP_NL")&gt;0),1,0))</f>
        <v>0</v>
      </c>
    </row>
    <row r="867" spans="1:8" x14ac:dyDescent="0.25">
      <c r="A867" s="41"/>
      <c r="B867" s="33"/>
      <c r="C867" s="32"/>
      <c r="D867" s="32"/>
      <c r="E867" s="37"/>
      <c r="F867" s="42"/>
      <c r="G867" s="32"/>
      <c r="H867" s="36">
        <f>IF(D867="",0,IF(AND(B867&gt;=ThongTin!$C$9,B867&lt;=ThongTin!$C$10,COUNTIFS(ThongTin!$B$19:$B$48,C867,ThongTin!$A$19:$A$48,ThongTin!$C$8,ThongTin!$C$19:$C$48,"NHAP_NL")&gt;0),1,0))</f>
        <v>0</v>
      </c>
    </row>
    <row r="868" spans="1:8" x14ac:dyDescent="0.25">
      <c r="A868" s="41"/>
      <c r="B868" s="33"/>
      <c r="C868" s="32"/>
      <c r="D868" s="32"/>
      <c r="E868" s="37"/>
      <c r="F868" s="42"/>
      <c r="G868" s="32"/>
      <c r="H868" s="36">
        <f>IF(D868="",0,IF(AND(B868&gt;=ThongTin!$C$9,B868&lt;=ThongTin!$C$10,COUNTIFS(ThongTin!$B$19:$B$48,C868,ThongTin!$A$19:$A$48,ThongTin!$C$8,ThongTin!$C$19:$C$48,"NHAP_NL")&gt;0),1,0))</f>
        <v>0</v>
      </c>
    </row>
    <row r="869" spans="1:8" x14ac:dyDescent="0.25">
      <c r="A869" s="41"/>
      <c r="B869" s="33"/>
      <c r="C869" s="32"/>
      <c r="D869" s="32"/>
      <c r="E869" s="37"/>
      <c r="F869" s="42"/>
      <c r="G869" s="32"/>
      <c r="H869" s="36">
        <f>IF(D869="",0,IF(AND(B869&gt;=ThongTin!$C$9,B869&lt;=ThongTin!$C$10,COUNTIFS(ThongTin!$B$19:$B$48,C869,ThongTin!$A$19:$A$48,ThongTin!$C$8,ThongTin!$C$19:$C$48,"NHAP_NL")&gt;0),1,0))</f>
        <v>0</v>
      </c>
    </row>
    <row r="870" spans="1:8" x14ac:dyDescent="0.25">
      <c r="A870" s="41"/>
      <c r="B870" s="33"/>
      <c r="C870" s="32"/>
      <c r="D870" s="32"/>
      <c r="E870" s="37"/>
      <c r="F870" s="42"/>
      <c r="G870" s="32"/>
      <c r="H870" s="36">
        <f>IF(D870="",0,IF(AND(B870&gt;=ThongTin!$C$9,B870&lt;=ThongTin!$C$10,COUNTIFS(ThongTin!$B$19:$B$48,C870,ThongTin!$A$19:$A$48,ThongTin!$C$8,ThongTin!$C$19:$C$48,"NHAP_NL")&gt;0),1,0))</f>
        <v>0</v>
      </c>
    </row>
    <row r="871" spans="1:8" x14ac:dyDescent="0.25">
      <c r="A871" s="41"/>
      <c r="B871" s="33"/>
      <c r="C871" s="32"/>
      <c r="D871" s="32"/>
      <c r="E871" s="37"/>
      <c r="F871" s="42"/>
      <c r="G871" s="32"/>
      <c r="H871" s="36">
        <f>IF(D871="",0,IF(AND(B871&gt;=ThongTin!$C$9,B871&lt;=ThongTin!$C$10,COUNTIFS(ThongTin!$B$19:$B$48,C871,ThongTin!$A$19:$A$48,ThongTin!$C$8,ThongTin!$C$19:$C$48,"NHAP_NL")&gt;0),1,0))</f>
        <v>0</v>
      </c>
    </row>
    <row r="872" spans="1:8" x14ac:dyDescent="0.25">
      <c r="A872" s="41"/>
      <c r="B872" s="33"/>
      <c r="C872" s="32"/>
      <c r="D872" s="32"/>
      <c r="E872" s="37"/>
      <c r="F872" s="42"/>
      <c r="G872" s="32"/>
      <c r="H872" s="36">
        <f>IF(D872="",0,IF(AND(B872&gt;=ThongTin!$C$9,B872&lt;=ThongTin!$C$10,COUNTIFS(ThongTin!$B$19:$B$48,C872,ThongTin!$A$19:$A$48,ThongTin!$C$8,ThongTin!$C$19:$C$48,"NHAP_NL")&gt;0),1,0))</f>
        <v>0</v>
      </c>
    </row>
    <row r="873" spans="1:8" x14ac:dyDescent="0.25">
      <c r="A873" s="41"/>
      <c r="B873" s="33"/>
      <c r="C873" s="32"/>
      <c r="D873" s="32"/>
      <c r="E873" s="37"/>
      <c r="F873" s="42"/>
      <c r="G873" s="32"/>
      <c r="H873" s="36">
        <f>IF(D873="",0,IF(AND(B873&gt;=ThongTin!$C$9,B873&lt;=ThongTin!$C$10,COUNTIFS(ThongTin!$B$19:$B$48,C873,ThongTin!$A$19:$A$48,ThongTin!$C$8,ThongTin!$C$19:$C$48,"NHAP_NL")&gt;0),1,0))</f>
        <v>0</v>
      </c>
    </row>
    <row r="874" spans="1:8" x14ac:dyDescent="0.25">
      <c r="A874" s="41"/>
      <c r="B874" s="33"/>
      <c r="C874" s="32"/>
      <c r="D874" s="32"/>
      <c r="E874" s="37"/>
      <c r="F874" s="42"/>
      <c r="G874" s="32"/>
      <c r="H874" s="36">
        <f>IF(D874="",0,IF(AND(B874&gt;=ThongTin!$C$9,B874&lt;=ThongTin!$C$10,COUNTIFS(ThongTin!$B$19:$B$48,C874,ThongTin!$A$19:$A$48,ThongTin!$C$8,ThongTin!$C$19:$C$48,"NHAP_NL")&gt;0),1,0))</f>
        <v>0</v>
      </c>
    </row>
    <row r="875" spans="1:8" x14ac:dyDescent="0.25">
      <c r="A875" s="41"/>
      <c r="B875" s="33"/>
      <c r="C875" s="32"/>
      <c r="D875" s="32"/>
      <c r="E875" s="37"/>
      <c r="F875" s="42"/>
      <c r="G875" s="32"/>
      <c r="H875" s="36">
        <f>IF(D875="",0,IF(AND(B875&gt;=ThongTin!$C$9,B875&lt;=ThongTin!$C$10,COUNTIFS(ThongTin!$B$19:$B$48,C875,ThongTin!$A$19:$A$48,ThongTin!$C$8,ThongTin!$C$19:$C$48,"NHAP_NL")&gt;0),1,0))</f>
        <v>0</v>
      </c>
    </row>
    <row r="876" spans="1:8" x14ac:dyDescent="0.25">
      <c r="A876" s="41"/>
      <c r="B876" s="33"/>
      <c r="C876" s="32"/>
      <c r="D876" s="32"/>
      <c r="E876" s="37"/>
      <c r="F876" s="42"/>
      <c r="G876" s="32"/>
      <c r="H876" s="36">
        <f>IF(D876="",0,IF(AND(B876&gt;=ThongTin!$C$9,B876&lt;=ThongTin!$C$10,COUNTIFS(ThongTin!$B$19:$B$48,C876,ThongTin!$A$19:$A$48,ThongTin!$C$8,ThongTin!$C$19:$C$48,"NHAP_NL")&gt;0),1,0))</f>
        <v>0</v>
      </c>
    </row>
    <row r="877" spans="1:8" x14ac:dyDescent="0.25">
      <c r="A877" s="41"/>
      <c r="B877" s="33"/>
      <c r="C877" s="32"/>
      <c r="D877" s="32"/>
      <c r="E877" s="37"/>
      <c r="F877" s="42"/>
      <c r="G877" s="32"/>
      <c r="H877" s="36">
        <f>IF(D877="",0,IF(AND(B877&gt;=ThongTin!$C$9,B877&lt;=ThongTin!$C$10,COUNTIFS(ThongTin!$B$19:$B$48,C877,ThongTin!$A$19:$A$48,ThongTin!$C$8,ThongTin!$C$19:$C$48,"NHAP_NL")&gt;0),1,0))</f>
        <v>0</v>
      </c>
    </row>
    <row r="878" spans="1:8" x14ac:dyDescent="0.25">
      <c r="A878" s="41"/>
      <c r="B878" s="33"/>
      <c r="C878" s="32"/>
      <c r="D878" s="32"/>
      <c r="E878" s="37"/>
      <c r="F878" s="42"/>
      <c r="G878" s="32"/>
      <c r="H878" s="36">
        <f>IF(D878="",0,IF(AND(B878&gt;=ThongTin!$C$9,B878&lt;=ThongTin!$C$10,COUNTIFS(ThongTin!$B$19:$B$48,C878,ThongTin!$A$19:$A$48,ThongTin!$C$8,ThongTin!$C$19:$C$48,"NHAP_NL")&gt;0),1,0))</f>
        <v>0</v>
      </c>
    </row>
    <row r="879" spans="1:8" x14ac:dyDescent="0.25">
      <c r="A879" s="41"/>
      <c r="B879" s="33"/>
      <c r="C879" s="32"/>
      <c r="D879" s="32"/>
      <c r="E879" s="37"/>
      <c r="F879" s="42"/>
      <c r="G879" s="32"/>
      <c r="H879" s="36">
        <f>IF(D879="",0,IF(AND(B879&gt;=ThongTin!$C$9,B879&lt;=ThongTin!$C$10,COUNTIFS(ThongTin!$B$19:$B$48,C879,ThongTin!$A$19:$A$48,ThongTin!$C$8,ThongTin!$C$19:$C$48,"NHAP_NL")&gt;0),1,0))</f>
        <v>0</v>
      </c>
    </row>
    <row r="880" spans="1:8" x14ac:dyDescent="0.25">
      <c r="A880" s="41"/>
      <c r="B880" s="33"/>
      <c r="C880" s="32"/>
      <c r="D880" s="32"/>
      <c r="E880" s="37"/>
      <c r="F880" s="42"/>
      <c r="G880" s="32"/>
      <c r="H880" s="36">
        <f>IF(D880="",0,IF(AND(B880&gt;=ThongTin!$C$9,B880&lt;=ThongTin!$C$10,COUNTIFS(ThongTin!$B$19:$B$48,C880,ThongTin!$A$19:$A$48,ThongTin!$C$8,ThongTin!$C$19:$C$48,"NHAP_NL")&gt;0),1,0))</f>
        <v>0</v>
      </c>
    </row>
    <row r="881" spans="1:8" x14ac:dyDescent="0.25">
      <c r="A881" s="41"/>
      <c r="B881" s="33"/>
      <c r="C881" s="32"/>
      <c r="D881" s="32"/>
      <c r="E881" s="37"/>
      <c r="F881" s="42"/>
      <c r="G881" s="32"/>
      <c r="H881" s="36">
        <f>IF(D881="",0,IF(AND(B881&gt;=ThongTin!$C$9,B881&lt;=ThongTin!$C$10,COUNTIFS(ThongTin!$B$19:$B$48,C881,ThongTin!$A$19:$A$48,ThongTin!$C$8,ThongTin!$C$19:$C$48,"NHAP_NL")&gt;0),1,0))</f>
        <v>0</v>
      </c>
    </row>
    <row r="882" spans="1:8" x14ac:dyDescent="0.25">
      <c r="A882" s="41"/>
      <c r="B882" s="33"/>
      <c r="C882" s="32"/>
      <c r="D882" s="32"/>
      <c r="E882" s="37"/>
      <c r="F882" s="42"/>
      <c r="G882" s="32"/>
      <c r="H882" s="36">
        <f>IF(D882="",0,IF(AND(B882&gt;=ThongTin!$C$9,B882&lt;=ThongTin!$C$10,COUNTIFS(ThongTin!$B$19:$B$48,C882,ThongTin!$A$19:$A$48,ThongTin!$C$8,ThongTin!$C$19:$C$48,"NHAP_NL")&gt;0),1,0))</f>
        <v>0</v>
      </c>
    </row>
    <row r="883" spans="1:8" x14ac:dyDescent="0.25">
      <c r="A883" s="41"/>
      <c r="B883" s="33"/>
      <c r="C883" s="32"/>
      <c r="D883" s="32"/>
      <c r="E883" s="37"/>
      <c r="F883" s="42"/>
      <c r="G883" s="32"/>
      <c r="H883" s="36">
        <f>IF(D883="",0,IF(AND(B883&gt;=ThongTin!$C$9,B883&lt;=ThongTin!$C$10,COUNTIFS(ThongTin!$B$19:$B$48,C883,ThongTin!$A$19:$A$48,ThongTin!$C$8,ThongTin!$C$19:$C$48,"NHAP_NL")&gt;0),1,0))</f>
        <v>0</v>
      </c>
    </row>
    <row r="884" spans="1:8" x14ac:dyDescent="0.25">
      <c r="A884" s="41"/>
      <c r="B884" s="33"/>
      <c r="C884" s="32"/>
      <c r="D884" s="32"/>
      <c r="E884" s="37"/>
      <c r="F884" s="42"/>
      <c r="G884" s="32"/>
      <c r="H884" s="36">
        <f>IF(D884="",0,IF(AND(B884&gt;=ThongTin!$C$9,B884&lt;=ThongTin!$C$10,COUNTIFS(ThongTin!$B$19:$B$48,C884,ThongTin!$A$19:$A$48,ThongTin!$C$8,ThongTin!$C$19:$C$48,"NHAP_NL")&gt;0),1,0))</f>
        <v>0</v>
      </c>
    </row>
    <row r="885" spans="1:8" x14ac:dyDescent="0.25">
      <c r="A885" s="41"/>
      <c r="B885" s="33"/>
      <c r="C885" s="32"/>
      <c r="D885" s="32"/>
      <c r="E885" s="37"/>
      <c r="F885" s="42"/>
      <c r="G885" s="32"/>
      <c r="H885" s="36">
        <f>IF(D885="",0,IF(AND(B885&gt;=ThongTin!$C$9,B885&lt;=ThongTin!$C$10,COUNTIFS(ThongTin!$B$19:$B$48,C885,ThongTin!$A$19:$A$48,ThongTin!$C$8,ThongTin!$C$19:$C$48,"NHAP_NL")&gt;0),1,0))</f>
        <v>0</v>
      </c>
    </row>
    <row r="886" spans="1:8" x14ac:dyDescent="0.25">
      <c r="A886" s="41"/>
      <c r="B886" s="33"/>
      <c r="C886" s="32"/>
      <c r="D886" s="32"/>
      <c r="E886" s="37"/>
      <c r="F886" s="42"/>
      <c r="G886" s="32"/>
      <c r="H886" s="36">
        <f>IF(D886="",0,IF(AND(B886&gt;=ThongTin!$C$9,B886&lt;=ThongTin!$C$10,COUNTIFS(ThongTin!$B$19:$B$48,C886,ThongTin!$A$19:$A$48,ThongTin!$C$8,ThongTin!$C$19:$C$48,"NHAP_NL")&gt;0),1,0))</f>
        <v>0</v>
      </c>
    </row>
    <row r="887" spans="1:8" x14ac:dyDescent="0.25">
      <c r="A887" s="41"/>
      <c r="B887" s="33"/>
      <c r="C887" s="32"/>
      <c r="D887" s="32"/>
      <c r="E887" s="37"/>
      <c r="F887" s="42"/>
      <c r="G887" s="32"/>
      <c r="H887" s="36">
        <f>IF(D887="",0,IF(AND(B887&gt;=ThongTin!$C$9,B887&lt;=ThongTin!$C$10,COUNTIFS(ThongTin!$B$19:$B$48,C887,ThongTin!$A$19:$A$48,ThongTin!$C$8,ThongTin!$C$19:$C$48,"NHAP_NL")&gt;0),1,0))</f>
        <v>0</v>
      </c>
    </row>
    <row r="888" spans="1:8" x14ac:dyDescent="0.25">
      <c r="A888" s="41"/>
      <c r="B888" s="33"/>
      <c r="C888" s="32"/>
      <c r="D888" s="32"/>
      <c r="E888" s="37"/>
      <c r="F888" s="42"/>
      <c r="G888" s="32"/>
      <c r="H888" s="36">
        <f>IF(D888="",0,IF(AND(B888&gt;=ThongTin!$C$9,B888&lt;=ThongTin!$C$10,COUNTIFS(ThongTin!$B$19:$B$48,C888,ThongTin!$A$19:$A$48,ThongTin!$C$8,ThongTin!$C$19:$C$48,"NHAP_NL")&gt;0),1,0))</f>
        <v>0</v>
      </c>
    </row>
    <row r="889" spans="1:8" x14ac:dyDescent="0.25">
      <c r="A889" s="41"/>
      <c r="B889" s="33"/>
      <c r="C889" s="32"/>
      <c r="D889" s="32"/>
      <c r="E889" s="37"/>
      <c r="F889" s="42"/>
      <c r="G889" s="32"/>
      <c r="H889" s="36">
        <f>IF(D889="",0,IF(AND(B889&gt;=ThongTin!$C$9,B889&lt;=ThongTin!$C$10,COUNTIFS(ThongTin!$B$19:$B$48,C889,ThongTin!$A$19:$A$48,ThongTin!$C$8,ThongTin!$C$19:$C$48,"NHAP_NL")&gt;0),1,0))</f>
        <v>0</v>
      </c>
    </row>
    <row r="890" spans="1:8" x14ac:dyDescent="0.25">
      <c r="A890" s="41"/>
      <c r="B890" s="33"/>
      <c r="C890" s="32"/>
      <c r="D890" s="32"/>
      <c r="E890" s="37"/>
      <c r="F890" s="42"/>
      <c r="G890" s="32"/>
      <c r="H890" s="36">
        <f>IF(D890="",0,IF(AND(B890&gt;=ThongTin!$C$9,B890&lt;=ThongTin!$C$10,COUNTIFS(ThongTin!$B$19:$B$48,C890,ThongTin!$A$19:$A$48,ThongTin!$C$8,ThongTin!$C$19:$C$48,"NHAP_NL")&gt;0),1,0))</f>
        <v>0</v>
      </c>
    </row>
    <row r="891" spans="1:8" x14ac:dyDescent="0.25">
      <c r="A891" s="41"/>
      <c r="B891" s="33"/>
      <c r="C891" s="32"/>
      <c r="D891" s="32"/>
      <c r="E891" s="37"/>
      <c r="F891" s="42"/>
      <c r="G891" s="32"/>
      <c r="H891" s="36">
        <f>IF(D891="",0,IF(AND(B891&gt;=ThongTin!$C$9,B891&lt;=ThongTin!$C$10,COUNTIFS(ThongTin!$B$19:$B$48,C891,ThongTin!$A$19:$A$48,ThongTin!$C$8,ThongTin!$C$19:$C$48,"NHAP_NL")&gt;0),1,0))</f>
        <v>0</v>
      </c>
    </row>
    <row r="892" spans="1:8" x14ac:dyDescent="0.25">
      <c r="A892" s="41"/>
      <c r="B892" s="33"/>
      <c r="C892" s="32"/>
      <c r="D892" s="32"/>
      <c r="E892" s="37"/>
      <c r="F892" s="42"/>
      <c r="G892" s="32"/>
      <c r="H892" s="36">
        <f>IF(D892="",0,IF(AND(B892&gt;=ThongTin!$C$9,B892&lt;=ThongTin!$C$10,COUNTIFS(ThongTin!$B$19:$B$48,C892,ThongTin!$A$19:$A$48,ThongTin!$C$8,ThongTin!$C$19:$C$48,"NHAP_NL")&gt;0),1,0))</f>
        <v>0</v>
      </c>
    </row>
    <row r="893" spans="1:8" x14ac:dyDescent="0.25">
      <c r="A893" s="41"/>
      <c r="B893" s="33"/>
      <c r="C893" s="32"/>
      <c r="D893" s="32"/>
      <c r="E893" s="37"/>
      <c r="F893" s="42"/>
      <c r="G893" s="32"/>
      <c r="H893" s="36">
        <f>IF(D893="",0,IF(AND(B893&gt;=ThongTin!$C$9,B893&lt;=ThongTin!$C$10,COUNTIFS(ThongTin!$B$19:$B$48,C893,ThongTin!$A$19:$A$48,ThongTin!$C$8,ThongTin!$C$19:$C$48,"NHAP_NL")&gt;0),1,0))</f>
        <v>0</v>
      </c>
    </row>
    <row r="894" spans="1:8" x14ac:dyDescent="0.25">
      <c r="A894" s="41"/>
      <c r="B894" s="33"/>
      <c r="C894" s="32"/>
      <c r="D894" s="32"/>
      <c r="E894" s="37"/>
      <c r="F894" s="42"/>
      <c r="G894" s="32"/>
      <c r="H894" s="36">
        <f>IF(D894="",0,IF(AND(B894&gt;=ThongTin!$C$9,B894&lt;=ThongTin!$C$10,COUNTIFS(ThongTin!$B$19:$B$48,C894,ThongTin!$A$19:$A$48,ThongTin!$C$8,ThongTin!$C$19:$C$48,"NHAP_NL")&gt;0),1,0))</f>
        <v>0</v>
      </c>
    </row>
    <row r="895" spans="1:8" x14ac:dyDescent="0.25">
      <c r="A895" s="41"/>
      <c r="B895" s="33"/>
      <c r="C895" s="32"/>
      <c r="D895" s="32"/>
      <c r="E895" s="37"/>
      <c r="F895" s="42"/>
      <c r="G895" s="32"/>
      <c r="H895" s="36">
        <f>IF(D895="",0,IF(AND(B895&gt;=ThongTin!$C$9,B895&lt;=ThongTin!$C$10,COUNTIFS(ThongTin!$B$19:$B$48,C895,ThongTin!$A$19:$A$48,ThongTin!$C$8,ThongTin!$C$19:$C$48,"NHAP_NL")&gt;0),1,0))</f>
        <v>0</v>
      </c>
    </row>
    <row r="896" spans="1:8" x14ac:dyDescent="0.25">
      <c r="A896" s="41"/>
      <c r="B896" s="33"/>
      <c r="C896" s="32"/>
      <c r="D896" s="32"/>
      <c r="E896" s="37"/>
      <c r="F896" s="42"/>
      <c r="G896" s="32"/>
      <c r="H896" s="36">
        <f>IF(D896="",0,IF(AND(B896&gt;=ThongTin!$C$9,B896&lt;=ThongTin!$C$10,COUNTIFS(ThongTin!$B$19:$B$48,C896,ThongTin!$A$19:$A$48,ThongTin!$C$8,ThongTin!$C$19:$C$48,"NHAP_NL")&gt;0),1,0))</f>
        <v>0</v>
      </c>
    </row>
    <row r="897" spans="1:8" x14ac:dyDescent="0.25">
      <c r="A897" s="41"/>
      <c r="B897" s="33"/>
      <c r="C897" s="32"/>
      <c r="D897" s="32"/>
      <c r="E897" s="37"/>
      <c r="F897" s="42"/>
      <c r="G897" s="32"/>
      <c r="H897" s="36">
        <f>IF(D897="",0,IF(AND(B897&gt;=ThongTin!$C$9,B897&lt;=ThongTin!$C$10,COUNTIFS(ThongTin!$B$19:$B$48,C897,ThongTin!$A$19:$A$48,ThongTin!$C$8,ThongTin!$C$19:$C$48,"NHAP_NL")&gt;0),1,0))</f>
        <v>0</v>
      </c>
    </row>
    <row r="898" spans="1:8" x14ac:dyDescent="0.25">
      <c r="A898" s="41"/>
      <c r="B898" s="33"/>
      <c r="C898" s="32"/>
      <c r="D898" s="32"/>
      <c r="E898" s="37"/>
      <c r="F898" s="42"/>
      <c r="G898" s="32"/>
      <c r="H898" s="36">
        <f>IF(D898="",0,IF(AND(B898&gt;=ThongTin!$C$9,B898&lt;=ThongTin!$C$10,COUNTIFS(ThongTin!$B$19:$B$48,C898,ThongTin!$A$19:$A$48,ThongTin!$C$8,ThongTin!$C$19:$C$48,"NHAP_NL")&gt;0),1,0))</f>
        <v>0</v>
      </c>
    </row>
    <row r="899" spans="1:8" x14ac:dyDescent="0.25">
      <c r="A899" s="41"/>
      <c r="B899" s="33"/>
      <c r="C899" s="32"/>
      <c r="D899" s="32"/>
      <c r="E899" s="37"/>
      <c r="F899" s="42"/>
      <c r="G899" s="32"/>
      <c r="H899" s="36">
        <f>IF(D899="",0,IF(AND(B899&gt;=ThongTin!$C$9,B899&lt;=ThongTin!$C$10,COUNTIFS(ThongTin!$B$19:$B$48,C899,ThongTin!$A$19:$A$48,ThongTin!$C$8,ThongTin!$C$19:$C$48,"NHAP_NL")&gt;0),1,0))</f>
        <v>0</v>
      </c>
    </row>
    <row r="900" spans="1:8" x14ac:dyDescent="0.25">
      <c r="A900" s="41"/>
      <c r="B900" s="33"/>
      <c r="C900" s="32"/>
      <c r="D900" s="32"/>
      <c r="E900" s="37"/>
      <c r="F900" s="42"/>
      <c r="G900" s="32"/>
      <c r="H900" s="36">
        <f>IF(D900="",0,IF(AND(B900&gt;=ThongTin!$C$9,B900&lt;=ThongTin!$C$10,COUNTIFS(ThongTin!$B$19:$B$48,C900,ThongTin!$A$19:$A$48,ThongTin!$C$8,ThongTin!$C$19:$C$48,"NHAP_NL")&gt;0),1,0))</f>
        <v>0</v>
      </c>
    </row>
    <row r="901" spans="1:8" x14ac:dyDescent="0.25">
      <c r="A901" s="41"/>
      <c r="B901" s="33"/>
      <c r="C901" s="32"/>
      <c r="D901" s="32"/>
      <c r="E901" s="37"/>
      <c r="F901" s="42"/>
      <c r="G901" s="32"/>
      <c r="H901" s="36">
        <f>IF(D901="",0,IF(AND(B901&gt;=ThongTin!$C$9,B901&lt;=ThongTin!$C$10,COUNTIFS(ThongTin!$B$19:$B$48,C901,ThongTin!$A$19:$A$48,ThongTin!$C$8,ThongTin!$C$19:$C$48,"NHAP_NL")&gt;0),1,0))</f>
        <v>0</v>
      </c>
    </row>
    <row r="902" spans="1:8" x14ac:dyDescent="0.25">
      <c r="A902" s="41"/>
      <c r="B902" s="33"/>
      <c r="C902" s="32"/>
      <c r="D902" s="32"/>
      <c r="E902" s="37"/>
      <c r="F902" s="42"/>
      <c r="G902" s="32"/>
      <c r="H902" s="36">
        <f>IF(D902="",0,IF(AND(B902&gt;=ThongTin!$C$9,B902&lt;=ThongTin!$C$10,COUNTIFS(ThongTin!$B$19:$B$48,C902,ThongTin!$A$19:$A$48,ThongTin!$C$8,ThongTin!$C$19:$C$48,"NHAP_NL")&gt;0),1,0))</f>
        <v>0</v>
      </c>
    </row>
    <row r="903" spans="1:8" x14ac:dyDescent="0.25">
      <c r="A903" s="41"/>
      <c r="B903" s="33"/>
      <c r="C903" s="32"/>
      <c r="D903" s="32"/>
      <c r="E903" s="37"/>
      <c r="F903" s="42"/>
      <c r="G903" s="32"/>
      <c r="H903" s="36">
        <f>IF(D903="",0,IF(AND(B903&gt;=ThongTin!$C$9,B903&lt;=ThongTin!$C$10,COUNTIFS(ThongTin!$B$19:$B$48,C903,ThongTin!$A$19:$A$48,ThongTin!$C$8,ThongTin!$C$19:$C$48,"NHAP_NL")&gt;0),1,0))</f>
        <v>0</v>
      </c>
    </row>
    <row r="904" spans="1:8" x14ac:dyDescent="0.25">
      <c r="A904" s="41"/>
      <c r="B904" s="33"/>
      <c r="C904" s="32"/>
      <c r="D904" s="32"/>
      <c r="E904" s="37"/>
      <c r="F904" s="42"/>
      <c r="G904" s="32"/>
      <c r="H904" s="36">
        <f>IF(D904="",0,IF(AND(B904&gt;=ThongTin!$C$9,B904&lt;=ThongTin!$C$10,COUNTIFS(ThongTin!$B$19:$B$48,C904,ThongTin!$A$19:$A$48,ThongTin!$C$8,ThongTin!$C$19:$C$48,"NHAP_NL")&gt;0),1,0))</f>
        <v>0</v>
      </c>
    </row>
    <row r="905" spans="1:8" x14ac:dyDescent="0.25">
      <c r="A905" s="41"/>
      <c r="B905" s="33"/>
      <c r="C905" s="32"/>
      <c r="D905" s="32"/>
      <c r="E905" s="37"/>
      <c r="F905" s="42"/>
      <c r="G905" s="32"/>
      <c r="H905" s="36">
        <f>IF(D905="",0,IF(AND(B905&gt;=ThongTin!$C$9,B905&lt;=ThongTin!$C$10,COUNTIFS(ThongTin!$B$19:$B$48,C905,ThongTin!$A$19:$A$48,ThongTin!$C$8,ThongTin!$C$19:$C$48,"NHAP_NL")&gt;0),1,0))</f>
        <v>0</v>
      </c>
    </row>
    <row r="906" spans="1:8" x14ac:dyDescent="0.25">
      <c r="A906" s="41"/>
      <c r="B906" s="33"/>
      <c r="C906" s="32"/>
      <c r="D906" s="32"/>
      <c r="E906" s="37"/>
      <c r="F906" s="42"/>
      <c r="G906" s="32"/>
      <c r="H906" s="36">
        <f>IF(D906="",0,IF(AND(B906&gt;=ThongTin!$C$9,B906&lt;=ThongTin!$C$10,COUNTIFS(ThongTin!$B$19:$B$48,C906,ThongTin!$A$19:$A$48,ThongTin!$C$8,ThongTin!$C$19:$C$48,"NHAP_NL")&gt;0),1,0))</f>
        <v>0</v>
      </c>
    </row>
    <row r="907" spans="1:8" x14ac:dyDescent="0.25">
      <c r="A907" s="41"/>
      <c r="B907" s="33"/>
      <c r="C907" s="32"/>
      <c r="D907" s="32"/>
      <c r="E907" s="37"/>
      <c r="F907" s="42"/>
      <c r="G907" s="32"/>
      <c r="H907" s="36">
        <f>IF(D907="",0,IF(AND(B907&gt;=ThongTin!$C$9,B907&lt;=ThongTin!$C$10,COUNTIFS(ThongTin!$B$19:$B$48,C907,ThongTin!$A$19:$A$48,ThongTin!$C$8,ThongTin!$C$19:$C$48,"NHAP_NL")&gt;0),1,0))</f>
        <v>0</v>
      </c>
    </row>
    <row r="908" spans="1:8" x14ac:dyDescent="0.25">
      <c r="A908" s="41"/>
      <c r="B908" s="33"/>
      <c r="C908" s="32"/>
      <c r="D908" s="32"/>
      <c r="E908" s="37"/>
      <c r="F908" s="42"/>
      <c r="G908" s="32"/>
      <c r="H908" s="36">
        <f>IF(D908="",0,IF(AND(B908&gt;=ThongTin!$C$9,B908&lt;=ThongTin!$C$10,COUNTIFS(ThongTin!$B$19:$B$48,C908,ThongTin!$A$19:$A$48,ThongTin!$C$8,ThongTin!$C$19:$C$48,"NHAP_NL")&gt;0),1,0))</f>
        <v>0</v>
      </c>
    </row>
    <row r="909" spans="1:8" x14ac:dyDescent="0.25">
      <c r="A909" s="41"/>
      <c r="B909" s="33"/>
      <c r="C909" s="32"/>
      <c r="D909" s="32"/>
      <c r="E909" s="37"/>
      <c r="F909" s="42"/>
      <c r="G909" s="32"/>
      <c r="H909" s="36">
        <f>IF(D909="",0,IF(AND(B909&gt;=ThongTin!$C$9,B909&lt;=ThongTin!$C$10,COUNTIFS(ThongTin!$B$19:$B$48,C909,ThongTin!$A$19:$A$48,ThongTin!$C$8,ThongTin!$C$19:$C$48,"NHAP_NL")&gt;0),1,0))</f>
        <v>0</v>
      </c>
    </row>
    <row r="910" spans="1:8" x14ac:dyDescent="0.25">
      <c r="A910" s="41"/>
      <c r="B910" s="33"/>
      <c r="C910" s="32"/>
      <c r="D910" s="32"/>
      <c r="E910" s="37"/>
      <c r="F910" s="42"/>
      <c r="G910" s="32"/>
      <c r="H910" s="36">
        <f>IF(D910="",0,IF(AND(B910&gt;=ThongTin!$C$9,B910&lt;=ThongTin!$C$10,COUNTIFS(ThongTin!$B$19:$B$48,C910,ThongTin!$A$19:$A$48,ThongTin!$C$8,ThongTin!$C$19:$C$48,"NHAP_NL")&gt;0),1,0))</f>
        <v>0</v>
      </c>
    </row>
    <row r="911" spans="1:8" x14ac:dyDescent="0.25">
      <c r="A911" s="41"/>
      <c r="B911" s="33"/>
      <c r="C911" s="32"/>
      <c r="D911" s="32"/>
      <c r="E911" s="37"/>
      <c r="F911" s="42"/>
      <c r="G911" s="32"/>
      <c r="H911" s="36">
        <f>IF(D911="",0,IF(AND(B911&gt;=ThongTin!$C$9,B911&lt;=ThongTin!$C$10,COUNTIFS(ThongTin!$B$19:$B$48,C911,ThongTin!$A$19:$A$48,ThongTin!$C$8,ThongTin!$C$19:$C$48,"NHAP_NL")&gt;0),1,0))</f>
        <v>0</v>
      </c>
    </row>
    <row r="912" spans="1:8" x14ac:dyDescent="0.25">
      <c r="A912" s="41"/>
      <c r="B912" s="33"/>
      <c r="C912" s="32"/>
      <c r="D912" s="32"/>
      <c r="E912" s="37"/>
      <c r="F912" s="42"/>
      <c r="G912" s="32"/>
      <c r="H912" s="36">
        <f>IF(D912="",0,IF(AND(B912&gt;=ThongTin!$C$9,B912&lt;=ThongTin!$C$10,COUNTIFS(ThongTin!$B$19:$B$48,C912,ThongTin!$A$19:$A$48,ThongTin!$C$8,ThongTin!$C$19:$C$48,"NHAP_NL")&gt;0),1,0))</f>
        <v>0</v>
      </c>
    </row>
    <row r="913" spans="1:8" x14ac:dyDescent="0.25">
      <c r="A913" s="41"/>
      <c r="B913" s="33"/>
      <c r="C913" s="32"/>
      <c r="D913" s="32"/>
      <c r="E913" s="37"/>
      <c r="F913" s="42"/>
      <c r="G913" s="32"/>
      <c r="H913" s="36">
        <f>IF(D913="",0,IF(AND(B913&gt;=ThongTin!$C$9,B913&lt;=ThongTin!$C$10,COUNTIFS(ThongTin!$B$19:$B$48,C913,ThongTin!$A$19:$A$48,ThongTin!$C$8,ThongTin!$C$19:$C$48,"NHAP_NL")&gt;0),1,0))</f>
        <v>0</v>
      </c>
    </row>
    <row r="914" spans="1:8" x14ac:dyDescent="0.25">
      <c r="A914" s="41"/>
      <c r="B914" s="33"/>
      <c r="C914" s="32"/>
      <c r="D914" s="32"/>
      <c r="E914" s="37"/>
      <c r="F914" s="42"/>
      <c r="G914" s="32"/>
      <c r="H914" s="36">
        <f>IF(D914="",0,IF(AND(B914&gt;=ThongTin!$C$9,B914&lt;=ThongTin!$C$10,COUNTIFS(ThongTin!$B$19:$B$48,C914,ThongTin!$A$19:$A$48,ThongTin!$C$8,ThongTin!$C$19:$C$48,"NHAP_NL")&gt;0),1,0))</f>
        <v>0</v>
      </c>
    </row>
    <row r="915" spans="1:8" x14ac:dyDescent="0.25">
      <c r="A915" s="41"/>
      <c r="B915" s="33"/>
      <c r="C915" s="32"/>
      <c r="D915" s="32"/>
      <c r="E915" s="37"/>
      <c r="F915" s="42"/>
      <c r="G915" s="32"/>
      <c r="H915" s="36">
        <f>IF(D915="",0,IF(AND(B915&gt;=ThongTin!$C$9,B915&lt;=ThongTin!$C$10,COUNTIFS(ThongTin!$B$19:$B$48,C915,ThongTin!$A$19:$A$48,ThongTin!$C$8,ThongTin!$C$19:$C$48,"NHAP_NL")&gt;0),1,0))</f>
        <v>0</v>
      </c>
    </row>
    <row r="916" spans="1:8" x14ac:dyDescent="0.25">
      <c r="A916" s="41"/>
      <c r="B916" s="33"/>
      <c r="C916" s="32"/>
      <c r="D916" s="32"/>
      <c r="E916" s="37"/>
      <c r="F916" s="42"/>
      <c r="G916" s="32"/>
      <c r="H916" s="36">
        <f>IF(D916="",0,IF(AND(B916&gt;=ThongTin!$C$9,B916&lt;=ThongTin!$C$10,COUNTIFS(ThongTin!$B$19:$B$48,C916,ThongTin!$A$19:$A$48,ThongTin!$C$8,ThongTin!$C$19:$C$48,"NHAP_NL")&gt;0),1,0))</f>
        <v>0</v>
      </c>
    </row>
    <row r="917" spans="1:8" x14ac:dyDescent="0.25">
      <c r="A917" s="41"/>
      <c r="B917" s="33"/>
      <c r="C917" s="32"/>
      <c r="D917" s="32"/>
      <c r="E917" s="37"/>
      <c r="F917" s="42"/>
      <c r="G917" s="32"/>
      <c r="H917" s="36">
        <f>IF(D917="",0,IF(AND(B917&gt;=ThongTin!$C$9,B917&lt;=ThongTin!$C$10,COUNTIFS(ThongTin!$B$19:$B$48,C917,ThongTin!$A$19:$A$48,ThongTin!$C$8,ThongTin!$C$19:$C$48,"NHAP_NL")&gt;0),1,0))</f>
        <v>0</v>
      </c>
    </row>
    <row r="918" spans="1:8" x14ac:dyDescent="0.25">
      <c r="A918" s="41"/>
      <c r="B918" s="33"/>
      <c r="C918" s="32"/>
      <c r="D918" s="32"/>
      <c r="E918" s="37"/>
      <c r="F918" s="42"/>
      <c r="G918" s="32"/>
      <c r="H918" s="36">
        <f>IF(D918="",0,IF(AND(B918&gt;=ThongTin!$C$9,B918&lt;=ThongTin!$C$10,COUNTIFS(ThongTin!$B$19:$B$48,C918,ThongTin!$A$19:$A$48,ThongTin!$C$8,ThongTin!$C$19:$C$48,"NHAP_NL")&gt;0),1,0))</f>
        <v>0</v>
      </c>
    </row>
    <row r="919" spans="1:8" x14ac:dyDescent="0.25">
      <c r="A919" s="41"/>
      <c r="B919" s="33"/>
      <c r="C919" s="32"/>
      <c r="D919" s="32"/>
      <c r="E919" s="37"/>
      <c r="F919" s="42"/>
      <c r="G919" s="32"/>
      <c r="H919" s="36">
        <f>IF(D919="",0,IF(AND(B919&gt;=ThongTin!$C$9,B919&lt;=ThongTin!$C$10,COUNTIFS(ThongTin!$B$19:$B$48,C919,ThongTin!$A$19:$A$48,ThongTin!$C$8,ThongTin!$C$19:$C$48,"NHAP_NL")&gt;0),1,0))</f>
        <v>0</v>
      </c>
    </row>
    <row r="920" spans="1:8" x14ac:dyDescent="0.25">
      <c r="A920" s="41"/>
      <c r="B920" s="33"/>
      <c r="C920" s="32"/>
      <c r="D920" s="32"/>
      <c r="E920" s="37"/>
      <c r="F920" s="42"/>
      <c r="G920" s="32"/>
      <c r="H920" s="36">
        <f>IF(D920="",0,IF(AND(B920&gt;=ThongTin!$C$9,B920&lt;=ThongTin!$C$10,COUNTIFS(ThongTin!$B$19:$B$48,C920,ThongTin!$A$19:$A$48,ThongTin!$C$8,ThongTin!$C$19:$C$48,"NHAP_NL")&gt;0),1,0))</f>
        <v>0</v>
      </c>
    </row>
    <row r="921" spans="1:8" x14ac:dyDescent="0.25">
      <c r="A921" s="41"/>
      <c r="B921" s="33"/>
      <c r="C921" s="32"/>
      <c r="D921" s="32"/>
      <c r="E921" s="37"/>
      <c r="F921" s="42"/>
      <c r="G921" s="32"/>
      <c r="H921" s="36">
        <f>IF(D921="",0,IF(AND(B921&gt;=ThongTin!$C$9,B921&lt;=ThongTin!$C$10,COUNTIFS(ThongTin!$B$19:$B$48,C921,ThongTin!$A$19:$A$48,ThongTin!$C$8,ThongTin!$C$19:$C$48,"NHAP_NL")&gt;0),1,0))</f>
        <v>0</v>
      </c>
    </row>
    <row r="922" spans="1:8" x14ac:dyDescent="0.25">
      <c r="A922" s="41"/>
      <c r="B922" s="33"/>
      <c r="C922" s="32"/>
      <c r="D922" s="32"/>
      <c r="E922" s="37"/>
      <c r="F922" s="42"/>
      <c r="G922" s="32"/>
      <c r="H922" s="36">
        <f>IF(D922="",0,IF(AND(B922&gt;=ThongTin!$C$9,B922&lt;=ThongTin!$C$10,COUNTIFS(ThongTin!$B$19:$B$48,C922,ThongTin!$A$19:$A$48,ThongTin!$C$8,ThongTin!$C$19:$C$48,"NHAP_NL")&gt;0),1,0))</f>
        <v>0</v>
      </c>
    </row>
    <row r="923" spans="1:8" x14ac:dyDescent="0.25">
      <c r="A923" s="41"/>
      <c r="B923" s="33"/>
      <c r="C923" s="32"/>
      <c r="D923" s="32"/>
      <c r="E923" s="37"/>
      <c r="F923" s="42"/>
      <c r="G923" s="32"/>
      <c r="H923" s="36">
        <f>IF(D923="",0,IF(AND(B923&gt;=ThongTin!$C$9,B923&lt;=ThongTin!$C$10,COUNTIFS(ThongTin!$B$19:$B$48,C923,ThongTin!$A$19:$A$48,ThongTin!$C$8,ThongTin!$C$19:$C$48,"NHAP_NL")&gt;0),1,0))</f>
        <v>0</v>
      </c>
    </row>
    <row r="924" spans="1:8" x14ac:dyDescent="0.25">
      <c r="A924" s="41"/>
      <c r="B924" s="33"/>
      <c r="C924" s="32"/>
      <c r="D924" s="32"/>
      <c r="E924" s="37"/>
      <c r="F924" s="42"/>
      <c r="G924" s="32"/>
      <c r="H924" s="36">
        <f>IF(D924="",0,IF(AND(B924&gt;=ThongTin!$C$9,B924&lt;=ThongTin!$C$10,COUNTIFS(ThongTin!$B$19:$B$48,C924,ThongTin!$A$19:$A$48,ThongTin!$C$8,ThongTin!$C$19:$C$48,"NHAP_NL")&gt;0),1,0))</f>
        <v>0</v>
      </c>
    </row>
    <row r="925" spans="1:8" x14ac:dyDescent="0.25">
      <c r="A925" s="41"/>
      <c r="B925" s="33"/>
      <c r="C925" s="32"/>
      <c r="D925" s="32"/>
      <c r="E925" s="37"/>
      <c r="F925" s="42"/>
      <c r="G925" s="32"/>
      <c r="H925" s="36">
        <f>IF(D925="",0,IF(AND(B925&gt;=ThongTin!$C$9,B925&lt;=ThongTin!$C$10,COUNTIFS(ThongTin!$B$19:$B$48,C925,ThongTin!$A$19:$A$48,ThongTin!$C$8,ThongTin!$C$19:$C$48,"NHAP_NL")&gt;0),1,0))</f>
        <v>0</v>
      </c>
    </row>
    <row r="926" spans="1:8" x14ac:dyDescent="0.25">
      <c r="A926" s="41"/>
      <c r="B926" s="33"/>
      <c r="C926" s="32"/>
      <c r="D926" s="32"/>
      <c r="E926" s="37"/>
      <c r="F926" s="42"/>
      <c r="G926" s="32"/>
      <c r="H926" s="36">
        <f>IF(D926="",0,IF(AND(B926&gt;=ThongTin!$C$9,B926&lt;=ThongTin!$C$10,COUNTIFS(ThongTin!$B$19:$B$48,C926,ThongTin!$A$19:$A$48,ThongTin!$C$8,ThongTin!$C$19:$C$48,"NHAP_NL")&gt;0),1,0))</f>
        <v>0</v>
      </c>
    </row>
    <row r="927" spans="1:8" x14ac:dyDescent="0.25">
      <c r="A927" s="41"/>
      <c r="B927" s="33"/>
      <c r="C927" s="32"/>
      <c r="D927" s="32"/>
      <c r="E927" s="37"/>
      <c r="F927" s="42"/>
      <c r="G927" s="32"/>
      <c r="H927" s="36">
        <f>IF(D927="",0,IF(AND(B927&gt;=ThongTin!$C$9,B927&lt;=ThongTin!$C$10,COUNTIFS(ThongTin!$B$19:$B$48,C927,ThongTin!$A$19:$A$48,ThongTin!$C$8,ThongTin!$C$19:$C$48,"NHAP_NL")&gt;0),1,0))</f>
        <v>0</v>
      </c>
    </row>
    <row r="928" spans="1:8" x14ac:dyDescent="0.25">
      <c r="A928" s="41"/>
      <c r="B928" s="33"/>
      <c r="C928" s="32"/>
      <c r="D928" s="32"/>
      <c r="E928" s="37"/>
      <c r="F928" s="42"/>
      <c r="G928" s="32"/>
      <c r="H928" s="36">
        <f>IF(D928="",0,IF(AND(B928&gt;=ThongTin!$C$9,B928&lt;=ThongTin!$C$10,COUNTIFS(ThongTin!$B$19:$B$48,C928,ThongTin!$A$19:$A$48,ThongTin!$C$8,ThongTin!$C$19:$C$48,"NHAP_NL")&gt;0),1,0))</f>
        <v>0</v>
      </c>
    </row>
    <row r="929" spans="1:8" x14ac:dyDescent="0.25">
      <c r="A929" s="41"/>
      <c r="B929" s="33"/>
      <c r="C929" s="32"/>
      <c r="D929" s="32"/>
      <c r="E929" s="37"/>
      <c r="F929" s="42"/>
      <c r="G929" s="32"/>
      <c r="H929" s="36">
        <f>IF(D929="",0,IF(AND(B929&gt;=ThongTin!$C$9,B929&lt;=ThongTin!$C$10,COUNTIFS(ThongTin!$B$19:$B$48,C929,ThongTin!$A$19:$A$48,ThongTin!$C$8,ThongTin!$C$19:$C$48,"NHAP_NL")&gt;0),1,0))</f>
        <v>0</v>
      </c>
    </row>
    <row r="930" spans="1:8" x14ac:dyDescent="0.25">
      <c r="A930" s="41"/>
      <c r="B930" s="33"/>
      <c r="C930" s="32"/>
      <c r="D930" s="32"/>
      <c r="E930" s="37"/>
      <c r="F930" s="42"/>
      <c r="G930" s="32"/>
      <c r="H930" s="36">
        <f>IF(D930="",0,IF(AND(B930&gt;=ThongTin!$C$9,B930&lt;=ThongTin!$C$10,COUNTIFS(ThongTin!$B$19:$B$48,C930,ThongTin!$A$19:$A$48,ThongTin!$C$8,ThongTin!$C$19:$C$48,"NHAP_NL")&gt;0),1,0))</f>
        <v>0</v>
      </c>
    </row>
    <row r="931" spans="1:8" x14ac:dyDescent="0.25">
      <c r="A931" s="41"/>
      <c r="B931" s="33"/>
      <c r="C931" s="32"/>
      <c r="D931" s="32"/>
      <c r="E931" s="37"/>
      <c r="F931" s="42"/>
      <c r="G931" s="32"/>
      <c r="H931" s="36">
        <f>IF(D931="",0,IF(AND(B931&gt;=ThongTin!$C$9,B931&lt;=ThongTin!$C$10,COUNTIFS(ThongTin!$B$19:$B$48,C931,ThongTin!$A$19:$A$48,ThongTin!$C$8,ThongTin!$C$19:$C$48,"NHAP_NL")&gt;0),1,0))</f>
        <v>0</v>
      </c>
    </row>
    <row r="932" spans="1:8" x14ac:dyDescent="0.25">
      <c r="A932" s="41"/>
      <c r="B932" s="33"/>
      <c r="C932" s="32"/>
      <c r="D932" s="32"/>
      <c r="E932" s="37"/>
      <c r="F932" s="42"/>
      <c r="G932" s="32"/>
      <c r="H932" s="36">
        <f>IF(D932="",0,IF(AND(B932&gt;=ThongTin!$C$9,B932&lt;=ThongTin!$C$10,COUNTIFS(ThongTin!$B$19:$B$48,C932,ThongTin!$A$19:$A$48,ThongTin!$C$8,ThongTin!$C$19:$C$48,"NHAP_NL")&gt;0),1,0))</f>
        <v>0</v>
      </c>
    </row>
    <row r="933" spans="1:8" x14ac:dyDescent="0.25">
      <c r="A933" s="41"/>
      <c r="B933" s="33"/>
      <c r="C933" s="32"/>
      <c r="D933" s="32"/>
      <c r="E933" s="37"/>
      <c r="F933" s="42"/>
      <c r="G933" s="32"/>
      <c r="H933" s="36">
        <f>IF(D933="",0,IF(AND(B933&gt;=ThongTin!$C$9,B933&lt;=ThongTin!$C$10,COUNTIFS(ThongTin!$B$19:$B$48,C933,ThongTin!$A$19:$A$48,ThongTin!$C$8,ThongTin!$C$19:$C$48,"NHAP_NL")&gt;0),1,0))</f>
        <v>0</v>
      </c>
    </row>
    <row r="934" spans="1:8" x14ac:dyDescent="0.25">
      <c r="A934" s="41"/>
      <c r="B934" s="33"/>
      <c r="C934" s="32"/>
      <c r="D934" s="32"/>
      <c r="E934" s="37"/>
      <c r="F934" s="42"/>
      <c r="G934" s="32"/>
      <c r="H934" s="36">
        <f>IF(D934="",0,IF(AND(B934&gt;=ThongTin!$C$9,B934&lt;=ThongTin!$C$10,COUNTIFS(ThongTin!$B$19:$B$48,C934,ThongTin!$A$19:$A$48,ThongTin!$C$8,ThongTin!$C$19:$C$48,"NHAP_NL")&gt;0),1,0))</f>
        <v>0</v>
      </c>
    </row>
    <row r="935" spans="1:8" x14ac:dyDescent="0.25">
      <c r="A935" s="41"/>
      <c r="B935" s="33"/>
      <c r="C935" s="32"/>
      <c r="D935" s="32"/>
      <c r="E935" s="37"/>
      <c r="F935" s="42"/>
      <c r="G935" s="32"/>
      <c r="H935" s="36">
        <f>IF(D935="",0,IF(AND(B935&gt;=ThongTin!$C$9,B935&lt;=ThongTin!$C$10,COUNTIFS(ThongTin!$B$19:$B$48,C935,ThongTin!$A$19:$A$48,ThongTin!$C$8,ThongTin!$C$19:$C$48,"NHAP_NL")&gt;0),1,0))</f>
        <v>0</v>
      </c>
    </row>
    <row r="936" spans="1:8" x14ac:dyDescent="0.25">
      <c r="A936" s="41"/>
      <c r="B936" s="33"/>
      <c r="C936" s="32"/>
      <c r="D936" s="32"/>
      <c r="E936" s="37"/>
      <c r="F936" s="42"/>
      <c r="G936" s="32"/>
      <c r="H936" s="36">
        <f>IF(D936="",0,IF(AND(B936&gt;=ThongTin!$C$9,B936&lt;=ThongTin!$C$10,COUNTIFS(ThongTin!$B$19:$B$48,C936,ThongTin!$A$19:$A$48,ThongTin!$C$8,ThongTin!$C$19:$C$48,"NHAP_NL")&gt;0),1,0))</f>
        <v>0</v>
      </c>
    </row>
    <row r="937" spans="1:8" x14ac:dyDescent="0.25">
      <c r="A937" s="41"/>
      <c r="B937" s="33"/>
      <c r="C937" s="32"/>
      <c r="D937" s="32"/>
      <c r="E937" s="37"/>
      <c r="F937" s="42"/>
      <c r="G937" s="32"/>
      <c r="H937" s="36">
        <f>IF(D937="",0,IF(AND(B937&gt;=ThongTin!$C$9,B937&lt;=ThongTin!$C$10,COUNTIFS(ThongTin!$B$19:$B$48,C937,ThongTin!$A$19:$A$48,ThongTin!$C$8,ThongTin!$C$19:$C$48,"NHAP_NL")&gt;0),1,0))</f>
        <v>0</v>
      </c>
    </row>
    <row r="938" spans="1:8" x14ac:dyDescent="0.25">
      <c r="A938" s="41"/>
      <c r="B938" s="33"/>
      <c r="C938" s="32"/>
      <c r="D938" s="32"/>
      <c r="E938" s="37"/>
      <c r="F938" s="42"/>
      <c r="G938" s="32"/>
      <c r="H938" s="36">
        <f>IF(D938="",0,IF(AND(B938&gt;=ThongTin!$C$9,B938&lt;=ThongTin!$C$10,COUNTIFS(ThongTin!$B$19:$B$48,C938,ThongTin!$A$19:$A$48,ThongTin!$C$8,ThongTin!$C$19:$C$48,"NHAP_NL")&gt;0),1,0))</f>
        <v>0</v>
      </c>
    </row>
    <row r="939" spans="1:8" x14ac:dyDescent="0.25">
      <c r="A939" s="41"/>
      <c r="B939" s="33"/>
      <c r="C939" s="32"/>
      <c r="D939" s="32"/>
      <c r="E939" s="37"/>
      <c r="F939" s="42"/>
      <c r="G939" s="32"/>
      <c r="H939" s="36">
        <f>IF(D939="",0,IF(AND(B939&gt;=ThongTin!$C$9,B939&lt;=ThongTin!$C$10,COUNTIFS(ThongTin!$B$19:$B$48,C939,ThongTin!$A$19:$A$48,ThongTin!$C$8,ThongTin!$C$19:$C$48,"NHAP_NL")&gt;0),1,0))</f>
        <v>0</v>
      </c>
    </row>
    <row r="940" spans="1:8" x14ac:dyDescent="0.25">
      <c r="A940" s="41"/>
      <c r="B940" s="33"/>
      <c r="C940" s="32"/>
      <c r="D940" s="32"/>
      <c r="E940" s="37"/>
      <c r="F940" s="42"/>
      <c r="G940" s="32"/>
      <c r="H940" s="36">
        <f>IF(D940="",0,IF(AND(B940&gt;=ThongTin!$C$9,B940&lt;=ThongTin!$C$10,COUNTIFS(ThongTin!$B$19:$B$48,C940,ThongTin!$A$19:$A$48,ThongTin!$C$8,ThongTin!$C$19:$C$48,"NHAP_NL")&gt;0),1,0))</f>
        <v>0</v>
      </c>
    </row>
    <row r="941" spans="1:8" x14ac:dyDescent="0.25">
      <c r="A941" s="41"/>
      <c r="B941" s="33"/>
      <c r="C941" s="32"/>
      <c r="D941" s="32"/>
      <c r="E941" s="37"/>
      <c r="F941" s="42"/>
      <c r="G941" s="32"/>
      <c r="H941" s="36">
        <f>IF(D941="",0,IF(AND(B941&gt;=ThongTin!$C$9,B941&lt;=ThongTin!$C$10,COUNTIFS(ThongTin!$B$19:$B$48,C941,ThongTin!$A$19:$A$48,ThongTin!$C$8,ThongTin!$C$19:$C$48,"NHAP_NL")&gt;0),1,0))</f>
        <v>0</v>
      </c>
    </row>
    <row r="942" spans="1:8" x14ac:dyDescent="0.25">
      <c r="A942" s="41"/>
      <c r="B942" s="33"/>
      <c r="C942" s="32"/>
      <c r="D942" s="32"/>
      <c r="E942" s="37"/>
      <c r="F942" s="42"/>
      <c r="G942" s="32"/>
      <c r="H942" s="36">
        <f>IF(D942="",0,IF(AND(B942&gt;=ThongTin!$C$9,B942&lt;=ThongTin!$C$10,COUNTIFS(ThongTin!$B$19:$B$48,C942,ThongTin!$A$19:$A$48,ThongTin!$C$8,ThongTin!$C$19:$C$48,"NHAP_NL")&gt;0),1,0))</f>
        <v>0</v>
      </c>
    </row>
    <row r="943" spans="1:8" x14ac:dyDescent="0.25">
      <c r="A943" s="41"/>
      <c r="B943" s="33"/>
      <c r="C943" s="32"/>
      <c r="D943" s="32"/>
      <c r="E943" s="37"/>
      <c r="F943" s="42"/>
      <c r="G943" s="32"/>
      <c r="H943" s="36">
        <f>IF(D943="",0,IF(AND(B943&gt;=ThongTin!$C$9,B943&lt;=ThongTin!$C$10,COUNTIFS(ThongTin!$B$19:$B$48,C943,ThongTin!$A$19:$A$48,ThongTin!$C$8,ThongTin!$C$19:$C$48,"NHAP_NL")&gt;0),1,0))</f>
        <v>0</v>
      </c>
    </row>
    <row r="944" spans="1:8" x14ac:dyDescent="0.25">
      <c r="A944" s="41"/>
      <c r="B944" s="33"/>
      <c r="C944" s="32"/>
      <c r="D944" s="32"/>
      <c r="E944" s="37"/>
      <c r="F944" s="42"/>
      <c r="G944" s="32"/>
      <c r="H944" s="36">
        <f>IF(D944="",0,IF(AND(B944&gt;=ThongTin!$C$9,B944&lt;=ThongTin!$C$10,COUNTIFS(ThongTin!$B$19:$B$48,C944,ThongTin!$A$19:$A$48,ThongTin!$C$8,ThongTin!$C$19:$C$48,"NHAP_NL")&gt;0),1,0))</f>
        <v>0</v>
      </c>
    </row>
    <row r="945" spans="1:8" x14ac:dyDescent="0.25">
      <c r="A945" s="41"/>
      <c r="B945" s="33"/>
      <c r="C945" s="32"/>
      <c r="D945" s="32"/>
      <c r="E945" s="37"/>
      <c r="F945" s="42"/>
      <c r="G945" s="32"/>
      <c r="H945" s="36">
        <f>IF(D945="",0,IF(AND(B945&gt;=ThongTin!$C$9,B945&lt;=ThongTin!$C$10,COUNTIFS(ThongTin!$B$19:$B$48,C945,ThongTin!$A$19:$A$48,ThongTin!$C$8,ThongTin!$C$19:$C$48,"NHAP_NL")&gt;0),1,0))</f>
        <v>0</v>
      </c>
    </row>
    <row r="946" spans="1:8" x14ac:dyDescent="0.25">
      <c r="A946" s="41"/>
      <c r="B946" s="33"/>
      <c r="C946" s="32"/>
      <c r="D946" s="32"/>
      <c r="E946" s="37"/>
      <c r="F946" s="42"/>
      <c r="G946" s="32"/>
      <c r="H946" s="36">
        <f>IF(D946="",0,IF(AND(B946&gt;=ThongTin!$C$9,B946&lt;=ThongTin!$C$10,COUNTIFS(ThongTin!$B$19:$B$48,C946,ThongTin!$A$19:$A$48,ThongTin!$C$8,ThongTin!$C$19:$C$48,"NHAP_NL")&gt;0),1,0))</f>
        <v>0</v>
      </c>
    </row>
    <row r="947" spans="1:8" x14ac:dyDescent="0.25">
      <c r="A947" s="41"/>
      <c r="B947" s="33"/>
      <c r="C947" s="32"/>
      <c r="D947" s="32"/>
      <c r="E947" s="37"/>
      <c r="F947" s="42"/>
      <c r="G947" s="32"/>
      <c r="H947" s="36">
        <f>IF(D947="",0,IF(AND(B947&gt;=ThongTin!$C$9,B947&lt;=ThongTin!$C$10,COUNTIFS(ThongTin!$B$19:$B$48,C947,ThongTin!$A$19:$A$48,ThongTin!$C$8,ThongTin!$C$19:$C$48,"NHAP_NL")&gt;0),1,0))</f>
        <v>0</v>
      </c>
    </row>
    <row r="948" spans="1:8" x14ac:dyDescent="0.25">
      <c r="A948" s="41"/>
      <c r="B948" s="33"/>
      <c r="C948" s="32"/>
      <c r="D948" s="32"/>
      <c r="E948" s="37"/>
      <c r="F948" s="42"/>
      <c r="G948" s="32"/>
      <c r="H948" s="36">
        <f>IF(D948="",0,IF(AND(B948&gt;=ThongTin!$C$9,B948&lt;=ThongTin!$C$10,COUNTIFS(ThongTin!$B$19:$B$48,C948,ThongTin!$A$19:$A$48,ThongTin!$C$8,ThongTin!$C$19:$C$48,"NHAP_NL")&gt;0),1,0))</f>
        <v>0</v>
      </c>
    </row>
    <row r="949" spans="1:8" x14ac:dyDescent="0.25">
      <c r="A949" s="41"/>
      <c r="B949" s="33"/>
      <c r="C949" s="32"/>
      <c r="D949" s="32"/>
      <c r="E949" s="37"/>
      <c r="F949" s="42"/>
      <c r="G949" s="32"/>
      <c r="H949" s="36">
        <f>IF(D949="",0,IF(AND(B949&gt;=ThongTin!$C$9,B949&lt;=ThongTin!$C$10,COUNTIFS(ThongTin!$B$19:$B$48,C949,ThongTin!$A$19:$A$48,ThongTin!$C$8,ThongTin!$C$19:$C$48,"NHAP_NL")&gt;0),1,0))</f>
        <v>0</v>
      </c>
    </row>
    <row r="950" spans="1:8" x14ac:dyDescent="0.25">
      <c r="A950" s="41"/>
      <c r="B950" s="33"/>
      <c r="C950" s="32"/>
      <c r="D950" s="32"/>
      <c r="E950" s="37"/>
      <c r="F950" s="42"/>
      <c r="G950" s="32"/>
      <c r="H950" s="36">
        <f>IF(D950="",0,IF(AND(B950&gt;=ThongTin!$C$9,B950&lt;=ThongTin!$C$10,COUNTIFS(ThongTin!$B$19:$B$48,C950,ThongTin!$A$19:$A$48,ThongTin!$C$8,ThongTin!$C$19:$C$48,"NHAP_NL")&gt;0),1,0))</f>
        <v>0</v>
      </c>
    </row>
    <row r="951" spans="1:8" x14ac:dyDescent="0.25">
      <c r="A951" s="41"/>
      <c r="B951" s="33"/>
      <c r="C951" s="32"/>
      <c r="D951" s="32"/>
      <c r="E951" s="37"/>
      <c r="F951" s="42"/>
      <c r="G951" s="32"/>
      <c r="H951" s="36">
        <f>IF(D951="",0,IF(AND(B951&gt;=ThongTin!$C$9,B951&lt;=ThongTin!$C$10,COUNTIFS(ThongTin!$B$19:$B$48,C951,ThongTin!$A$19:$A$48,ThongTin!$C$8,ThongTin!$C$19:$C$48,"NHAP_NL")&gt;0),1,0))</f>
        <v>0</v>
      </c>
    </row>
    <row r="952" spans="1:8" x14ac:dyDescent="0.25">
      <c r="A952" s="41"/>
      <c r="B952" s="33"/>
      <c r="C952" s="32"/>
      <c r="D952" s="32"/>
      <c r="E952" s="37"/>
      <c r="F952" s="42"/>
      <c r="G952" s="32"/>
      <c r="H952" s="36">
        <f>IF(D952="",0,IF(AND(B952&gt;=ThongTin!$C$9,B952&lt;=ThongTin!$C$10,COUNTIFS(ThongTin!$B$19:$B$48,C952,ThongTin!$A$19:$A$48,ThongTin!$C$8,ThongTin!$C$19:$C$48,"NHAP_NL")&gt;0),1,0))</f>
        <v>0</v>
      </c>
    </row>
    <row r="953" spans="1:8" x14ac:dyDescent="0.25">
      <c r="A953" s="41"/>
      <c r="B953" s="33"/>
      <c r="C953" s="32"/>
      <c r="D953" s="32"/>
      <c r="E953" s="37"/>
      <c r="F953" s="42"/>
      <c r="G953" s="32"/>
      <c r="H953" s="36">
        <f>IF(D953="",0,IF(AND(B953&gt;=ThongTin!$C$9,B953&lt;=ThongTin!$C$10,COUNTIFS(ThongTin!$B$19:$B$48,C953,ThongTin!$A$19:$A$48,ThongTin!$C$8,ThongTin!$C$19:$C$48,"NHAP_NL")&gt;0),1,0))</f>
        <v>0</v>
      </c>
    </row>
    <row r="954" spans="1:8" x14ac:dyDescent="0.25">
      <c r="A954" s="41"/>
      <c r="B954" s="33"/>
      <c r="C954" s="32"/>
      <c r="D954" s="32"/>
      <c r="E954" s="37"/>
      <c r="F954" s="42"/>
      <c r="G954" s="32"/>
      <c r="H954" s="36">
        <f>IF(D954="",0,IF(AND(B954&gt;=ThongTin!$C$9,B954&lt;=ThongTin!$C$10,COUNTIFS(ThongTin!$B$19:$B$48,C954,ThongTin!$A$19:$A$48,ThongTin!$C$8,ThongTin!$C$19:$C$48,"NHAP_NL")&gt;0),1,0))</f>
        <v>0</v>
      </c>
    </row>
    <row r="955" spans="1:8" x14ac:dyDescent="0.25">
      <c r="A955" s="41"/>
      <c r="B955" s="33"/>
      <c r="C955" s="32"/>
      <c r="D955" s="32"/>
      <c r="E955" s="37"/>
      <c r="F955" s="42"/>
      <c r="G955" s="32"/>
      <c r="H955" s="36">
        <f>IF(D955="",0,IF(AND(B955&gt;=ThongTin!$C$9,B955&lt;=ThongTin!$C$10,COUNTIFS(ThongTin!$B$19:$B$48,C955,ThongTin!$A$19:$A$48,ThongTin!$C$8,ThongTin!$C$19:$C$48,"NHAP_NL")&gt;0),1,0))</f>
        <v>0</v>
      </c>
    </row>
    <row r="956" spans="1:8" x14ac:dyDescent="0.25">
      <c r="A956" s="41"/>
      <c r="B956" s="33"/>
      <c r="C956" s="32"/>
      <c r="D956" s="32"/>
      <c r="E956" s="37"/>
      <c r="F956" s="42"/>
      <c r="G956" s="32"/>
      <c r="H956" s="36">
        <f>IF(D956="",0,IF(AND(B956&gt;=ThongTin!$C$9,B956&lt;=ThongTin!$C$10,COUNTIFS(ThongTin!$B$19:$B$48,C956,ThongTin!$A$19:$A$48,ThongTin!$C$8,ThongTin!$C$19:$C$48,"NHAP_NL")&gt;0),1,0))</f>
        <v>0</v>
      </c>
    </row>
    <row r="957" spans="1:8" x14ac:dyDescent="0.25">
      <c r="A957" s="41"/>
      <c r="B957" s="33"/>
      <c r="C957" s="32"/>
      <c r="D957" s="32"/>
      <c r="E957" s="37"/>
      <c r="F957" s="42"/>
      <c r="G957" s="32"/>
      <c r="H957" s="36">
        <f>IF(D957="",0,IF(AND(B957&gt;=ThongTin!$C$9,B957&lt;=ThongTin!$C$10,COUNTIFS(ThongTin!$B$19:$B$48,C957,ThongTin!$A$19:$A$48,ThongTin!$C$8,ThongTin!$C$19:$C$48,"NHAP_NL")&gt;0),1,0))</f>
        <v>0</v>
      </c>
    </row>
    <row r="958" spans="1:8" x14ac:dyDescent="0.25">
      <c r="A958" s="41"/>
      <c r="B958" s="33"/>
      <c r="C958" s="32"/>
      <c r="D958" s="32"/>
      <c r="E958" s="37"/>
      <c r="F958" s="42"/>
      <c r="G958" s="32"/>
      <c r="H958" s="36">
        <f>IF(D958="",0,IF(AND(B958&gt;=ThongTin!$C$9,B958&lt;=ThongTin!$C$10,COUNTIFS(ThongTin!$B$19:$B$48,C958,ThongTin!$A$19:$A$48,ThongTin!$C$8,ThongTin!$C$19:$C$48,"NHAP_NL")&gt;0),1,0))</f>
        <v>0</v>
      </c>
    </row>
    <row r="959" spans="1:8" x14ac:dyDescent="0.25">
      <c r="A959" s="41"/>
      <c r="B959" s="33"/>
      <c r="C959" s="32"/>
      <c r="D959" s="32"/>
      <c r="E959" s="37"/>
      <c r="F959" s="42"/>
      <c r="G959" s="32"/>
      <c r="H959" s="36">
        <f>IF(D959="",0,IF(AND(B959&gt;=ThongTin!$C$9,B959&lt;=ThongTin!$C$10,COUNTIFS(ThongTin!$B$19:$B$48,C959,ThongTin!$A$19:$A$48,ThongTin!$C$8,ThongTin!$C$19:$C$48,"NHAP_NL")&gt;0),1,0))</f>
        <v>0</v>
      </c>
    </row>
    <row r="960" spans="1:8" x14ac:dyDescent="0.25">
      <c r="A960" s="41"/>
      <c r="B960" s="33"/>
      <c r="C960" s="32"/>
      <c r="D960" s="32"/>
      <c r="E960" s="37"/>
      <c r="F960" s="42"/>
      <c r="G960" s="32"/>
      <c r="H960" s="36">
        <f>IF(D960="",0,IF(AND(B960&gt;=ThongTin!$C$9,B960&lt;=ThongTin!$C$10,COUNTIFS(ThongTin!$B$19:$B$48,C960,ThongTin!$A$19:$A$48,ThongTin!$C$8,ThongTin!$C$19:$C$48,"NHAP_NL")&gt;0),1,0))</f>
        <v>0</v>
      </c>
    </row>
    <row r="961" spans="1:8" x14ac:dyDescent="0.25">
      <c r="A961" s="41"/>
      <c r="B961" s="33"/>
      <c r="C961" s="32"/>
      <c r="D961" s="32"/>
      <c r="E961" s="37"/>
      <c r="F961" s="42"/>
      <c r="G961" s="32"/>
      <c r="H961" s="36">
        <f>IF(D961="",0,IF(AND(B961&gt;=ThongTin!$C$9,B961&lt;=ThongTin!$C$10,COUNTIFS(ThongTin!$B$19:$B$48,C961,ThongTin!$A$19:$A$48,ThongTin!$C$8,ThongTin!$C$19:$C$48,"NHAP_NL")&gt;0),1,0))</f>
        <v>0</v>
      </c>
    </row>
    <row r="962" spans="1:8" x14ac:dyDescent="0.25">
      <c r="A962" s="41"/>
      <c r="B962" s="33"/>
      <c r="C962" s="32"/>
      <c r="D962" s="32"/>
      <c r="E962" s="37"/>
      <c r="F962" s="42"/>
      <c r="G962" s="32"/>
      <c r="H962" s="36">
        <f>IF(D962="",0,IF(AND(B962&gt;=ThongTin!$C$9,B962&lt;=ThongTin!$C$10,COUNTIFS(ThongTin!$B$19:$B$48,C962,ThongTin!$A$19:$A$48,ThongTin!$C$8,ThongTin!$C$19:$C$48,"NHAP_NL")&gt;0),1,0))</f>
        <v>0</v>
      </c>
    </row>
    <row r="963" spans="1:8" x14ac:dyDescent="0.25">
      <c r="A963" s="41"/>
      <c r="B963" s="33"/>
      <c r="C963" s="32"/>
      <c r="D963" s="32"/>
      <c r="E963" s="37"/>
      <c r="F963" s="42"/>
      <c r="G963" s="32"/>
      <c r="H963" s="36">
        <f>IF(D963="",0,IF(AND(B963&gt;=ThongTin!$C$9,B963&lt;=ThongTin!$C$10,COUNTIFS(ThongTin!$B$19:$B$48,C963,ThongTin!$A$19:$A$48,ThongTin!$C$8,ThongTin!$C$19:$C$48,"NHAP_NL")&gt;0),1,0))</f>
        <v>0</v>
      </c>
    </row>
    <row r="964" spans="1:8" x14ac:dyDescent="0.25">
      <c r="A964" s="41"/>
      <c r="B964" s="33"/>
      <c r="C964" s="32"/>
      <c r="D964" s="32"/>
      <c r="E964" s="37"/>
      <c r="F964" s="42"/>
      <c r="G964" s="32"/>
      <c r="H964" s="36">
        <f>IF(D964="",0,IF(AND(B964&gt;=ThongTin!$C$9,B964&lt;=ThongTin!$C$10,COUNTIFS(ThongTin!$B$19:$B$48,C964,ThongTin!$A$19:$A$48,ThongTin!$C$8,ThongTin!$C$19:$C$48,"NHAP_NL")&gt;0),1,0))</f>
        <v>0</v>
      </c>
    </row>
    <row r="965" spans="1:8" x14ac:dyDescent="0.25">
      <c r="A965" s="41"/>
      <c r="B965" s="33"/>
      <c r="C965" s="32"/>
      <c r="D965" s="32"/>
      <c r="E965" s="37"/>
      <c r="F965" s="42"/>
      <c r="G965" s="32"/>
      <c r="H965" s="36">
        <f>IF(D965="",0,IF(AND(B965&gt;=ThongTin!$C$9,B965&lt;=ThongTin!$C$10,COUNTIFS(ThongTin!$B$19:$B$48,C965,ThongTin!$A$19:$A$48,ThongTin!$C$8,ThongTin!$C$19:$C$48,"NHAP_NL")&gt;0),1,0))</f>
        <v>0</v>
      </c>
    </row>
    <row r="966" spans="1:8" x14ac:dyDescent="0.25">
      <c r="A966" s="41"/>
      <c r="B966" s="33"/>
      <c r="C966" s="32"/>
      <c r="D966" s="32"/>
      <c r="E966" s="37"/>
      <c r="F966" s="42"/>
      <c r="G966" s="32"/>
      <c r="H966" s="36">
        <f>IF(D966="",0,IF(AND(B966&gt;=ThongTin!$C$9,B966&lt;=ThongTin!$C$10,COUNTIFS(ThongTin!$B$19:$B$48,C966,ThongTin!$A$19:$A$48,ThongTin!$C$8,ThongTin!$C$19:$C$48,"NHAP_NL")&gt;0),1,0))</f>
        <v>0</v>
      </c>
    </row>
    <row r="967" spans="1:8" x14ac:dyDescent="0.25">
      <c r="A967" s="41"/>
      <c r="B967" s="33"/>
      <c r="C967" s="32"/>
      <c r="D967" s="32"/>
      <c r="E967" s="37"/>
      <c r="F967" s="42"/>
      <c r="G967" s="32"/>
      <c r="H967" s="36">
        <f>IF(D967="",0,IF(AND(B967&gt;=ThongTin!$C$9,B967&lt;=ThongTin!$C$10,COUNTIFS(ThongTin!$B$19:$B$48,C967,ThongTin!$A$19:$A$48,ThongTin!$C$8,ThongTin!$C$19:$C$48,"NHAP_NL")&gt;0),1,0))</f>
        <v>0</v>
      </c>
    </row>
    <row r="968" spans="1:8" x14ac:dyDescent="0.25">
      <c r="A968" s="41"/>
      <c r="B968" s="33"/>
      <c r="C968" s="32"/>
      <c r="D968" s="32"/>
      <c r="E968" s="37"/>
      <c r="F968" s="42"/>
      <c r="G968" s="32"/>
      <c r="H968" s="36">
        <f>IF(D968="",0,IF(AND(B968&gt;=ThongTin!$C$9,B968&lt;=ThongTin!$C$10,COUNTIFS(ThongTin!$B$19:$B$48,C968,ThongTin!$A$19:$A$48,ThongTin!$C$8,ThongTin!$C$19:$C$48,"NHAP_NL")&gt;0),1,0))</f>
        <v>0</v>
      </c>
    </row>
    <row r="969" spans="1:8" x14ac:dyDescent="0.25">
      <c r="A969" s="41"/>
      <c r="B969" s="33"/>
      <c r="C969" s="32"/>
      <c r="D969" s="32"/>
      <c r="E969" s="37"/>
      <c r="F969" s="42"/>
      <c r="G969" s="32"/>
      <c r="H969" s="36">
        <f>IF(D969="",0,IF(AND(B969&gt;=ThongTin!$C$9,B969&lt;=ThongTin!$C$10,COUNTIFS(ThongTin!$B$19:$B$48,C969,ThongTin!$A$19:$A$48,ThongTin!$C$8,ThongTin!$C$19:$C$48,"NHAP_NL")&gt;0),1,0))</f>
        <v>0</v>
      </c>
    </row>
    <row r="970" spans="1:8" x14ac:dyDescent="0.25">
      <c r="A970" s="41"/>
      <c r="B970" s="33"/>
      <c r="C970" s="32"/>
      <c r="D970" s="32"/>
      <c r="E970" s="37"/>
      <c r="F970" s="42"/>
      <c r="G970" s="32"/>
      <c r="H970" s="36">
        <f>IF(D970="",0,IF(AND(B970&gt;=ThongTin!$C$9,B970&lt;=ThongTin!$C$10,COUNTIFS(ThongTin!$B$19:$B$48,C970,ThongTin!$A$19:$A$48,ThongTin!$C$8,ThongTin!$C$19:$C$48,"NHAP_NL")&gt;0),1,0))</f>
        <v>0</v>
      </c>
    </row>
    <row r="971" spans="1:8" x14ac:dyDescent="0.25">
      <c r="A971" s="41"/>
      <c r="B971" s="33"/>
      <c r="C971" s="32"/>
      <c r="D971" s="32"/>
      <c r="E971" s="37"/>
      <c r="F971" s="42"/>
      <c r="G971" s="32"/>
      <c r="H971" s="36">
        <f>IF(D971="",0,IF(AND(B971&gt;=ThongTin!$C$9,B971&lt;=ThongTin!$C$10,COUNTIFS(ThongTin!$B$19:$B$48,C971,ThongTin!$A$19:$A$48,ThongTin!$C$8,ThongTin!$C$19:$C$48,"NHAP_NL")&gt;0),1,0))</f>
        <v>0</v>
      </c>
    </row>
    <row r="972" spans="1:8" x14ac:dyDescent="0.25">
      <c r="A972" s="41"/>
      <c r="B972" s="33"/>
      <c r="C972" s="32"/>
      <c r="D972" s="32"/>
      <c r="E972" s="37"/>
      <c r="F972" s="42"/>
      <c r="G972" s="32"/>
      <c r="H972" s="36">
        <f>IF(D972="",0,IF(AND(B972&gt;=ThongTin!$C$9,B972&lt;=ThongTin!$C$10,COUNTIFS(ThongTin!$B$19:$B$48,C972,ThongTin!$A$19:$A$48,ThongTin!$C$8,ThongTin!$C$19:$C$48,"NHAP_NL")&gt;0),1,0))</f>
        <v>0</v>
      </c>
    </row>
    <row r="973" spans="1:8" x14ac:dyDescent="0.25">
      <c r="A973" s="41"/>
      <c r="B973" s="33"/>
      <c r="C973" s="32"/>
      <c r="D973" s="32"/>
      <c r="E973" s="37"/>
      <c r="F973" s="42"/>
      <c r="G973" s="32"/>
      <c r="H973" s="36">
        <f>IF(D973="",0,IF(AND(B973&gt;=ThongTin!$C$9,B973&lt;=ThongTin!$C$10,COUNTIFS(ThongTin!$B$19:$B$48,C973,ThongTin!$A$19:$A$48,ThongTin!$C$8,ThongTin!$C$19:$C$48,"NHAP_NL")&gt;0),1,0))</f>
        <v>0</v>
      </c>
    </row>
    <row r="974" spans="1:8" x14ac:dyDescent="0.25">
      <c r="A974" s="41"/>
      <c r="B974" s="33"/>
      <c r="C974" s="32"/>
      <c r="D974" s="32"/>
      <c r="E974" s="37"/>
      <c r="F974" s="42"/>
      <c r="G974" s="32"/>
      <c r="H974" s="36">
        <f>IF(D974="",0,IF(AND(B974&gt;=ThongTin!$C$9,B974&lt;=ThongTin!$C$10,COUNTIFS(ThongTin!$B$19:$B$48,C974,ThongTin!$A$19:$A$48,ThongTin!$C$8,ThongTin!$C$19:$C$48,"NHAP_NL")&gt;0),1,0))</f>
        <v>0</v>
      </c>
    </row>
    <row r="975" spans="1:8" x14ac:dyDescent="0.25">
      <c r="A975" s="41"/>
      <c r="B975" s="33"/>
      <c r="C975" s="32"/>
      <c r="D975" s="32"/>
      <c r="E975" s="37"/>
      <c r="F975" s="42"/>
      <c r="G975" s="32"/>
      <c r="H975" s="36">
        <f>IF(D975="",0,IF(AND(B975&gt;=ThongTin!$C$9,B975&lt;=ThongTin!$C$10,COUNTIFS(ThongTin!$B$19:$B$48,C975,ThongTin!$A$19:$A$48,ThongTin!$C$8,ThongTin!$C$19:$C$48,"NHAP_NL")&gt;0),1,0))</f>
        <v>0</v>
      </c>
    </row>
    <row r="976" spans="1:8" x14ac:dyDescent="0.25">
      <c r="A976" s="41"/>
      <c r="B976" s="33"/>
      <c r="C976" s="32"/>
      <c r="D976" s="32"/>
      <c r="E976" s="37"/>
      <c r="F976" s="42"/>
      <c r="G976" s="32"/>
      <c r="H976" s="36">
        <f>IF(D976="",0,IF(AND(B976&gt;=ThongTin!$C$9,B976&lt;=ThongTin!$C$10,COUNTIFS(ThongTin!$B$19:$B$48,C976,ThongTin!$A$19:$A$48,ThongTin!$C$8,ThongTin!$C$19:$C$48,"NHAP_NL")&gt;0),1,0))</f>
        <v>0</v>
      </c>
    </row>
    <row r="977" spans="1:8" x14ac:dyDescent="0.25">
      <c r="A977" s="41"/>
      <c r="B977" s="33"/>
      <c r="C977" s="32"/>
      <c r="D977" s="32"/>
      <c r="E977" s="37"/>
      <c r="F977" s="42"/>
      <c r="G977" s="32"/>
      <c r="H977" s="36">
        <f>IF(D977="",0,IF(AND(B977&gt;=ThongTin!$C$9,B977&lt;=ThongTin!$C$10,COUNTIFS(ThongTin!$B$19:$B$48,C977,ThongTin!$A$19:$A$48,ThongTin!$C$8,ThongTin!$C$19:$C$48,"NHAP_NL")&gt;0),1,0))</f>
        <v>0</v>
      </c>
    </row>
    <row r="978" spans="1:8" x14ac:dyDescent="0.25">
      <c r="A978" s="41"/>
      <c r="B978" s="33"/>
      <c r="C978" s="32"/>
      <c r="D978" s="32"/>
      <c r="E978" s="37"/>
      <c r="F978" s="42"/>
      <c r="G978" s="32"/>
      <c r="H978" s="36">
        <f>IF(D978="",0,IF(AND(B978&gt;=ThongTin!$C$9,B978&lt;=ThongTin!$C$10,COUNTIFS(ThongTin!$B$19:$B$48,C978,ThongTin!$A$19:$A$48,ThongTin!$C$8,ThongTin!$C$19:$C$48,"NHAP_NL")&gt;0),1,0))</f>
        <v>0</v>
      </c>
    </row>
    <row r="979" spans="1:8" x14ac:dyDescent="0.25">
      <c r="A979" s="41"/>
      <c r="B979" s="33"/>
      <c r="C979" s="32"/>
      <c r="D979" s="32"/>
      <c r="E979" s="37"/>
      <c r="F979" s="42"/>
      <c r="G979" s="32"/>
      <c r="H979" s="36">
        <f>IF(D979="",0,IF(AND(B979&gt;=ThongTin!$C$9,B979&lt;=ThongTin!$C$10,COUNTIFS(ThongTin!$B$19:$B$48,C979,ThongTin!$A$19:$A$48,ThongTin!$C$8,ThongTin!$C$19:$C$48,"NHAP_NL")&gt;0),1,0))</f>
        <v>0</v>
      </c>
    </row>
    <row r="980" spans="1:8" x14ac:dyDescent="0.25">
      <c r="A980" s="41"/>
      <c r="B980" s="33"/>
      <c r="C980" s="32"/>
      <c r="D980" s="32"/>
      <c r="E980" s="37"/>
      <c r="F980" s="42"/>
      <c r="G980" s="32"/>
      <c r="H980" s="36">
        <f>IF(D980="",0,IF(AND(B980&gt;=ThongTin!$C$9,B980&lt;=ThongTin!$C$10,COUNTIFS(ThongTin!$B$19:$B$48,C980,ThongTin!$A$19:$A$48,ThongTin!$C$8,ThongTin!$C$19:$C$48,"NHAP_NL")&gt;0),1,0))</f>
        <v>0</v>
      </c>
    </row>
    <row r="981" spans="1:8" x14ac:dyDescent="0.25">
      <c r="A981" s="41"/>
      <c r="B981" s="33"/>
      <c r="C981" s="32"/>
      <c r="D981" s="32"/>
      <c r="E981" s="37"/>
      <c r="F981" s="42"/>
      <c r="G981" s="32"/>
      <c r="H981" s="36">
        <f>IF(D981="",0,IF(AND(B981&gt;=ThongTin!$C$9,B981&lt;=ThongTin!$C$10,COUNTIFS(ThongTin!$B$19:$B$48,C981,ThongTin!$A$19:$A$48,ThongTin!$C$8,ThongTin!$C$19:$C$48,"NHAP_NL")&gt;0),1,0))</f>
        <v>0</v>
      </c>
    </row>
    <row r="982" spans="1:8" x14ac:dyDescent="0.25">
      <c r="A982" s="41"/>
      <c r="B982" s="33"/>
      <c r="C982" s="32"/>
      <c r="D982" s="32"/>
      <c r="E982" s="37"/>
      <c r="F982" s="42"/>
      <c r="G982" s="32"/>
      <c r="H982" s="36">
        <f>IF(D982="",0,IF(AND(B982&gt;=ThongTin!$C$9,B982&lt;=ThongTin!$C$10,COUNTIFS(ThongTin!$B$19:$B$48,C982,ThongTin!$A$19:$A$48,ThongTin!$C$8,ThongTin!$C$19:$C$48,"NHAP_NL")&gt;0),1,0))</f>
        <v>0</v>
      </c>
    </row>
    <row r="983" spans="1:8" x14ac:dyDescent="0.25">
      <c r="A983" s="41"/>
      <c r="B983" s="33"/>
      <c r="C983" s="32"/>
      <c r="D983" s="32"/>
      <c r="E983" s="37"/>
      <c r="F983" s="42"/>
      <c r="G983" s="32"/>
      <c r="H983" s="36">
        <f>IF(D983="",0,IF(AND(B983&gt;=ThongTin!$C$9,B983&lt;=ThongTin!$C$10,COUNTIFS(ThongTin!$B$19:$B$48,C983,ThongTin!$A$19:$A$48,ThongTin!$C$8,ThongTin!$C$19:$C$48,"NHAP_NL")&gt;0),1,0))</f>
        <v>0</v>
      </c>
    </row>
    <row r="984" spans="1:8" x14ac:dyDescent="0.25">
      <c r="A984" s="41"/>
      <c r="B984" s="33"/>
      <c r="C984" s="32"/>
      <c r="D984" s="32"/>
      <c r="E984" s="37"/>
      <c r="F984" s="42"/>
      <c r="G984" s="32"/>
      <c r="H984" s="36">
        <f>IF(D984="",0,IF(AND(B984&gt;=ThongTin!$C$9,B984&lt;=ThongTin!$C$10,COUNTIFS(ThongTin!$B$19:$B$48,C984,ThongTin!$A$19:$A$48,ThongTin!$C$8,ThongTin!$C$19:$C$48,"NHAP_NL")&gt;0),1,0))</f>
        <v>0</v>
      </c>
    </row>
    <row r="985" spans="1:8" x14ac:dyDescent="0.25">
      <c r="A985" s="41"/>
      <c r="B985" s="33"/>
      <c r="C985" s="32"/>
      <c r="D985" s="32"/>
      <c r="E985" s="37"/>
      <c r="F985" s="42"/>
      <c r="G985" s="32"/>
      <c r="H985" s="36">
        <f>IF(D985="",0,IF(AND(B985&gt;=ThongTin!$C$9,B985&lt;=ThongTin!$C$10,COUNTIFS(ThongTin!$B$19:$B$48,C985,ThongTin!$A$19:$A$48,ThongTin!$C$8,ThongTin!$C$19:$C$48,"NHAP_NL")&gt;0),1,0))</f>
        <v>0</v>
      </c>
    </row>
    <row r="986" spans="1:8" x14ac:dyDescent="0.25">
      <c r="A986" s="41"/>
      <c r="B986" s="33"/>
      <c r="C986" s="32"/>
      <c r="D986" s="32"/>
      <c r="E986" s="37"/>
      <c r="F986" s="42"/>
      <c r="G986" s="32"/>
      <c r="H986" s="36">
        <f>IF(D986="",0,IF(AND(B986&gt;=ThongTin!$C$9,B986&lt;=ThongTin!$C$10,COUNTIFS(ThongTin!$B$19:$B$48,C986,ThongTin!$A$19:$A$48,ThongTin!$C$8,ThongTin!$C$19:$C$48,"NHAP_NL")&gt;0),1,0))</f>
        <v>0</v>
      </c>
    </row>
    <row r="987" spans="1:8" x14ac:dyDescent="0.25">
      <c r="A987" s="41"/>
      <c r="B987" s="33"/>
      <c r="C987" s="32"/>
      <c r="D987" s="32"/>
      <c r="E987" s="37"/>
      <c r="F987" s="42"/>
      <c r="G987" s="32"/>
      <c r="H987" s="36">
        <f>IF(D987="",0,IF(AND(B987&gt;=ThongTin!$C$9,B987&lt;=ThongTin!$C$10,COUNTIFS(ThongTin!$B$19:$B$48,C987,ThongTin!$A$19:$A$48,ThongTin!$C$8,ThongTin!$C$19:$C$48,"NHAP_NL")&gt;0),1,0))</f>
        <v>0</v>
      </c>
    </row>
    <row r="988" spans="1:8" x14ac:dyDescent="0.25">
      <c r="A988" s="41"/>
      <c r="B988" s="33"/>
      <c r="C988" s="32"/>
      <c r="D988" s="32"/>
      <c r="E988" s="37"/>
      <c r="F988" s="42"/>
      <c r="G988" s="32"/>
      <c r="H988" s="36">
        <f>IF(D988="",0,IF(AND(B988&gt;=ThongTin!$C$9,B988&lt;=ThongTin!$C$10,COUNTIFS(ThongTin!$B$19:$B$48,C988,ThongTin!$A$19:$A$48,ThongTin!$C$8,ThongTin!$C$19:$C$48,"NHAP_NL")&gt;0),1,0))</f>
        <v>0</v>
      </c>
    </row>
    <row r="989" spans="1:8" x14ac:dyDescent="0.25">
      <c r="A989" s="41"/>
      <c r="B989" s="33"/>
      <c r="C989" s="32"/>
      <c r="D989" s="32"/>
      <c r="E989" s="37"/>
      <c r="F989" s="42"/>
      <c r="G989" s="32"/>
      <c r="H989" s="36">
        <f>IF(D989="",0,IF(AND(B989&gt;=ThongTin!$C$9,B989&lt;=ThongTin!$C$10,COUNTIFS(ThongTin!$B$19:$B$48,C989,ThongTin!$A$19:$A$48,ThongTin!$C$8,ThongTin!$C$19:$C$48,"NHAP_NL")&gt;0),1,0))</f>
        <v>0</v>
      </c>
    </row>
    <row r="990" spans="1:8" x14ac:dyDescent="0.25">
      <c r="A990" s="41"/>
      <c r="B990" s="33"/>
      <c r="C990" s="32"/>
      <c r="D990" s="32"/>
      <c r="E990" s="37"/>
      <c r="F990" s="42"/>
      <c r="G990" s="32"/>
      <c r="H990" s="36">
        <f>IF(D990="",0,IF(AND(B990&gt;=ThongTin!$C$9,B990&lt;=ThongTin!$C$10,COUNTIFS(ThongTin!$B$19:$B$48,C990,ThongTin!$A$19:$A$48,ThongTin!$C$8,ThongTin!$C$19:$C$48,"NHAP_NL")&gt;0),1,0))</f>
        <v>0</v>
      </c>
    </row>
    <row r="991" spans="1:8" x14ac:dyDescent="0.25">
      <c r="A991" s="41"/>
      <c r="B991" s="33"/>
      <c r="C991" s="32"/>
      <c r="D991" s="32"/>
      <c r="E991" s="37"/>
      <c r="F991" s="42"/>
      <c r="G991" s="32"/>
      <c r="H991" s="36">
        <f>IF(D991="",0,IF(AND(B991&gt;=ThongTin!$C$9,B991&lt;=ThongTin!$C$10,COUNTIFS(ThongTin!$B$19:$B$48,C991,ThongTin!$A$19:$A$48,ThongTin!$C$8,ThongTin!$C$19:$C$48,"NHAP_NL")&gt;0),1,0))</f>
        <v>0</v>
      </c>
    </row>
    <row r="992" spans="1:8" x14ac:dyDescent="0.25">
      <c r="A992" s="41"/>
      <c r="B992" s="33"/>
      <c r="C992" s="32"/>
      <c r="D992" s="32"/>
      <c r="E992" s="37"/>
      <c r="F992" s="42"/>
      <c r="G992" s="32"/>
      <c r="H992" s="36">
        <f>IF(D992="",0,IF(AND(B992&gt;=ThongTin!$C$9,B992&lt;=ThongTin!$C$10,COUNTIFS(ThongTin!$B$19:$B$48,C992,ThongTin!$A$19:$A$48,ThongTin!$C$8,ThongTin!$C$19:$C$48,"NHAP_NL")&gt;0),1,0))</f>
        <v>0</v>
      </c>
    </row>
    <row r="993" spans="1:8" x14ac:dyDescent="0.25">
      <c r="A993" s="41"/>
      <c r="B993" s="33"/>
      <c r="C993" s="32"/>
      <c r="D993" s="32"/>
      <c r="E993" s="37"/>
      <c r="F993" s="42"/>
      <c r="G993" s="32"/>
      <c r="H993" s="36">
        <f>IF(D993="",0,IF(AND(B993&gt;=ThongTin!$C$9,B993&lt;=ThongTin!$C$10,COUNTIFS(ThongTin!$B$19:$B$48,C993,ThongTin!$A$19:$A$48,ThongTin!$C$8,ThongTin!$C$19:$C$48,"NHAP_NL")&gt;0),1,0))</f>
        <v>0</v>
      </c>
    </row>
    <row r="994" spans="1:8" x14ac:dyDescent="0.25">
      <c r="A994" s="41"/>
      <c r="B994" s="33"/>
      <c r="C994" s="32"/>
      <c r="D994" s="32"/>
      <c r="E994" s="37"/>
      <c r="F994" s="42"/>
      <c r="G994" s="32"/>
      <c r="H994" s="36">
        <f>IF(D994="",0,IF(AND(B994&gt;=ThongTin!$C$9,B994&lt;=ThongTin!$C$10,COUNTIFS(ThongTin!$B$19:$B$48,C994,ThongTin!$A$19:$A$48,ThongTin!$C$8,ThongTin!$C$19:$C$48,"NHAP_NL")&gt;0),1,0))</f>
        <v>0</v>
      </c>
    </row>
    <row r="995" spans="1:8" x14ac:dyDescent="0.25">
      <c r="A995" s="41"/>
      <c r="B995" s="33"/>
      <c r="C995" s="32"/>
      <c r="D995" s="32"/>
      <c r="E995" s="37"/>
      <c r="F995" s="42"/>
      <c r="G995" s="32"/>
      <c r="H995" s="36">
        <f>IF(D995="",0,IF(AND(B995&gt;=ThongTin!$C$9,B995&lt;=ThongTin!$C$10,COUNTIFS(ThongTin!$B$19:$B$48,C995,ThongTin!$A$19:$A$48,ThongTin!$C$8,ThongTin!$C$19:$C$48,"NHAP_NL")&gt;0),1,0))</f>
        <v>0</v>
      </c>
    </row>
    <row r="996" spans="1:8" x14ac:dyDescent="0.25">
      <c r="A996" s="41"/>
      <c r="B996" s="33"/>
      <c r="C996" s="32"/>
      <c r="D996" s="32"/>
      <c r="E996" s="37"/>
      <c r="F996" s="42"/>
      <c r="G996" s="32"/>
      <c r="H996" s="36">
        <f>IF(D996="",0,IF(AND(B996&gt;=ThongTin!$C$9,B996&lt;=ThongTin!$C$10,COUNTIFS(ThongTin!$B$19:$B$48,C996,ThongTin!$A$19:$A$48,ThongTin!$C$8,ThongTin!$C$19:$C$48,"NHAP_NL")&gt;0),1,0))</f>
        <v>0</v>
      </c>
    </row>
    <row r="997" spans="1:8" x14ac:dyDescent="0.25">
      <c r="A997" s="41"/>
      <c r="B997" s="33"/>
      <c r="C997" s="32"/>
      <c r="D997" s="32"/>
      <c r="E997" s="37"/>
      <c r="F997" s="42"/>
      <c r="G997" s="32"/>
      <c r="H997" s="36">
        <f>IF(D997="",0,IF(AND(B997&gt;=ThongTin!$C$9,B997&lt;=ThongTin!$C$10,COUNTIFS(ThongTin!$B$19:$B$48,C997,ThongTin!$A$19:$A$48,ThongTin!$C$8,ThongTin!$C$19:$C$48,"NHAP_NL")&gt;0),1,0))</f>
        <v>0</v>
      </c>
    </row>
    <row r="998" spans="1:8" x14ac:dyDescent="0.25">
      <c r="A998" s="41"/>
      <c r="B998" s="33"/>
      <c r="C998" s="32"/>
      <c r="D998" s="32"/>
      <c r="E998" s="37"/>
      <c r="F998" s="42"/>
      <c r="G998" s="32"/>
      <c r="H998" s="36">
        <f>IF(D998="",0,IF(AND(B998&gt;=ThongTin!$C$9,B998&lt;=ThongTin!$C$10,COUNTIFS(ThongTin!$B$19:$B$48,C998,ThongTin!$A$19:$A$48,ThongTin!$C$8,ThongTin!$C$19:$C$48,"NHAP_NL")&gt;0),1,0))</f>
        <v>0</v>
      </c>
    </row>
    <row r="999" spans="1:8" x14ac:dyDescent="0.25">
      <c r="A999" s="41"/>
      <c r="B999" s="33"/>
      <c r="C999" s="32"/>
      <c r="D999" s="32"/>
      <c r="E999" s="37"/>
      <c r="F999" s="42"/>
      <c r="G999" s="32"/>
      <c r="H999" s="36">
        <f>IF(D999="",0,IF(AND(B999&gt;=ThongTin!$C$9,B999&lt;=ThongTin!$C$10,COUNTIFS(ThongTin!$B$19:$B$48,C999,ThongTin!$A$19:$A$48,ThongTin!$C$8,ThongTin!$C$19:$C$48,"NHAP_NL")&gt;0),1,0))</f>
        <v>0</v>
      </c>
    </row>
    <row r="1000" spans="1:8" x14ac:dyDescent="0.25">
      <c r="A1000" s="41"/>
      <c r="B1000" s="33"/>
      <c r="C1000" s="32"/>
      <c r="D1000" s="32"/>
      <c r="E1000" s="37"/>
      <c r="F1000" s="42"/>
      <c r="G1000" s="32"/>
      <c r="H1000" s="36">
        <f>IF(D1000="",0,IF(AND(B1000&gt;=ThongTin!$C$9,B1000&lt;=ThongTin!$C$10,COUNTIFS(ThongTin!$B$19:$B$48,C1000,ThongTin!$A$19:$A$48,ThongTin!$C$8,ThongTin!$C$19:$C$48,"NHAP_NL")&gt;0),1,0))</f>
        <v>0</v>
      </c>
    </row>
    <row r="1001" spans="1:8" x14ac:dyDescent="0.25">
      <c r="A1001" s="41"/>
      <c r="B1001" s="33"/>
      <c r="C1001" s="32"/>
      <c r="D1001" s="32"/>
      <c r="E1001" s="37"/>
      <c r="F1001" s="42"/>
      <c r="G1001" s="32"/>
      <c r="H1001" s="36">
        <f>IF(D1001="",0,IF(AND(B1001&gt;=ThongTin!$C$9,B1001&lt;=ThongTin!$C$10,COUNTIFS(ThongTin!$B$19:$B$48,C1001,ThongTin!$A$19:$A$48,ThongTin!$C$8,ThongTin!$C$19:$C$48,"NHAP_NL")&gt;0),1,0))</f>
        <v>0</v>
      </c>
    </row>
    <row r="1002" spans="1:8" x14ac:dyDescent="0.25">
      <c r="A1002" s="41"/>
      <c r="B1002" s="33"/>
      <c r="C1002" s="32"/>
      <c r="D1002" s="32"/>
      <c r="E1002" s="37"/>
      <c r="F1002" s="42"/>
      <c r="G1002" s="32"/>
      <c r="H1002" s="36">
        <f>IF(D1002="",0,IF(AND(B1002&gt;=ThongTin!$C$9,B1002&lt;=ThongTin!$C$10,COUNTIFS(ThongTin!$B$19:$B$48,C1002,ThongTin!$A$19:$A$48,ThongTin!$C$8,ThongTin!$C$19:$C$48,"NHAP_NL")&gt;0),1,0))</f>
        <v>0</v>
      </c>
    </row>
    <row r="1003" spans="1:8" x14ac:dyDescent="0.25">
      <c r="A1003" s="41"/>
      <c r="B1003" s="33"/>
      <c r="C1003" s="32"/>
      <c r="D1003" s="32"/>
      <c r="E1003" s="37"/>
      <c r="F1003" s="42"/>
      <c r="G1003" s="32"/>
      <c r="H1003" s="36">
        <f>IF(D1003="",0,IF(AND(B1003&gt;=ThongTin!$C$9,B1003&lt;=ThongTin!$C$10,COUNTIFS(ThongTin!$B$19:$B$48,C1003,ThongTin!$A$19:$A$48,ThongTin!$C$8,ThongTin!$C$19:$C$48,"NHAP_NL")&gt;0),1,0))</f>
        <v>0</v>
      </c>
    </row>
    <row r="1004" spans="1:8" x14ac:dyDescent="0.25">
      <c r="A1004" s="41"/>
      <c r="B1004" s="33"/>
      <c r="C1004" s="32"/>
      <c r="D1004" s="32"/>
      <c r="E1004" s="37"/>
      <c r="F1004" s="42"/>
      <c r="G1004" s="32"/>
      <c r="H1004" s="36">
        <f>IF(D1004="",0,IF(AND(B1004&gt;=ThongTin!$C$9,B1004&lt;=ThongTin!$C$10,COUNTIFS(ThongTin!$B$19:$B$48,C1004,ThongTin!$A$19:$A$48,ThongTin!$C$8,ThongTin!$C$19:$C$48,"NHAP_NL")&gt;0),1,0))</f>
        <v>0</v>
      </c>
    </row>
  </sheetData>
  <sheetProtection password="D0B3" sheet="1" objects="1" scenarios="1" formatColumns="0" formatRows="0" autoFilter="0"/>
  <hyperlinks>
    <hyperlink ref="A3" r:id="rId1" xr:uid="{00000000-0004-0000-07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H1004"/>
  <sheetViews>
    <sheetView showGridLines="0" workbookViewId="0">
      <pane ySplit="4" topLeftCell="A14" activePane="bottomLeft" state="frozen"/>
      <selection pane="bottomLeft" activeCell="F5" sqref="F5"/>
    </sheetView>
  </sheetViews>
  <sheetFormatPr defaultRowHeight="14.4" x14ac:dyDescent="0.25"/>
  <cols>
    <col min="1" max="1" width="18" customWidth="1"/>
    <col min="2" max="2" width="14" customWidth="1"/>
    <col min="3" max="3" width="12" customWidth="1"/>
    <col min="4" max="4" width="14" customWidth="1"/>
    <col min="5" max="5" width="18" customWidth="1"/>
    <col min="6" max="6" width="16" customWidth="1"/>
    <col min="7" max="7" width="50" customWidth="1"/>
    <col min="8" max="8" width="14" customWidth="1"/>
  </cols>
  <sheetData>
    <row r="1" spans="1:8" ht="17.55" x14ac:dyDescent="0.3">
      <c r="A1" s="1" t="s">
        <v>258</v>
      </c>
    </row>
    <row r="2" spans="1:8" x14ac:dyDescent="0.25">
      <c r="A2" s="2" t="s">
        <v>235</v>
      </c>
    </row>
    <row r="3" spans="1:8" x14ac:dyDescent="0.25">
      <c r="A3" s="28" t="s">
        <v>4</v>
      </c>
    </row>
    <row r="4" spans="1:8" ht="48.05" customHeight="1" x14ac:dyDescent="0.25">
      <c r="A4" s="11" t="s">
        <v>236</v>
      </c>
      <c r="B4" s="11" t="s">
        <v>237</v>
      </c>
      <c r="C4" s="11" t="s">
        <v>238</v>
      </c>
      <c r="D4" s="11" t="s">
        <v>213</v>
      </c>
      <c r="E4" s="11" t="s">
        <v>240</v>
      </c>
      <c r="F4" s="11" t="s">
        <v>241</v>
      </c>
      <c r="G4" s="11" t="s">
        <v>242</v>
      </c>
      <c r="H4" s="12" t="s">
        <v>243</v>
      </c>
    </row>
    <row r="5" spans="1:8" x14ac:dyDescent="0.25">
      <c r="A5" s="41" t="s">
        <v>259</v>
      </c>
      <c r="B5" s="33">
        <v>45736</v>
      </c>
      <c r="C5" s="32" t="s">
        <v>166</v>
      </c>
      <c r="D5" s="32" t="s">
        <v>215</v>
      </c>
      <c r="E5" s="37">
        <v>4800</v>
      </c>
      <c r="F5" s="42">
        <v>96000</v>
      </c>
      <c r="G5" s="32"/>
      <c r="H5" s="36">
        <f>IF(D5="",0,IF(AND(B5&gt;=ThongTin!$C$9,B5&lt;=ThongTin!$C$10,COUNTIFS(ThongTin!$B$19:$B$48,C5,ThongTin!$A$19:$A$48,ThongTin!$C$8,ThongTin!$C$19:$C$48,"XUAT_SP")&gt;0),1,0))</f>
        <v>1</v>
      </c>
    </row>
    <row r="6" spans="1:8" x14ac:dyDescent="0.25">
      <c r="A6" s="41" t="s">
        <v>260</v>
      </c>
      <c r="B6" s="33">
        <v>45853</v>
      </c>
      <c r="C6" s="32" t="s">
        <v>166</v>
      </c>
      <c r="D6" s="32" t="s">
        <v>215</v>
      </c>
      <c r="E6" s="37">
        <v>5000</v>
      </c>
      <c r="F6" s="42">
        <v>100000</v>
      </c>
      <c r="G6" s="32"/>
      <c r="H6" s="36">
        <f>IF(D6="",0,IF(AND(B6&gt;=ThongTin!$C$9,B6&lt;=ThongTin!$C$10,COUNTIFS(ThongTin!$B$19:$B$48,C6,ThongTin!$A$19:$A$48,ThongTin!$C$8,ThongTin!$C$19:$C$48,"XUAT_SP")&gt;0),1,0))</f>
        <v>1</v>
      </c>
    </row>
    <row r="7" spans="1:8" x14ac:dyDescent="0.25">
      <c r="A7" s="41" t="s">
        <v>261</v>
      </c>
      <c r="B7" s="33">
        <v>45830</v>
      </c>
      <c r="C7" s="32" t="s">
        <v>166</v>
      </c>
      <c r="D7" s="32" t="s">
        <v>218</v>
      </c>
      <c r="E7" s="37">
        <v>7900</v>
      </c>
      <c r="F7" s="42">
        <v>118500</v>
      </c>
      <c r="G7" s="32"/>
      <c r="H7" s="36">
        <f>IF(D7="",0,IF(AND(B7&gt;=ThongTin!$C$9,B7&lt;=ThongTin!$C$10,COUNTIFS(ThongTin!$B$19:$B$48,C7,ThongTin!$A$19:$A$48,ThongTin!$C$8,ThongTin!$C$19:$C$48,"XUAT_SP")&gt;0),1,0))</f>
        <v>1</v>
      </c>
    </row>
    <row r="8" spans="1:8" x14ac:dyDescent="0.25">
      <c r="A8" s="41" t="s">
        <v>262</v>
      </c>
      <c r="B8" s="33">
        <v>45960</v>
      </c>
      <c r="C8" s="32" t="s">
        <v>166</v>
      </c>
      <c r="D8" s="32" t="s">
        <v>221</v>
      </c>
      <c r="E8" s="37">
        <v>4800</v>
      </c>
      <c r="F8" s="42">
        <v>76800</v>
      </c>
      <c r="G8" s="32"/>
      <c r="H8" s="36">
        <f>IF(D8="",0,IF(AND(B8&gt;=ThongTin!$C$9,B8&lt;=ThongTin!$C$10,COUNTIFS(ThongTin!$B$19:$B$48,C8,ThongTin!$A$19:$A$48,ThongTin!$C$8,ThongTin!$C$19:$C$48,"XUAT_SP")&gt;0),1,0))</f>
        <v>1</v>
      </c>
    </row>
    <row r="9" spans="1:8" x14ac:dyDescent="0.25">
      <c r="A9" s="41"/>
      <c r="B9" s="33"/>
      <c r="C9" s="32"/>
      <c r="D9" s="32"/>
      <c r="E9" s="37"/>
      <c r="F9" s="42"/>
      <c r="G9" s="32"/>
      <c r="H9" s="36">
        <f>IF(D9="",0,IF(AND(B9&gt;=ThongTin!$C$9,B9&lt;=ThongTin!$C$10,COUNTIFS(ThongTin!$B$19:$B$48,C9,ThongTin!$A$19:$A$48,ThongTin!$C$8,ThongTin!$C$19:$C$48,"XUAT_SP")&gt;0),1,0))</f>
        <v>0</v>
      </c>
    </row>
    <row r="10" spans="1:8" x14ac:dyDescent="0.25">
      <c r="A10" s="41"/>
      <c r="B10" s="33"/>
      <c r="C10" s="32"/>
      <c r="D10" s="32"/>
      <c r="E10" s="37"/>
      <c r="F10" s="42"/>
      <c r="G10" s="32"/>
      <c r="H10" s="36">
        <f>IF(D10="",0,IF(AND(B10&gt;=ThongTin!$C$9,B10&lt;=ThongTin!$C$10,COUNTIFS(ThongTin!$B$19:$B$48,C10,ThongTin!$A$19:$A$48,ThongTin!$C$8,ThongTin!$C$19:$C$48,"XUAT_SP")&gt;0),1,0))</f>
        <v>0</v>
      </c>
    </row>
    <row r="11" spans="1:8" x14ac:dyDescent="0.25">
      <c r="A11" s="41"/>
      <c r="B11" s="33"/>
      <c r="C11" s="32"/>
      <c r="D11" s="32"/>
      <c r="E11" s="37"/>
      <c r="F11" s="42"/>
      <c r="G11" s="32"/>
      <c r="H11" s="36">
        <f>IF(D11="",0,IF(AND(B11&gt;=ThongTin!$C$9,B11&lt;=ThongTin!$C$10,COUNTIFS(ThongTin!$B$19:$B$48,C11,ThongTin!$A$19:$A$48,ThongTin!$C$8,ThongTin!$C$19:$C$48,"XUAT_SP")&gt;0),1,0))</f>
        <v>0</v>
      </c>
    </row>
    <row r="12" spans="1:8" x14ac:dyDescent="0.25">
      <c r="A12" s="41"/>
      <c r="B12" s="33"/>
      <c r="C12" s="32"/>
      <c r="D12" s="32"/>
      <c r="E12" s="37"/>
      <c r="F12" s="42"/>
      <c r="G12" s="32"/>
      <c r="H12" s="36">
        <f>IF(D12="",0,IF(AND(B12&gt;=ThongTin!$C$9,B12&lt;=ThongTin!$C$10,COUNTIFS(ThongTin!$B$19:$B$48,C12,ThongTin!$A$19:$A$48,ThongTin!$C$8,ThongTin!$C$19:$C$48,"XUAT_SP")&gt;0),1,0))</f>
        <v>0</v>
      </c>
    </row>
    <row r="13" spans="1:8" x14ac:dyDescent="0.25">
      <c r="A13" s="41"/>
      <c r="B13" s="33"/>
      <c r="C13" s="32"/>
      <c r="D13" s="32"/>
      <c r="E13" s="37"/>
      <c r="F13" s="42"/>
      <c r="G13" s="32"/>
      <c r="H13" s="36">
        <f>IF(D13="",0,IF(AND(B13&gt;=ThongTin!$C$9,B13&lt;=ThongTin!$C$10,COUNTIFS(ThongTin!$B$19:$B$48,C13,ThongTin!$A$19:$A$48,ThongTin!$C$8,ThongTin!$C$19:$C$48,"XUAT_SP")&gt;0),1,0))</f>
        <v>0</v>
      </c>
    </row>
    <row r="14" spans="1:8" x14ac:dyDescent="0.25">
      <c r="A14" s="41"/>
      <c r="B14" s="33"/>
      <c r="C14" s="32"/>
      <c r="D14" s="32"/>
      <c r="E14" s="37"/>
      <c r="F14" s="42"/>
      <c r="G14" s="32"/>
      <c r="H14" s="36">
        <f>IF(D14="",0,IF(AND(B14&gt;=ThongTin!$C$9,B14&lt;=ThongTin!$C$10,COUNTIFS(ThongTin!$B$19:$B$48,C14,ThongTin!$A$19:$A$48,ThongTin!$C$8,ThongTin!$C$19:$C$48,"XUAT_SP")&gt;0),1,0))</f>
        <v>0</v>
      </c>
    </row>
    <row r="15" spans="1:8" x14ac:dyDescent="0.25">
      <c r="A15" s="41"/>
      <c r="B15" s="33"/>
      <c r="C15" s="32"/>
      <c r="D15" s="32"/>
      <c r="E15" s="37"/>
      <c r="F15" s="42"/>
      <c r="G15" s="32"/>
      <c r="H15" s="36">
        <f>IF(D15="",0,IF(AND(B15&gt;=ThongTin!$C$9,B15&lt;=ThongTin!$C$10,COUNTIFS(ThongTin!$B$19:$B$48,C15,ThongTin!$A$19:$A$48,ThongTin!$C$8,ThongTin!$C$19:$C$48,"XUAT_SP")&gt;0),1,0))</f>
        <v>0</v>
      </c>
    </row>
    <row r="16" spans="1:8" x14ac:dyDescent="0.25">
      <c r="A16" s="41"/>
      <c r="B16" s="33"/>
      <c r="C16" s="32"/>
      <c r="D16" s="32"/>
      <c r="E16" s="37"/>
      <c r="F16" s="42"/>
      <c r="G16" s="32"/>
      <c r="H16" s="36">
        <f>IF(D16="",0,IF(AND(B16&gt;=ThongTin!$C$9,B16&lt;=ThongTin!$C$10,COUNTIFS(ThongTin!$B$19:$B$48,C16,ThongTin!$A$19:$A$48,ThongTin!$C$8,ThongTin!$C$19:$C$48,"XUAT_SP")&gt;0),1,0))</f>
        <v>0</v>
      </c>
    </row>
    <row r="17" spans="1:8" x14ac:dyDescent="0.25">
      <c r="A17" s="41"/>
      <c r="B17" s="33"/>
      <c r="C17" s="32"/>
      <c r="D17" s="32"/>
      <c r="E17" s="37"/>
      <c r="F17" s="42"/>
      <c r="G17" s="32"/>
      <c r="H17" s="36">
        <f>IF(D17="",0,IF(AND(B17&gt;=ThongTin!$C$9,B17&lt;=ThongTin!$C$10,COUNTIFS(ThongTin!$B$19:$B$48,C17,ThongTin!$A$19:$A$48,ThongTin!$C$8,ThongTin!$C$19:$C$48,"XUAT_SP")&gt;0),1,0))</f>
        <v>0</v>
      </c>
    </row>
    <row r="18" spans="1:8" x14ac:dyDescent="0.25">
      <c r="A18" s="41"/>
      <c r="B18" s="33"/>
      <c r="C18" s="32"/>
      <c r="D18" s="32"/>
      <c r="E18" s="37"/>
      <c r="F18" s="42"/>
      <c r="G18" s="32"/>
      <c r="H18" s="36">
        <f>IF(D18="",0,IF(AND(B18&gt;=ThongTin!$C$9,B18&lt;=ThongTin!$C$10,COUNTIFS(ThongTin!$B$19:$B$48,C18,ThongTin!$A$19:$A$48,ThongTin!$C$8,ThongTin!$C$19:$C$48,"XUAT_SP")&gt;0),1,0))</f>
        <v>0</v>
      </c>
    </row>
    <row r="19" spans="1:8" x14ac:dyDescent="0.25">
      <c r="A19" s="41"/>
      <c r="B19" s="33"/>
      <c r="C19" s="32"/>
      <c r="D19" s="32"/>
      <c r="E19" s="37"/>
      <c r="F19" s="42"/>
      <c r="G19" s="32"/>
      <c r="H19" s="36">
        <f>IF(D19="",0,IF(AND(B19&gt;=ThongTin!$C$9,B19&lt;=ThongTin!$C$10,COUNTIFS(ThongTin!$B$19:$B$48,C19,ThongTin!$A$19:$A$48,ThongTin!$C$8,ThongTin!$C$19:$C$48,"XUAT_SP")&gt;0),1,0))</f>
        <v>0</v>
      </c>
    </row>
    <row r="20" spans="1:8" x14ac:dyDescent="0.25">
      <c r="A20" s="41"/>
      <c r="B20" s="33"/>
      <c r="C20" s="32"/>
      <c r="D20" s="32"/>
      <c r="E20" s="37"/>
      <c r="F20" s="42"/>
      <c r="G20" s="32"/>
      <c r="H20" s="36">
        <f>IF(D20="",0,IF(AND(B20&gt;=ThongTin!$C$9,B20&lt;=ThongTin!$C$10,COUNTIFS(ThongTin!$B$19:$B$48,C20,ThongTin!$A$19:$A$48,ThongTin!$C$8,ThongTin!$C$19:$C$48,"XUAT_SP")&gt;0),1,0))</f>
        <v>0</v>
      </c>
    </row>
    <row r="21" spans="1:8" x14ac:dyDescent="0.25">
      <c r="A21" s="41"/>
      <c r="B21" s="33"/>
      <c r="C21" s="32"/>
      <c r="D21" s="32"/>
      <c r="E21" s="37"/>
      <c r="F21" s="42"/>
      <c r="G21" s="32"/>
      <c r="H21" s="36">
        <f>IF(D21="",0,IF(AND(B21&gt;=ThongTin!$C$9,B21&lt;=ThongTin!$C$10,COUNTIFS(ThongTin!$B$19:$B$48,C21,ThongTin!$A$19:$A$48,ThongTin!$C$8,ThongTin!$C$19:$C$48,"XUAT_SP")&gt;0),1,0))</f>
        <v>0</v>
      </c>
    </row>
    <row r="22" spans="1:8" x14ac:dyDescent="0.25">
      <c r="A22" s="41"/>
      <c r="B22" s="33"/>
      <c r="C22" s="32"/>
      <c r="D22" s="32"/>
      <c r="E22" s="37"/>
      <c r="F22" s="42"/>
      <c r="G22" s="32"/>
      <c r="H22" s="36">
        <f>IF(D22="",0,IF(AND(B22&gt;=ThongTin!$C$9,B22&lt;=ThongTin!$C$10,COUNTIFS(ThongTin!$B$19:$B$48,C22,ThongTin!$A$19:$A$48,ThongTin!$C$8,ThongTin!$C$19:$C$48,"XUAT_SP")&gt;0),1,0))</f>
        <v>0</v>
      </c>
    </row>
    <row r="23" spans="1:8" x14ac:dyDescent="0.25">
      <c r="A23" s="41"/>
      <c r="B23" s="33"/>
      <c r="C23" s="32"/>
      <c r="D23" s="32"/>
      <c r="E23" s="37"/>
      <c r="F23" s="42"/>
      <c r="G23" s="32"/>
      <c r="H23" s="36">
        <f>IF(D23="",0,IF(AND(B23&gt;=ThongTin!$C$9,B23&lt;=ThongTin!$C$10,COUNTIFS(ThongTin!$B$19:$B$48,C23,ThongTin!$A$19:$A$48,ThongTin!$C$8,ThongTin!$C$19:$C$48,"XUAT_SP")&gt;0),1,0))</f>
        <v>0</v>
      </c>
    </row>
    <row r="24" spans="1:8" x14ac:dyDescent="0.25">
      <c r="A24" s="41"/>
      <c r="B24" s="33"/>
      <c r="C24" s="32"/>
      <c r="D24" s="32"/>
      <c r="E24" s="37"/>
      <c r="F24" s="42"/>
      <c r="G24" s="32"/>
      <c r="H24" s="36">
        <f>IF(D24="",0,IF(AND(B24&gt;=ThongTin!$C$9,B24&lt;=ThongTin!$C$10,COUNTIFS(ThongTin!$B$19:$B$48,C24,ThongTin!$A$19:$A$48,ThongTin!$C$8,ThongTin!$C$19:$C$48,"XUAT_SP")&gt;0),1,0))</f>
        <v>0</v>
      </c>
    </row>
    <row r="25" spans="1:8" x14ac:dyDescent="0.25">
      <c r="A25" s="41"/>
      <c r="B25" s="33"/>
      <c r="C25" s="32"/>
      <c r="D25" s="32"/>
      <c r="E25" s="37"/>
      <c r="F25" s="42"/>
      <c r="G25" s="32"/>
      <c r="H25" s="36">
        <f>IF(D25="",0,IF(AND(B25&gt;=ThongTin!$C$9,B25&lt;=ThongTin!$C$10,COUNTIFS(ThongTin!$B$19:$B$48,C25,ThongTin!$A$19:$A$48,ThongTin!$C$8,ThongTin!$C$19:$C$48,"XUAT_SP")&gt;0),1,0))</f>
        <v>0</v>
      </c>
    </row>
    <row r="26" spans="1:8" x14ac:dyDescent="0.25">
      <c r="A26" s="41"/>
      <c r="B26" s="33"/>
      <c r="C26" s="32"/>
      <c r="D26" s="32"/>
      <c r="E26" s="37"/>
      <c r="F26" s="42"/>
      <c r="G26" s="32"/>
      <c r="H26" s="36">
        <f>IF(D26="",0,IF(AND(B26&gt;=ThongTin!$C$9,B26&lt;=ThongTin!$C$10,COUNTIFS(ThongTin!$B$19:$B$48,C26,ThongTin!$A$19:$A$48,ThongTin!$C$8,ThongTin!$C$19:$C$48,"XUAT_SP")&gt;0),1,0))</f>
        <v>0</v>
      </c>
    </row>
    <row r="27" spans="1:8" x14ac:dyDescent="0.25">
      <c r="A27" s="41"/>
      <c r="B27" s="33"/>
      <c r="C27" s="32"/>
      <c r="D27" s="32"/>
      <c r="E27" s="37"/>
      <c r="F27" s="42"/>
      <c r="G27" s="32"/>
      <c r="H27" s="36">
        <f>IF(D27="",0,IF(AND(B27&gt;=ThongTin!$C$9,B27&lt;=ThongTin!$C$10,COUNTIFS(ThongTin!$B$19:$B$48,C27,ThongTin!$A$19:$A$48,ThongTin!$C$8,ThongTin!$C$19:$C$48,"XUAT_SP")&gt;0),1,0))</f>
        <v>0</v>
      </c>
    </row>
    <row r="28" spans="1:8" x14ac:dyDescent="0.25">
      <c r="A28" s="41"/>
      <c r="B28" s="33"/>
      <c r="C28" s="32"/>
      <c r="D28" s="32"/>
      <c r="E28" s="37"/>
      <c r="F28" s="42"/>
      <c r="G28" s="32"/>
      <c r="H28" s="36">
        <f>IF(D28="",0,IF(AND(B28&gt;=ThongTin!$C$9,B28&lt;=ThongTin!$C$10,COUNTIFS(ThongTin!$B$19:$B$48,C28,ThongTin!$A$19:$A$48,ThongTin!$C$8,ThongTin!$C$19:$C$48,"XUAT_SP")&gt;0),1,0))</f>
        <v>0</v>
      </c>
    </row>
    <row r="29" spans="1:8" x14ac:dyDescent="0.25">
      <c r="A29" s="41"/>
      <c r="B29" s="33"/>
      <c r="C29" s="32"/>
      <c r="D29" s="32"/>
      <c r="E29" s="37"/>
      <c r="F29" s="42"/>
      <c r="G29" s="32"/>
      <c r="H29" s="36">
        <f>IF(D29="",0,IF(AND(B29&gt;=ThongTin!$C$9,B29&lt;=ThongTin!$C$10,COUNTIFS(ThongTin!$B$19:$B$48,C29,ThongTin!$A$19:$A$48,ThongTin!$C$8,ThongTin!$C$19:$C$48,"XUAT_SP")&gt;0),1,0))</f>
        <v>0</v>
      </c>
    </row>
    <row r="30" spans="1:8" x14ac:dyDescent="0.25">
      <c r="A30" s="41"/>
      <c r="B30" s="33"/>
      <c r="C30" s="32"/>
      <c r="D30" s="32"/>
      <c r="E30" s="37"/>
      <c r="F30" s="42"/>
      <c r="G30" s="32"/>
      <c r="H30" s="36">
        <f>IF(D30="",0,IF(AND(B30&gt;=ThongTin!$C$9,B30&lt;=ThongTin!$C$10,COUNTIFS(ThongTin!$B$19:$B$48,C30,ThongTin!$A$19:$A$48,ThongTin!$C$8,ThongTin!$C$19:$C$48,"XUAT_SP")&gt;0),1,0))</f>
        <v>0</v>
      </c>
    </row>
    <row r="31" spans="1:8" x14ac:dyDescent="0.25">
      <c r="A31" s="41"/>
      <c r="B31" s="33"/>
      <c r="C31" s="32"/>
      <c r="D31" s="32"/>
      <c r="E31" s="37"/>
      <c r="F31" s="42"/>
      <c r="G31" s="32"/>
      <c r="H31" s="36">
        <f>IF(D31="",0,IF(AND(B31&gt;=ThongTin!$C$9,B31&lt;=ThongTin!$C$10,COUNTIFS(ThongTin!$B$19:$B$48,C31,ThongTin!$A$19:$A$48,ThongTin!$C$8,ThongTin!$C$19:$C$48,"XUAT_SP")&gt;0),1,0))</f>
        <v>0</v>
      </c>
    </row>
    <row r="32" spans="1:8" x14ac:dyDescent="0.25">
      <c r="A32" s="41"/>
      <c r="B32" s="33"/>
      <c r="C32" s="32"/>
      <c r="D32" s="32"/>
      <c r="E32" s="37"/>
      <c r="F32" s="42"/>
      <c r="G32" s="32"/>
      <c r="H32" s="36">
        <f>IF(D32="",0,IF(AND(B32&gt;=ThongTin!$C$9,B32&lt;=ThongTin!$C$10,COUNTIFS(ThongTin!$B$19:$B$48,C32,ThongTin!$A$19:$A$48,ThongTin!$C$8,ThongTin!$C$19:$C$48,"XUAT_SP")&gt;0),1,0))</f>
        <v>0</v>
      </c>
    </row>
    <row r="33" spans="1:8" x14ac:dyDescent="0.25">
      <c r="A33" s="41"/>
      <c r="B33" s="33"/>
      <c r="C33" s="32"/>
      <c r="D33" s="32"/>
      <c r="E33" s="37"/>
      <c r="F33" s="42"/>
      <c r="G33" s="32"/>
      <c r="H33" s="36">
        <f>IF(D33="",0,IF(AND(B33&gt;=ThongTin!$C$9,B33&lt;=ThongTin!$C$10,COUNTIFS(ThongTin!$B$19:$B$48,C33,ThongTin!$A$19:$A$48,ThongTin!$C$8,ThongTin!$C$19:$C$48,"XUAT_SP")&gt;0),1,0))</f>
        <v>0</v>
      </c>
    </row>
    <row r="34" spans="1:8" x14ac:dyDescent="0.25">
      <c r="A34" s="41"/>
      <c r="B34" s="33"/>
      <c r="C34" s="32"/>
      <c r="D34" s="32"/>
      <c r="E34" s="37"/>
      <c r="F34" s="42"/>
      <c r="G34" s="32"/>
      <c r="H34" s="36">
        <f>IF(D34="",0,IF(AND(B34&gt;=ThongTin!$C$9,B34&lt;=ThongTin!$C$10,COUNTIFS(ThongTin!$B$19:$B$48,C34,ThongTin!$A$19:$A$48,ThongTin!$C$8,ThongTin!$C$19:$C$48,"XUAT_SP")&gt;0),1,0))</f>
        <v>0</v>
      </c>
    </row>
    <row r="35" spans="1:8" x14ac:dyDescent="0.25">
      <c r="A35" s="41"/>
      <c r="B35" s="33"/>
      <c r="C35" s="32"/>
      <c r="D35" s="32"/>
      <c r="E35" s="37"/>
      <c r="F35" s="42"/>
      <c r="G35" s="32"/>
      <c r="H35" s="36">
        <f>IF(D35="",0,IF(AND(B35&gt;=ThongTin!$C$9,B35&lt;=ThongTin!$C$10,COUNTIFS(ThongTin!$B$19:$B$48,C35,ThongTin!$A$19:$A$48,ThongTin!$C$8,ThongTin!$C$19:$C$48,"XUAT_SP")&gt;0),1,0))</f>
        <v>0</v>
      </c>
    </row>
    <row r="36" spans="1:8" x14ac:dyDescent="0.25">
      <c r="A36" s="41"/>
      <c r="B36" s="33"/>
      <c r="C36" s="32"/>
      <c r="D36" s="32"/>
      <c r="E36" s="37"/>
      <c r="F36" s="42"/>
      <c r="G36" s="32"/>
      <c r="H36" s="36">
        <f>IF(D36="",0,IF(AND(B36&gt;=ThongTin!$C$9,B36&lt;=ThongTin!$C$10,COUNTIFS(ThongTin!$B$19:$B$48,C36,ThongTin!$A$19:$A$48,ThongTin!$C$8,ThongTin!$C$19:$C$48,"XUAT_SP")&gt;0),1,0))</f>
        <v>0</v>
      </c>
    </row>
    <row r="37" spans="1:8" x14ac:dyDescent="0.25">
      <c r="A37" s="41"/>
      <c r="B37" s="33"/>
      <c r="C37" s="32"/>
      <c r="D37" s="32"/>
      <c r="E37" s="37"/>
      <c r="F37" s="42"/>
      <c r="G37" s="32"/>
      <c r="H37" s="36">
        <f>IF(D37="",0,IF(AND(B37&gt;=ThongTin!$C$9,B37&lt;=ThongTin!$C$10,COUNTIFS(ThongTin!$B$19:$B$48,C37,ThongTin!$A$19:$A$48,ThongTin!$C$8,ThongTin!$C$19:$C$48,"XUAT_SP")&gt;0),1,0))</f>
        <v>0</v>
      </c>
    </row>
    <row r="38" spans="1:8" x14ac:dyDescent="0.25">
      <c r="A38" s="41"/>
      <c r="B38" s="33"/>
      <c r="C38" s="32"/>
      <c r="D38" s="32"/>
      <c r="E38" s="37"/>
      <c r="F38" s="42"/>
      <c r="G38" s="32"/>
      <c r="H38" s="36">
        <f>IF(D38="",0,IF(AND(B38&gt;=ThongTin!$C$9,B38&lt;=ThongTin!$C$10,COUNTIFS(ThongTin!$B$19:$B$48,C38,ThongTin!$A$19:$A$48,ThongTin!$C$8,ThongTin!$C$19:$C$48,"XUAT_SP")&gt;0),1,0))</f>
        <v>0</v>
      </c>
    </row>
    <row r="39" spans="1:8" x14ac:dyDescent="0.25">
      <c r="A39" s="41"/>
      <c r="B39" s="33"/>
      <c r="C39" s="32"/>
      <c r="D39" s="32"/>
      <c r="E39" s="37"/>
      <c r="F39" s="42"/>
      <c r="G39" s="32"/>
      <c r="H39" s="36">
        <f>IF(D39="",0,IF(AND(B39&gt;=ThongTin!$C$9,B39&lt;=ThongTin!$C$10,COUNTIFS(ThongTin!$B$19:$B$48,C39,ThongTin!$A$19:$A$48,ThongTin!$C$8,ThongTin!$C$19:$C$48,"XUAT_SP")&gt;0),1,0))</f>
        <v>0</v>
      </c>
    </row>
    <row r="40" spans="1:8" x14ac:dyDescent="0.25">
      <c r="A40" s="41"/>
      <c r="B40" s="33"/>
      <c r="C40" s="32"/>
      <c r="D40" s="32"/>
      <c r="E40" s="37"/>
      <c r="F40" s="42"/>
      <c r="G40" s="32"/>
      <c r="H40" s="36">
        <f>IF(D40="",0,IF(AND(B40&gt;=ThongTin!$C$9,B40&lt;=ThongTin!$C$10,COUNTIFS(ThongTin!$B$19:$B$48,C40,ThongTin!$A$19:$A$48,ThongTin!$C$8,ThongTin!$C$19:$C$48,"XUAT_SP")&gt;0),1,0))</f>
        <v>0</v>
      </c>
    </row>
    <row r="41" spans="1:8" x14ac:dyDescent="0.25">
      <c r="A41" s="41"/>
      <c r="B41" s="33"/>
      <c r="C41" s="32"/>
      <c r="D41" s="32"/>
      <c r="E41" s="37"/>
      <c r="F41" s="42"/>
      <c r="G41" s="32"/>
      <c r="H41" s="36">
        <f>IF(D41="",0,IF(AND(B41&gt;=ThongTin!$C$9,B41&lt;=ThongTin!$C$10,COUNTIFS(ThongTin!$B$19:$B$48,C41,ThongTin!$A$19:$A$48,ThongTin!$C$8,ThongTin!$C$19:$C$48,"XUAT_SP")&gt;0),1,0))</f>
        <v>0</v>
      </c>
    </row>
    <row r="42" spans="1:8" x14ac:dyDescent="0.25">
      <c r="A42" s="41"/>
      <c r="B42" s="33"/>
      <c r="C42" s="32"/>
      <c r="D42" s="32"/>
      <c r="E42" s="37"/>
      <c r="F42" s="42"/>
      <c r="G42" s="32"/>
      <c r="H42" s="36">
        <f>IF(D42="",0,IF(AND(B42&gt;=ThongTin!$C$9,B42&lt;=ThongTin!$C$10,COUNTIFS(ThongTin!$B$19:$B$48,C42,ThongTin!$A$19:$A$48,ThongTin!$C$8,ThongTin!$C$19:$C$48,"XUAT_SP")&gt;0),1,0))</f>
        <v>0</v>
      </c>
    </row>
    <row r="43" spans="1:8" x14ac:dyDescent="0.25">
      <c r="A43" s="41"/>
      <c r="B43" s="33"/>
      <c r="C43" s="32"/>
      <c r="D43" s="32"/>
      <c r="E43" s="37"/>
      <c r="F43" s="42"/>
      <c r="G43" s="32"/>
      <c r="H43" s="36">
        <f>IF(D43="",0,IF(AND(B43&gt;=ThongTin!$C$9,B43&lt;=ThongTin!$C$10,COUNTIFS(ThongTin!$B$19:$B$48,C43,ThongTin!$A$19:$A$48,ThongTin!$C$8,ThongTin!$C$19:$C$48,"XUAT_SP")&gt;0),1,0))</f>
        <v>0</v>
      </c>
    </row>
    <row r="44" spans="1:8" x14ac:dyDescent="0.25">
      <c r="A44" s="41"/>
      <c r="B44" s="33"/>
      <c r="C44" s="32"/>
      <c r="D44" s="32"/>
      <c r="E44" s="37"/>
      <c r="F44" s="42"/>
      <c r="G44" s="32"/>
      <c r="H44" s="36">
        <f>IF(D44="",0,IF(AND(B44&gt;=ThongTin!$C$9,B44&lt;=ThongTin!$C$10,COUNTIFS(ThongTin!$B$19:$B$48,C44,ThongTin!$A$19:$A$48,ThongTin!$C$8,ThongTin!$C$19:$C$48,"XUAT_SP")&gt;0),1,0))</f>
        <v>0</v>
      </c>
    </row>
    <row r="45" spans="1:8" x14ac:dyDescent="0.25">
      <c r="A45" s="41"/>
      <c r="B45" s="33"/>
      <c r="C45" s="32"/>
      <c r="D45" s="32"/>
      <c r="E45" s="37"/>
      <c r="F45" s="42"/>
      <c r="G45" s="32"/>
      <c r="H45" s="36">
        <f>IF(D45="",0,IF(AND(B45&gt;=ThongTin!$C$9,B45&lt;=ThongTin!$C$10,COUNTIFS(ThongTin!$B$19:$B$48,C45,ThongTin!$A$19:$A$48,ThongTin!$C$8,ThongTin!$C$19:$C$48,"XUAT_SP")&gt;0),1,0))</f>
        <v>0</v>
      </c>
    </row>
    <row r="46" spans="1:8" x14ac:dyDescent="0.25">
      <c r="A46" s="41"/>
      <c r="B46" s="33"/>
      <c r="C46" s="32"/>
      <c r="D46" s="32"/>
      <c r="E46" s="37"/>
      <c r="F46" s="42"/>
      <c r="G46" s="32"/>
      <c r="H46" s="36">
        <f>IF(D46="",0,IF(AND(B46&gt;=ThongTin!$C$9,B46&lt;=ThongTin!$C$10,COUNTIFS(ThongTin!$B$19:$B$48,C46,ThongTin!$A$19:$A$48,ThongTin!$C$8,ThongTin!$C$19:$C$48,"XUAT_SP")&gt;0),1,0))</f>
        <v>0</v>
      </c>
    </row>
    <row r="47" spans="1:8" x14ac:dyDescent="0.25">
      <c r="A47" s="41"/>
      <c r="B47" s="33"/>
      <c r="C47" s="32"/>
      <c r="D47" s="32"/>
      <c r="E47" s="37"/>
      <c r="F47" s="42"/>
      <c r="G47" s="32"/>
      <c r="H47" s="36">
        <f>IF(D47="",0,IF(AND(B47&gt;=ThongTin!$C$9,B47&lt;=ThongTin!$C$10,COUNTIFS(ThongTin!$B$19:$B$48,C47,ThongTin!$A$19:$A$48,ThongTin!$C$8,ThongTin!$C$19:$C$48,"XUAT_SP")&gt;0),1,0))</f>
        <v>0</v>
      </c>
    </row>
    <row r="48" spans="1:8" x14ac:dyDescent="0.25">
      <c r="A48" s="41"/>
      <c r="B48" s="33"/>
      <c r="C48" s="32"/>
      <c r="D48" s="32"/>
      <c r="E48" s="37"/>
      <c r="F48" s="42"/>
      <c r="G48" s="32"/>
      <c r="H48" s="36">
        <f>IF(D48="",0,IF(AND(B48&gt;=ThongTin!$C$9,B48&lt;=ThongTin!$C$10,COUNTIFS(ThongTin!$B$19:$B$48,C48,ThongTin!$A$19:$A$48,ThongTin!$C$8,ThongTin!$C$19:$C$48,"XUAT_SP")&gt;0),1,0))</f>
        <v>0</v>
      </c>
    </row>
    <row r="49" spans="1:8" x14ac:dyDescent="0.25">
      <c r="A49" s="41"/>
      <c r="B49" s="33"/>
      <c r="C49" s="32"/>
      <c r="D49" s="32"/>
      <c r="E49" s="37"/>
      <c r="F49" s="42"/>
      <c r="G49" s="32"/>
      <c r="H49" s="36">
        <f>IF(D49="",0,IF(AND(B49&gt;=ThongTin!$C$9,B49&lt;=ThongTin!$C$10,COUNTIFS(ThongTin!$B$19:$B$48,C49,ThongTin!$A$19:$A$48,ThongTin!$C$8,ThongTin!$C$19:$C$48,"XUAT_SP")&gt;0),1,0))</f>
        <v>0</v>
      </c>
    </row>
    <row r="50" spans="1:8" x14ac:dyDescent="0.25">
      <c r="A50" s="41"/>
      <c r="B50" s="33"/>
      <c r="C50" s="32"/>
      <c r="D50" s="32"/>
      <c r="E50" s="37"/>
      <c r="F50" s="42"/>
      <c r="G50" s="32"/>
      <c r="H50" s="36">
        <f>IF(D50="",0,IF(AND(B50&gt;=ThongTin!$C$9,B50&lt;=ThongTin!$C$10,COUNTIFS(ThongTin!$B$19:$B$48,C50,ThongTin!$A$19:$A$48,ThongTin!$C$8,ThongTin!$C$19:$C$48,"XUAT_SP")&gt;0),1,0))</f>
        <v>0</v>
      </c>
    </row>
    <row r="51" spans="1:8" x14ac:dyDescent="0.25">
      <c r="A51" s="41"/>
      <c r="B51" s="33"/>
      <c r="C51" s="32"/>
      <c r="D51" s="32"/>
      <c r="E51" s="37"/>
      <c r="F51" s="42"/>
      <c r="G51" s="32"/>
      <c r="H51" s="36">
        <f>IF(D51="",0,IF(AND(B51&gt;=ThongTin!$C$9,B51&lt;=ThongTin!$C$10,COUNTIFS(ThongTin!$B$19:$B$48,C51,ThongTin!$A$19:$A$48,ThongTin!$C$8,ThongTin!$C$19:$C$48,"XUAT_SP")&gt;0),1,0))</f>
        <v>0</v>
      </c>
    </row>
    <row r="52" spans="1:8" x14ac:dyDescent="0.25">
      <c r="A52" s="41"/>
      <c r="B52" s="33"/>
      <c r="C52" s="32"/>
      <c r="D52" s="32"/>
      <c r="E52" s="37"/>
      <c r="F52" s="42"/>
      <c r="G52" s="32"/>
      <c r="H52" s="36">
        <f>IF(D52="",0,IF(AND(B52&gt;=ThongTin!$C$9,B52&lt;=ThongTin!$C$10,COUNTIFS(ThongTin!$B$19:$B$48,C52,ThongTin!$A$19:$A$48,ThongTin!$C$8,ThongTin!$C$19:$C$48,"XUAT_SP")&gt;0),1,0))</f>
        <v>0</v>
      </c>
    </row>
    <row r="53" spans="1:8" x14ac:dyDescent="0.25">
      <c r="A53" s="41"/>
      <c r="B53" s="33"/>
      <c r="C53" s="32"/>
      <c r="D53" s="32"/>
      <c r="E53" s="37"/>
      <c r="F53" s="42"/>
      <c r="G53" s="32"/>
      <c r="H53" s="36">
        <f>IF(D53="",0,IF(AND(B53&gt;=ThongTin!$C$9,B53&lt;=ThongTin!$C$10,COUNTIFS(ThongTin!$B$19:$B$48,C53,ThongTin!$A$19:$A$48,ThongTin!$C$8,ThongTin!$C$19:$C$48,"XUAT_SP")&gt;0),1,0))</f>
        <v>0</v>
      </c>
    </row>
    <row r="54" spans="1:8" x14ac:dyDescent="0.25">
      <c r="A54" s="41"/>
      <c r="B54" s="33"/>
      <c r="C54" s="32"/>
      <c r="D54" s="32"/>
      <c r="E54" s="37"/>
      <c r="F54" s="42"/>
      <c r="G54" s="32"/>
      <c r="H54" s="36">
        <f>IF(D54="",0,IF(AND(B54&gt;=ThongTin!$C$9,B54&lt;=ThongTin!$C$10,COUNTIFS(ThongTin!$B$19:$B$48,C54,ThongTin!$A$19:$A$48,ThongTin!$C$8,ThongTin!$C$19:$C$48,"XUAT_SP")&gt;0),1,0))</f>
        <v>0</v>
      </c>
    </row>
    <row r="55" spans="1:8" x14ac:dyDescent="0.25">
      <c r="A55" s="41"/>
      <c r="B55" s="33"/>
      <c r="C55" s="32"/>
      <c r="D55" s="32"/>
      <c r="E55" s="37"/>
      <c r="F55" s="42"/>
      <c r="G55" s="32"/>
      <c r="H55" s="36">
        <f>IF(D55="",0,IF(AND(B55&gt;=ThongTin!$C$9,B55&lt;=ThongTin!$C$10,COUNTIFS(ThongTin!$B$19:$B$48,C55,ThongTin!$A$19:$A$48,ThongTin!$C$8,ThongTin!$C$19:$C$48,"XUAT_SP")&gt;0),1,0))</f>
        <v>0</v>
      </c>
    </row>
    <row r="56" spans="1:8" x14ac:dyDescent="0.25">
      <c r="A56" s="41"/>
      <c r="B56" s="33"/>
      <c r="C56" s="32"/>
      <c r="D56" s="32"/>
      <c r="E56" s="37"/>
      <c r="F56" s="42"/>
      <c r="G56" s="32"/>
      <c r="H56" s="36">
        <f>IF(D56="",0,IF(AND(B56&gt;=ThongTin!$C$9,B56&lt;=ThongTin!$C$10,COUNTIFS(ThongTin!$B$19:$B$48,C56,ThongTin!$A$19:$A$48,ThongTin!$C$8,ThongTin!$C$19:$C$48,"XUAT_SP")&gt;0),1,0))</f>
        <v>0</v>
      </c>
    </row>
    <row r="57" spans="1:8" x14ac:dyDescent="0.25">
      <c r="A57" s="41"/>
      <c r="B57" s="33"/>
      <c r="C57" s="32"/>
      <c r="D57" s="32"/>
      <c r="E57" s="37"/>
      <c r="F57" s="42"/>
      <c r="G57" s="32"/>
      <c r="H57" s="36">
        <f>IF(D57="",0,IF(AND(B57&gt;=ThongTin!$C$9,B57&lt;=ThongTin!$C$10,COUNTIFS(ThongTin!$B$19:$B$48,C57,ThongTin!$A$19:$A$48,ThongTin!$C$8,ThongTin!$C$19:$C$48,"XUAT_SP")&gt;0),1,0))</f>
        <v>0</v>
      </c>
    </row>
    <row r="58" spans="1:8" x14ac:dyDescent="0.25">
      <c r="A58" s="41"/>
      <c r="B58" s="33"/>
      <c r="C58" s="32"/>
      <c r="D58" s="32"/>
      <c r="E58" s="37"/>
      <c r="F58" s="42"/>
      <c r="G58" s="32"/>
      <c r="H58" s="36">
        <f>IF(D58="",0,IF(AND(B58&gt;=ThongTin!$C$9,B58&lt;=ThongTin!$C$10,COUNTIFS(ThongTin!$B$19:$B$48,C58,ThongTin!$A$19:$A$48,ThongTin!$C$8,ThongTin!$C$19:$C$48,"XUAT_SP")&gt;0),1,0))</f>
        <v>0</v>
      </c>
    </row>
    <row r="59" spans="1:8" x14ac:dyDescent="0.25">
      <c r="A59" s="41"/>
      <c r="B59" s="33"/>
      <c r="C59" s="32"/>
      <c r="D59" s="32"/>
      <c r="E59" s="37"/>
      <c r="F59" s="42"/>
      <c r="G59" s="32"/>
      <c r="H59" s="36">
        <f>IF(D59="",0,IF(AND(B59&gt;=ThongTin!$C$9,B59&lt;=ThongTin!$C$10,COUNTIFS(ThongTin!$B$19:$B$48,C59,ThongTin!$A$19:$A$48,ThongTin!$C$8,ThongTin!$C$19:$C$48,"XUAT_SP")&gt;0),1,0))</f>
        <v>0</v>
      </c>
    </row>
    <row r="60" spans="1:8" x14ac:dyDescent="0.25">
      <c r="A60" s="41"/>
      <c r="B60" s="33"/>
      <c r="C60" s="32"/>
      <c r="D60" s="32"/>
      <c r="E60" s="37"/>
      <c r="F60" s="42"/>
      <c r="G60" s="32"/>
      <c r="H60" s="36">
        <f>IF(D60="",0,IF(AND(B60&gt;=ThongTin!$C$9,B60&lt;=ThongTin!$C$10,COUNTIFS(ThongTin!$B$19:$B$48,C60,ThongTin!$A$19:$A$48,ThongTin!$C$8,ThongTin!$C$19:$C$48,"XUAT_SP")&gt;0),1,0))</f>
        <v>0</v>
      </c>
    </row>
    <row r="61" spans="1:8" x14ac:dyDescent="0.25">
      <c r="A61" s="41"/>
      <c r="B61" s="33"/>
      <c r="C61" s="32"/>
      <c r="D61" s="32"/>
      <c r="E61" s="37"/>
      <c r="F61" s="42"/>
      <c r="G61" s="32"/>
      <c r="H61" s="36">
        <f>IF(D61="",0,IF(AND(B61&gt;=ThongTin!$C$9,B61&lt;=ThongTin!$C$10,COUNTIFS(ThongTin!$B$19:$B$48,C61,ThongTin!$A$19:$A$48,ThongTin!$C$8,ThongTin!$C$19:$C$48,"XUAT_SP")&gt;0),1,0))</f>
        <v>0</v>
      </c>
    </row>
    <row r="62" spans="1:8" x14ac:dyDescent="0.25">
      <c r="A62" s="41"/>
      <c r="B62" s="33"/>
      <c r="C62" s="32"/>
      <c r="D62" s="32"/>
      <c r="E62" s="37"/>
      <c r="F62" s="42"/>
      <c r="G62" s="32"/>
      <c r="H62" s="36">
        <f>IF(D62="",0,IF(AND(B62&gt;=ThongTin!$C$9,B62&lt;=ThongTin!$C$10,COUNTIFS(ThongTin!$B$19:$B$48,C62,ThongTin!$A$19:$A$48,ThongTin!$C$8,ThongTin!$C$19:$C$48,"XUAT_SP")&gt;0),1,0))</f>
        <v>0</v>
      </c>
    </row>
    <row r="63" spans="1:8" x14ac:dyDescent="0.25">
      <c r="A63" s="41"/>
      <c r="B63" s="33"/>
      <c r="C63" s="32"/>
      <c r="D63" s="32"/>
      <c r="E63" s="37"/>
      <c r="F63" s="42"/>
      <c r="G63" s="32"/>
      <c r="H63" s="36">
        <f>IF(D63="",0,IF(AND(B63&gt;=ThongTin!$C$9,B63&lt;=ThongTin!$C$10,COUNTIFS(ThongTin!$B$19:$B$48,C63,ThongTin!$A$19:$A$48,ThongTin!$C$8,ThongTin!$C$19:$C$48,"XUAT_SP")&gt;0),1,0))</f>
        <v>0</v>
      </c>
    </row>
    <row r="64" spans="1:8" x14ac:dyDescent="0.25">
      <c r="A64" s="41"/>
      <c r="B64" s="33"/>
      <c r="C64" s="32"/>
      <c r="D64" s="32"/>
      <c r="E64" s="37"/>
      <c r="F64" s="42"/>
      <c r="G64" s="32"/>
      <c r="H64" s="36">
        <f>IF(D64="",0,IF(AND(B64&gt;=ThongTin!$C$9,B64&lt;=ThongTin!$C$10,COUNTIFS(ThongTin!$B$19:$B$48,C64,ThongTin!$A$19:$A$48,ThongTin!$C$8,ThongTin!$C$19:$C$48,"XUAT_SP")&gt;0),1,0))</f>
        <v>0</v>
      </c>
    </row>
    <row r="65" spans="1:8" x14ac:dyDescent="0.25">
      <c r="A65" s="41"/>
      <c r="B65" s="33"/>
      <c r="C65" s="32"/>
      <c r="D65" s="32"/>
      <c r="E65" s="37"/>
      <c r="F65" s="42"/>
      <c r="G65" s="32"/>
      <c r="H65" s="36">
        <f>IF(D65="",0,IF(AND(B65&gt;=ThongTin!$C$9,B65&lt;=ThongTin!$C$10,COUNTIFS(ThongTin!$B$19:$B$48,C65,ThongTin!$A$19:$A$48,ThongTin!$C$8,ThongTin!$C$19:$C$48,"XUAT_SP")&gt;0),1,0))</f>
        <v>0</v>
      </c>
    </row>
    <row r="66" spans="1:8" x14ac:dyDescent="0.25">
      <c r="A66" s="41"/>
      <c r="B66" s="33"/>
      <c r="C66" s="32"/>
      <c r="D66" s="32"/>
      <c r="E66" s="37"/>
      <c r="F66" s="42"/>
      <c r="G66" s="32"/>
      <c r="H66" s="36">
        <f>IF(D66="",0,IF(AND(B66&gt;=ThongTin!$C$9,B66&lt;=ThongTin!$C$10,COUNTIFS(ThongTin!$B$19:$B$48,C66,ThongTin!$A$19:$A$48,ThongTin!$C$8,ThongTin!$C$19:$C$48,"XUAT_SP")&gt;0),1,0))</f>
        <v>0</v>
      </c>
    </row>
    <row r="67" spans="1:8" x14ac:dyDescent="0.25">
      <c r="A67" s="41"/>
      <c r="B67" s="33"/>
      <c r="C67" s="32"/>
      <c r="D67" s="32"/>
      <c r="E67" s="37"/>
      <c r="F67" s="42"/>
      <c r="G67" s="32"/>
      <c r="H67" s="36">
        <f>IF(D67="",0,IF(AND(B67&gt;=ThongTin!$C$9,B67&lt;=ThongTin!$C$10,COUNTIFS(ThongTin!$B$19:$B$48,C67,ThongTin!$A$19:$A$48,ThongTin!$C$8,ThongTin!$C$19:$C$48,"XUAT_SP")&gt;0),1,0))</f>
        <v>0</v>
      </c>
    </row>
    <row r="68" spans="1:8" x14ac:dyDescent="0.25">
      <c r="A68" s="41"/>
      <c r="B68" s="33"/>
      <c r="C68" s="32"/>
      <c r="D68" s="32"/>
      <c r="E68" s="37"/>
      <c r="F68" s="42"/>
      <c r="G68" s="32"/>
      <c r="H68" s="36">
        <f>IF(D68="",0,IF(AND(B68&gt;=ThongTin!$C$9,B68&lt;=ThongTin!$C$10,COUNTIFS(ThongTin!$B$19:$B$48,C68,ThongTin!$A$19:$A$48,ThongTin!$C$8,ThongTin!$C$19:$C$48,"XUAT_SP")&gt;0),1,0))</f>
        <v>0</v>
      </c>
    </row>
    <row r="69" spans="1:8" x14ac:dyDescent="0.25">
      <c r="A69" s="41"/>
      <c r="B69" s="33"/>
      <c r="C69" s="32"/>
      <c r="D69" s="32"/>
      <c r="E69" s="37"/>
      <c r="F69" s="42"/>
      <c r="G69" s="32"/>
      <c r="H69" s="36">
        <f>IF(D69="",0,IF(AND(B69&gt;=ThongTin!$C$9,B69&lt;=ThongTin!$C$10,COUNTIFS(ThongTin!$B$19:$B$48,C69,ThongTin!$A$19:$A$48,ThongTin!$C$8,ThongTin!$C$19:$C$48,"XUAT_SP")&gt;0),1,0))</f>
        <v>0</v>
      </c>
    </row>
    <row r="70" spans="1:8" x14ac:dyDescent="0.25">
      <c r="A70" s="41"/>
      <c r="B70" s="33"/>
      <c r="C70" s="32"/>
      <c r="D70" s="32"/>
      <c r="E70" s="37"/>
      <c r="F70" s="42"/>
      <c r="G70" s="32"/>
      <c r="H70" s="36">
        <f>IF(D70="",0,IF(AND(B70&gt;=ThongTin!$C$9,B70&lt;=ThongTin!$C$10,COUNTIFS(ThongTin!$B$19:$B$48,C70,ThongTin!$A$19:$A$48,ThongTin!$C$8,ThongTin!$C$19:$C$48,"XUAT_SP")&gt;0),1,0))</f>
        <v>0</v>
      </c>
    </row>
    <row r="71" spans="1:8" x14ac:dyDescent="0.25">
      <c r="A71" s="41"/>
      <c r="B71" s="33"/>
      <c r="C71" s="32"/>
      <c r="D71" s="32"/>
      <c r="E71" s="37"/>
      <c r="F71" s="42"/>
      <c r="G71" s="32"/>
      <c r="H71" s="36">
        <f>IF(D71="",0,IF(AND(B71&gt;=ThongTin!$C$9,B71&lt;=ThongTin!$C$10,COUNTIFS(ThongTin!$B$19:$B$48,C71,ThongTin!$A$19:$A$48,ThongTin!$C$8,ThongTin!$C$19:$C$48,"XUAT_SP")&gt;0),1,0))</f>
        <v>0</v>
      </c>
    </row>
    <row r="72" spans="1:8" x14ac:dyDescent="0.25">
      <c r="A72" s="41"/>
      <c r="B72" s="33"/>
      <c r="C72" s="32"/>
      <c r="D72" s="32"/>
      <c r="E72" s="37"/>
      <c r="F72" s="42"/>
      <c r="G72" s="32"/>
      <c r="H72" s="36">
        <f>IF(D72="",0,IF(AND(B72&gt;=ThongTin!$C$9,B72&lt;=ThongTin!$C$10,COUNTIFS(ThongTin!$B$19:$B$48,C72,ThongTin!$A$19:$A$48,ThongTin!$C$8,ThongTin!$C$19:$C$48,"XUAT_SP")&gt;0),1,0))</f>
        <v>0</v>
      </c>
    </row>
    <row r="73" spans="1:8" x14ac:dyDescent="0.25">
      <c r="A73" s="41"/>
      <c r="B73" s="33"/>
      <c r="C73" s="32"/>
      <c r="D73" s="32"/>
      <c r="E73" s="37"/>
      <c r="F73" s="42"/>
      <c r="G73" s="32"/>
      <c r="H73" s="36">
        <f>IF(D73="",0,IF(AND(B73&gt;=ThongTin!$C$9,B73&lt;=ThongTin!$C$10,COUNTIFS(ThongTin!$B$19:$B$48,C73,ThongTin!$A$19:$A$48,ThongTin!$C$8,ThongTin!$C$19:$C$48,"XUAT_SP")&gt;0),1,0))</f>
        <v>0</v>
      </c>
    </row>
    <row r="74" spans="1:8" x14ac:dyDescent="0.25">
      <c r="A74" s="41"/>
      <c r="B74" s="33"/>
      <c r="C74" s="32"/>
      <c r="D74" s="32"/>
      <c r="E74" s="37"/>
      <c r="F74" s="42"/>
      <c r="G74" s="32"/>
      <c r="H74" s="36">
        <f>IF(D74="",0,IF(AND(B74&gt;=ThongTin!$C$9,B74&lt;=ThongTin!$C$10,COUNTIFS(ThongTin!$B$19:$B$48,C74,ThongTin!$A$19:$A$48,ThongTin!$C$8,ThongTin!$C$19:$C$48,"XUAT_SP")&gt;0),1,0))</f>
        <v>0</v>
      </c>
    </row>
    <row r="75" spans="1:8" x14ac:dyDescent="0.25">
      <c r="A75" s="41"/>
      <c r="B75" s="33"/>
      <c r="C75" s="32"/>
      <c r="D75" s="32"/>
      <c r="E75" s="37"/>
      <c r="F75" s="42"/>
      <c r="G75" s="32"/>
      <c r="H75" s="36">
        <f>IF(D75="",0,IF(AND(B75&gt;=ThongTin!$C$9,B75&lt;=ThongTin!$C$10,COUNTIFS(ThongTin!$B$19:$B$48,C75,ThongTin!$A$19:$A$48,ThongTin!$C$8,ThongTin!$C$19:$C$48,"XUAT_SP")&gt;0),1,0))</f>
        <v>0</v>
      </c>
    </row>
    <row r="76" spans="1:8" x14ac:dyDescent="0.25">
      <c r="A76" s="41"/>
      <c r="B76" s="33"/>
      <c r="C76" s="32"/>
      <c r="D76" s="32"/>
      <c r="E76" s="37"/>
      <c r="F76" s="42"/>
      <c r="G76" s="32"/>
      <c r="H76" s="36">
        <f>IF(D76="",0,IF(AND(B76&gt;=ThongTin!$C$9,B76&lt;=ThongTin!$C$10,COUNTIFS(ThongTin!$B$19:$B$48,C76,ThongTin!$A$19:$A$48,ThongTin!$C$8,ThongTin!$C$19:$C$48,"XUAT_SP")&gt;0),1,0))</f>
        <v>0</v>
      </c>
    </row>
    <row r="77" spans="1:8" x14ac:dyDescent="0.25">
      <c r="A77" s="41"/>
      <c r="B77" s="33"/>
      <c r="C77" s="32"/>
      <c r="D77" s="32"/>
      <c r="E77" s="37"/>
      <c r="F77" s="42"/>
      <c r="G77" s="32"/>
      <c r="H77" s="36">
        <f>IF(D77="",0,IF(AND(B77&gt;=ThongTin!$C$9,B77&lt;=ThongTin!$C$10,COUNTIFS(ThongTin!$B$19:$B$48,C77,ThongTin!$A$19:$A$48,ThongTin!$C$8,ThongTin!$C$19:$C$48,"XUAT_SP")&gt;0),1,0))</f>
        <v>0</v>
      </c>
    </row>
    <row r="78" spans="1:8" x14ac:dyDescent="0.25">
      <c r="A78" s="41"/>
      <c r="B78" s="33"/>
      <c r="C78" s="32"/>
      <c r="D78" s="32"/>
      <c r="E78" s="37"/>
      <c r="F78" s="42"/>
      <c r="G78" s="32"/>
      <c r="H78" s="36">
        <f>IF(D78="",0,IF(AND(B78&gt;=ThongTin!$C$9,B78&lt;=ThongTin!$C$10,COUNTIFS(ThongTin!$B$19:$B$48,C78,ThongTin!$A$19:$A$48,ThongTin!$C$8,ThongTin!$C$19:$C$48,"XUAT_SP")&gt;0),1,0))</f>
        <v>0</v>
      </c>
    </row>
    <row r="79" spans="1:8" x14ac:dyDescent="0.25">
      <c r="A79" s="41"/>
      <c r="B79" s="33"/>
      <c r="C79" s="32"/>
      <c r="D79" s="32"/>
      <c r="E79" s="37"/>
      <c r="F79" s="42"/>
      <c r="G79" s="32"/>
      <c r="H79" s="36">
        <f>IF(D79="",0,IF(AND(B79&gt;=ThongTin!$C$9,B79&lt;=ThongTin!$C$10,COUNTIFS(ThongTin!$B$19:$B$48,C79,ThongTin!$A$19:$A$48,ThongTin!$C$8,ThongTin!$C$19:$C$48,"XUAT_SP")&gt;0),1,0))</f>
        <v>0</v>
      </c>
    </row>
    <row r="80" spans="1:8" x14ac:dyDescent="0.25">
      <c r="A80" s="41"/>
      <c r="B80" s="33"/>
      <c r="C80" s="32"/>
      <c r="D80" s="32"/>
      <c r="E80" s="37"/>
      <c r="F80" s="42"/>
      <c r="G80" s="32"/>
      <c r="H80" s="36">
        <f>IF(D80="",0,IF(AND(B80&gt;=ThongTin!$C$9,B80&lt;=ThongTin!$C$10,COUNTIFS(ThongTin!$B$19:$B$48,C80,ThongTin!$A$19:$A$48,ThongTin!$C$8,ThongTin!$C$19:$C$48,"XUAT_SP")&gt;0),1,0))</f>
        <v>0</v>
      </c>
    </row>
    <row r="81" spans="1:8" x14ac:dyDescent="0.25">
      <c r="A81" s="41"/>
      <c r="B81" s="33"/>
      <c r="C81" s="32"/>
      <c r="D81" s="32"/>
      <c r="E81" s="37"/>
      <c r="F81" s="42"/>
      <c r="G81" s="32"/>
      <c r="H81" s="36">
        <f>IF(D81="",0,IF(AND(B81&gt;=ThongTin!$C$9,B81&lt;=ThongTin!$C$10,COUNTIFS(ThongTin!$B$19:$B$48,C81,ThongTin!$A$19:$A$48,ThongTin!$C$8,ThongTin!$C$19:$C$48,"XUAT_SP")&gt;0),1,0))</f>
        <v>0</v>
      </c>
    </row>
    <row r="82" spans="1:8" x14ac:dyDescent="0.25">
      <c r="A82" s="41"/>
      <c r="B82" s="33"/>
      <c r="C82" s="32"/>
      <c r="D82" s="32"/>
      <c r="E82" s="37"/>
      <c r="F82" s="42"/>
      <c r="G82" s="32"/>
      <c r="H82" s="36">
        <f>IF(D82="",0,IF(AND(B82&gt;=ThongTin!$C$9,B82&lt;=ThongTin!$C$10,COUNTIFS(ThongTin!$B$19:$B$48,C82,ThongTin!$A$19:$A$48,ThongTin!$C$8,ThongTin!$C$19:$C$48,"XUAT_SP")&gt;0),1,0))</f>
        <v>0</v>
      </c>
    </row>
    <row r="83" spans="1:8" x14ac:dyDescent="0.25">
      <c r="A83" s="41"/>
      <c r="B83" s="33"/>
      <c r="C83" s="32"/>
      <c r="D83" s="32"/>
      <c r="E83" s="37"/>
      <c r="F83" s="42"/>
      <c r="G83" s="32"/>
      <c r="H83" s="36">
        <f>IF(D83="",0,IF(AND(B83&gt;=ThongTin!$C$9,B83&lt;=ThongTin!$C$10,COUNTIFS(ThongTin!$B$19:$B$48,C83,ThongTin!$A$19:$A$48,ThongTin!$C$8,ThongTin!$C$19:$C$48,"XUAT_SP")&gt;0),1,0))</f>
        <v>0</v>
      </c>
    </row>
    <row r="84" spans="1:8" x14ac:dyDescent="0.25">
      <c r="A84" s="41"/>
      <c r="B84" s="33"/>
      <c r="C84" s="32"/>
      <c r="D84" s="32"/>
      <c r="E84" s="37"/>
      <c r="F84" s="42"/>
      <c r="G84" s="32"/>
      <c r="H84" s="36">
        <f>IF(D84="",0,IF(AND(B84&gt;=ThongTin!$C$9,B84&lt;=ThongTin!$C$10,COUNTIFS(ThongTin!$B$19:$B$48,C84,ThongTin!$A$19:$A$48,ThongTin!$C$8,ThongTin!$C$19:$C$48,"XUAT_SP")&gt;0),1,0))</f>
        <v>0</v>
      </c>
    </row>
    <row r="85" spans="1:8" x14ac:dyDescent="0.25">
      <c r="A85" s="41"/>
      <c r="B85" s="33"/>
      <c r="C85" s="32"/>
      <c r="D85" s="32"/>
      <c r="E85" s="37"/>
      <c r="F85" s="42"/>
      <c r="G85" s="32"/>
      <c r="H85" s="36">
        <f>IF(D85="",0,IF(AND(B85&gt;=ThongTin!$C$9,B85&lt;=ThongTin!$C$10,COUNTIFS(ThongTin!$B$19:$B$48,C85,ThongTin!$A$19:$A$48,ThongTin!$C$8,ThongTin!$C$19:$C$48,"XUAT_SP")&gt;0),1,0))</f>
        <v>0</v>
      </c>
    </row>
    <row r="86" spans="1:8" x14ac:dyDescent="0.25">
      <c r="A86" s="41"/>
      <c r="B86" s="33"/>
      <c r="C86" s="32"/>
      <c r="D86" s="32"/>
      <c r="E86" s="37"/>
      <c r="F86" s="42"/>
      <c r="G86" s="32"/>
      <c r="H86" s="36">
        <f>IF(D86="",0,IF(AND(B86&gt;=ThongTin!$C$9,B86&lt;=ThongTin!$C$10,COUNTIFS(ThongTin!$B$19:$B$48,C86,ThongTin!$A$19:$A$48,ThongTin!$C$8,ThongTin!$C$19:$C$48,"XUAT_SP")&gt;0),1,0))</f>
        <v>0</v>
      </c>
    </row>
    <row r="87" spans="1:8" x14ac:dyDescent="0.25">
      <c r="A87" s="41"/>
      <c r="B87" s="33"/>
      <c r="C87" s="32"/>
      <c r="D87" s="32"/>
      <c r="E87" s="37"/>
      <c r="F87" s="42"/>
      <c r="G87" s="32"/>
      <c r="H87" s="36">
        <f>IF(D87="",0,IF(AND(B87&gt;=ThongTin!$C$9,B87&lt;=ThongTin!$C$10,COUNTIFS(ThongTin!$B$19:$B$48,C87,ThongTin!$A$19:$A$48,ThongTin!$C$8,ThongTin!$C$19:$C$48,"XUAT_SP")&gt;0),1,0))</f>
        <v>0</v>
      </c>
    </row>
    <row r="88" spans="1:8" x14ac:dyDescent="0.25">
      <c r="A88" s="41"/>
      <c r="B88" s="33"/>
      <c r="C88" s="32"/>
      <c r="D88" s="32"/>
      <c r="E88" s="37"/>
      <c r="F88" s="42"/>
      <c r="G88" s="32"/>
      <c r="H88" s="36">
        <f>IF(D88="",0,IF(AND(B88&gt;=ThongTin!$C$9,B88&lt;=ThongTin!$C$10,COUNTIFS(ThongTin!$B$19:$B$48,C88,ThongTin!$A$19:$A$48,ThongTin!$C$8,ThongTin!$C$19:$C$48,"XUAT_SP")&gt;0),1,0))</f>
        <v>0</v>
      </c>
    </row>
    <row r="89" spans="1:8" x14ac:dyDescent="0.25">
      <c r="A89" s="41"/>
      <c r="B89" s="33"/>
      <c r="C89" s="32"/>
      <c r="D89" s="32"/>
      <c r="E89" s="37"/>
      <c r="F89" s="42"/>
      <c r="G89" s="32"/>
      <c r="H89" s="36">
        <f>IF(D89="",0,IF(AND(B89&gt;=ThongTin!$C$9,B89&lt;=ThongTin!$C$10,COUNTIFS(ThongTin!$B$19:$B$48,C89,ThongTin!$A$19:$A$48,ThongTin!$C$8,ThongTin!$C$19:$C$48,"XUAT_SP")&gt;0),1,0))</f>
        <v>0</v>
      </c>
    </row>
    <row r="90" spans="1:8" x14ac:dyDescent="0.25">
      <c r="A90" s="41"/>
      <c r="B90" s="33"/>
      <c r="C90" s="32"/>
      <c r="D90" s="32"/>
      <c r="E90" s="37"/>
      <c r="F90" s="42"/>
      <c r="G90" s="32"/>
      <c r="H90" s="36">
        <f>IF(D90="",0,IF(AND(B90&gt;=ThongTin!$C$9,B90&lt;=ThongTin!$C$10,COUNTIFS(ThongTin!$B$19:$B$48,C90,ThongTin!$A$19:$A$48,ThongTin!$C$8,ThongTin!$C$19:$C$48,"XUAT_SP")&gt;0),1,0))</f>
        <v>0</v>
      </c>
    </row>
    <row r="91" spans="1:8" x14ac:dyDescent="0.25">
      <c r="A91" s="41"/>
      <c r="B91" s="33"/>
      <c r="C91" s="32"/>
      <c r="D91" s="32"/>
      <c r="E91" s="37"/>
      <c r="F91" s="42"/>
      <c r="G91" s="32"/>
      <c r="H91" s="36">
        <f>IF(D91="",0,IF(AND(B91&gt;=ThongTin!$C$9,B91&lt;=ThongTin!$C$10,COUNTIFS(ThongTin!$B$19:$B$48,C91,ThongTin!$A$19:$A$48,ThongTin!$C$8,ThongTin!$C$19:$C$48,"XUAT_SP")&gt;0),1,0))</f>
        <v>0</v>
      </c>
    </row>
    <row r="92" spans="1:8" x14ac:dyDescent="0.25">
      <c r="A92" s="41"/>
      <c r="B92" s="33"/>
      <c r="C92" s="32"/>
      <c r="D92" s="32"/>
      <c r="E92" s="37"/>
      <c r="F92" s="42"/>
      <c r="G92" s="32"/>
      <c r="H92" s="36">
        <f>IF(D92="",0,IF(AND(B92&gt;=ThongTin!$C$9,B92&lt;=ThongTin!$C$10,COUNTIFS(ThongTin!$B$19:$B$48,C92,ThongTin!$A$19:$A$48,ThongTin!$C$8,ThongTin!$C$19:$C$48,"XUAT_SP")&gt;0),1,0))</f>
        <v>0</v>
      </c>
    </row>
    <row r="93" spans="1:8" x14ac:dyDescent="0.25">
      <c r="A93" s="41"/>
      <c r="B93" s="33"/>
      <c r="C93" s="32"/>
      <c r="D93" s="32"/>
      <c r="E93" s="37"/>
      <c r="F93" s="42"/>
      <c r="G93" s="32"/>
      <c r="H93" s="36">
        <f>IF(D93="",0,IF(AND(B93&gt;=ThongTin!$C$9,B93&lt;=ThongTin!$C$10,COUNTIFS(ThongTin!$B$19:$B$48,C93,ThongTin!$A$19:$A$48,ThongTin!$C$8,ThongTin!$C$19:$C$48,"XUAT_SP")&gt;0),1,0))</f>
        <v>0</v>
      </c>
    </row>
    <row r="94" spans="1:8" x14ac:dyDescent="0.25">
      <c r="A94" s="41"/>
      <c r="B94" s="33"/>
      <c r="C94" s="32"/>
      <c r="D94" s="32"/>
      <c r="E94" s="37"/>
      <c r="F94" s="42"/>
      <c r="G94" s="32"/>
      <c r="H94" s="36">
        <f>IF(D94="",0,IF(AND(B94&gt;=ThongTin!$C$9,B94&lt;=ThongTin!$C$10,COUNTIFS(ThongTin!$B$19:$B$48,C94,ThongTin!$A$19:$A$48,ThongTin!$C$8,ThongTin!$C$19:$C$48,"XUAT_SP")&gt;0),1,0))</f>
        <v>0</v>
      </c>
    </row>
    <row r="95" spans="1:8" x14ac:dyDescent="0.25">
      <c r="A95" s="41"/>
      <c r="B95" s="33"/>
      <c r="C95" s="32"/>
      <c r="D95" s="32"/>
      <c r="E95" s="37"/>
      <c r="F95" s="42"/>
      <c r="G95" s="32"/>
      <c r="H95" s="36">
        <f>IF(D95="",0,IF(AND(B95&gt;=ThongTin!$C$9,B95&lt;=ThongTin!$C$10,COUNTIFS(ThongTin!$B$19:$B$48,C95,ThongTin!$A$19:$A$48,ThongTin!$C$8,ThongTin!$C$19:$C$48,"XUAT_SP")&gt;0),1,0))</f>
        <v>0</v>
      </c>
    </row>
    <row r="96" spans="1:8" x14ac:dyDescent="0.25">
      <c r="A96" s="41"/>
      <c r="B96" s="33"/>
      <c r="C96" s="32"/>
      <c r="D96" s="32"/>
      <c r="E96" s="37"/>
      <c r="F96" s="42"/>
      <c r="G96" s="32"/>
      <c r="H96" s="36">
        <f>IF(D96="",0,IF(AND(B96&gt;=ThongTin!$C$9,B96&lt;=ThongTin!$C$10,COUNTIFS(ThongTin!$B$19:$B$48,C96,ThongTin!$A$19:$A$48,ThongTin!$C$8,ThongTin!$C$19:$C$48,"XUAT_SP")&gt;0),1,0))</f>
        <v>0</v>
      </c>
    </row>
    <row r="97" spans="1:8" x14ac:dyDescent="0.25">
      <c r="A97" s="41"/>
      <c r="B97" s="33"/>
      <c r="C97" s="32"/>
      <c r="D97" s="32"/>
      <c r="E97" s="37"/>
      <c r="F97" s="42"/>
      <c r="G97" s="32"/>
      <c r="H97" s="36">
        <f>IF(D97="",0,IF(AND(B97&gt;=ThongTin!$C$9,B97&lt;=ThongTin!$C$10,COUNTIFS(ThongTin!$B$19:$B$48,C97,ThongTin!$A$19:$A$48,ThongTin!$C$8,ThongTin!$C$19:$C$48,"XUAT_SP")&gt;0),1,0))</f>
        <v>0</v>
      </c>
    </row>
    <row r="98" spans="1:8" x14ac:dyDescent="0.25">
      <c r="A98" s="41"/>
      <c r="B98" s="33"/>
      <c r="C98" s="32"/>
      <c r="D98" s="32"/>
      <c r="E98" s="37"/>
      <c r="F98" s="42"/>
      <c r="G98" s="32"/>
      <c r="H98" s="36">
        <f>IF(D98="",0,IF(AND(B98&gt;=ThongTin!$C$9,B98&lt;=ThongTin!$C$10,COUNTIFS(ThongTin!$B$19:$B$48,C98,ThongTin!$A$19:$A$48,ThongTin!$C$8,ThongTin!$C$19:$C$48,"XUAT_SP")&gt;0),1,0))</f>
        <v>0</v>
      </c>
    </row>
    <row r="99" spans="1:8" x14ac:dyDescent="0.25">
      <c r="A99" s="41"/>
      <c r="B99" s="33"/>
      <c r="C99" s="32"/>
      <c r="D99" s="32"/>
      <c r="E99" s="37"/>
      <c r="F99" s="42"/>
      <c r="G99" s="32"/>
      <c r="H99" s="36">
        <f>IF(D99="",0,IF(AND(B99&gt;=ThongTin!$C$9,B99&lt;=ThongTin!$C$10,COUNTIFS(ThongTin!$B$19:$B$48,C99,ThongTin!$A$19:$A$48,ThongTin!$C$8,ThongTin!$C$19:$C$48,"XUAT_SP")&gt;0),1,0))</f>
        <v>0</v>
      </c>
    </row>
    <row r="100" spans="1:8" x14ac:dyDescent="0.25">
      <c r="A100" s="41"/>
      <c r="B100" s="33"/>
      <c r="C100" s="32"/>
      <c r="D100" s="32"/>
      <c r="E100" s="37"/>
      <c r="F100" s="42"/>
      <c r="G100" s="32"/>
      <c r="H100" s="36">
        <f>IF(D100="",0,IF(AND(B100&gt;=ThongTin!$C$9,B100&lt;=ThongTin!$C$10,COUNTIFS(ThongTin!$B$19:$B$48,C100,ThongTin!$A$19:$A$48,ThongTin!$C$8,ThongTin!$C$19:$C$48,"XUAT_SP")&gt;0),1,0))</f>
        <v>0</v>
      </c>
    </row>
    <row r="101" spans="1:8" x14ac:dyDescent="0.25">
      <c r="A101" s="41"/>
      <c r="B101" s="33"/>
      <c r="C101" s="32"/>
      <c r="D101" s="32"/>
      <c r="E101" s="37"/>
      <c r="F101" s="42"/>
      <c r="G101" s="32"/>
      <c r="H101" s="36">
        <f>IF(D101="",0,IF(AND(B101&gt;=ThongTin!$C$9,B101&lt;=ThongTin!$C$10,COUNTIFS(ThongTin!$B$19:$B$48,C101,ThongTin!$A$19:$A$48,ThongTin!$C$8,ThongTin!$C$19:$C$48,"XUAT_SP")&gt;0),1,0))</f>
        <v>0</v>
      </c>
    </row>
    <row r="102" spans="1:8" x14ac:dyDescent="0.25">
      <c r="A102" s="41"/>
      <c r="B102" s="33"/>
      <c r="C102" s="32"/>
      <c r="D102" s="32"/>
      <c r="E102" s="37"/>
      <c r="F102" s="42"/>
      <c r="G102" s="32"/>
      <c r="H102" s="36">
        <f>IF(D102="",0,IF(AND(B102&gt;=ThongTin!$C$9,B102&lt;=ThongTin!$C$10,COUNTIFS(ThongTin!$B$19:$B$48,C102,ThongTin!$A$19:$A$48,ThongTin!$C$8,ThongTin!$C$19:$C$48,"XUAT_SP")&gt;0),1,0))</f>
        <v>0</v>
      </c>
    </row>
    <row r="103" spans="1:8" x14ac:dyDescent="0.25">
      <c r="A103" s="41"/>
      <c r="B103" s="33"/>
      <c r="C103" s="32"/>
      <c r="D103" s="32"/>
      <c r="E103" s="37"/>
      <c r="F103" s="42"/>
      <c r="G103" s="32"/>
      <c r="H103" s="36">
        <f>IF(D103="",0,IF(AND(B103&gt;=ThongTin!$C$9,B103&lt;=ThongTin!$C$10,COUNTIFS(ThongTin!$B$19:$B$48,C103,ThongTin!$A$19:$A$48,ThongTin!$C$8,ThongTin!$C$19:$C$48,"XUAT_SP")&gt;0),1,0))</f>
        <v>0</v>
      </c>
    </row>
    <row r="104" spans="1:8" x14ac:dyDescent="0.25">
      <c r="A104" s="41"/>
      <c r="B104" s="33"/>
      <c r="C104" s="32"/>
      <c r="D104" s="32"/>
      <c r="E104" s="37"/>
      <c r="F104" s="42"/>
      <c r="G104" s="32"/>
      <c r="H104" s="36">
        <f>IF(D104="",0,IF(AND(B104&gt;=ThongTin!$C$9,B104&lt;=ThongTin!$C$10,COUNTIFS(ThongTin!$B$19:$B$48,C104,ThongTin!$A$19:$A$48,ThongTin!$C$8,ThongTin!$C$19:$C$48,"XUAT_SP")&gt;0),1,0))</f>
        <v>0</v>
      </c>
    </row>
    <row r="105" spans="1:8" x14ac:dyDescent="0.25">
      <c r="A105" s="41"/>
      <c r="B105" s="33"/>
      <c r="C105" s="32"/>
      <c r="D105" s="32"/>
      <c r="E105" s="37"/>
      <c r="F105" s="42"/>
      <c r="G105" s="32"/>
      <c r="H105" s="36">
        <f>IF(D105="",0,IF(AND(B105&gt;=ThongTin!$C$9,B105&lt;=ThongTin!$C$10,COUNTIFS(ThongTin!$B$19:$B$48,C105,ThongTin!$A$19:$A$48,ThongTin!$C$8,ThongTin!$C$19:$C$48,"XUAT_SP")&gt;0),1,0))</f>
        <v>0</v>
      </c>
    </row>
    <row r="106" spans="1:8" x14ac:dyDescent="0.25">
      <c r="A106" s="41"/>
      <c r="B106" s="33"/>
      <c r="C106" s="32"/>
      <c r="D106" s="32"/>
      <c r="E106" s="37"/>
      <c r="F106" s="42"/>
      <c r="G106" s="32"/>
      <c r="H106" s="36">
        <f>IF(D106="",0,IF(AND(B106&gt;=ThongTin!$C$9,B106&lt;=ThongTin!$C$10,COUNTIFS(ThongTin!$B$19:$B$48,C106,ThongTin!$A$19:$A$48,ThongTin!$C$8,ThongTin!$C$19:$C$48,"XUAT_SP")&gt;0),1,0))</f>
        <v>0</v>
      </c>
    </row>
    <row r="107" spans="1:8" x14ac:dyDescent="0.25">
      <c r="A107" s="41"/>
      <c r="B107" s="33"/>
      <c r="C107" s="32"/>
      <c r="D107" s="32"/>
      <c r="E107" s="37"/>
      <c r="F107" s="42"/>
      <c r="G107" s="32"/>
      <c r="H107" s="36">
        <f>IF(D107="",0,IF(AND(B107&gt;=ThongTin!$C$9,B107&lt;=ThongTin!$C$10,COUNTIFS(ThongTin!$B$19:$B$48,C107,ThongTin!$A$19:$A$48,ThongTin!$C$8,ThongTin!$C$19:$C$48,"XUAT_SP")&gt;0),1,0))</f>
        <v>0</v>
      </c>
    </row>
    <row r="108" spans="1:8" x14ac:dyDescent="0.25">
      <c r="A108" s="41"/>
      <c r="B108" s="33"/>
      <c r="C108" s="32"/>
      <c r="D108" s="32"/>
      <c r="E108" s="37"/>
      <c r="F108" s="42"/>
      <c r="G108" s="32"/>
      <c r="H108" s="36">
        <f>IF(D108="",0,IF(AND(B108&gt;=ThongTin!$C$9,B108&lt;=ThongTin!$C$10,COUNTIFS(ThongTin!$B$19:$B$48,C108,ThongTin!$A$19:$A$48,ThongTin!$C$8,ThongTin!$C$19:$C$48,"XUAT_SP")&gt;0),1,0))</f>
        <v>0</v>
      </c>
    </row>
    <row r="109" spans="1:8" x14ac:dyDescent="0.25">
      <c r="A109" s="41"/>
      <c r="B109" s="33"/>
      <c r="C109" s="32"/>
      <c r="D109" s="32"/>
      <c r="E109" s="37"/>
      <c r="F109" s="42"/>
      <c r="G109" s="32"/>
      <c r="H109" s="36">
        <f>IF(D109="",0,IF(AND(B109&gt;=ThongTin!$C$9,B109&lt;=ThongTin!$C$10,COUNTIFS(ThongTin!$B$19:$B$48,C109,ThongTin!$A$19:$A$48,ThongTin!$C$8,ThongTin!$C$19:$C$48,"XUAT_SP")&gt;0),1,0))</f>
        <v>0</v>
      </c>
    </row>
    <row r="110" spans="1:8" x14ac:dyDescent="0.25">
      <c r="A110" s="41"/>
      <c r="B110" s="33"/>
      <c r="C110" s="32"/>
      <c r="D110" s="32"/>
      <c r="E110" s="37"/>
      <c r="F110" s="42"/>
      <c r="G110" s="32"/>
      <c r="H110" s="36">
        <f>IF(D110="",0,IF(AND(B110&gt;=ThongTin!$C$9,B110&lt;=ThongTin!$C$10,COUNTIFS(ThongTin!$B$19:$B$48,C110,ThongTin!$A$19:$A$48,ThongTin!$C$8,ThongTin!$C$19:$C$48,"XUAT_SP")&gt;0),1,0))</f>
        <v>0</v>
      </c>
    </row>
    <row r="111" spans="1:8" x14ac:dyDescent="0.25">
      <c r="A111" s="41"/>
      <c r="B111" s="33"/>
      <c r="C111" s="32"/>
      <c r="D111" s="32"/>
      <c r="E111" s="37"/>
      <c r="F111" s="42"/>
      <c r="G111" s="32"/>
      <c r="H111" s="36">
        <f>IF(D111="",0,IF(AND(B111&gt;=ThongTin!$C$9,B111&lt;=ThongTin!$C$10,COUNTIFS(ThongTin!$B$19:$B$48,C111,ThongTin!$A$19:$A$48,ThongTin!$C$8,ThongTin!$C$19:$C$48,"XUAT_SP")&gt;0),1,0))</f>
        <v>0</v>
      </c>
    </row>
    <row r="112" spans="1:8" x14ac:dyDescent="0.25">
      <c r="A112" s="41"/>
      <c r="B112" s="33"/>
      <c r="C112" s="32"/>
      <c r="D112" s="32"/>
      <c r="E112" s="37"/>
      <c r="F112" s="42"/>
      <c r="G112" s="32"/>
      <c r="H112" s="36">
        <f>IF(D112="",0,IF(AND(B112&gt;=ThongTin!$C$9,B112&lt;=ThongTin!$C$10,COUNTIFS(ThongTin!$B$19:$B$48,C112,ThongTin!$A$19:$A$48,ThongTin!$C$8,ThongTin!$C$19:$C$48,"XUAT_SP")&gt;0),1,0))</f>
        <v>0</v>
      </c>
    </row>
    <row r="113" spans="1:8" x14ac:dyDescent="0.25">
      <c r="A113" s="41"/>
      <c r="B113" s="33"/>
      <c r="C113" s="32"/>
      <c r="D113" s="32"/>
      <c r="E113" s="37"/>
      <c r="F113" s="42"/>
      <c r="G113" s="32"/>
      <c r="H113" s="36">
        <f>IF(D113="",0,IF(AND(B113&gt;=ThongTin!$C$9,B113&lt;=ThongTin!$C$10,COUNTIFS(ThongTin!$B$19:$B$48,C113,ThongTin!$A$19:$A$48,ThongTin!$C$8,ThongTin!$C$19:$C$48,"XUAT_SP")&gt;0),1,0))</f>
        <v>0</v>
      </c>
    </row>
    <row r="114" spans="1:8" x14ac:dyDescent="0.25">
      <c r="A114" s="41"/>
      <c r="B114" s="33"/>
      <c r="C114" s="32"/>
      <c r="D114" s="32"/>
      <c r="E114" s="37"/>
      <c r="F114" s="42"/>
      <c r="G114" s="32"/>
      <c r="H114" s="36">
        <f>IF(D114="",0,IF(AND(B114&gt;=ThongTin!$C$9,B114&lt;=ThongTin!$C$10,COUNTIFS(ThongTin!$B$19:$B$48,C114,ThongTin!$A$19:$A$48,ThongTin!$C$8,ThongTin!$C$19:$C$48,"XUAT_SP")&gt;0),1,0))</f>
        <v>0</v>
      </c>
    </row>
    <row r="115" spans="1:8" x14ac:dyDescent="0.25">
      <c r="A115" s="41"/>
      <c r="B115" s="33"/>
      <c r="C115" s="32"/>
      <c r="D115" s="32"/>
      <c r="E115" s="37"/>
      <c r="F115" s="42"/>
      <c r="G115" s="32"/>
      <c r="H115" s="36">
        <f>IF(D115="",0,IF(AND(B115&gt;=ThongTin!$C$9,B115&lt;=ThongTin!$C$10,COUNTIFS(ThongTin!$B$19:$B$48,C115,ThongTin!$A$19:$A$48,ThongTin!$C$8,ThongTin!$C$19:$C$48,"XUAT_SP")&gt;0),1,0))</f>
        <v>0</v>
      </c>
    </row>
    <row r="116" spans="1:8" x14ac:dyDescent="0.25">
      <c r="A116" s="41"/>
      <c r="B116" s="33"/>
      <c r="C116" s="32"/>
      <c r="D116" s="32"/>
      <c r="E116" s="37"/>
      <c r="F116" s="42"/>
      <c r="G116" s="32"/>
      <c r="H116" s="36">
        <f>IF(D116="",0,IF(AND(B116&gt;=ThongTin!$C$9,B116&lt;=ThongTin!$C$10,COUNTIFS(ThongTin!$B$19:$B$48,C116,ThongTin!$A$19:$A$48,ThongTin!$C$8,ThongTin!$C$19:$C$48,"XUAT_SP")&gt;0),1,0))</f>
        <v>0</v>
      </c>
    </row>
    <row r="117" spans="1:8" x14ac:dyDescent="0.25">
      <c r="A117" s="41"/>
      <c r="B117" s="33"/>
      <c r="C117" s="32"/>
      <c r="D117" s="32"/>
      <c r="E117" s="37"/>
      <c r="F117" s="42"/>
      <c r="G117" s="32"/>
      <c r="H117" s="36">
        <f>IF(D117="",0,IF(AND(B117&gt;=ThongTin!$C$9,B117&lt;=ThongTin!$C$10,COUNTIFS(ThongTin!$B$19:$B$48,C117,ThongTin!$A$19:$A$48,ThongTin!$C$8,ThongTin!$C$19:$C$48,"XUAT_SP")&gt;0),1,0))</f>
        <v>0</v>
      </c>
    </row>
    <row r="118" spans="1:8" x14ac:dyDescent="0.25">
      <c r="A118" s="41"/>
      <c r="B118" s="33"/>
      <c r="C118" s="32"/>
      <c r="D118" s="32"/>
      <c r="E118" s="37"/>
      <c r="F118" s="42"/>
      <c r="G118" s="32"/>
      <c r="H118" s="36">
        <f>IF(D118="",0,IF(AND(B118&gt;=ThongTin!$C$9,B118&lt;=ThongTin!$C$10,COUNTIFS(ThongTin!$B$19:$B$48,C118,ThongTin!$A$19:$A$48,ThongTin!$C$8,ThongTin!$C$19:$C$48,"XUAT_SP")&gt;0),1,0))</f>
        <v>0</v>
      </c>
    </row>
    <row r="119" spans="1:8" x14ac:dyDescent="0.25">
      <c r="A119" s="41"/>
      <c r="B119" s="33"/>
      <c r="C119" s="32"/>
      <c r="D119" s="32"/>
      <c r="E119" s="37"/>
      <c r="F119" s="42"/>
      <c r="G119" s="32"/>
      <c r="H119" s="36">
        <f>IF(D119="",0,IF(AND(B119&gt;=ThongTin!$C$9,B119&lt;=ThongTin!$C$10,COUNTIFS(ThongTin!$B$19:$B$48,C119,ThongTin!$A$19:$A$48,ThongTin!$C$8,ThongTin!$C$19:$C$48,"XUAT_SP")&gt;0),1,0))</f>
        <v>0</v>
      </c>
    </row>
    <row r="120" spans="1:8" x14ac:dyDescent="0.25">
      <c r="A120" s="41"/>
      <c r="B120" s="33"/>
      <c r="C120" s="32"/>
      <c r="D120" s="32"/>
      <c r="E120" s="37"/>
      <c r="F120" s="42"/>
      <c r="G120" s="32"/>
      <c r="H120" s="36">
        <f>IF(D120="",0,IF(AND(B120&gt;=ThongTin!$C$9,B120&lt;=ThongTin!$C$10,COUNTIFS(ThongTin!$B$19:$B$48,C120,ThongTin!$A$19:$A$48,ThongTin!$C$8,ThongTin!$C$19:$C$48,"XUAT_SP")&gt;0),1,0))</f>
        <v>0</v>
      </c>
    </row>
    <row r="121" spans="1:8" x14ac:dyDescent="0.25">
      <c r="A121" s="41"/>
      <c r="B121" s="33"/>
      <c r="C121" s="32"/>
      <c r="D121" s="32"/>
      <c r="E121" s="37"/>
      <c r="F121" s="42"/>
      <c r="G121" s="32"/>
      <c r="H121" s="36">
        <f>IF(D121="",0,IF(AND(B121&gt;=ThongTin!$C$9,B121&lt;=ThongTin!$C$10,COUNTIFS(ThongTin!$B$19:$B$48,C121,ThongTin!$A$19:$A$48,ThongTin!$C$8,ThongTin!$C$19:$C$48,"XUAT_SP")&gt;0),1,0))</f>
        <v>0</v>
      </c>
    </row>
    <row r="122" spans="1:8" x14ac:dyDescent="0.25">
      <c r="A122" s="41"/>
      <c r="B122" s="33"/>
      <c r="C122" s="32"/>
      <c r="D122" s="32"/>
      <c r="E122" s="37"/>
      <c r="F122" s="42"/>
      <c r="G122" s="32"/>
      <c r="H122" s="36">
        <f>IF(D122="",0,IF(AND(B122&gt;=ThongTin!$C$9,B122&lt;=ThongTin!$C$10,COUNTIFS(ThongTin!$B$19:$B$48,C122,ThongTin!$A$19:$A$48,ThongTin!$C$8,ThongTin!$C$19:$C$48,"XUAT_SP")&gt;0),1,0))</f>
        <v>0</v>
      </c>
    </row>
    <row r="123" spans="1:8" x14ac:dyDescent="0.25">
      <c r="A123" s="41"/>
      <c r="B123" s="33"/>
      <c r="C123" s="32"/>
      <c r="D123" s="32"/>
      <c r="E123" s="37"/>
      <c r="F123" s="42"/>
      <c r="G123" s="32"/>
      <c r="H123" s="36">
        <f>IF(D123="",0,IF(AND(B123&gt;=ThongTin!$C$9,B123&lt;=ThongTin!$C$10,COUNTIFS(ThongTin!$B$19:$B$48,C123,ThongTin!$A$19:$A$48,ThongTin!$C$8,ThongTin!$C$19:$C$48,"XUAT_SP")&gt;0),1,0))</f>
        <v>0</v>
      </c>
    </row>
    <row r="124" spans="1:8" x14ac:dyDescent="0.25">
      <c r="A124" s="41"/>
      <c r="B124" s="33"/>
      <c r="C124" s="32"/>
      <c r="D124" s="32"/>
      <c r="E124" s="37"/>
      <c r="F124" s="42"/>
      <c r="G124" s="32"/>
      <c r="H124" s="36">
        <f>IF(D124="",0,IF(AND(B124&gt;=ThongTin!$C$9,B124&lt;=ThongTin!$C$10,COUNTIFS(ThongTin!$B$19:$B$48,C124,ThongTin!$A$19:$A$48,ThongTin!$C$8,ThongTin!$C$19:$C$48,"XUAT_SP")&gt;0),1,0))</f>
        <v>0</v>
      </c>
    </row>
    <row r="125" spans="1:8" x14ac:dyDescent="0.25">
      <c r="A125" s="41"/>
      <c r="B125" s="33"/>
      <c r="C125" s="32"/>
      <c r="D125" s="32"/>
      <c r="E125" s="37"/>
      <c r="F125" s="42"/>
      <c r="G125" s="32"/>
      <c r="H125" s="36">
        <f>IF(D125="",0,IF(AND(B125&gt;=ThongTin!$C$9,B125&lt;=ThongTin!$C$10,COUNTIFS(ThongTin!$B$19:$B$48,C125,ThongTin!$A$19:$A$48,ThongTin!$C$8,ThongTin!$C$19:$C$48,"XUAT_SP")&gt;0),1,0))</f>
        <v>0</v>
      </c>
    </row>
    <row r="126" spans="1:8" x14ac:dyDescent="0.25">
      <c r="A126" s="41"/>
      <c r="B126" s="33"/>
      <c r="C126" s="32"/>
      <c r="D126" s="32"/>
      <c r="E126" s="37"/>
      <c r="F126" s="42"/>
      <c r="G126" s="32"/>
      <c r="H126" s="36">
        <f>IF(D126="",0,IF(AND(B126&gt;=ThongTin!$C$9,B126&lt;=ThongTin!$C$10,COUNTIFS(ThongTin!$B$19:$B$48,C126,ThongTin!$A$19:$A$48,ThongTin!$C$8,ThongTin!$C$19:$C$48,"XUAT_SP")&gt;0),1,0))</f>
        <v>0</v>
      </c>
    </row>
    <row r="127" spans="1:8" x14ac:dyDescent="0.25">
      <c r="A127" s="41"/>
      <c r="B127" s="33"/>
      <c r="C127" s="32"/>
      <c r="D127" s="32"/>
      <c r="E127" s="37"/>
      <c r="F127" s="42"/>
      <c r="G127" s="32"/>
      <c r="H127" s="36">
        <f>IF(D127="",0,IF(AND(B127&gt;=ThongTin!$C$9,B127&lt;=ThongTin!$C$10,COUNTIFS(ThongTin!$B$19:$B$48,C127,ThongTin!$A$19:$A$48,ThongTin!$C$8,ThongTin!$C$19:$C$48,"XUAT_SP")&gt;0),1,0))</f>
        <v>0</v>
      </c>
    </row>
    <row r="128" spans="1:8" x14ac:dyDescent="0.25">
      <c r="A128" s="41"/>
      <c r="B128" s="33"/>
      <c r="C128" s="32"/>
      <c r="D128" s="32"/>
      <c r="E128" s="37"/>
      <c r="F128" s="42"/>
      <c r="G128" s="32"/>
      <c r="H128" s="36">
        <f>IF(D128="",0,IF(AND(B128&gt;=ThongTin!$C$9,B128&lt;=ThongTin!$C$10,COUNTIFS(ThongTin!$B$19:$B$48,C128,ThongTin!$A$19:$A$48,ThongTin!$C$8,ThongTin!$C$19:$C$48,"XUAT_SP")&gt;0),1,0))</f>
        <v>0</v>
      </c>
    </row>
    <row r="129" spans="1:8" x14ac:dyDescent="0.25">
      <c r="A129" s="41"/>
      <c r="B129" s="33"/>
      <c r="C129" s="32"/>
      <c r="D129" s="32"/>
      <c r="E129" s="37"/>
      <c r="F129" s="42"/>
      <c r="G129" s="32"/>
      <c r="H129" s="36">
        <f>IF(D129="",0,IF(AND(B129&gt;=ThongTin!$C$9,B129&lt;=ThongTin!$C$10,COUNTIFS(ThongTin!$B$19:$B$48,C129,ThongTin!$A$19:$A$48,ThongTin!$C$8,ThongTin!$C$19:$C$48,"XUAT_SP")&gt;0),1,0))</f>
        <v>0</v>
      </c>
    </row>
    <row r="130" spans="1:8" x14ac:dyDescent="0.25">
      <c r="A130" s="41"/>
      <c r="B130" s="33"/>
      <c r="C130" s="32"/>
      <c r="D130" s="32"/>
      <c r="E130" s="37"/>
      <c r="F130" s="42"/>
      <c r="G130" s="32"/>
      <c r="H130" s="36">
        <f>IF(D130="",0,IF(AND(B130&gt;=ThongTin!$C$9,B130&lt;=ThongTin!$C$10,COUNTIFS(ThongTin!$B$19:$B$48,C130,ThongTin!$A$19:$A$48,ThongTin!$C$8,ThongTin!$C$19:$C$48,"XUAT_SP")&gt;0),1,0))</f>
        <v>0</v>
      </c>
    </row>
    <row r="131" spans="1:8" x14ac:dyDescent="0.25">
      <c r="A131" s="41"/>
      <c r="B131" s="33"/>
      <c r="C131" s="32"/>
      <c r="D131" s="32"/>
      <c r="E131" s="37"/>
      <c r="F131" s="42"/>
      <c r="G131" s="32"/>
      <c r="H131" s="36">
        <f>IF(D131="",0,IF(AND(B131&gt;=ThongTin!$C$9,B131&lt;=ThongTin!$C$10,COUNTIFS(ThongTin!$B$19:$B$48,C131,ThongTin!$A$19:$A$48,ThongTin!$C$8,ThongTin!$C$19:$C$48,"XUAT_SP")&gt;0),1,0))</f>
        <v>0</v>
      </c>
    </row>
    <row r="132" spans="1:8" x14ac:dyDescent="0.25">
      <c r="A132" s="41"/>
      <c r="B132" s="33"/>
      <c r="C132" s="32"/>
      <c r="D132" s="32"/>
      <c r="E132" s="37"/>
      <c r="F132" s="42"/>
      <c r="G132" s="32"/>
      <c r="H132" s="36">
        <f>IF(D132="",0,IF(AND(B132&gt;=ThongTin!$C$9,B132&lt;=ThongTin!$C$10,COUNTIFS(ThongTin!$B$19:$B$48,C132,ThongTin!$A$19:$A$48,ThongTin!$C$8,ThongTin!$C$19:$C$48,"XUAT_SP")&gt;0),1,0))</f>
        <v>0</v>
      </c>
    </row>
    <row r="133" spans="1:8" x14ac:dyDescent="0.25">
      <c r="A133" s="41"/>
      <c r="B133" s="33"/>
      <c r="C133" s="32"/>
      <c r="D133" s="32"/>
      <c r="E133" s="37"/>
      <c r="F133" s="42"/>
      <c r="G133" s="32"/>
      <c r="H133" s="36">
        <f>IF(D133="",0,IF(AND(B133&gt;=ThongTin!$C$9,B133&lt;=ThongTin!$C$10,COUNTIFS(ThongTin!$B$19:$B$48,C133,ThongTin!$A$19:$A$48,ThongTin!$C$8,ThongTin!$C$19:$C$48,"XUAT_SP")&gt;0),1,0))</f>
        <v>0</v>
      </c>
    </row>
    <row r="134" spans="1:8" x14ac:dyDescent="0.25">
      <c r="A134" s="41"/>
      <c r="B134" s="33"/>
      <c r="C134" s="32"/>
      <c r="D134" s="32"/>
      <c r="E134" s="37"/>
      <c r="F134" s="42"/>
      <c r="G134" s="32"/>
      <c r="H134" s="36">
        <f>IF(D134="",0,IF(AND(B134&gt;=ThongTin!$C$9,B134&lt;=ThongTin!$C$10,COUNTIFS(ThongTin!$B$19:$B$48,C134,ThongTin!$A$19:$A$48,ThongTin!$C$8,ThongTin!$C$19:$C$48,"XUAT_SP")&gt;0),1,0))</f>
        <v>0</v>
      </c>
    </row>
    <row r="135" spans="1:8" x14ac:dyDescent="0.25">
      <c r="A135" s="41"/>
      <c r="B135" s="33"/>
      <c r="C135" s="32"/>
      <c r="D135" s="32"/>
      <c r="E135" s="37"/>
      <c r="F135" s="42"/>
      <c r="G135" s="32"/>
      <c r="H135" s="36">
        <f>IF(D135="",0,IF(AND(B135&gt;=ThongTin!$C$9,B135&lt;=ThongTin!$C$10,COUNTIFS(ThongTin!$B$19:$B$48,C135,ThongTin!$A$19:$A$48,ThongTin!$C$8,ThongTin!$C$19:$C$48,"XUAT_SP")&gt;0),1,0))</f>
        <v>0</v>
      </c>
    </row>
    <row r="136" spans="1:8" x14ac:dyDescent="0.25">
      <c r="A136" s="41"/>
      <c r="B136" s="33"/>
      <c r="C136" s="32"/>
      <c r="D136" s="32"/>
      <c r="E136" s="37"/>
      <c r="F136" s="42"/>
      <c r="G136" s="32"/>
      <c r="H136" s="36">
        <f>IF(D136="",0,IF(AND(B136&gt;=ThongTin!$C$9,B136&lt;=ThongTin!$C$10,COUNTIFS(ThongTin!$B$19:$B$48,C136,ThongTin!$A$19:$A$48,ThongTin!$C$8,ThongTin!$C$19:$C$48,"XUAT_SP")&gt;0),1,0))</f>
        <v>0</v>
      </c>
    </row>
    <row r="137" spans="1:8" x14ac:dyDescent="0.25">
      <c r="A137" s="41"/>
      <c r="B137" s="33"/>
      <c r="C137" s="32"/>
      <c r="D137" s="32"/>
      <c r="E137" s="37"/>
      <c r="F137" s="42"/>
      <c r="G137" s="32"/>
      <c r="H137" s="36">
        <f>IF(D137="",0,IF(AND(B137&gt;=ThongTin!$C$9,B137&lt;=ThongTin!$C$10,COUNTIFS(ThongTin!$B$19:$B$48,C137,ThongTin!$A$19:$A$48,ThongTin!$C$8,ThongTin!$C$19:$C$48,"XUAT_SP")&gt;0),1,0))</f>
        <v>0</v>
      </c>
    </row>
    <row r="138" spans="1:8" x14ac:dyDescent="0.25">
      <c r="A138" s="41"/>
      <c r="B138" s="33"/>
      <c r="C138" s="32"/>
      <c r="D138" s="32"/>
      <c r="E138" s="37"/>
      <c r="F138" s="42"/>
      <c r="G138" s="32"/>
      <c r="H138" s="36">
        <f>IF(D138="",0,IF(AND(B138&gt;=ThongTin!$C$9,B138&lt;=ThongTin!$C$10,COUNTIFS(ThongTin!$B$19:$B$48,C138,ThongTin!$A$19:$A$48,ThongTin!$C$8,ThongTin!$C$19:$C$48,"XUAT_SP")&gt;0),1,0))</f>
        <v>0</v>
      </c>
    </row>
    <row r="139" spans="1:8" x14ac:dyDescent="0.25">
      <c r="A139" s="41"/>
      <c r="B139" s="33"/>
      <c r="C139" s="32"/>
      <c r="D139" s="32"/>
      <c r="E139" s="37"/>
      <c r="F139" s="42"/>
      <c r="G139" s="32"/>
      <c r="H139" s="36">
        <f>IF(D139="",0,IF(AND(B139&gt;=ThongTin!$C$9,B139&lt;=ThongTin!$C$10,COUNTIFS(ThongTin!$B$19:$B$48,C139,ThongTin!$A$19:$A$48,ThongTin!$C$8,ThongTin!$C$19:$C$48,"XUAT_SP")&gt;0),1,0))</f>
        <v>0</v>
      </c>
    </row>
    <row r="140" spans="1:8" x14ac:dyDescent="0.25">
      <c r="A140" s="41"/>
      <c r="B140" s="33"/>
      <c r="C140" s="32"/>
      <c r="D140" s="32"/>
      <c r="E140" s="37"/>
      <c r="F140" s="42"/>
      <c r="G140" s="32"/>
      <c r="H140" s="36">
        <f>IF(D140="",0,IF(AND(B140&gt;=ThongTin!$C$9,B140&lt;=ThongTin!$C$10,COUNTIFS(ThongTin!$B$19:$B$48,C140,ThongTin!$A$19:$A$48,ThongTin!$C$8,ThongTin!$C$19:$C$48,"XUAT_SP")&gt;0),1,0))</f>
        <v>0</v>
      </c>
    </row>
    <row r="141" spans="1:8" x14ac:dyDescent="0.25">
      <c r="A141" s="41"/>
      <c r="B141" s="33"/>
      <c r="C141" s="32"/>
      <c r="D141" s="32"/>
      <c r="E141" s="37"/>
      <c r="F141" s="42"/>
      <c r="G141" s="32"/>
      <c r="H141" s="36">
        <f>IF(D141="",0,IF(AND(B141&gt;=ThongTin!$C$9,B141&lt;=ThongTin!$C$10,COUNTIFS(ThongTin!$B$19:$B$48,C141,ThongTin!$A$19:$A$48,ThongTin!$C$8,ThongTin!$C$19:$C$48,"XUAT_SP")&gt;0),1,0))</f>
        <v>0</v>
      </c>
    </row>
    <row r="142" spans="1:8" x14ac:dyDescent="0.25">
      <c r="A142" s="41"/>
      <c r="B142" s="33"/>
      <c r="C142" s="32"/>
      <c r="D142" s="32"/>
      <c r="E142" s="37"/>
      <c r="F142" s="42"/>
      <c r="G142" s="32"/>
      <c r="H142" s="36">
        <f>IF(D142="",0,IF(AND(B142&gt;=ThongTin!$C$9,B142&lt;=ThongTin!$C$10,COUNTIFS(ThongTin!$B$19:$B$48,C142,ThongTin!$A$19:$A$48,ThongTin!$C$8,ThongTin!$C$19:$C$48,"XUAT_SP")&gt;0),1,0))</f>
        <v>0</v>
      </c>
    </row>
    <row r="143" spans="1:8" x14ac:dyDescent="0.25">
      <c r="A143" s="41"/>
      <c r="B143" s="33"/>
      <c r="C143" s="32"/>
      <c r="D143" s="32"/>
      <c r="E143" s="37"/>
      <c r="F143" s="42"/>
      <c r="G143" s="32"/>
      <c r="H143" s="36">
        <f>IF(D143="",0,IF(AND(B143&gt;=ThongTin!$C$9,B143&lt;=ThongTin!$C$10,COUNTIFS(ThongTin!$B$19:$B$48,C143,ThongTin!$A$19:$A$48,ThongTin!$C$8,ThongTin!$C$19:$C$48,"XUAT_SP")&gt;0),1,0))</f>
        <v>0</v>
      </c>
    </row>
    <row r="144" spans="1:8" x14ac:dyDescent="0.25">
      <c r="A144" s="41"/>
      <c r="B144" s="33"/>
      <c r="C144" s="32"/>
      <c r="D144" s="32"/>
      <c r="E144" s="37"/>
      <c r="F144" s="42"/>
      <c r="G144" s="32"/>
      <c r="H144" s="36">
        <f>IF(D144="",0,IF(AND(B144&gt;=ThongTin!$C$9,B144&lt;=ThongTin!$C$10,COUNTIFS(ThongTin!$B$19:$B$48,C144,ThongTin!$A$19:$A$48,ThongTin!$C$8,ThongTin!$C$19:$C$48,"XUAT_SP")&gt;0),1,0))</f>
        <v>0</v>
      </c>
    </row>
    <row r="145" spans="1:8" x14ac:dyDescent="0.25">
      <c r="A145" s="41"/>
      <c r="B145" s="33"/>
      <c r="C145" s="32"/>
      <c r="D145" s="32"/>
      <c r="E145" s="37"/>
      <c r="F145" s="42"/>
      <c r="G145" s="32"/>
      <c r="H145" s="36">
        <f>IF(D145="",0,IF(AND(B145&gt;=ThongTin!$C$9,B145&lt;=ThongTin!$C$10,COUNTIFS(ThongTin!$B$19:$B$48,C145,ThongTin!$A$19:$A$48,ThongTin!$C$8,ThongTin!$C$19:$C$48,"XUAT_SP")&gt;0),1,0))</f>
        <v>0</v>
      </c>
    </row>
    <row r="146" spans="1:8" x14ac:dyDescent="0.25">
      <c r="A146" s="41"/>
      <c r="B146" s="33"/>
      <c r="C146" s="32"/>
      <c r="D146" s="32"/>
      <c r="E146" s="37"/>
      <c r="F146" s="42"/>
      <c r="G146" s="32"/>
      <c r="H146" s="36">
        <f>IF(D146="",0,IF(AND(B146&gt;=ThongTin!$C$9,B146&lt;=ThongTin!$C$10,COUNTIFS(ThongTin!$B$19:$B$48,C146,ThongTin!$A$19:$A$48,ThongTin!$C$8,ThongTin!$C$19:$C$48,"XUAT_SP")&gt;0),1,0))</f>
        <v>0</v>
      </c>
    </row>
    <row r="147" spans="1:8" x14ac:dyDescent="0.25">
      <c r="A147" s="41"/>
      <c r="B147" s="33"/>
      <c r="C147" s="32"/>
      <c r="D147" s="32"/>
      <c r="E147" s="37"/>
      <c r="F147" s="42"/>
      <c r="G147" s="32"/>
      <c r="H147" s="36">
        <f>IF(D147="",0,IF(AND(B147&gt;=ThongTin!$C$9,B147&lt;=ThongTin!$C$10,COUNTIFS(ThongTin!$B$19:$B$48,C147,ThongTin!$A$19:$A$48,ThongTin!$C$8,ThongTin!$C$19:$C$48,"XUAT_SP")&gt;0),1,0))</f>
        <v>0</v>
      </c>
    </row>
    <row r="148" spans="1:8" x14ac:dyDescent="0.25">
      <c r="A148" s="41"/>
      <c r="B148" s="33"/>
      <c r="C148" s="32"/>
      <c r="D148" s="32"/>
      <c r="E148" s="37"/>
      <c r="F148" s="42"/>
      <c r="G148" s="32"/>
      <c r="H148" s="36">
        <f>IF(D148="",0,IF(AND(B148&gt;=ThongTin!$C$9,B148&lt;=ThongTin!$C$10,COUNTIFS(ThongTin!$B$19:$B$48,C148,ThongTin!$A$19:$A$48,ThongTin!$C$8,ThongTin!$C$19:$C$48,"XUAT_SP")&gt;0),1,0))</f>
        <v>0</v>
      </c>
    </row>
    <row r="149" spans="1:8" x14ac:dyDescent="0.25">
      <c r="A149" s="41"/>
      <c r="B149" s="33"/>
      <c r="C149" s="32"/>
      <c r="D149" s="32"/>
      <c r="E149" s="37"/>
      <c r="F149" s="42"/>
      <c r="G149" s="32"/>
      <c r="H149" s="36">
        <f>IF(D149="",0,IF(AND(B149&gt;=ThongTin!$C$9,B149&lt;=ThongTin!$C$10,COUNTIFS(ThongTin!$B$19:$B$48,C149,ThongTin!$A$19:$A$48,ThongTin!$C$8,ThongTin!$C$19:$C$48,"XUAT_SP")&gt;0),1,0))</f>
        <v>0</v>
      </c>
    </row>
    <row r="150" spans="1:8" x14ac:dyDescent="0.25">
      <c r="A150" s="41"/>
      <c r="B150" s="33"/>
      <c r="C150" s="32"/>
      <c r="D150" s="32"/>
      <c r="E150" s="37"/>
      <c r="F150" s="42"/>
      <c r="G150" s="32"/>
      <c r="H150" s="36">
        <f>IF(D150="",0,IF(AND(B150&gt;=ThongTin!$C$9,B150&lt;=ThongTin!$C$10,COUNTIFS(ThongTin!$B$19:$B$48,C150,ThongTin!$A$19:$A$48,ThongTin!$C$8,ThongTin!$C$19:$C$48,"XUAT_SP")&gt;0),1,0))</f>
        <v>0</v>
      </c>
    </row>
    <row r="151" spans="1:8" x14ac:dyDescent="0.25">
      <c r="A151" s="41"/>
      <c r="B151" s="33"/>
      <c r="C151" s="32"/>
      <c r="D151" s="32"/>
      <c r="E151" s="37"/>
      <c r="F151" s="42"/>
      <c r="G151" s="32"/>
      <c r="H151" s="36">
        <f>IF(D151="",0,IF(AND(B151&gt;=ThongTin!$C$9,B151&lt;=ThongTin!$C$10,COUNTIFS(ThongTin!$B$19:$B$48,C151,ThongTin!$A$19:$A$48,ThongTin!$C$8,ThongTin!$C$19:$C$48,"XUAT_SP")&gt;0),1,0))</f>
        <v>0</v>
      </c>
    </row>
    <row r="152" spans="1:8" x14ac:dyDescent="0.25">
      <c r="A152" s="41"/>
      <c r="B152" s="33"/>
      <c r="C152" s="32"/>
      <c r="D152" s="32"/>
      <c r="E152" s="37"/>
      <c r="F152" s="42"/>
      <c r="G152" s="32"/>
      <c r="H152" s="36">
        <f>IF(D152="",0,IF(AND(B152&gt;=ThongTin!$C$9,B152&lt;=ThongTin!$C$10,COUNTIFS(ThongTin!$B$19:$B$48,C152,ThongTin!$A$19:$A$48,ThongTin!$C$8,ThongTin!$C$19:$C$48,"XUAT_SP")&gt;0),1,0))</f>
        <v>0</v>
      </c>
    </row>
    <row r="153" spans="1:8" x14ac:dyDescent="0.25">
      <c r="A153" s="41"/>
      <c r="B153" s="33"/>
      <c r="C153" s="32"/>
      <c r="D153" s="32"/>
      <c r="E153" s="37"/>
      <c r="F153" s="42"/>
      <c r="G153" s="32"/>
      <c r="H153" s="36">
        <f>IF(D153="",0,IF(AND(B153&gt;=ThongTin!$C$9,B153&lt;=ThongTin!$C$10,COUNTIFS(ThongTin!$B$19:$B$48,C153,ThongTin!$A$19:$A$48,ThongTin!$C$8,ThongTin!$C$19:$C$48,"XUAT_SP")&gt;0),1,0))</f>
        <v>0</v>
      </c>
    </row>
    <row r="154" spans="1:8" x14ac:dyDescent="0.25">
      <c r="A154" s="41"/>
      <c r="B154" s="33"/>
      <c r="C154" s="32"/>
      <c r="D154" s="32"/>
      <c r="E154" s="37"/>
      <c r="F154" s="42"/>
      <c r="G154" s="32"/>
      <c r="H154" s="36">
        <f>IF(D154="",0,IF(AND(B154&gt;=ThongTin!$C$9,B154&lt;=ThongTin!$C$10,COUNTIFS(ThongTin!$B$19:$B$48,C154,ThongTin!$A$19:$A$48,ThongTin!$C$8,ThongTin!$C$19:$C$48,"XUAT_SP")&gt;0),1,0))</f>
        <v>0</v>
      </c>
    </row>
    <row r="155" spans="1:8" x14ac:dyDescent="0.25">
      <c r="A155" s="41"/>
      <c r="B155" s="33"/>
      <c r="C155" s="32"/>
      <c r="D155" s="32"/>
      <c r="E155" s="37"/>
      <c r="F155" s="42"/>
      <c r="G155" s="32"/>
      <c r="H155" s="36">
        <f>IF(D155="",0,IF(AND(B155&gt;=ThongTin!$C$9,B155&lt;=ThongTin!$C$10,COUNTIFS(ThongTin!$B$19:$B$48,C155,ThongTin!$A$19:$A$48,ThongTin!$C$8,ThongTin!$C$19:$C$48,"XUAT_SP")&gt;0),1,0))</f>
        <v>0</v>
      </c>
    </row>
    <row r="156" spans="1:8" x14ac:dyDescent="0.25">
      <c r="A156" s="41"/>
      <c r="B156" s="33"/>
      <c r="C156" s="32"/>
      <c r="D156" s="32"/>
      <c r="E156" s="37"/>
      <c r="F156" s="42"/>
      <c r="G156" s="32"/>
      <c r="H156" s="36">
        <f>IF(D156="",0,IF(AND(B156&gt;=ThongTin!$C$9,B156&lt;=ThongTin!$C$10,COUNTIFS(ThongTin!$B$19:$B$48,C156,ThongTin!$A$19:$A$48,ThongTin!$C$8,ThongTin!$C$19:$C$48,"XUAT_SP")&gt;0),1,0))</f>
        <v>0</v>
      </c>
    </row>
    <row r="157" spans="1:8" x14ac:dyDescent="0.25">
      <c r="A157" s="41"/>
      <c r="B157" s="33"/>
      <c r="C157" s="32"/>
      <c r="D157" s="32"/>
      <c r="E157" s="37"/>
      <c r="F157" s="42"/>
      <c r="G157" s="32"/>
      <c r="H157" s="36">
        <f>IF(D157="",0,IF(AND(B157&gt;=ThongTin!$C$9,B157&lt;=ThongTin!$C$10,COUNTIFS(ThongTin!$B$19:$B$48,C157,ThongTin!$A$19:$A$48,ThongTin!$C$8,ThongTin!$C$19:$C$48,"XUAT_SP")&gt;0),1,0))</f>
        <v>0</v>
      </c>
    </row>
    <row r="158" spans="1:8" x14ac:dyDescent="0.25">
      <c r="A158" s="41"/>
      <c r="B158" s="33"/>
      <c r="C158" s="32"/>
      <c r="D158" s="32"/>
      <c r="E158" s="37"/>
      <c r="F158" s="42"/>
      <c r="G158" s="32"/>
      <c r="H158" s="36">
        <f>IF(D158="",0,IF(AND(B158&gt;=ThongTin!$C$9,B158&lt;=ThongTin!$C$10,COUNTIFS(ThongTin!$B$19:$B$48,C158,ThongTin!$A$19:$A$48,ThongTin!$C$8,ThongTin!$C$19:$C$48,"XUAT_SP")&gt;0),1,0))</f>
        <v>0</v>
      </c>
    </row>
    <row r="159" spans="1:8" x14ac:dyDescent="0.25">
      <c r="A159" s="41"/>
      <c r="B159" s="33"/>
      <c r="C159" s="32"/>
      <c r="D159" s="32"/>
      <c r="E159" s="37"/>
      <c r="F159" s="42"/>
      <c r="G159" s="32"/>
      <c r="H159" s="36">
        <f>IF(D159="",0,IF(AND(B159&gt;=ThongTin!$C$9,B159&lt;=ThongTin!$C$10,COUNTIFS(ThongTin!$B$19:$B$48,C159,ThongTin!$A$19:$A$48,ThongTin!$C$8,ThongTin!$C$19:$C$48,"XUAT_SP")&gt;0),1,0))</f>
        <v>0</v>
      </c>
    </row>
    <row r="160" spans="1:8" x14ac:dyDescent="0.25">
      <c r="A160" s="41"/>
      <c r="B160" s="33"/>
      <c r="C160" s="32"/>
      <c r="D160" s="32"/>
      <c r="E160" s="37"/>
      <c r="F160" s="42"/>
      <c r="G160" s="32"/>
      <c r="H160" s="36">
        <f>IF(D160="",0,IF(AND(B160&gt;=ThongTin!$C$9,B160&lt;=ThongTin!$C$10,COUNTIFS(ThongTin!$B$19:$B$48,C160,ThongTin!$A$19:$A$48,ThongTin!$C$8,ThongTin!$C$19:$C$48,"XUAT_SP")&gt;0),1,0))</f>
        <v>0</v>
      </c>
    </row>
    <row r="161" spans="1:8" x14ac:dyDescent="0.25">
      <c r="A161" s="41"/>
      <c r="B161" s="33"/>
      <c r="C161" s="32"/>
      <c r="D161" s="32"/>
      <c r="E161" s="37"/>
      <c r="F161" s="42"/>
      <c r="G161" s="32"/>
      <c r="H161" s="36">
        <f>IF(D161="",0,IF(AND(B161&gt;=ThongTin!$C$9,B161&lt;=ThongTin!$C$10,COUNTIFS(ThongTin!$B$19:$B$48,C161,ThongTin!$A$19:$A$48,ThongTin!$C$8,ThongTin!$C$19:$C$48,"XUAT_SP")&gt;0),1,0))</f>
        <v>0</v>
      </c>
    </row>
    <row r="162" spans="1:8" x14ac:dyDescent="0.25">
      <c r="A162" s="41"/>
      <c r="B162" s="33"/>
      <c r="C162" s="32"/>
      <c r="D162" s="32"/>
      <c r="E162" s="37"/>
      <c r="F162" s="42"/>
      <c r="G162" s="32"/>
      <c r="H162" s="36">
        <f>IF(D162="",0,IF(AND(B162&gt;=ThongTin!$C$9,B162&lt;=ThongTin!$C$10,COUNTIFS(ThongTin!$B$19:$B$48,C162,ThongTin!$A$19:$A$48,ThongTin!$C$8,ThongTin!$C$19:$C$48,"XUAT_SP")&gt;0),1,0))</f>
        <v>0</v>
      </c>
    </row>
    <row r="163" spans="1:8" x14ac:dyDescent="0.25">
      <c r="A163" s="41"/>
      <c r="B163" s="33"/>
      <c r="C163" s="32"/>
      <c r="D163" s="32"/>
      <c r="E163" s="37"/>
      <c r="F163" s="42"/>
      <c r="G163" s="32"/>
      <c r="H163" s="36">
        <f>IF(D163="",0,IF(AND(B163&gt;=ThongTin!$C$9,B163&lt;=ThongTin!$C$10,COUNTIFS(ThongTin!$B$19:$B$48,C163,ThongTin!$A$19:$A$48,ThongTin!$C$8,ThongTin!$C$19:$C$48,"XUAT_SP")&gt;0),1,0))</f>
        <v>0</v>
      </c>
    </row>
    <row r="164" spans="1:8" x14ac:dyDescent="0.25">
      <c r="A164" s="41"/>
      <c r="B164" s="33"/>
      <c r="C164" s="32"/>
      <c r="D164" s="32"/>
      <c r="E164" s="37"/>
      <c r="F164" s="42"/>
      <c r="G164" s="32"/>
      <c r="H164" s="36">
        <f>IF(D164="",0,IF(AND(B164&gt;=ThongTin!$C$9,B164&lt;=ThongTin!$C$10,COUNTIFS(ThongTin!$B$19:$B$48,C164,ThongTin!$A$19:$A$48,ThongTin!$C$8,ThongTin!$C$19:$C$48,"XUAT_SP")&gt;0),1,0))</f>
        <v>0</v>
      </c>
    </row>
    <row r="165" spans="1:8" x14ac:dyDescent="0.25">
      <c r="A165" s="41"/>
      <c r="B165" s="33"/>
      <c r="C165" s="32"/>
      <c r="D165" s="32"/>
      <c r="E165" s="37"/>
      <c r="F165" s="42"/>
      <c r="G165" s="32"/>
      <c r="H165" s="36">
        <f>IF(D165="",0,IF(AND(B165&gt;=ThongTin!$C$9,B165&lt;=ThongTin!$C$10,COUNTIFS(ThongTin!$B$19:$B$48,C165,ThongTin!$A$19:$A$48,ThongTin!$C$8,ThongTin!$C$19:$C$48,"XUAT_SP")&gt;0),1,0))</f>
        <v>0</v>
      </c>
    </row>
    <row r="166" spans="1:8" x14ac:dyDescent="0.25">
      <c r="A166" s="41"/>
      <c r="B166" s="33"/>
      <c r="C166" s="32"/>
      <c r="D166" s="32"/>
      <c r="E166" s="37"/>
      <c r="F166" s="42"/>
      <c r="G166" s="32"/>
      <c r="H166" s="36">
        <f>IF(D166="",0,IF(AND(B166&gt;=ThongTin!$C$9,B166&lt;=ThongTin!$C$10,COUNTIFS(ThongTin!$B$19:$B$48,C166,ThongTin!$A$19:$A$48,ThongTin!$C$8,ThongTin!$C$19:$C$48,"XUAT_SP")&gt;0),1,0))</f>
        <v>0</v>
      </c>
    </row>
    <row r="167" spans="1:8" x14ac:dyDescent="0.25">
      <c r="A167" s="41"/>
      <c r="B167" s="33"/>
      <c r="C167" s="32"/>
      <c r="D167" s="32"/>
      <c r="E167" s="37"/>
      <c r="F167" s="42"/>
      <c r="G167" s="32"/>
      <c r="H167" s="36">
        <f>IF(D167="",0,IF(AND(B167&gt;=ThongTin!$C$9,B167&lt;=ThongTin!$C$10,COUNTIFS(ThongTin!$B$19:$B$48,C167,ThongTin!$A$19:$A$48,ThongTin!$C$8,ThongTin!$C$19:$C$48,"XUAT_SP")&gt;0),1,0))</f>
        <v>0</v>
      </c>
    </row>
    <row r="168" spans="1:8" x14ac:dyDescent="0.25">
      <c r="A168" s="41"/>
      <c r="B168" s="33"/>
      <c r="C168" s="32"/>
      <c r="D168" s="32"/>
      <c r="E168" s="37"/>
      <c r="F168" s="42"/>
      <c r="G168" s="32"/>
      <c r="H168" s="36">
        <f>IF(D168="",0,IF(AND(B168&gt;=ThongTin!$C$9,B168&lt;=ThongTin!$C$10,COUNTIFS(ThongTin!$B$19:$B$48,C168,ThongTin!$A$19:$A$48,ThongTin!$C$8,ThongTin!$C$19:$C$48,"XUAT_SP")&gt;0),1,0))</f>
        <v>0</v>
      </c>
    </row>
    <row r="169" spans="1:8" x14ac:dyDescent="0.25">
      <c r="A169" s="41"/>
      <c r="B169" s="33"/>
      <c r="C169" s="32"/>
      <c r="D169" s="32"/>
      <c r="E169" s="37"/>
      <c r="F169" s="42"/>
      <c r="G169" s="32"/>
      <c r="H169" s="36">
        <f>IF(D169="",0,IF(AND(B169&gt;=ThongTin!$C$9,B169&lt;=ThongTin!$C$10,COUNTIFS(ThongTin!$B$19:$B$48,C169,ThongTin!$A$19:$A$48,ThongTin!$C$8,ThongTin!$C$19:$C$48,"XUAT_SP")&gt;0),1,0))</f>
        <v>0</v>
      </c>
    </row>
    <row r="170" spans="1:8" x14ac:dyDescent="0.25">
      <c r="A170" s="41"/>
      <c r="B170" s="33"/>
      <c r="C170" s="32"/>
      <c r="D170" s="32"/>
      <c r="E170" s="37"/>
      <c r="F170" s="42"/>
      <c r="G170" s="32"/>
      <c r="H170" s="36">
        <f>IF(D170="",0,IF(AND(B170&gt;=ThongTin!$C$9,B170&lt;=ThongTin!$C$10,COUNTIFS(ThongTin!$B$19:$B$48,C170,ThongTin!$A$19:$A$48,ThongTin!$C$8,ThongTin!$C$19:$C$48,"XUAT_SP")&gt;0),1,0))</f>
        <v>0</v>
      </c>
    </row>
    <row r="171" spans="1:8" x14ac:dyDescent="0.25">
      <c r="A171" s="41"/>
      <c r="B171" s="33"/>
      <c r="C171" s="32"/>
      <c r="D171" s="32"/>
      <c r="E171" s="37"/>
      <c r="F171" s="42"/>
      <c r="G171" s="32"/>
      <c r="H171" s="36">
        <f>IF(D171="",0,IF(AND(B171&gt;=ThongTin!$C$9,B171&lt;=ThongTin!$C$10,COUNTIFS(ThongTin!$B$19:$B$48,C171,ThongTin!$A$19:$A$48,ThongTin!$C$8,ThongTin!$C$19:$C$48,"XUAT_SP")&gt;0),1,0))</f>
        <v>0</v>
      </c>
    </row>
    <row r="172" spans="1:8" x14ac:dyDescent="0.25">
      <c r="A172" s="41"/>
      <c r="B172" s="33"/>
      <c r="C172" s="32"/>
      <c r="D172" s="32"/>
      <c r="E172" s="37"/>
      <c r="F172" s="42"/>
      <c r="G172" s="32"/>
      <c r="H172" s="36">
        <f>IF(D172="",0,IF(AND(B172&gt;=ThongTin!$C$9,B172&lt;=ThongTin!$C$10,COUNTIFS(ThongTin!$B$19:$B$48,C172,ThongTin!$A$19:$A$48,ThongTin!$C$8,ThongTin!$C$19:$C$48,"XUAT_SP")&gt;0),1,0))</f>
        <v>0</v>
      </c>
    </row>
    <row r="173" spans="1:8" x14ac:dyDescent="0.25">
      <c r="A173" s="41"/>
      <c r="B173" s="33"/>
      <c r="C173" s="32"/>
      <c r="D173" s="32"/>
      <c r="E173" s="37"/>
      <c r="F173" s="42"/>
      <c r="G173" s="32"/>
      <c r="H173" s="36">
        <f>IF(D173="",0,IF(AND(B173&gt;=ThongTin!$C$9,B173&lt;=ThongTin!$C$10,COUNTIFS(ThongTin!$B$19:$B$48,C173,ThongTin!$A$19:$A$48,ThongTin!$C$8,ThongTin!$C$19:$C$48,"XUAT_SP")&gt;0),1,0))</f>
        <v>0</v>
      </c>
    </row>
    <row r="174" spans="1:8" x14ac:dyDescent="0.25">
      <c r="A174" s="41"/>
      <c r="B174" s="33"/>
      <c r="C174" s="32"/>
      <c r="D174" s="32"/>
      <c r="E174" s="37"/>
      <c r="F174" s="42"/>
      <c r="G174" s="32"/>
      <c r="H174" s="36">
        <f>IF(D174="",0,IF(AND(B174&gt;=ThongTin!$C$9,B174&lt;=ThongTin!$C$10,COUNTIFS(ThongTin!$B$19:$B$48,C174,ThongTin!$A$19:$A$48,ThongTin!$C$8,ThongTin!$C$19:$C$48,"XUAT_SP")&gt;0),1,0))</f>
        <v>0</v>
      </c>
    </row>
    <row r="175" spans="1:8" x14ac:dyDescent="0.25">
      <c r="A175" s="41"/>
      <c r="B175" s="33"/>
      <c r="C175" s="32"/>
      <c r="D175" s="32"/>
      <c r="E175" s="37"/>
      <c r="F175" s="42"/>
      <c r="G175" s="32"/>
      <c r="H175" s="36">
        <f>IF(D175="",0,IF(AND(B175&gt;=ThongTin!$C$9,B175&lt;=ThongTin!$C$10,COUNTIFS(ThongTin!$B$19:$B$48,C175,ThongTin!$A$19:$A$48,ThongTin!$C$8,ThongTin!$C$19:$C$48,"XUAT_SP")&gt;0),1,0))</f>
        <v>0</v>
      </c>
    </row>
    <row r="176" spans="1:8" x14ac:dyDescent="0.25">
      <c r="A176" s="41"/>
      <c r="B176" s="33"/>
      <c r="C176" s="32"/>
      <c r="D176" s="32"/>
      <c r="E176" s="37"/>
      <c r="F176" s="42"/>
      <c r="G176" s="32"/>
      <c r="H176" s="36">
        <f>IF(D176="",0,IF(AND(B176&gt;=ThongTin!$C$9,B176&lt;=ThongTin!$C$10,COUNTIFS(ThongTin!$B$19:$B$48,C176,ThongTin!$A$19:$A$48,ThongTin!$C$8,ThongTin!$C$19:$C$48,"XUAT_SP")&gt;0),1,0))</f>
        <v>0</v>
      </c>
    </row>
    <row r="177" spans="1:8" x14ac:dyDescent="0.25">
      <c r="A177" s="41"/>
      <c r="B177" s="33"/>
      <c r="C177" s="32"/>
      <c r="D177" s="32"/>
      <c r="E177" s="37"/>
      <c r="F177" s="42"/>
      <c r="G177" s="32"/>
      <c r="H177" s="36">
        <f>IF(D177="",0,IF(AND(B177&gt;=ThongTin!$C$9,B177&lt;=ThongTin!$C$10,COUNTIFS(ThongTin!$B$19:$B$48,C177,ThongTin!$A$19:$A$48,ThongTin!$C$8,ThongTin!$C$19:$C$48,"XUAT_SP")&gt;0),1,0))</f>
        <v>0</v>
      </c>
    </row>
    <row r="178" spans="1:8" x14ac:dyDescent="0.25">
      <c r="A178" s="41"/>
      <c r="B178" s="33"/>
      <c r="C178" s="32"/>
      <c r="D178" s="32"/>
      <c r="E178" s="37"/>
      <c r="F178" s="42"/>
      <c r="G178" s="32"/>
      <c r="H178" s="36">
        <f>IF(D178="",0,IF(AND(B178&gt;=ThongTin!$C$9,B178&lt;=ThongTin!$C$10,COUNTIFS(ThongTin!$B$19:$B$48,C178,ThongTin!$A$19:$A$48,ThongTin!$C$8,ThongTin!$C$19:$C$48,"XUAT_SP")&gt;0),1,0))</f>
        <v>0</v>
      </c>
    </row>
    <row r="179" spans="1:8" x14ac:dyDescent="0.25">
      <c r="A179" s="41"/>
      <c r="B179" s="33"/>
      <c r="C179" s="32"/>
      <c r="D179" s="32"/>
      <c r="E179" s="37"/>
      <c r="F179" s="42"/>
      <c r="G179" s="32"/>
      <c r="H179" s="36">
        <f>IF(D179="",0,IF(AND(B179&gt;=ThongTin!$C$9,B179&lt;=ThongTin!$C$10,COUNTIFS(ThongTin!$B$19:$B$48,C179,ThongTin!$A$19:$A$48,ThongTin!$C$8,ThongTin!$C$19:$C$48,"XUAT_SP")&gt;0),1,0))</f>
        <v>0</v>
      </c>
    </row>
    <row r="180" spans="1:8" x14ac:dyDescent="0.25">
      <c r="A180" s="41"/>
      <c r="B180" s="33"/>
      <c r="C180" s="32"/>
      <c r="D180" s="32"/>
      <c r="E180" s="37"/>
      <c r="F180" s="42"/>
      <c r="G180" s="32"/>
      <c r="H180" s="36">
        <f>IF(D180="",0,IF(AND(B180&gt;=ThongTin!$C$9,B180&lt;=ThongTin!$C$10,COUNTIFS(ThongTin!$B$19:$B$48,C180,ThongTin!$A$19:$A$48,ThongTin!$C$8,ThongTin!$C$19:$C$48,"XUAT_SP")&gt;0),1,0))</f>
        <v>0</v>
      </c>
    </row>
    <row r="181" spans="1:8" x14ac:dyDescent="0.25">
      <c r="A181" s="41"/>
      <c r="B181" s="33"/>
      <c r="C181" s="32"/>
      <c r="D181" s="32"/>
      <c r="E181" s="37"/>
      <c r="F181" s="42"/>
      <c r="G181" s="32"/>
      <c r="H181" s="36">
        <f>IF(D181="",0,IF(AND(B181&gt;=ThongTin!$C$9,B181&lt;=ThongTin!$C$10,COUNTIFS(ThongTin!$B$19:$B$48,C181,ThongTin!$A$19:$A$48,ThongTin!$C$8,ThongTin!$C$19:$C$48,"XUAT_SP")&gt;0),1,0))</f>
        <v>0</v>
      </c>
    </row>
    <row r="182" spans="1:8" x14ac:dyDescent="0.25">
      <c r="A182" s="41"/>
      <c r="B182" s="33"/>
      <c r="C182" s="32"/>
      <c r="D182" s="32"/>
      <c r="E182" s="37"/>
      <c r="F182" s="42"/>
      <c r="G182" s="32"/>
      <c r="H182" s="36">
        <f>IF(D182="",0,IF(AND(B182&gt;=ThongTin!$C$9,B182&lt;=ThongTin!$C$10,COUNTIFS(ThongTin!$B$19:$B$48,C182,ThongTin!$A$19:$A$48,ThongTin!$C$8,ThongTin!$C$19:$C$48,"XUAT_SP")&gt;0),1,0))</f>
        <v>0</v>
      </c>
    </row>
    <row r="183" spans="1:8" x14ac:dyDescent="0.25">
      <c r="A183" s="41"/>
      <c r="B183" s="33"/>
      <c r="C183" s="32"/>
      <c r="D183" s="32"/>
      <c r="E183" s="37"/>
      <c r="F183" s="42"/>
      <c r="G183" s="32"/>
      <c r="H183" s="36">
        <f>IF(D183="",0,IF(AND(B183&gt;=ThongTin!$C$9,B183&lt;=ThongTin!$C$10,COUNTIFS(ThongTin!$B$19:$B$48,C183,ThongTin!$A$19:$A$48,ThongTin!$C$8,ThongTin!$C$19:$C$48,"XUAT_SP")&gt;0),1,0))</f>
        <v>0</v>
      </c>
    </row>
    <row r="184" spans="1:8" x14ac:dyDescent="0.25">
      <c r="A184" s="41"/>
      <c r="B184" s="33"/>
      <c r="C184" s="32"/>
      <c r="D184" s="32"/>
      <c r="E184" s="37"/>
      <c r="F184" s="42"/>
      <c r="G184" s="32"/>
      <c r="H184" s="36">
        <f>IF(D184="",0,IF(AND(B184&gt;=ThongTin!$C$9,B184&lt;=ThongTin!$C$10,COUNTIFS(ThongTin!$B$19:$B$48,C184,ThongTin!$A$19:$A$48,ThongTin!$C$8,ThongTin!$C$19:$C$48,"XUAT_SP")&gt;0),1,0))</f>
        <v>0</v>
      </c>
    </row>
    <row r="185" spans="1:8" x14ac:dyDescent="0.25">
      <c r="A185" s="41"/>
      <c r="B185" s="33"/>
      <c r="C185" s="32"/>
      <c r="D185" s="32"/>
      <c r="E185" s="37"/>
      <c r="F185" s="42"/>
      <c r="G185" s="32"/>
      <c r="H185" s="36">
        <f>IF(D185="",0,IF(AND(B185&gt;=ThongTin!$C$9,B185&lt;=ThongTin!$C$10,COUNTIFS(ThongTin!$B$19:$B$48,C185,ThongTin!$A$19:$A$48,ThongTin!$C$8,ThongTin!$C$19:$C$48,"XUAT_SP")&gt;0),1,0))</f>
        <v>0</v>
      </c>
    </row>
    <row r="186" spans="1:8" x14ac:dyDescent="0.25">
      <c r="A186" s="41"/>
      <c r="B186" s="33"/>
      <c r="C186" s="32"/>
      <c r="D186" s="32"/>
      <c r="E186" s="37"/>
      <c r="F186" s="42"/>
      <c r="G186" s="32"/>
      <c r="H186" s="36">
        <f>IF(D186="",0,IF(AND(B186&gt;=ThongTin!$C$9,B186&lt;=ThongTin!$C$10,COUNTIFS(ThongTin!$B$19:$B$48,C186,ThongTin!$A$19:$A$48,ThongTin!$C$8,ThongTin!$C$19:$C$48,"XUAT_SP")&gt;0),1,0))</f>
        <v>0</v>
      </c>
    </row>
    <row r="187" spans="1:8" x14ac:dyDescent="0.25">
      <c r="A187" s="41"/>
      <c r="B187" s="33"/>
      <c r="C187" s="32"/>
      <c r="D187" s="32"/>
      <c r="E187" s="37"/>
      <c r="F187" s="42"/>
      <c r="G187" s="32"/>
      <c r="H187" s="36">
        <f>IF(D187="",0,IF(AND(B187&gt;=ThongTin!$C$9,B187&lt;=ThongTin!$C$10,COUNTIFS(ThongTin!$B$19:$B$48,C187,ThongTin!$A$19:$A$48,ThongTin!$C$8,ThongTin!$C$19:$C$48,"XUAT_SP")&gt;0),1,0))</f>
        <v>0</v>
      </c>
    </row>
    <row r="188" spans="1:8" x14ac:dyDescent="0.25">
      <c r="A188" s="41"/>
      <c r="B188" s="33"/>
      <c r="C188" s="32"/>
      <c r="D188" s="32"/>
      <c r="E188" s="37"/>
      <c r="F188" s="42"/>
      <c r="G188" s="32"/>
      <c r="H188" s="36">
        <f>IF(D188="",0,IF(AND(B188&gt;=ThongTin!$C$9,B188&lt;=ThongTin!$C$10,COUNTIFS(ThongTin!$B$19:$B$48,C188,ThongTin!$A$19:$A$48,ThongTin!$C$8,ThongTin!$C$19:$C$48,"XUAT_SP")&gt;0),1,0))</f>
        <v>0</v>
      </c>
    </row>
    <row r="189" spans="1:8" x14ac:dyDescent="0.25">
      <c r="A189" s="41"/>
      <c r="B189" s="33"/>
      <c r="C189" s="32"/>
      <c r="D189" s="32"/>
      <c r="E189" s="37"/>
      <c r="F189" s="42"/>
      <c r="G189" s="32"/>
      <c r="H189" s="36">
        <f>IF(D189="",0,IF(AND(B189&gt;=ThongTin!$C$9,B189&lt;=ThongTin!$C$10,COUNTIFS(ThongTin!$B$19:$B$48,C189,ThongTin!$A$19:$A$48,ThongTin!$C$8,ThongTin!$C$19:$C$48,"XUAT_SP")&gt;0),1,0))</f>
        <v>0</v>
      </c>
    </row>
    <row r="190" spans="1:8" x14ac:dyDescent="0.25">
      <c r="A190" s="41"/>
      <c r="B190" s="33"/>
      <c r="C190" s="32"/>
      <c r="D190" s="32"/>
      <c r="E190" s="37"/>
      <c r="F190" s="42"/>
      <c r="G190" s="32"/>
      <c r="H190" s="36">
        <f>IF(D190="",0,IF(AND(B190&gt;=ThongTin!$C$9,B190&lt;=ThongTin!$C$10,COUNTIFS(ThongTin!$B$19:$B$48,C190,ThongTin!$A$19:$A$48,ThongTin!$C$8,ThongTin!$C$19:$C$48,"XUAT_SP")&gt;0),1,0))</f>
        <v>0</v>
      </c>
    </row>
    <row r="191" spans="1:8" x14ac:dyDescent="0.25">
      <c r="A191" s="41"/>
      <c r="B191" s="33"/>
      <c r="C191" s="32"/>
      <c r="D191" s="32"/>
      <c r="E191" s="37"/>
      <c r="F191" s="42"/>
      <c r="G191" s="32"/>
      <c r="H191" s="36">
        <f>IF(D191="",0,IF(AND(B191&gt;=ThongTin!$C$9,B191&lt;=ThongTin!$C$10,COUNTIFS(ThongTin!$B$19:$B$48,C191,ThongTin!$A$19:$A$48,ThongTin!$C$8,ThongTin!$C$19:$C$48,"XUAT_SP")&gt;0),1,0))</f>
        <v>0</v>
      </c>
    </row>
    <row r="192" spans="1:8" x14ac:dyDescent="0.25">
      <c r="A192" s="41"/>
      <c r="B192" s="33"/>
      <c r="C192" s="32"/>
      <c r="D192" s="32"/>
      <c r="E192" s="37"/>
      <c r="F192" s="42"/>
      <c r="G192" s="32"/>
      <c r="H192" s="36">
        <f>IF(D192="",0,IF(AND(B192&gt;=ThongTin!$C$9,B192&lt;=ThongTin!$C$10,COUNTIFS(ThongTin!$B$19:$B$48,C192,ThongTin!$A$19:$A$48,ThongTin!$C$8,ThongTin!$C$19:$C$48,"XUAT_SP")&gt;0),1,0))</f>
        <v>0</v>
      </c>
    </row>
    <row r="193" spans="1:8" x14ac:dyDescent="0.25">
      <c r="A193" s="41"/>
      <c r="B193" s="33"/>
      <c r="C193" s="32"/>
      <c r="D193" s="32"/>
      <c r="E193" s="37"/>
      <c r="F193" s="42"/>
      <c r="G193" s="32"/>
      <c r="H193" s="36">
        <f>IF(D193="",0,IF(AND(B193&gt;=ThongTin!$C$9,B193&lt;=ThongTin!$C$10,COUNTIFS(ThongTin!$B$19:$B$48,C193,ThongTin!$A$19:$A$48,ThongTin!$C$8,ThongTin!$C$19:$C$48,"XUAT_SP")&gt;0),1,0))</f>
        <v>0</v>
      </c>
    </row>
    <row r="194" spans="1:8" x14ac:dyDescent="0.25">
      <c r="A194" s="41"/>
      <c r="B194" s="33"/>
      <c r="C194" s="32"/>
      <c r="D194" s="32"/>
      <c r="E194" s="37"/>
      <c r="F194" s="42"/>
      <c r="G194" s="32"/>
      <c r="H194" s="36">
        <f>IF(D194="",0,IF(AND(B194&gt;=ThongTin!$C$9,B194&lt;=ThongTin!$C$10,COUNTIFS(ThongTin!$B$19:$B$48,C194,ThongTin!$A$19:$A$48,ThongTin!$C$8,ThongTin!$C$19:$C$48,"XUAT_SP")&gt;0),1,0))</f>
        <v>0</v>
      </c>
    </row>
    <row r="195" spans="1:8" x14ac:dyDescent="0.25">
      <c r="A195" s="41"/>
      <c r="B195" s="33"/>
      <c r="C195" s="32"/>
      <c r="D195" s="32"/>
      <c r="E195" s="37"/>
      <c r="F195" s="42"/>
      <c r="G195" s="32"/>
      <c r="H195" s="36">
        <f>IF(D195="",0,IF(AND(B195&gt;=ThongTin!$C$9,B195&lt;=ThongTin!$C$10,COUNTIFS(ThongTin!$B$19:$B$48,C195,ThongTin!$A$19:$A$48,ThongTin!$C$8,ThongTin!$C$19:$C$48,"XUAT_SP")&gt;0),1,0))</f>
        <v>0</v>
      </c>
    </row>
    <row r="196" spans="1:8" x14ac:dyDescent="0.25">
      <c r="A196" s="41"/>
      <c r="B196" s="33"/>
      <c r="C196" s="32"/>
      <c r="D196" s="32"/>
      <c r="E196" s="37"/>
      <c r="F196" s="42"/>
      <c r="G196" s="32"/>
      <c r="H196" s="36">
        <f>IF(D196="",0,IF(AND(B196&gt;=ThongTin!$C$9,B196&lt;=ThongTin!$C$10,COUNTIFS(ThongTin!$B$19:$B$48,C196,ThongTin!$A$19:$A$48,ThongTin!$C$8,ThongTin!$C$19:$C$48,"XUAT_SP")&gt;0),1,0))</f>
        <v>0</v>
      </c>
    </row>
    <row r="197" spans="1:8" x14ac:dyDescent="0.25">
      <c r="A197" s="41"/>
      <c r="B197" s="33"/>
      <c r="C197" s="32"/>
      <c r="D197" s="32"/>
      <c r="E197" s="37"/>
      <c r="F197" s="42"/>
      <c r="G197" s="32"/>
      <c r="H197" s="36">
        <f>IF(D197="",0,IF(AND(B197&gt;=ThongTin!$C$9,B197&lt;=ThongTin!$C$10,COUNTIFS(ThongTin!$B$19:$B$48,C197,ThongTin!$A$19:$A$48,ThongTin!$C$8,ThongTin!$C$19:$C$48,"XUAT_SP")&gt;0),1,0))</f>
        <v>0</v>
      </c>
    </row>
    <row r="198" spans="1:8" x14ac:dyDescent="0.25">
      <c r="A198" s="41"/>
      <c r="B198" s="33"/>
      <c r="C198" s="32"/>
      <c r="D198" s="32"/>
      <c r="E198" s="37"/>
      <c r="F198" s="42"/>
      <c r="G198" s="32"/>
      <c r="H198" s="36">
        <f>IF(D198="",0,IF(AND(B198&gt;=ThongTin!$C$9,B198&lt;=ThongTin!$C$10,COUNTIFS(ThongTin!$B$19:$B$48,C198,ThongTin!$A$19:$A$48,ThongTin!$C$8,ThongTin!$C$19:$C$48,"XUAT_SP")&gt;0),1,0))</f>
        <v>0</v>
      </c>
    </row>
    <row r="199" spans="1:8" x14ac:dyDescent="0.25">
      <c r="A199" s="41"/>
      <c r="B199" s="33"/>
      <c r="C199" s="32"/>
      <c r="D199" s="32"/>
      <c r="E199" s="37"/>
      <c r="F199" s="42"/>
      <c r="G199" s="32"/>
      <c r="H199" s="36">
        <f>IF(D199="",0,IF(AND(B199&gt;=ThongTin!$C$9,B199&lt;=ThongTin!$C$10,COUNTIFS(ThongTin!$B$19:$B$48,C199,ThongTin!$A$19:$A$48,ThongTin!$C$8,ThongTin!$C$19:$C$48,"XUAT_SP")&gt;0),1,0))</f>
        <v>0</v>
      </c>
    </row>
    <row r="200" spans="1:8" x14ac:dyDescent="0.25">
      <c r="A200" s="41"/>
      <c r="B200" s="33"/>
      <c r="C200" s="32"/>
      <c r="D200" s="32"/>
      <c r="E200" s="37"/>
      <c r="F200" s="42"/>
      <c r="G200" s="32"/>
      <c r="H200" s="36">
        <f>IF(D200="",0,IF(AND(B200&gt;=ThongTin!$C$9,B200&lt;=ThongTin!$C$10,COUNTIFS(ThongTin!$B$19:$B$48,C200,ThongTin!$A$19:$A$48,ThongTin!$C$8,ThongTin!$C$19:$C$48,"XUAT_SP")&gt;0),1,0))</f>
        <v>0</v>
      </c>
    </row>
    <row r="201" spans="1:8" x14ac:dyDescent="0.25">
      <c r="A201" s="41"/>
      <c r="B201" s="33"/>
      <c r="C201" s="32"/>
      <c r="D201" s="32"/>
      <c r="E201" s="37"/>
      <c r="F201" s="42"/>
      <c r="G201" s="32"/>
      <c r="H201" s="36">
        <f>IF(D201="",0,IF(AND(B201&gt;=ThongTin!$C$9,B201&lt;=ThongTin!$C$10,COUNTIFS(ThongTin!$B$19:$B$48,C201,ThongTin!$A$19:$A$48,ThongTin!$C$8,ThongTin!$C$19:$C$48,"XUAT_SP")&gt;0),1,0))</f>
        <v>0</v>
      </c>
    </row>
    <row r="202" spans="1:8" x14ac:dyDescent="0.25">
      <c r="A202" s="41"/>
      <c r="B202" s="33"/>
      <c r="C202" s="32"/>
      <c r="D202" s="32"/>
      <c r="E202" s="37"/>
      <c r="F202" s="42"/>
      <c r="G202" s="32"/>
      <c r="H202" s="36">
        <f>IF(D202="",0,IF(AND(B202&gt;=ThongTin!$C$9,B202&lt;=ThongTin!$C$10,COUNTIFS(ThongTin!$B$19:$B$48,C202,ThongTin!$A$19:$A$48,ThongTin!$C$8,ThongTin!$C$19:$C$48,"XUAT_SP")&gt;0),1,0))</f>
        <v>0</v>
      </c>
    </row>
    <row r="203" spans="1:8" x14ac:dyDescent="0.25">
      <c r="A203" s="41"/>
      <c r="B203" s="33"/>
      <c r="C203" s="32"/>
      <c r="D203" s="32"/>
      <c r="E203" s="37"/>
      <c r="F203" s="42"/>
      <c r="G203" s="32"/>
      <c r="H203" s="36">
        <f>IF(D203="",0,IF(AND(B203&gt;=ThongTin!$C$9,B203&lt;=ThongTin!$C$10,COUNTIFS(ThongTin!$B$19:$B$48,C203,ThongTin!$A$19:$A$48,ThongTin!$C$8,ThongTin!$C$19:$C$48,"XUAT_SP")&gt;0),1,0))</f>
        <v>0</v>
      </c>
    </row>
    <row r="204" spans="1:8" x14ac:dyDescent="0.25">
      <c r="A204" s="41"/>
      <c r="B204" s="33"/>
      <c r="C204" s="32"/>
      <c r="D204" s="32"/>
      <c r="E204" s="37"/>
      <c r="F204" s="42"/>
      <c r="G204" s="32"/>
      <c r="H204" s="36">
        <f>IF(D204="",0,IF(AND(B204&gt;=ThongTin!$C$9,B204&lt;=ThongTin!$C$10,COUNTIFS(ThongTin!$B$19:$B$48,C204,ThongTin!$A$19:$A$48,ThongTin!$C$8,ThongTin!$C$19:$C$48,"XUAT_SP")&gt;0),1,0))</f>
        <v>0</v>
      </c>
    </row>
    <row r="205" spans="1:8" x14ac:dyDescent="0.25">
      <c r="A205" s="41"/>
      <c r="B205" s="33"/>
      <c r="C205" s="32"/>
      <c r="D205" s="32"/>
      <c r="E205" s="37"/>
      <c r="F205" s="42"/>
      <c r="G205" s="32"/>
      <c r="H205" s="36">
        <f>IF(D205="",0,IF(AND(B205&gt;=ThongTin!$C$9,B205&lt;=ThongTin!$C$10,COUNTIFS(ThongTin!$B$19:$B$48,C205,ThongTin!$A$19:$A$48,ThongTin!$C$8,ThongTin!$C$19:$C$48,"XUAT_SP")&gt;0),1,0))</f>
        <v>0</v>
      </c>
    </row>
    <row r="206" spans="1:8" x14ac:dyDescent="0.25">
      <c r="A206" s="41"/>
      <c r="B206" s="33"/>
      <c r="C206" s="32"/>
      <c r="D206" s="32"/>
      <c r="E206" s="37"/>
      <c r="F206" s="42"/>
      <c r="G206" s="32"/>
      <c r="H206" s="36">
        <f>IF(D206="",0,IF(AND(B206&gt;=ThongTin!$C$9,B206&lt;=ThongTin!$C$10,COUNTIFS(ThongTin!$B$19:$B$48,C206,ThongTin!$A$19:$A$48,ThongTin!$C$8,ThongTin!$C$19:$C$48,"XUAT_SP")&gt;0),1,0))</f>
        <v>0</v>
      </c>
    </row>
    <row r="207" spans="1:8" x14ac:dyDescent="0.25">
      <c r="A207" s="41"/>
      <c r="B207" s="33"/>
      <c r="C207" s="32"/>
      <c r="D207" s="32"/>
      <c r="E207" s="37"/>
      <c r="F207" s="42"/>
      <c r="G207" s="32"/>
      <c r="H207" s="36">
        <f>IF(D207="",0,IF(AND(B207&gt;=ThongTin!$C$9,B207&lt;=ThongTin!$C$10,COUNTIFS(ThongTin!$B$19:$B$48,C207,ThongTin!$A$19:$A$48,ThongTin!$C$8,ThongTin!$C$19:$C$48,"XUAT_SP")&gt;0),1,0))</f>
        <v>0</v>
      </c>
    </row>
    <row r="208" spans="1:8" x14ac:dyDescent="0.25">
      <c r="A208" s="41"/>
      <c r="B208" s="33"/>
      <c r="C208" s="32"/>
      <c r="D208" s="32"/>
      <c r="E208" s="37"/>
      <c r="F208" s="42"/>
      <c r="G208" s="32"/>
      <c r="H208" s="36">
        <f>IF(D208="",0,IF(AND(B208&gt;=ThongTin!$C$9,B208&lt;=ThongTin!$C$10,COUNTIFS(ThongTin!$B$19:$B$48,C208,ThongTin!$A$19:$A$48,ThongTin!$C$8,ThongTin!$C$19:$C$48,"XUAT_SP")&gt;0),1,0))</f>
        <v>0</v>
      </c>
    </row>
    <row r="209" spans="1:8" x14ac:dyDescent="0.25">
      <c r="A209" s="41"/>
      <c r="B209" s="33"/>
      <c r="C209" s="32"/>
      <c r="D209" s="32"/>
      <c r="E209" s="37"/>
      <c r="F209" s="42"/>
      <c r="G209" s="32"/>
      <c r="H209" s="36">
        <f>IF(D209="",0,IF(AND(B209&gt;=ThongTin!$C$9,B209&lt;=ThongTin!$C$10,COUNTIFS(ThongTin!$B$19:$B$48,C209,ThongTin!$A$19:$A$48,ThongTin!$C$8,ThongTin!$C$19:$C$48,"XUAT_SP")&gt;0),1,0))</f>
        <v>0</v>
      </c>
    </row>
    <row r="210" spans="1:8" x14ac:dyDescent="0.25">
      <c r="A210" s="41"/>
      <c r="B210" s="33"/>
      <c r="C210" s="32"/>
      <c r="D210" s="32"/>
      <c r="E210" s="37"/>
      <c r="F210" s="42"/>
      <c r="G210" s="32"/>
      <c r="H210" s="36">
        <f>IF(D210="",0,IF(AND(B210&gt;=ThongTin!$C$9,B210&lt;=ThongTin!$C$10,COUNTIFS(ThongTin!$B$19:$B$48,C210,ThongTin!$A$19:$A$48,ThongTin!$C$8,ThongTin!$C$19:$C$48,"XUAT_SP")&gt;0),1,0))</f>
        <v>0</v>
      </c>
    </row>
    <row r="211" spans="1:8" x14ac:dyDescent="0.25">
      <c r="A211" s="41"/>
      <c r="B211" s="33"/>
      <c r="C211" s="32"/>
      <c r="D211" s="32"/>
      <c r="E211" s="37"/>
      <c r="F211" s="42"/>
      <c r="G211" s="32"/>
      <c r="H211" s="36">
        <f>IF(D211="",0,IF(AND(B211&gt;=ThongTin!$C$9,B211&lt;=ThongTin!$C$10,COUNTIFS(ThongTin!$B$19:$B$48,C211,ThongTin!$A$19:$A$48,ThongTin!$C$8,ThongTin!$C$19:$C$48,"XUAT_SP")&gt;0),1,0))</f>
        <v>0</v>
      </c>
    </row>
    <row r="212" spans="1:8" x14ac:dyDescent="0.25">
      <c r="A212" s="41"/>
      <c r="B212" s="33"/>
      <c r="C212" s="32"/>
      <c r="D212" s="32"/>
      <c r="E212" s="37"/>
      <c r="F212" s="42"/>
      <c r="G212" s="32"/>
      <c r="H212" s="36">
        <f>IF(D212="",0,IF(AND(B212&gt;=ThongTin!$C$9,B212&lt;=ThongTin!$C$10,COUNTIFS(ThongTin!$B$19:$B$48,C212,ThongTin!$A$19:$A$48,ThongTin!$C$8,ThongTin!$C$19:$C$48,"XUAT_SP")&gt;0),1,0))</f>
        <v>0</v>
      </c>
    </row>
    <row r="213" spans="1:8" x14ac:dyDescent="0.25">
      <c r="A213" s="41"/>
      <c r="B213" s="33"/>
      <c r="C213" s="32"/>
      <c r="D213" s="32"/>
      <c r="E213" s="37"/>
      <c r="F213" s="42"/>
      <c r="G213" s="32"/>
      <c r="H213" s="36">
        <f>IF(D213="",0,IF(AND(B213&gt;=ThongTin!$C$9,B213&lt;=ThongTin!$C$10,COUNTIFS(ThongTin!$B$19:$B$48,C213,ThongTin!$A$19:$A$48,ThongTin!$C$8,ThongTin!$C$19:$C$48,"XUAT_SP")&gt;0),1,0))</f>
        <v>0</v>
      </c>
    </row>
    <row r="214" spans="1:8" x14ac:dyDescent="0.25">
      <c r="A214" s="41"/>
      <c r="B214" s="33"/>
      <c r="C214" s="32"/>
      <c r="D214" s="32"/>
      <c r="E214" s="37"/>
      <c r="F214" s="42"/>
      <c r="G214" s="32"/>
      <c r="H214" s="36">
        <f>IF(D214="",0,IF(AND(B214&gt;=ThongTin!$C$9,B214&lt;=ThongTin!$C$10,COUNTIFS(ThongTin!$B$19:$B$48,C214,ThongTin!$A$19:$A$48,ThongTin!$C$8,ThongTin!$C$19:$C$48,"XUAT_SP")&gt;0),1,0))</f>
        <v>0</v>
      </c>
    </row>
    <row r="215" spans="1:8" x14ac:dyDescent="0.25">
      <c r="A215" s="41"/>
      <c r="B215" s="33"/>
      <c r="C215" s="32"/>
      <c r="D215" s="32"/>
      <c r="E215" s="37"/>
      <c r="F215" s="42"/>
      <c r="G215" s="32"/>
      <c r="H215" s="36">
        <f>IF(D215="",0,IF(AND(B215&gt;=ThongTin!$C$9,B215&lt;=ThongTin!$C$10,COUNTIFS(ThongTin!$B$19:$B$48,C215,ThongTin!$A$19:$A$48,ThongTin!$C$8,ThongTin!$C$19:$C$48,"XUAT_SP")&gt;0),1,0))</f>
        <v>0</v>
      </c>
    </row>
    <row r="216" spans="1:8" x14ac:dyDescent="0.25">
      <c r="A216" s="41"/>
      <c r="B216" s="33"/>
      <c r="C216" s="32"/>
      <c r="D216" s="32"/>
      <c r="E216" s="37"/>
      <c r="F216" s="42"/>
      <c r="G216" s="32"/>
      <c r="H216" s="36">
        <f>IF(D216="",0,IF(AND(B216&gt;=ThongTin!$C$9,B216&lt;=ThongTin!$C$10,COUNTIFS(ThongTin!$B$19:$B$48,C216,ThongTin!$A$19:$A$48,ThongTin!$C$8,ThongTin!$C$19:$C$48,"XUAT_SP")&gt;0),1,0))</f>
        <v>0</v>
      </c>
    </row>
    <row r="217" spans="1:8" x14ac:dyDescent="0.25">
      <c r="A217" s="41"/>
      <c r="B217" s="33"/>
      <c r="C217" s="32"/>
      <c r="D217" s="32"/>
      <c r="E217" s="37"/>
      <c r="F217" s="42"/>
      <c r="G217" s="32"/>
      <c r="H217" s="36">
        <f>IF(D217="",0,IF(AND(B217&gt;=ThongTin!$C$9,B217&lt;=ThongTin!$C$10,COUNTIFS(ThongTin!$B$19:$B$48,C217,ThongTin!$A$19:$A$48,ThongTin!$C$8,ThongTin!$C$19:$C$48,"XUAT_SP")&gt;0),1,0))</f>
        <v>0</v>
      </c>
    </row>
    <row r="218" spans="1:8" x14ac:dyDescent="0.25">
      <c r="A218" s="41"/>
      <c r="B218" s="33"/>
      <c r="C218" s="32"/>
      <c r="D218" s="32"/>
      <c r="E218" s="37"/>
      <c r="F218" s="42"/>
      <c r="G218" s="32"/>
      <c r="H218" s="36">
        <f>IF(D218="",0,IF(AND(B218&gt;=ThongTin!$C$9,B218&lt;=ThongTin!$C$10,COUNTIFS(ThongTin!$B$19:$B$48,C218,ThongTin!$A$19:$A$48,ThongTin!$C$8,ThongTin!$C$19:$C$48,"XUAT_SP")&gt;0),1,0))</f>
        <v>0</v>
      </c>
    </row>
    <row r="219" spans="1:8" x14ac:dyDescent="0.25">
      <c r="A219" s="41"/>
      <c r="B219" s="33"/>
      <c r="C219" s="32"/>
      <c r="D219" s="32"/>
      <c r="E219" s="37"/>
      <c r="F219" s="42"/>
      <c r="G219" s="32"/>
      <c r="H219" s="36">
        <f>IF(D219="",0,IF(AND(B219&gt;=ThongTin!$C$9,B219&lt;=ThongTin!$C$10,COUNTIFS(ThongTin!$B$19:$B$48,C219,ThongTin!$A$19:$A$48,ThongTin!$C$8,ThongTin!$C$19:$C$48,"XUAT_SP")&gt;0),1,0))</f>
        <v>0</v>
      </c>
    </row>
    <row r="220" spans="1:8" x14ac:dyDescent="0.25">
      <c r="A220" s="41"/>
      <c r="B220" s="33"/>
      <c r="C220" s="32"/>
      <c r="D220" s="32"/>
      <c r="E220" s="37"/>
      <c r="F220" s="42"/>
      <c r="G220" s="32"/>
      <c r="H220" s="36">
        <f>IF(D220="",0,IF(AND(B220&gt;=ThongTin!$C$9,B220&lt;=ThongTin!$C$10,COUNTIFS(ThongTin!$B$19:$B$48,C220,ThongTin!$A$19:$A$48,ThongTin!$C$8,ThongTin!$C$19:$C$48,"XUAT_SP")&gt;0),1,0))</f>
        <v>0</v>
      </c>
    </row>
    <row r="221" spans="1:8" x14ac:dyDescent="0.25">
      <c r="A221" s="41"/>
      <c r="B221" s="33"/>
      <c r="C221" s="32"/>
      <c r="D221" s="32"/>
      <c r="E221" s="37"/>
      <c r="F221" s="42"/>
      <c r="G221" s="32"/>
      <c r="H221" s="36">
        <f>IF(D221="",0,IF(AND(B221&gt;=ThongTin!$C$9,B221&lt;=ThongTin!$C$10,COUNTIFS(ThongTin!$B$19:$B$48,C221,ThongTin!$A$19:$A$48,ThongTin!$C$8,ThongTin!$C$19:$C$48,"XUAT_SP")&gt;0),1,0))</f>
        <v>0</v>
      </c>
    </row>
    <row r="222" spans="1:8" x14ac:dyDescent="0.25">
      <c r="A222" s="41"/>
      <c r="B222" s="33"/>
      <c r="C222" s="32"/>
      <c r="D222" s="32"/>
      <c r="E222" s="37"/>
      <c r="F222" s="42"/>
      <c r="G222" s="32"/>
      <c r="H222" s="36">
        <f>IF(D222="",0,IF(AND(B222&gt;=ThongTin!$C$9,B222&lt;=ThongTin!$C$10,COUNTIFS(ThongTin!$B$19:$B$48,C222,ThongTin!$A$19:$A$48,ThongTin!$C$8,ThongTin!$C$19:$C$48,"XUAT_SP")&gt;0),1,0))</f>
        <v>0</v>
      </c>
    </row>
    <row r="223" spans="1:8" x14ac:dyDescent="0.25">
      <c r="A223" s="41"/>
      <c r="B223" s="33"/>
      <c r="C223" s="32"/>
      <c r="D223" s="32"/>
      <c r="E223" s="37"/>
      <c r="F223" s="42"/>
      <c r="G223" s="32"/>
      <c r="H223" s="36">
        <f>IF(D223="",0,IF(AND(B223&gt;=ThongTin!$C$9,B223&lt;=ThongTin!$C$10,COUNTIFS(ThongTin!$B$19:$B$48,C223,ThongTin!$A$19:$A$48,ThongTin!$C$8,ThongTin!$C$19:$C$48,"XUAT_SP")&gt;0),1,0))</f>
        <v>0</v>
      </c>
    </row>
    <row r="224" spans="1:8" x14ac:dyDescent="0.25">
      <c r="A224" s="41"/>
      <c r="B224" s="33"/>
      <c r="C224" s="32"/>
      <c r="D224" s="32"/>
      <c r="E224" s="37"/>
      <c r="F224" s="42"/>
      <c r="G224" s="32"/>
      <c r="H224" s="36">
        <f>IF(D224="",0,IF(AND(B224&gt;=ThongTin!$C$9,B224&lt;=ThongTin!$C$10,COUNTIFS(ThongTin!$B$19:$B$48,C224,ThongTin!$A$19:$A$48,ThongTin!$C$8,ThongTin!$C$19:$C$48,"XUAT_SP")&gt;0),1,0))</f>
        <v>0</v>
      </c>
    </row>
    <row r="225" spans="1:8" x14ac:dyDescent="0.25">
      <c r="A225" s="41"/>
      <c r="B225" s="33"/>
      <c r="C225" s="32"/>
      <c r="D225" s="32"/>
      <c r="E225" s="37"/>
      <c r="F225" s="42"/>
      <c r="G225" s="32"/>
      <c r="H225" s="36">
        <f>IF(D225="",0,IF(AND(B225&gt;=ThongTin!$C$9,B225&lt;=ThongTin!$C$10,COUNTIFS(ThongTin!$B$19:$B$48,C225,ThongTin!$A$19:$A$48,ThongTin!$C$8,ThongTin!$C$19:$C$48,"XUAT_SP")&gt;0),1,0))</f>
        <v>0</v>
      </c>
    </row>
    <row r="226" spans="1:8" x14ac:dyDescent="0.25">
      <c r="A226" s="41"/>
      <c r="B226" s="33"/>
      <c r="C226" s="32"/>
      <c r="D226" s="32"/>
      <c r="E226" s="37"/>
      <c r="F226" s="42"/>
      <c r="G226" s="32"/>
      <c r="H226" s="36">
        <f>IF(D226="",0,IF(AND(B226&gt;=ThongTin!$C$9,B226&lt;=ThongTin!$C$10,COUNTIFS(ThongTin!$B$19:$B$48,C226,ThongTin!$A$19:$A$48,ThongTin!$C$8,ThongTin!$C$19:$C$48,"XUAT_SP")&gt;0),1,0))</f>
        <v>0</v>
      </c>
    </row>
    <row r="227" spans="1:8" x14ac:dyDescent="0.25">
      <c r="A227" s="41"/>
      <c r="B227" s="33"/>
      <c r="C227" s="32"/>
      <c r="D227" s="32"/>
      <c r="E227" s="37"/>
      <c r="F227" s="42"/>
      <c r="G227" s="32"/>
      <c r="H227" s="36">
        <f>IF(D227="",0,IF(AND(B227&gt;=ThongTin!$C$9,B227&lt;=ThongTin!$C$10,COUNTIFS(ThongTin!$B$19:$B$48,C227,ThongTin!$A$19:$A$48,ThongTin!$C$8,ThongTin!$C$19:$C$48,"XUAT_SP")&gt;0),1,0))</f>
        <v>0</v>
      </c>
    </row>
    <row r="228" spans="1:8" x14ac:dyDescent="0.25">
      <c r="A228" s="41"/>
      <c r="B228" s="33"/>
      <c r="C228" s="32"/>
      <c r="D228" s="32"/>
      <c r="E228" s="37"/>
      <c r="F228" s="42"/>
      <c r="G228" s="32"/>
      <c r="H228" s="36">
        <f>IF(D228="",0,IF(AND(B228&gt;=ThongTin!$C$9,B228&lt;=ThongTin!$C$10,COUNTIFS(ThongTin!$B$19:$B$48,C228,ThongTin!$A$19:$A$48,ThongTin!$C$8,ThongTin!$C$19:$C$48,"XUAT_SP")&gt;0),1,0))</f>
        <v>0</v>
      </c>
    </row>
    <row r="229" spans="1:8" x14ac:dyDescent="0.25">
      <c r="A229" s="41"/>
      <c r="B229" s="33"/>
      <c r="C229" s="32"/>
      <c r="D229" s="32"/>
      <c r="E229" s="37"/>
      <c r="F229" s="42"/>
      <c r="G229" s="32"/>
      <c r="H229" s="36">
        <f>IF(D229="",0,IF(AND(B229&gt;=ThongTin!$C$9,B229&lt;=ThongTin!$C$10,COUNTIFS(ThongTin!$B$19:$B$48,C229,ThongTin!$A$19:$A$48,ThongTin!$C$8,ThongTin!$C$19:$C$48,"XUAT_SP")&gt;0),1,0))</f>
        <v>0</v>
      </c>
    </row>
    <row r="230" spans="1:8" x14ac:dyDescent="0.25">
      <c r="A230" s="41"/>
      <c r="B230" s="33"/>
      <c r="C230" s="32"/>
      <c r="D230" s="32"/>
      <c r="E230" s="37"/>
      <c r="F230" s="42"/>
      <c r="G230" s="32"/>
      <c r="H230" s="36">
        <f>IF(D230="",0,IF(AND(B230&gt;=ThongTin!$C$9,B230&lt;=ThongTin!$C$10,COUNTIFS(ThongTin!$B$19:$B$48,C230,ThongTin!$A$19:$A$48,ThongTin!$C$8,ThongTin!$C$19:$C$48,"XUAT_SP")&gt;0),1,0))</f>
        <v>0</v>
      </c>
    </row>
    <row r="231" spans="1:8" x14ac:dyDescent="0.25">
      <c r="A231" s="41"/>
      <c r="B231" s="33"/>
      <c r="C231" s="32"/>
      <c r="D231" s="32"/>
      <c r="E231" s="37"/>
      <c r="F231" s="42"/>
      <c r="G231" s="32"/>
      <c r="H231" s="36">
        <f>IF(D231="",0,IF(AND(B231&gt;=ThongTin!$C$9,B231&lt;=ThongTin!$C$10,COUNTIFS(ThongTin!$B$19:$B$48,C231,ThongTin!$A$19:$A$48,ThongTin!$C$8,ThongTin!$C$19:$C$48,"XUAT_SP")&gt;0),1,0))</f>
        <v>0</v>
      </c>
    </row>
    <row r="232" spans="1:8" x14ac:dyDescent="0.25">
      <c r="A232" s="41"/>
      <c r="B232" s="33"/>
      <c r="C232" s="32"/>
      <c r="D232" s="32"/>
      <c r="E232" s="37"/>
      <c r="F232" s="42"/>
      <c r="G232" s="32"/>
      <c r="H232" s="36">
        <f>IF(D232="",0,IF(AND(B232&gt;=ThongTin!$C$9,B232&lt;=ThongTin!$C$10,COUNTIFS(ThongTin!$B$19:$B$48,C232,ThongTin!$A$19:$A$48,ThongTin!$C$8,ThongTin!$C$19:$C$48,"XUAT_SP")&gt;0),1,0))</f>
        <v>0</v>
      </c>
    </row>
    <row r="233" spans="1:8" x14ac:dyDescent="0.25">
      <c r="A233" s="41"/>
      <c r="B233" s="33"/>
      <c r="C233" s="32"/>
      <c r="D233" s="32"/>
      <c r="E233" s="37"/>
      <c r="F233" s="42"/>
      <c r="G233" s="32"/>
      <c r="H233" s="36">
        <f>IF(D233="",0,IF(AND(B233&gt;=ThongTin!$C$9,B233&lt;=ThongTin!$C$10,COUNTIFS(ThongTin!$B$19:$B$48,C233,ThongTin!$A$19:$A$48,ThongTin!$C$8,ThongTin!$C$19:$C$48,"XUAT_SP")&gt;0),1,0))</f>
        <v>0</v>
      </c>
    </row>
    <row r="234" spans="1:8" x14ac:dyDescent="0.25">
      <c r="A234" s="41"/>
      <c r="B234" s="33"/>
      <c r="C234" s="32"/>
      <c r="D234" s="32"/>
      <c r="E234" s="37"/>
      <c r="F234" s="42"/>
      <c r="G234" s="32"/>
      <c r="H234" s="36">
        <f>IF(D234="",0,IF(AND(B234&gt;=ThongTin!$C$9,B234&lt;=ThongTin!$C$10,COUNTIFS(ThongTin!$B$19:$B$48,C234,ThongTin!$A$19:$A$48,ThongTin!$C$8,ThongTin!$C$19:$C$48,"XUAT_SP")&gt;0),1,0))</f>
        <v>0</v>
      </c>
    </row>
    <row r="235" spans="1:8" x14ac:dyDescent="0.25">
      <c r="A235" s="41"/>
      <c r="B235" s="33"/>
      <c r="C235" s="32"/>
      <c r="D235" s="32"/>
      <c r="E235" s="37"/>
      <c r="F235" s="42"/>
      <c r="G235" s="32"/>
      <c r="H235" s="36">
        <f>IF(D235="",0,IF(AND(B235&gt;=ThongTin!$C$9,B235&lt;=ThongTin!$C$10,COUNTIFS(ThongTin!$B$19:$B$48,C235,ThongTin!$A$19:$A$48,ThongTin!$C$8,ThongTin!$C$19:$C$48,"XUAT_SP")&gt;0),1,0))</f>
        <v>0</v>
      </c>
    </row>
    <row r="236" spans="1:8" x14ac:dyDescent="0.25">
      <c r="A236" s="41"/>
      <c r="B236" s="33"/>
      <c r="C236" s="32"/>
      <c r="D236" s="32"/>
      <c r="E236" s="37"/>
      <c r="F236" s="42"/>
      <c r="G236" s="32"/>
      <c r="H236" s="36">
        <f>IF(D236="",0,IF(AND(B236&gt;=ThongTin!$C$9,B236&lt;=ThongTin!$C$10,COUNTIFS(ThongTin!$B$19:$B$48,C236,ThongTin!$A$19:$A$48,ThongTin!$C$8,ThongTin!$C$19:$C$48,"XUAT_SP")&gt;0),1,0))</f>
        <v>0</v>
      </c>
    </row>
    <row r="237" spans="1:8" x14ac:dyDescent="0.25">
      <c r="A237" s="41"/>
      <c r="B237" s="33"/>
      <c r="C237" s="32"/>
      <c r="D237" s="32"/>
      <c r="E237" s="37"/>
      <c r="F237" s="42"/>
      <c r="G237" s="32"/>
      <c r="H237" s="36">
        <f>IF(D237="",0,IF(AND(B237&gt;=ThongTin!$C$9,B237&lt;=ThongTin!$C$10,COUNTIFS(ThongTin!$B$19:$B$48,C237,ThongTin!$A$19:$A$48,ThongTin!$C$8,ThongTin!$C$19:$C$48,"XUAT_SP")&gt;0),1,0))</f>
        <v>0</v>
      </c>
    </row>
    <row r="238" spans="1:8" x14ac:dyDescent="0.25">
      <c r="A238" s="41"/>
      <c r="B238" s="33"/>
      <c r="C238" s="32"/>
      <c r="D238" s="32"/>
      <c r="E238" s="37"/>
      <c r="F238" s="42"/>
      <c r="G238" s="32"/>
      <c r="H238" s="36">
        <f>IF(D238="",0,IF(AND(B238&gt;=ThongTin!$C$9,B238&lt;=ThongTin!$C$10,COUNTIFS(ThongTin!$B$19:$B$48,C238,ThongTin!$A$19:$A$48,ThongTin!$C$8,ThongTin!$C$19:$C$48,"XUAT_SP")&gt;0),1,0))</f>
        <v>0</v>
      </c>
    </row>
    <row r="239" spans="1:8" x14ac:dyDescent="0.25">
      <c r="A239" s="41"/>
      <c r="B239" s="33"/>
      <c r="C239" s="32"/>
      <c r="D239" s="32"/>
      <c r="E239" s="37"/>
      <c r="F239" s="42"/>
      <c r="G239" s="32"/>
      <c r="H239" s="36">
        <f>IF(D239="",0,IF(AND(B239&gt;=ThongTin!$C$9,B239&lt;=ThongTin!$C$10,COUNTIFS(ThongTin!$B$19:$B$48,C239,ThongTin!$A$19:$A$48,ThongTin!$C$8,ThongTin!$C$19:$C$48,"XUAT_SP")&gt;0),1,0))</f>
        <v>0</v>
      </c>
    </row>
    <row r="240" spans="1:8" x14ac:dyDescent="0.25">
      <c r="A240" s="41"/>
      <c r="B240" s="33"/>
      <c r="C240" s="32"/>
      <c r="D240" s="32"/>
      <c r="E240" s="37"/>
      <c r="F240" s="42"/>
      <c r="G240" s="32"/>
      <c r="H240" s="36">
        <f>IF(D240="",0,IF(AND(B240&gt;=ThongTin!$C$9,B240&lt;=ThongTin!$C$10,COUNTIFS(ThongTin!$B$19:$B$48,C240,ThongTin!$A$19:$A$48,ThongTin!$C$8,ThongTin!$C$19:$C$48,"XUAT_SP")&gt;0),1,0))</f>
        <v>0</v>
      </c>
    </row>
    <row r="241" spans="1:8" x14ac:dyDescent="0.25">
      <c r="A241" s="41"/>
      <c r="B241" s="33"/>
      <c r="C241" s="32"/>
      <c r="D241" s="32"/>
      <c r="E241" s="37"/>
      <c r="F241" s="42"/>
      <c r="G241" s="32"/>
      <c r="H241" s="36">
        <f>IF(D241="",0,IF(AND(B241&gt;=ThongTin!$C$9,B241&lt;=ThongTin!$C$10,COUNTIFS(ThongTin!$B$19:$B$48,C241,ThongTin!$A$19:$A$48,ThongTin!$C$8,ThongTin!$C$19:$C$48,"XUAT_SP")&gt;0),1,0))</f>
        <v>0</v>
      </c>
    </row>
    <row r="242" spans="1:8" x14ac:dyDescent="0.25">
      <c r="A242" s="41"/>
      <c r="B242" s="33"/>
      <c r="C242" s="32"/>
      <c r="D242" s="32"/>
      <c r="E242" s="37"/>
      <c r="F242" s="42"/>
      <c r="G242" s="32"/>
      <c r="H242" s="36">
        <f>IF(D242="",0,IF(AND(B242&gt;=ThongTin!$C$9,B242&lt;=ThongTin!$C$10,COUNTIFS(ThongTin!$B$19:$B$48,C242,ThongTin!$A$19:$A$48,ThongTin!$C$8,ThongTin!$C$19:$C$48,"XUAT_SP")&gt;0),1,0))</f>
        <v>0</v>
      </c>
    </row>
    <row r="243" spans="1:8" x14ac:dyDescent="0.25">
      <c r="A243" s="41"/>
      <c r="B243" s="33"/>
      <c r="C243" s="32"/>
      <c r="D243" s="32"/>
      <c r="E243" s="37"/>
      <c r="F243" s="42"/>
      <c r="G243" s="32"/>
      <c r="H243" s="36">
        <f>IF(D243="",0,IF(AND(B243&gt;=ThongTin!$C$9,B243&lt;=ThongTin!$C$10,COUNTIFS(ThongTin!$B$19:$B$48,C243,ThongTin!$A$19:$A$48,ThongTin!$C$8,ThongTin!$C$19:$C$48,"XUAT_SP")&gt;0),1,0))</f>
        <v>0</v>
      </c>
    </row>
    <row r="244" spans="1:8" x14ac:dyDescent="0.25">
      <c r="A244" s="41"/>
      <c r="B244" s="33"/>
      <c r="C244" s="32"/>
      <c r="D244" s="32"/>
      <c r="E244" s="37"/>
      <c r="F244" s="42"/>
      <c r="G244" s="32"/>
      <c r="H244" s="36">
        <f>IF(D244="",0,IF(AND(B244&gt;=ThongTin!$C$9,B244&lt;=ThongTin!$C$10,COUNTIFS(ThongTin!$B$19:$B$48,C244,ThongTin!$A$19:$A$48,ThongTin!$C$8,ThongTin!$C$19:$C$48,"XUAT_SP")&gt;0),1,0))</f>
        <v>0</v>
      </c>
    </row>
    <row r="245" spans="1:8" x14ac:dyDescent="0.25">
      <c r="A245" s="41"/>
      <c r="B245" s="33"/>
      <c r="C245" s="32"/>
      <c r="D245" s="32"/>
      <c r="E245" s="37"/>
      <c r="F245" s="42"/>
      <c r="G245" s="32"/>
      <c r="H245" s="36">
        <f>IF(D245="",0,IF(AND(B245&gt;=ThongTin!$C$9,B245&lt;=ThongTin!$C$10,COUNTIFS(ThongTin!$B$19:$B$48,C245,ThongTin!$A$19:$A$48,ThongTin!$C$8,ThongTin!$C$19:$C$48,"XUAT_SP")&gt;0),1,0))</f>
        <v>0</v>
      </c>
    </row>
    <row r="246" spans="1:8" x14ac:dyDescent="0.25">
      <c r="A246" s="41"/>
      <c r="B246" s="33"/>
      <c r="C246" s="32"/>
      <c r="D246" s="32"/>
      <c r="E246" s="37"/>
      <c r="F246" s="42"/>
      <c r="G246" s="32"/>
      <c r="H246" s="36">
        <f>IF(D246="",0,IF(AND(B246&gt;=ThongTin!$C$9,B246&lt;=ThongTin!$C$10,COUNTIFS(ThongTin!$B$19:$B$48,C246,ThongTin!$A$19:$A$48,ThongTin!$C$8,ThongTin!$C$19:$C$48,"XUAT_SP")&gt;0),1,0))</f>
        <v>0</v>
      </c>
    </row>
    <row r="247" spans="1:8" x14ac:dyDescent="0.25">
      <c r="A247" s="41"/>
      <c r="B247" s="33"/>
      <c r="C247" s="32"/>
      <c r="D247" s="32"/>
      <c r="E247" s="37"/>
      <c r="F247" s="42"/>
      <c r="G247" s="32"/>
      <c r="H247" s="36">
        <f>IF(D247="",0,IF(AND(B247&gt;=ThongTin!$C$9,B247&lt;=ThongTin!$C$10,COUNTIFS(ThongTin!$B$19:$B$48,C247,ThongTin!$A$19:$A$48,ThongTin!$C$8,ThongTin!$C$19:$C$48,"XUAT_SP")&gt;0),1,0))</f>
        <v>0</v>
      </c>
    </row>
    <row r="248" spans="1:8" x14ac:dyDescent="0.25">
      <c r="A248" s="41"/>
      <c r="B248" s="33"/>
      <c r="C248" s="32"/>
      <c r="D248" s="32"/>
      <c r="E248" s="37"/>
      <c r="F248" s="42"/>
      <c r="G248" s="32"/>
      <c r="H248" s="36">
        <f>IF(D248="",0,IF(AND(B248&gt;=ThongTin!$C$9,B248&lt;=ThongTin!$C$10,COUNTIFS(ThongTin!$B$19:$B$48,C248,ThongTin!$A$19:$A$48,ThongTin!$C$8,ThongTin!$C$19:$C$48,"XUAT_SP")&gt;0),1,0))</f>
        <v>0</v>
      </c>
    </row>
    <row r="249" spans="1:8" x14ac:dyDescent="0.25">
      <c r="A249" s="41"/>
      <c r="B249" s="33"/>
      <c r="C249" s="32"/>
      <c r="D249" s="32"/>
      <c r="E249" s="37"/>
      <c r="F249" s="42"/>
      <c r="G249" s="32"/>
      <c r="H249" s="36">
        <f>IF(D249="",0,IF(AND(B249&gt;=ThongTin!$C$9,B249&lt;=ThongTin!$C$10,COUNTIFS(ThongTin!$B$19:$B$48,C249,ThongTin!$A$19:$A$48,ThongTin!$C$8,ThongTin!$C$19:$C$48,"XUAT_SP")&gt;0),1,0))</f>
        <v>0</v>
      </c>
    </row>
    <row r="250" spans="1:8" x14ac:dyDescent="0.25">
      <c r="A250" s="41"/>
      <c r="B250" s="33"/>
      <c r="C250" s="32"/>
      <c r="D250" s="32"/>
      <c r="E250" s="37"/>
      <c r="F250" s="42"/>
      <c r="G250" s="32"/>
      <c r="H250" s="36">
        <f>IF(D250="",0,IF(AND(B250&gt;=ThongTin!$C$9,B250&lt;=ThongTin!$C$10,COUNTIFS(ThongTin!$B$19:$B$48,C250,ThongTin!$A$19:$A$48,ThongTin!$C$8,ThongTin!$C$19:$C$48,"XUAT_SP")&gt;0),1,0))</f>
        <v>0</v>
      </c>
    </row>
    <row r="251" spans="1:8" x14ac:dyDescent="0.25">
      <c r="A251" s="41"/>
      <c r="B251" s="33"/>
      <c r="C251" s="32"/>
      <c r="D251" s="32"/>
      <c r="E251" s="37"/>
      <c r="F251" s="42"/>
      <c r="G251" s="32"/>
      <c r="H251" s="36">
        <f>IF(D251="",0,IF(AND(B251&gt;=ThongTin!$C$9,B251&lt;=ThongTin!$C$10,COUNTIFS(ThongTin!$B$19:$B$48,C251,ThongTin!$A$19:$A$48,ThongTin!$C$8,ThongTin!$C$19:$C$48,"XUAT_SP")&gt;0),1,0))</f>
        <v>0</v>
      </c>
    </row>
    <row r="252" spans="1:8" x14ac:dyDescent="0.25">
      <c r="A252" s="41"/>
      <c r="B252" s="33"/>
      <c r="C252" s="32"/>
      <c r="D252" s="32"/>
      <c r="E252" s="37"/>
      <c r="F252" s="42"/>
      <c r="G252" s="32"/>
      <c r="H252" s="36">
        <f>IF(D252="",0,IF(AND(B252&gt;=ThongTin!$C$9,B252&lt;=ThongTin!$C$10,COUNTIFS(ThongTin!$B$19:$B$48,C252,ThongTin!$A$19:$A$48,ThongTin!$C$8,ThongTin!$C$19:$C$48,"XUAT_SP")&gt;0),1,0))</f>
        <v>0</v>
      </c>
    </row>
    <row r="253" spans="1:8" x14ac:dyDescent="0.25">
      <c r="A253" s="41"/>
      <c r="B253" s="33"/>
      <c r="C253" s="32"/>
      <c r="D253" s="32"/>
      <c r="E253" s="37"/>
      <c r="F253" s="42"/>
      <c r="G253" s="32"/>
      <c r="H253" s="36">
        <f>IF(D253="",0,IF(AND(B253&gt;=ThongTin!$C$9,B253&lt;=ThongTin!$C$10,COUNTIFS(ThongTin!$B$19:$B$48,C253,ThongTin!$A$19:$A$48,ThongTin!$C$8,ThongTin!$C$19:$C$48,"XUAT_SP")&gt;0),1,0))</f>
        <v>0</v>
      </c>
    </row>
    <row r="254" spans="1:8" x14ac:dyDescent="0.25">
      <c r="A254" s="41"/>
      <c r="B254" s="33"/>
      <c r="C254" s="32"/>
      <c r="D254" s="32"/>
      <c r="E254" s="37"/>
      <c r="F254" s="42"/>
      <c r="G254" s="32"/>
      <c r="H254" s="36">
        <f>IF(D254="",0,IF(AND(B254&gt;=ThongTin!$C$9,B254&lt;=ThongTin!$C$10,COUNTIFS(ThongTin!$B$19:$B$48,C254,ThongTin!$A$19:$A$48,ThongTin!$C$8,ThongTin!$C$19:$C$48,"XUAT_SP")&gt;0),1,0))</f>
        <v>0</v>
      </c>
    </row>
    <row r="255" spans="1:8" x14ac:dyDescent="0.25">
      <c r="A255" s="41"/>
      <c r="B255" s="33"/>
      <c r="C255" s="32"/>
      <c r="D255" s="32"/>
      <c r="E255" s="37"/>
      <c r="F255" s="42"/>
      <c r="G255" s="32"/>
      <c r="H255" s="36">
        <f>IF(D255="",0,IF(AND(B255&gt;=ThongTin!$C$9,B255&lt;=ThongTin!$C$10,COUNTIFS(ThongTin!$B$19:$B$48,C255,ThongTin!$A$19:$A$48,ThongTin!$C$8,ThongTin!$C$19:$C$48,"XUAT_SP")&gt;0),1,0))</f>
        <v>0</v>
      </c>
    </row>
    <row r="256" spans="1:8" x14ac:dyDescent="0.25">
      <c r="A256" s="41"/>
      <c r="B256" s="33"/>
      <c r="C256" s="32"/>
      <c r="D256" s="32"/>
      <c r="E256" s="37"/>
      <c r="F256" s="42"/>
      <c r="G256" s="32"/>
      <c r="H256" s="36">
        <f>IF(D256="",0,IF(AND(B256&gt;=ThongTin!$C$9,B256&lt;=ThongTin!$C$10,COUNTIFS(ThongTin!$B$19:$B$48,C256,ThongTin!$A$19:$A$48,ThongTin!$C$8,ThongTin!$C$19:$C$48,"XUAT_SP")&gt;0),1,0))</f>
        <v>0</v>
      </c>
    </row>
    <row r="257" spans="1:8" x14ac:dyDescent="0.25">
      <c r="A257" s="41"/>
      <c r="B257" s="33"/>
      <c r="C257" s="32"/>
      <c r="D257" s="32"/>
      <c r="E257" s="37"/>
      <c r="F257" s="42"/>
      <c r="G257" s="32"/>
      <c r="H257" s="36">
        <f>IF(D257="",0,IF(AND(B257&gt;=ThongTin!$C$9,B257&lt;=ThongTin!$C$10,COUNTIFS(ThongTin!$B$19:$B$48,C257,ThongTin!$A$19:$A$48,ThongTin!$C$8,ThongTin!$C$19:$C$48,"XUAT_SP")&gt;0),1,0))</f>
        <v>0</v>
      </c>
    </row>
    <row r="258" spans="1:8" x14ac:dyDescent="0.25">
      <c r="A258" s="41"/>
      <c r="B258" s="33"/>
      <c r="C258" s="32"/>
      <c r="D258" s="32"/>
      <c r="E258" s="37"/>
      <c r="F258" s="42"/>
      <c r="G258" s="32"/>
      <c r="H258" s="36">
        <f>IF(D258="",0,IF(AND(B258&gt;=ThongTin!$C$9,B258&lt;=ThongTin!$C$10,COUNTIFS(ThongTin!$B$19:$B$48,C258,ThongTin!$A$19:$A$48,ThongTin!$C$8,ThongTin!$C$19:$C$48,"XUAT_SP")&gt;0),1,0))</f>
        <v>0</v>
      </c>
    </row>
    <row r="259" spans="1:8" x14ac:dyDescent="0.25">
      <c r="A259" s="41"/>
      <c r="B259" s="33"/>
      <c r="C259" s="32"/>
      <c r="D259" s="32"/>
      <c r="E259" s="37"/>
      <c r="F259" s="42"/>
      <c r="G259" s="32"/>
      <c r="H259" s="36">
        <f>IF(D259="",0,IF(AND(B259&gt;=ThongTin!$C$9,B259&lt;=ThongTin!$C$10,COUNTIFS(ThongTin!$B$19:$B$48,C259,ThongTin!$A$19:$A$48,ThongTin!$C$8,ThongTin!$C$19:$C$48,"XUAT_SP")&gt;0),1,0))</f>
        <v>0</v>
      </c>
    </row>
    <row r="260" spans="1:8" x14ac:dyDescent="0.25">
      <c r="A260" s="41"/>
      <c r="B260" s="33"/>
      <c r="C260" s="32"/>
      <c r="D260" s="32"/>
      <c r="E260" s="37"/>
      <c r="F260" s="42"/>
      <c r="G260" s="32"/>
      <c r="H260" s="36">
        <f>IF(D260="",0,IF(AND(B260&gt;=ThongTin!$C$9,B260&lt;=ThongTin!$C$10,COUNTIFS(ThongTin!$B$19:$B$48,C260,ThongTin!$A$19:$A$48,ThongTin!$C$8,ThongTin!$C$19:$C$48,"XUAT_SP")&gt;0),1,0))</f>
        <v>0</v>
      </c>
    </row>
    <row r="261" spans="1:8" x14ac:dyDescent="0.25">
      <c r="A261" s="41"/>
      <c r="B261" s="33"/>
      <c r="C261" s="32"/>
      <c r="D261" s="32"/>
      <c r="E261" s="37"/>
      <c r="F261" s="42"/>
      <c r="G261" s="32"/>
      <c r="H261" s="36">
        <f>IF(D261="",0,IF(AND(B261&gt;=ThongTin!$C$9,B261&lt;=ThongTin!$C$10,COUNTIFS(ThongTin!$B$19:$B$48,C261,ThongTin!$A$19:$A$48,ThongTin!$C$8,ThongTin!$C$19:$C$48,"XUAT_SP")&gt;0),1,0))</f>
        <v>0</v>
      </c>
    </row>
    <row r="262" spans="1:8" x14ac:dyDescent="0.25">
      <c r="A262" s="41"/>
      <c r="B262" s="33"/>
      <c r="C262" s="32"/>
      <c r="D262" s="32"/>
      <c r="E262" s="37"/>
      <c r="F262" s="42"/>
      <c r="G262" s="32"/>
      <c r="H262" s="36">
        <f>IF(D262="",0,IF(AND(B262&gt;=ThongTin!$C$9,B262&lt;=ThongTin!$C$10,COUNTIFS(ThongTin!$B$19:$B$48,C262,ThongTin!$A$19:$A$48,ThongTin!$C$8,ThongTin!$C$19:$C$48,"XUAT_SP")&gt;0),1,0))</f>
        <v>0</v>
      </c>
    </row>
    <row r="263" spans="1:8" x14ac:dyDescent="0.25">
      <c r="A263" s="41"/>
      <c r="B263" s="33"/>
      <c r="C263" s="32"/>
      <c r="D263" s="32"/>
      <c r="E263" s="37"/>
      <c r="F263" s="42"/>
      <c r="G263" s="32"/>
      <c r="H263" s="36">
        <f>IF(D263="",0,IF(AND(B263&gt;=ThongTin!$C$9,B263&lt;=ThongTin!$C$10,COUNTIFS(ThongTin!$B$19:$B$48,C263,ThongTin!$A$19:$A$48,ThongTin!$C$8,ThongTin!$C$19:$C$48,"XUAT_SP")&gt;0),1,0))</f>
        <v>0</v>
      </c>
    </row>
    <row r="264" spans="1:8" x14ac:dyDescent="0.25">
      <c r="A264" s="41"/>
      <c r="B264" s="33"/>
      <c r="C264" s="32"/>
      <c r="D264" s="32"/>
      <c r="E264" s="37"/>
      <c r="F264" s="42"/>
      <c r="G264" s="32"/>
      <c r="H264" s="36">
        <f>IF(D264="",0,IF(AND(B264&gt;=ThongTin!$C$9,B264&lt;=ThongTin!$C$10,COUNTIFS(ThongTin!$B$19:$B$48,C264,ThongTin!$A$19:$A$48,ThongTin!$C$8,ThongTin!$C$19:$C$48,"XUAT_SP")&gt;0),1,0))</f>
        <v>0</v>
      </c>
    </row>
    <row r="265" spans="1:8" x14ac:dyDescent="0.25">
      <c r="A265" s="41"/>
      <c r="B265" s="33"/>
      <c r="C265" s="32"/>
      <c r="D265" s="32"/>
      <c r="E265" s="37"/>
      <c r="F265" s="42"/>
      <c r="G265" s="32"/>
      <c r="H265" s="36">
        <f>IF(D265="",0,IF(AND(B265&gt;=ThongTin!$C$9,B265&lt;=ThongTin!$C$10,COUNTIFS(ThongTin!$B$19:$B$48,C265,ThongTin!$A$19:$A$48,ThongTin!$C$8,ThongTin!$C$19:$C$48,"XUAT_SP")&gt;0),1,0))</f>
        <v>0</v>
      </c>
    </row>
    <row r="266" spans="1:8" x14ac:dyDescent="0.25">
      <c r="A266" s="41"/>
      <c r="B266" s="33"/>
      <c r="C266" s="32"/>
      <c r="D266" s="32"/>
      <c r="E266" s="37"/>
      <c r="F266" s="42"/>
      <c r="G266" s="32"/>
      <c r="H266" s="36">
        <f>IF(D266="",0,IF(AND(B266&gt;=ThongTin!$C$9,B266&lt;=ThongTin!$C$10,COUNTIFS(ThongTin!$B$19:$B$48,C266,ThongTin!$A$19:$A$48,ThongTin!$C$8,ThongTin!$C$19:$C$48,"XUAT_SP")&gt;0),1,0))</f>
        <v>0</v>
      </c>
    </row>
    <row r="267" spans="1:8" x14ac:dyDescent="0.25">
      <c r="A267" s="41"/>
      <c r="B267" s="33"/>
      <c r="C267" s="32"/>
      <c r="D267" s="32"/>
      <c r="E267" s="37"/>
      <c r="F267" s="42"/>
      <c r="G267" s="32"/>
      <c r="H267" s="36">
        <f>IF(D267="",0,IF(AND(B267&gt;=ThongTin!$C$9,B267&lt;=ThongTin!$C$10,COUNTIFS(ThongTin!$B$19:$B$48,C267,ThongTin!$A$19:$A$48,ThongTin!$C$8,ThongTin!$C$19:$C$48,"XUAT_SP")&gt;0),1,0))</f>
        <v>0</v>
      </c>
    </row>
    <row r="268" spans="1:8" x14ac:dyDescent="0.25">
      <c r="A268" s="41"/>
      <c r="B268" s="33"/>
      <c r="C268" s="32"/>
      <c r="D268" s="32"/>
      <c r="E268" s="37"/>
      <c r="F268" s="42"/>
      <c r="G268" s="32"/>
      <c r="H268" s="36">
        <f>IF(D268="",0,IF(AND(B268&gt;=ThongTin!$C$9,B268&lt;=ThongTin!$C$10,COUNTIFS(ThongTin!$B$19:$B$48,C268,ThongTin!$A$19:$A$48,ThongTin!$C$8,ThongTin!$C$19:$C$48,"XUAT_SP")&gt;0),1,0))</f>
        <v>0</v>
      </c>
    </row>
    <row r="269" spans="1:8" x14ac:dyDescent="0.25">
      <c r="A269" s="41"/>
      <c r="B269" s="33"/>
      <c r="C269" s="32"/>
      <c r="D269" s="32"/>
      <c r="E269" s="37"/>
      <c r="F269" s="42"/>
      <c r="G269" s="32"/>
      <c r="H269" s="36">
        <f>IF(D269="",0,IF(AND(B269&gt;=ThongTin!$C$9,B269&lt;=ThongTin!$C$10,COUNTIFS(ThongTin!$B$19:$B$48,C269,ThongTin!$A$19:$A$48,ThongTin!$C$8,ThongTin!$C$19:$C$48,"XUAT_SP")&gt;0),1,0))</f>
        <v>0</v>
      </c>
    </row>
    <row r="270" spans="1:8" x14ac:dyDescent="0.25">
      <c r="A270" s="41"/>
      <c r="B270" s="33"/>
      <c r="C270" s="32"/>
      <c r="D270" s="32"/>
      <c r="E270" s="37"/>
      <c r="F270" s="42"/>
      <c r="G270" s="32"/>
      <c r="H270" s="36">
        <f>IF(D270="",0,IF(AND(B270&gt;=ThongTin!$C$9,B270&lt;=ThongTin!$C$10,COUNTIFS(ThongTin!$B$19:$B$48,C270,ThongTin!$A$19:$A$48,ThongTin!$C$8,ThongTin!$C$19:$C$48,"XUAT_SP")&gt;0),1,0))</f>
        <v>0</v>
      </c>
    </row>
    <row r="271" spans="1:8" x14ac:dyDescent="0.25">
      <c r="A271" s="41"/>
      <c r="B271" s="33"/>
      <c r="C271" s="32"/>
      <c r="D271" s="32"/>
      <c r="E271" s="37"/>
      <c r="F271" s="42"/>
      <c r="G271" s="32"/>
      <c r="H271" s="36">
        <f>IF(D271="",0,IF(AND(B271&gt;=ThongTin!$C$9,B271&lt;=ThongTin!$C$10,COUNTIFS(ThongTin!$B$19:$B$48,C271,ThongTin!$A$19:$A$48,ThongTin!$C$8,ThongTin!$C$19:$C$48,"XUAT_SP")&gt;0),1,0))</f>
        <v>0</v>
      </c>
    </row>
    <row r="272" spans="1:8" x14ac:dyDescent="0.25">
      <c r="A272" s="41"/>
      <c r="B272" s="33"/>
      <c r="C272" s="32"/>
      <c r="D272" s="32"/>
      <c r="E272" s="37"/>
      <c r="F272" s="42"/>
      <c r="G272" s="32"/>
      <c r="H272" s="36">
        <f>IF(D272="",0,IF(AND(B272&gt;=ThongTin!$C$9,B272&lt;=ThongTin!$C$10,COUNTIFS(ThongTin!$B$19:$B$48,C272,ThongTin!$A$19:$A$48,ThongTin!$C$8,ThongTin!$C$19:$C$48,"XUAT_SP")&gt;0),1,0))</f>
        <v>0</v>
      </c>
    </row>
    <row r="273" spans="1:8" x14ac:dyDescent="0.25">
      <c r="A273" s="41"/>
      <c r="B273" s="33"/>
      <c r="C273" s="32"/>
      <c r="D273" s="32"/>
      <c r="E273" s="37"/>
      <c r="F273" s="42"/>
      <c r="G273" s="32"/>
      <c r="H273" s="36">
        <f>IF(D273="",0,IF(AND(B273&gt;=ThongTin!$C$9,B273&lt;=ThongTin!$C$10,COUNTIFS(ThongTin!$B$19:$B$48,C273,ThongTin!$A$19:$A$48,ThongTin!$C$8,ThongTin!$C$19:$C$48,"XUAT_SP")&gt;0),1,0))</f>
        <v>0</v>
      </c>
    </row>
    <row r="274" spans="1:8" x14ac:dyDescent="0.25">
      <c r="A274" s="41"/>
      <c r="B274" s="33"/>
      <c r="C274" s="32"/>
      <c r="D274" s="32"/>
      <c r="E274" s="37"/>
      <c r="F274" s="42"/>
      <c r="G274" s="32"/>
      <c r="H274" s="36">
        <f>IF(D274="",0,IF(AND(B274&gt;=ThongTin!$C$9,B274&lt;=ThongTin!$C$10,COUNTIFS(ThongTin!$B$19:$B$48,C274,ThongTin!$A$19:$A$48,ThongTin!$C$8,ThongTin!$C$19:$C$48,"XUAT_SP")&gt;0),1,0))</f>
        <v>0</v>
      </c>
    </row>
    <row r="275" spans="1:8" x14ac:dyDescent="0.25">
      <c r="A275" s="41"/>
      <c r="B275" s="33"/>
      <c r="C275" s="32"/>
      <c r="D275" s="32"/>
      <c r="E275" s="37"/>
      <c r="F275" s="42"/>
      <c r="G275" s="32"/>
      <c r="H275" s="36">
        <f>IF(D275="",0,IF(AND(B275&gt;=ThongTin!$C$9,B275&lt;=ThongTin!$C$10,COUNTIFS(ThongTin!$B$19:$B$48,C275,ThongTin!$A$19:$A$48,ThongTin!$C$8,ThongTin!$C$19:$C$48,"XUAT_SP")&gt;0),1,0))</f>
        <v>0</v>
      </c>
    </row>
    <row r="276" spans="1:8" x14ac:dyDescent="0.25">
      <c r="A276" s="41"/>
      <c r="B276" s="33"/>
      <c r="C276" s="32"/>
      <c r="D276" s="32"/>
      <c r="E276" s="37"/>
      <c r="F276" s="42"/>
      <c r="G276" s="32"/>
      <c r="H276" s="36">
        <f>IF(D276="",0,IF(AND(B276&gt;=ThongTin!$C$9,B276&lt;=ThongTin!$C$10,COUNTIFS(ThongTin!$B$19:$B$48,C276,ThongTin!$A$19:$A$48,ThongTin!$C$8,ThongTin!$C$19:$C$48,"XUAT_SP")&gt;0),1,0))</f>
        <v>0</v>
      </c>
    </row>
    <row r="277" spans="1:8" x14ac:dyDescent="0.25">
      <c r="A277" s="41"/>
      <c r="B277" s="33"/>
      <c r="C277" s="32"/>
      <c r="D277" s="32"/>
      <c r="E277" s="37"/>
      <c r="F277" s="42"/>
      <c r="G277" s="32"/>
      <c r="H277" s="36">
        <f>IF(D277="",0,IF(AND(B277&gt;=ThongTin!$C$9,B277&lt;=ThongTin!$C$10,COUNTIFS(ThongTin!$B$19:$B$48,C277,ThongTin!$A$19:$A$48,ThongTin!$C$8,ThongTin!$C$19:$C$48,"XUAT_SP")&gt;0),1,0))</f>
        <v>0</v>
      </c>
    </row>
    <row r="278" spans="1:8" x14ac:dyDescent="0.25">
      <c r="A278" s="41"/>
      <c r="B278" s="33"/>
      <c r="C278" s="32"/>
      <c r="D278" s="32"/>
      <c r="E278" s="37"/>
      <c r="F278" s="42"/>
      <c r="G278" s="32"/>
      <c r="H278" s="36">
        <f>IF(D278="",0,IF(AND(B278&gt;=ThongTin!$C$9,B278&lt;=ThongTin!$C$10,COUNTIFS(ThongTin!$B$19:$B$48,C278,ThongTin!$A$19:$A$48,ThongTin!$C$8,ThongTin!$C$19:$C$48,"XUAT_SP")&gt;0),1,0))</f>
        <v>0</v>
      </c>
    </row>
    <row r="279" spans="1:8" x14ac:dyDescent="0.25">
      <c r="A279" s="41"/>
      <c r="B279" s="33"/>
      <c r="C279" s="32"/>
      <c r="D279" s="32"/>
      <c r="E279" s="37"/>
      <c r="F279" s="42"/>
      <c r="G279" s="32"/>
      <c r="H279" s="36">
        <f>IF(D279="",0,IF(AND(B279&gt;=ThongTin!$C$9,B279&lt;=ThongTin!$C$10,COUNTIFS(ThongTin!$B$19:$B$48,C279,ThongTin!$A$19:$A$48,ThongTin!$C$8,ThongTin!$C$19:$C$48,"XUAT_SP")&gt;0),1,0))</f>
        <v>0</v>
      </c>
    </row>
    <row r="280" spans="1:8" x14ac:dyDescent="0.25">
      <c r="A280" s="41"/>
      <c r="B280" s="33"/>
      <c r="C280" s="32"/>
      <c r="D280" s="32"/>
      <c r="E280" s="37"/>
      <c r="F280" s="42"/>
      <c r="G280" s="32"/>
      <c r="H280" s="36">
        <f>IF(D280="",0,IF(AND(B280&gt;=ThongTin!$C$9,B280&lt;=ThongTin!$C$10,COUNTIFS(ThongTin!$B$19:$B$48,C280,ThongTin!$A$19:$A$48,ThongTin!$C$8,ThongTin!$C$19:$C$48,"XUAT_SP")&gt;0),1,0))</f>
        <v>0</v>
      </c>
    </row>
    <row r="281" spans="1:8" x14ac:dyDescent="0.25">
      <c r="A281" s="41"/>
      <c r="B281" s="33"/>
      <c r="C281" s="32"/>
      <c r="D281" s="32"/>
      <c r="E281" s="37"/>
      <c r="F281" s="42"/>
      <c r="G281" s="32"/>
      <c r="H281" s="36">
        <f>IF(D281="",0,IF(AND(B281&gt;=ThongTin!$C$9,B281&lt;=ThongTin!$C$10,COUNTIFS(ThongTin!$B$19:$B$48,C281,ThongTin!$A$19:$A$48,ThongTin!$C$8,ThongTin!$C$19:$C$48,"XUAT_SP")&gt;0),1,0))</f>
        <v>0</v>
      </c>
    </row>
    <row r="282" spans="1:8" x14ac:dyDescent="0.25">
      <c r="A282" s="41"/>
      <c r="B282" s="33"/>
      <c r="C282" s="32"/>
      <c r="D282" s="32"/>
      <c r="E282" s="37"/>
      <c r="F282" s="42"/>
      <c r="G282" s="32"/>
      <c r="H282" s="36">
        <f>IF(D282="",0,IF(AND(B282&gt;=ThongTin!$C$9,B282&lt;=ThongTin!$C$10,COUNTIFS(ThongTin!$B$19:$B$48,C282,ThongTin!$A$19:$A$48,ThongTin!$C$8,ThongTin!$C$19:$C$48,"XUAT_SP")&gt;0),1,0))</f>
        <v>0</v>
      </c>
    </row>
    <row r="283" spans="1:8" x14ac:dyDescent="0.25">
      <c r="A283" s="41"/>
      <c r="B283" s="33"/>
      <c r="C283" s="32"/>
      <c r="D283" s="32"/>
      <c r="E283" s="37"/>
      <c r="F283" s="42"/>
      <c r="G283" s="32"/>
      <c r="H283" s="36">
        <f>IF(D283="",0,IF(AND(B283&gt;=ThongTin!$C$9,B283&lt;=ThongTin!$C$10,COUNTIFS(ThongTin!$B$19:$B$48,C283,ThongTin!$A$19:$A$48,ThongTin!$C$8,ThongTin!$C$19:$C$48,"XUAT_SP")&gt;0),1,0))</f>
        <v>0</v>
      </c>
    </row>
    <row r="284" spans="1:8" x14ac:dyDescent="0.25">
      <c r="A284" s="41"/>
      <c r="B284" s="33"/>
      <c r="C284" s="32"/>
      <c r="D284" s="32"/>
      <c r="E284" s="37"/>
      <c r="F284" s="42"/>
      <c r="G284" s="32"/>
      <c r="H284" s="36">
        <f>IF(D284="",0,IF(AND(B284&gt;=ThongTin!$C$9,B284&lt;=ThongTin!$C$10,COUNTIFS(ThongTin!$B$19:$B$48,C284,ThongTin!$A$19:$A$48,ThongTin!$C$8,ThongTin!$C$19:$C$48,"XUAT_SP")&gt;0),1,0))</f>
        <v>0</v>
      </c>
    </row>
    <row r="285" spans="1:8" x14ac:dyDescent="0.25">
      <c r="A285" s="41"/>
      <c r="B285" s="33"/>
      <c r="C285" s="32"/>
      <c r="D285" s="32"/>
      <c r="E285" s="37"/>
      <c r="F285" s="42"/>
      <c r="G285" s="32"/>
      <c r="H285" s="36">
        <f>IF(D285="",0,IF(AND(B285&gt;=ThongTin!$C$9,B285&lt;=ThongTin!$C$10,COUNTIFS(ThongTin!$B$19:$B$48,C285,ThongTin!$A$19:$A$48,ThongTin!$C$8,ThongTin!$C$19:$C$48,"XUAT_SP")&gt;0),1,0))</f>
        <v>0</v>
      </c>
    </row>
    <row r="286" spans="1:8" x14ac:dyDescent="0.25">
      <c r="A286" s="41"/>
      <c r="B286" s="33"/>
      <c r="C286" s="32"/>
      <c r="D286" s="32"/>
      <c r="E286" s="37"/>
      <c r="F286" s="42"/>
      <c r="G286" s="32"/>
      <c r="H286" s="36">
        <f>IF(D286="",0,IF(AND(B286&gt;=ThongTin!$C$9,B286&lt;=ThongTin!$C$10,COUNTIFS(ThongTin!$B$19:$B$48,C286,ThongTin!$A$19:$A$48,ThongTin!$C$8,ThongTin!$C$19:$C$48,"XUAT_SP")&gt;0),1,0))</f>
        <v>0</v>
      </c>
    </row>
    <row r="287" spans="1:8" x14ac:dyDescent="0.25">
      <c r="A287" s="41"/>
      <c r="B287" s="33"/>
      <c r="C287" s="32"/>
      <c r="D287" s="32"/>
      <c r="E287" s="37"/>
      <c r="F287" s="42"/>
      <c r="G287" s="32"/>
      <c r="H287" s="36">
        <f>IF(D287="",0,IF(AND(B287&gt;=ThongTin!$C$9,B287&lt;=ThongTin!$C$10,COUNTIFS(ThongTin!$B$19:$B$48,C287,ThongTin!$A$19:$A$48,ThongTin!$C$8,ThongTin!$C$19:$C$48,"XUAT_SP")&gt;0),1,0))</f>
        <v>0</v>
      </c>
    </row>
    <row r="288" spans="1:8" x14ac:dyDescent="0.25">
      <c r="A288" s="41"/>
      <c r="B288" s="33"/>
      <c r="C288" s="32"/>
      <c r="D288" s="32"/>
      <c r="E288" s="37"/>
      <c r="F288" s="42"/>
      <c r="G288" s="32"/>
      <c r="H288" s="36">
        <f>IF(D288="",0,IF(AND(B288&gt;=ThongTin!$C$9,B288&lt;=ThongTin!$C$10,COUNTIFS(ThongTin!$B$19:$B$48,C288,ThongTin!$A$19:$A$48,ThongTin!$C$8,ThongTin!$C$19:$C$48,"XUAT_SP")&gt;0),1,0))</f>
        <v>0</v>
      </c>
    </row>
    <row r="289" spans="1:8" x14ac:dyDescent="0.25">
      <c r="A289" s="41"/>
      <c r="B289" s="33"/>
      <c r="C289" s="32"/>
      <c r="D289" s="32"/>
      <c r="E289" s="37"/>
      <c r="F289" s="42"/>
      <c r="G289" s="32"/>
      <c r="H289" s="36">
        <f>IF(D289="",0,IF(AND(B289&gt;=ThongTin!$C$9,B289&lt;=ThongTin!$C$10,COUNTIFS(ThongTin!$B$19:$B$48,C289,ThongTin!$A$19:$A$48,ThongTin!$C$8,ThongTin!$C$19:$C$48,"XUAT_SP")&gt;0),1,0))</f>
        <v>0</v>
      </c>
    </row>
    <row r="290" spans="1:8" x14ac:dyDescent="0.25">
      <c r="A290" s="41"/>
      <c r="B290" s="33"/>
      <c r="C290" s="32"/>
      <c r="D290" s="32"/>
      <c r="E290" s="37"/>
      <c r="F290" s="42"/>
      <c r="G290" s="32"/>
      <c r="H290" s="36">
        <f>IF(D290="",0,IF(AND(B290&gt;=ThongTin!$C$9,B290&lt;=ThongTin!$C$10,COUNTIFS(ThongTin!$B$19:$B$48,C290,ThongTin!$A$19:$A$48,ThongTin!$C$8,ThongTin!$C$19:$C$48,"XUAT_SP")&gt;0),1,0))</f>
        <v>0</v>
      </c>
    </row>
    <row r="291" spans="1:8" x14ac:dyDescent="0.25">
      <c r="A291" s="41"/>
      <c r="B291" s="33"/>
      <c r="C291" s="32"/>
      <c r="D291" s="32"/>
      <c r="E291" s="37"/>
      <c r="F291" s="42"/>
      <c r="G291" s="32"/>
      <c r="H291" s="36">
        <f>IF(D291="",0,IF(AND(B291&gt;=ThongTin!$C$9,B291&lt;=ThongTin!$C$10,COUNTIFS(ThongTin!$B$19:$B$48,C291,ThongTin!$A$19:$A$48,ThongTin!$C$8,ThongTin!$C$19:$C$48,"XUAT_SP")&gt;0),1,0))</f>
        <v>0</v>
      </c>
    </row>
    <row r="292" spans="1:8" x14ac:dyDescent="0.25">
      <c r="A292" s="41"/>
      <c r="B292" s="33"/>
      <c r="C292" s="32"/>
      <c r="D292" s="32"/>
      <c r="E292" s="37"/>
      <c r="F292" s="42"/>
      <c r="G292" s="32"/>
      <c r="H292" s="36">
        <f>IF(D292="",0,IF(AND(B292&gt;=ThongTin!$C$9,B292&lt;=ThongTin!$C$10,COUNTIFS(ThongTin!$B$19:$B$48,C292,ThongTin!$A$19:$A$48,ThongTin!$C$8,ThongTin!$C$19:$C$48,"XUAT_SP")&gt;0),1,0))</f>
        <v>0</v>
      </c>
    </row>
    <row r="293" spans="1:8" x14ac:dyDescent="0.25">
      <c r="A293" s="41"/>
      <c r="B293" s="33"/>
      <c r="C293" s="32"/>
      <c r="D293" s="32"/>
      <c r="E293" s="37"/>
      <c r="F293" s="42"/>
      <c r="G293" s="32"/>
      <c r="H293" s="36">
        <f>IF(D293="",0,IF(AND(B293&gt;=ThongTin!$C$9,B293&lt;=ThongTin!$C$10,COUNTIFS(ThongTin!$B$19:$B$48,C293,ThongTin!$A$19:$A$48,ThongTin!$C$8,ThongTin!$C$19:$C$48,"XUAT_SP")&gt;0),1,0))</f>
        <v>0</v>
      </c>
    </row>
    <row r="294" spans="1:8" x14ac:dyDescent="0.25">
      <c r="A294" s="41"/>
      <c r="B294" s="33"/>
      <c r="C294" s="32"/>
      <c r="D294" s="32"/>
      <c r="E294" s="37"/>
      <c r="F294" s="42"/>
      <c r="G294" s="32"/>
      <c r="H294" s="36">
        <f>IF(D294="",0,IF(AND(B294&gt;=ThongTin!$C$9,B294&lt;=ThongTin!$C$10,COUNTIFS(ThongTin!$B$19:$B$48,C294,ThongTin!$A$19:$A$48,ThongTin!$C$8,ThongTin!$C$19:$C$48,"XUAT_SP")&gt;0),1,0))</f>
        <v>0</v>
      </c>
    </row>
    <row r="295" spans="1:8" x14ac:dyDescent="0.25">
      <c r="A295" s="41"/>
      <c r="B295" s="33"/>
      <c r="C295" s="32"/>
      <c r="D295" s="32"/>
      <c r="E295" s="37"/>
      <c r="F295" s="42"/>
      <c r="G295" s="32"/>
      <c r="H295" s="36">
        <f>IF(D295="",0,IF(AND(B295&gt;=ThongTin!$C$9,B295&lt;=ThongTin!$C$10,COUNTIFS(ThongTin!$B$19:$B$48,C295,ThongTin!$A$19:$A$48,ThongTin!$C$8,ThongTin!$C$19:$C$48,"XUAT_SP")&gt;0),1,0))</f>
        <v>0</v>
      </c>
    </row>
    <row r="296" spans="1:8" x14ac:dyDescent="0.25">
      <c r="A296" s="41"/>
      <c r="B296" s="33"/>
      <c r="C296" s="32"/>
      <c r="D296" s="32"/>
      <c r="E296" s="37"/>
      <c r="F296" s="42"/>
      <c r="G296" s="32"/>
      <c r="H296" s="36">
        <f>IF(D296="",0,IF(AND(B296&gt;=ThongTin!$C$9,B296&lt;=ThongTin!$C$10,COUNTIFS(ThongTin!$B$19:$B$48,C296,ThongTin!$A$19:$A$48,ThongTin!$C$8,ThongTin!$C$19:$C$48,"XUAT_SP")&gt;0),1,0))</f>
        <v>0</v>
      </c>
    </row>
    <row r="297" spans="1:8" x14ac:dyDescent="0.25">
      <c r="A297" s="41"/>
      <c r="B297" s="33"/>
      <c r="C297" s="32"/>
      <c r="D297" s="32"/>
      <c r="E297" s="37"/>
      <c r="F297" s="42"/>
      <c r="G297" s="32"/>
      <c r="H297" s="36">
        <f>IF(D297="",0,IF(AND(B297&gt;=ThongTin!$C$9,B297&lt;=ThongTin!$C$10,COUNTIFS(ThongTin!$B$19:$B$48,C297,ThongTin!$A$19:$A$48,ThongTin!$C$8,ThongTin!$C$19:$C$48,"XUAT_SP")&gt;0),1,0))</f>
        <v>0</v>
      </c>
    </row>
    <row r="298" spans="1:8" x14ac:dyDescent="0.25">
      <c r="A298" s="41"/>
      <c r="B298" s="33"/>
      <c r="C298" s="32"/>
      <c r="D298" s="32"/>
      <c r="E298" s="37"/>
      <c r="F298" s="42"/>
      <c r="G298" s="32"/>
      <c r="H298" s="36">
        <f>IF(D298="",0,IF(AND(B298&gt;=ThongTin!$C$9,B298&lt;=ThongTin!$C$10,COUNTIFS(ThongTin!$B$19:$B$48,C298,ThongTin!$A$19:$A$48,ThongTin!$C$8,ThongTin!$C$19:$C$48,"XUAT_SP")&gt;0),1,0))</f>
        <v>0</v>
      </c>
    </row>
    <row r="299" spans="1:8" x14ac:dyDescent="0.25">
      <c r="A299" s="41"/>
      <c r="B299" s="33"/>
      <c r="C299" s="32"/>
      <c r="D299" s="32"/>
      <c r="E299" s="37"/>
      <c r="F299" s="42"/>
      <c r="G299" s="32"/>
      <c r="H299" s="36">
        <f>IF(D299="",0,IF(AND(B299&gt;=ThongTin!$C$9,B299&lt;=ThongTin!$C$10,COUNTIFS(ThongTin!$B$19:$B$48,C299,ThongTin!$A$19:$A$48,ThongTin!$C$8,ThongTin!$C$19:$C$48,"XUAT_SP")&gt;0),1,0))</f>
        <v>0</v>
      </c>
    </row>
    <row r="300" spans="1:8" x14ac:dyDescent="0.25">
      <c r="A300" s="41"/>
      <c r="B300" s="33"/>
      <c r="C300" s="32"/>
      <c r="D300" s="32"/>
      <c r="E300" s="37"/>
      <c r="F300" s="42"/>
      <c r="G300" s="32"/>
      <c r="H300" s="36">
        <f>IF(D300="",0,IF(AND(B300&gt;=ThongTin!$C$9,B300&lt;=ThongTin!$C$10,COUNTIFS(ThongTin!$B$19:$B$48,C300,ThongTin!$A$19:$A$48,ThongTin!$C$8,ThongTin!$C$19:$C$48,"XUAT_SP")&gt;0),1,0))</f>
        <v>0</v>
      </c>
    </row>
    <row r="301" spans="1:8" x14ac:dyDescent="0.25">
      <c r="A301" s="41"/>
      <c r="B301" s="33"/>
      <c r="C301" s="32"/>
      <c r="D301" s="32"/>
      <c r="E301" s="37"/>
      <c r="F301" s="42"/>
      <c r="G301" s="32"/>
      <c r="H301" s="36">
        <f>IF(D301="",0,IF(AND(B301&gt;=ThongTin!$C$9,B301&lt;=ThongTin!$C$10,COUNTIFS(ThongTin!$B$19:$B$48,C301,ThongTin!$A$19:$A$48,ThongTin!$C$8,ThongTin!$C$19:$C$48,"XUAT_SP")&gt;0),1,0))</f>
        <v>0</v>
      </c>
    </row>
    <row r="302" spans="1:8" x14ac:dyDescent="0.25">
      <c r="A302" s="41"/>
      <c r="B302" s="33"/>
      <c r="C302" s="32"/>
      <c r="D302" s="32"/>
      <c r="E302" s="37"/>
      <c r="F302" s="42"/>
      <c r="G302" s="32"/>
      <c r="H302" s="36">
        <f>IF(D302="",0,IF(AND(B302&gt;=ThongTin!$C$9,B302&lt;=ThongTin!$C$10,COUNTIFS(ThongTin!$B$19:$B$48,C302,ThongTin!$A$19:$A$48,ThongTin!$C$8,ThongTin!$C$19:$C$48,"XUAT_SP")&gt;0),1,0))</f>
        <v>0</v>
      </c>
    </row>
    <row r="303" spans="1:8" x14ac:dyDescent="0.25">
      <c r="A303" s="41"/>
      <c r="B303" s="33"/>
      <c r="C303" s="32"/>
      <c r="D303" s="32"/>
      <c r="E303" s="37"/>
      <c r="F303" s="42"/>
      <c r="G303" s="32"/>
      <c r="H303" s="36">
        <f>IF(D303="",0,IF(AND(B303&gt;=ThongTin!$C$9,B303&lt;=ThongTin!$C$10,COUNTIFS(ThongTin!$B$19:$B$48,C303,ThongTin!$A$19:$A$48,ThongTin!$C$8,ThongTin!$C$19:$C$48,"XUAT_SP")&gt;0),1,0))</f>
        <v>0</v>
      </c>
    </row>
    <row r="304" spans="1:8" x14ac:dyDescent="0.25">
      <c r="A304" s="41"/>
      <c r="B304" s="33"/>
      <c r="C304" s="32"/>
      <c r="D304" s="32"/>
      <c r="E304" s="37"/>
      <c r="F304" s="42"/>
      <c r="G304" s="32"/>
      <c r="H304" s="36">
        <f>IF(D304="",0,IF(AND(B304&gt;=ThongTin!$C$9,B304&lt;=ThongTin!$C$10,COUNTIFS(ThongTin!$B$19:$B$48,C304,ThongTin!$A$19:$A$48,ThongTin!$C$8,ThongTin!$C$19:$C$48,"XUAT_SP")&gt;0),1,0))</f>
        <v>0</v>
      </c>
    </row>
    <row r="305" spans="1:8" x14ac:dyDescent="0.25">
      <c r="A305" s="41"/>
      <c r="B305" s="33"/>
      <c r="C305" s="32"/>
      <c r="D305" s="32"/>
      <c r="E305" s="37"/>
      <c r="F305" s="42"/>
      <c r="G305" s="32"/>
      <c r="H305" s="36">
        <f>IF(D305="",0,IF(AND(B305&gt;=ThongTin!$C$9,B305&lt;=ThongTin!$C$10,COUNTIFS(ThongTin!$B$19:$B$48,C305,ThongTin!$A$19:$A$48,ThongTin!$C$8,ThongTin!$C$19:$C$48,"XUAT_SP")&gt;0),1,0))</f>
        <v>0</v>
      </c>
    </row>
    <row r="306" spans="1:8" x14ac:dyDescent="0.25">
      <c r="A306" s="41"/>
      <c r="B306" s="33"/>
      <c r="C306" s="32"/>
      <c r="D306" s="32"/>
      <c r="E306" s="37"/>
      <c r="F306" s="42"/>
      <c r="G306" s="32"/>
      <c r="H306" s="36">
        <f>IF(D306="",0,IF(AND(B306&gt;=ThongTin!$C$9,B306&lt;=ThongTin!$C$10,COUNTIFS(ThongTin!$B$19:$B$48,C306,ThongTin!$A$19:$A$48,ThongTin!$C$8,ThongTin!$C$19:$C$48,"XUAT_SP")&gt;0),1,0))</f>
        <v>0</v>
      </c>
    </row>
    <row r="307" spans="1:8" x14ac:dyDescent="0.25">
      <c r="A307" s="41"/>
      <c r="B307" s="33"/>
      <c r="C307" s="32"/>
      <c r="D307" s="32"/>
      <c r="E307" s="37"/>
      <c r="F307" s="42"/>
      <c r="G307" s="32"/>
      <c r="H307" s="36">
        <f>IF(D307="",0,IF(AND(B307&gt;=ThongTin!$C$9,B307&lt;=ThongTin!$C$10,COUNTIFS(ThongTin!$B$19:$B$48,C307,ThongTin!$A$19:$A$48,ThongTin!$C$8,ThongTin!$C$19:$C$48,"XUAT_SP")&gt;0),1,0))</f>
        <v>0</v>
      </c>
    </row>
    <row r="308" spans="1:8" x14ac:dyDescent="0.25">
      <c r="A308" s="41"/>
      <c r="B308" s="33"/>
      <c r="C308" s="32"/>
      <c r="D308" s="32"/>
      <c r="E308" s="37"/>
      <c r="F308" s="42"/>
      <c r="G308" s="32"/>
      <c r="H308" s="36">
        <f>IF(D308="",0,IF(AND(B308&gt;=ThongTin!$C$9,B308&lt;=ThongTin!$C$10,COUNTIFS(ThongTin!$B$19:$B$48,C308,ThongTin!$A$19:$A$48,ThongTin!$C$8,ThongTin!$C$19:$C$48,"XUAT_SP")&gt;0),1,0))</f>
        <v>0</v>
      </c>
    </row>
    <row r="309" spans="1:8" x14ac:dyDescent="0.25">
      <c r="A309" s="41"/>
      <c r="B309" s="33"/>
      <c r="C309" s="32"/>
      <c r="D309" s="32"/>
      <c r="E309" s="37"/>
      <c r="F309" s="42"/>
      <c r="G309" s="32"/>
      <c r="H309" s="36">
        <f>IF(D309="",0,IF(AND(B309&gt;=ThongTin!$C$9,B309&lt;=ThongTin!$C$10,COUNTIFS(ThongTin!$B$19:$B$48,C309,ThongTin!$A$19:$A$48,ThongTin!$C$8,ThongTin!$C$19:$C$48,"XUAT_SP")&gt;0),1,0))</f>
        <v>0</v>
      </c>
    </row>
    <row r="310" spans="1:8" x14ac:dyDescent="0.25">
      <c r="A310" s="41"/>
      <c r="B310" s="33"/>
      <c r="C310" s="32"/>
      <c r="D310" s="32"/>
      <c r="E310" s="37"/>
      <c r="F310" s="42"/>
      <c r="G310" s="32"/>
      <c r="H310" s="36">
        <f>IF(D310="",0,IF(AND(B310&gt;=ThongTin!$C$9,B310&lt;=ThongTin!$C$10,COUNTIFS(ThongTin!$B$19:$B$48,C310,ThongTin!$A$19:$A$48,ThongTin!$C$8,ThongTin!$C$19:$C$48,"XUAT_SP")&gt;0),1,0))</f>
        <v>0</v>
      </c>
    </row>
    <row r="311" spans="1:8" x14ac:dyDescent="0.25">
      <c r="A311" s="41"/>
      <c r="B311" s="33"/>
      <c r="C311" s="32"/>
      <c r="D311" s="32"/>
      <c r="E311" s="37"/>
      <c r="F311" s="42"/>
      <c r="G311" s="32"/>
      <c r="H311" s="36">
        <f>IF(D311="",0,IF(AND(B311&gt;=ThongTin!$C$9,B311&lt;=ThongTin!$C$10,COUNTIFS(ThongTin!$B$19:$B$48,C311,ThongTin!$A$19:$A$48,ThongTin!$C$8,ThongTin!$C$19:$C$48,"XUAT_SP")&gt;0),1,0))</f>
        <v>0</v>
      </c>
    </row>
    <row r="312" spans="1:8" x14ac:dyDescent="0.25">
      <c r="A312" s="41"/>
      <c r="B312" s="33"/>
      <c r="C312" s="32"/>
      <c r="D312" s="32"/>
      <c r="E312" s="37"/>
      <c r="F312" s="42"/>
      <c r="G312" s="32"/>
      <c r="H312" s="36">
        <f>IF(D312="",0,IF(AND(B312&gt;=ThongTin!$C$9,B312&lt;=ThongTin!$C$10,COUNTIFS(ThongTin!$B$19:$B$48,C312,ThongTin!$A$19:$A$48,ThongTin!$C$8,ThongTin!$C$19:$C$48,"XUAT_SP")&gt;0),1,0))</f>
        <v>0</v>
      </c>
    </row>
    <row r="313" spans="1:8" x14ac:dyDescent="0.25">
      <c r="A313" s="41"/>
      <c r="B313" s="33"/>
      <c r="C313" s="32"/>
      <c r="D313" s="32"/>
      <c r="E313" s="37"/>
      <c r="F313" s="42"/>
      <c r="G313" s="32"/>
      <c r="H313" s="36">
        <f>IF(D313="",0,IF(AND(B313&gt;=ThongTin!$C$9,B313&lt;=ThongTin!$C$10,COUNTIFS(ThongTin!$B$19:$B$48,C313,ThongTin!$A$19:$A$48,ThongTin!$C$8,ThongTin!$C$19:$C$48,"XUAT_SP")&gt;0),1,0))</f>
        <v>0</v>
      </c>
    </row>
    <row r="314" spans="1:8" x14ac:dyDescent="0.25">
      <c r="A314" s="41"/>
      <c r="B314" s="33"/>
      <c r="C314" s="32"/>
      <c r="D314" s="32"/>
      <c r="E314" s="37"/>
      <c r="F314" s="42"/>
      <c r="G314" s="32"/>
      <c r="H314" s="36">
        <f>IF(D314="",0,IF(AND(B314&gt;=ThongTin!$C$9,B314&lt;=ThongTin!$C$10,COUNTIFS(ThongTin!$B$19:$B$48,C314,ThongTin!$A$19:$A$48,ThongTin!$C$8,ThongTin!$C$19:$C$48,"XUAT_SP")&gt;0),1,0))</f>
        <v>0</v>
      </c>
    </row>
    <row r="315" spans="1:8" x14ac:dyDescent="0.25">
      <c r="A315" s="41"/>
      <c r="B315" s="33"/>
      <c r="C315" s="32"/>
      <c r="D315" s="32"/>
      <c r="E315" s="37"/>
      <c r="F315" s="42"/>
      <c r="G315" s="32"/>
      <c r="H315" s="36">
        <f>IF(D315="",0,IF(AND(B315&gt;=ThongTin!$C$9,B315&lt;=ThongTin!$C$10,COUNTIFS(ThongTin!$B$19:$B$48,C315,ThongTin!$A$19:$A$48,ThongTin!$C$8,ThongTin!$C$19:$C$48,"XUAT_SP")&gt;0),1,0))</f>
        <v>0</v>
      </c>
    </row>
    <row r="316" spans="1:8" x14ac:dyDescent="0.25">
      <c r="A316" s="41"/>
      <c r="B316" s="33"/>
      <c r="C316" s="32"/>
      <c r="D316" s="32"/>
      <c r="E316" s="37"/>
      <c r="F316" s="42"/>
      <c r="G316" s="32"/>
      <c r="H316" s="36">
        <f>IF(D316="",0,IF(AND(B316&gt;=ThongTin!$C$9,B316&lt;=ThongTin!$C$10,COUNTIFS(ThongTin!$B$19:$B$48,C316,ThongTin!$A$19:$A$48,ThongTin!$C$8,ThongTin!$C$19:$C$48,"XUAT_SP")&gt;0),1,0))</f>
        <v>0</v>
      </c>
    </row>
    <row r="317" spans="1:8" x14ac:dyDescent="0.25">
      <c r="A317" s="41"/>
      <c r="B317" s="33"/>
      <c r="C317" s="32"/>
      <c r="D317" s="32"/>
      <c r="E317" s="37"/>
      <c r="F317" s="42"/>
      <c r="G317" s="32"/>
      <c r="H317" s="36">
        <f>IF(D317="",0,IF(AND(B317&gt;=ThongTin!$C$9,B317&lt;=ThongTin!$C$10,COUNTIFS(ThongTin!$B$19:$B$48,C317,ThongTin!$A$19:$A$48,ThongTin!$C$8,ThongTin!$C$19:$C$48,"XUAT_SP")&gt;0),1,0))</f>
        <v>0</v>
      </c>
    </row>
    <row r="318" spans="1:8" x14ac:dyDescent="0.25">
      <c r="A318" s="41"/>
      <c r="B318" s="33"/>
      <c r="C318" s="32"/>
      <c r="D318" s="32"/>
      <c r="E318" s="37"/>
      <c r="F318" s="42"/>
      <c r="G318" s="32"/>
      <c r="H318" s="36">
        <f>IF(D318="",0,IF(AND(B318&gt;=ThongTin!$C$9,B318&lt;=ThongTin!$C$10,COUNTIFS(ThongTin!$B$19:$B$48,C318,ThongTin!$A$19:$A$48,ThongTin!$C$8,ThongTin!$C$19:$C$48,"XUAT_SP")&gt;0),1,0))</f>
        <v>0</v>
      </c>
    </row>
    <row r="319" spans="1:8" x14ac:dyDescent="0.25">
      <c r="A319" s="41"/>
      <c r="B319" s="33"/>
      <c r="C319" s="32"/>
      <c r="D319" s="32"/>
      <c r="E319" s="37"/>
      <c r="F319" s="42"/>
      <c r="G319" s="32"/>
      <c r="H319" s="36">
        <f>IF(D319="",0,IF(AND(B319&gt;=ThongTin!$C$9,B319&lt;=ThongTin!$C$10,COUNTIFS(ThongTin!$B$19:$B$48,C319,ThongTin!$A$19:$A$48,ThongTin!$C$8,ThongTin!$C$19:$C$48,"XUAT_SP")&gt;0),1,0))</f>
        <v>0</v>
      </c>
    </row>
    <row r="320" spans="1:8" x14ac:dyDescent="0.25">
      <c r="A320" s="41"/>
      <c r="B320" s="33"/>
      <c r="C320" s="32"/>
      <c r="D320" s="32"/>
      <c r="E320" s="37"/>
      <c r="F320" s="42"/>
      <c r="G320" s="32"/>
      <c r="H320" s="36">
        <f>IF(D320="",0,IF(AND(B320&gt;=ThongTin!$C$9,B320&lt;=ThongTin!$C$10,COUNTIFS(ThongTin!$B$19:$B$48,C320,ThongTin!$A$19:$A$48,ThongTin!$C$8,ThongTin!$C$19:$C$48,"XUAT_SP")&gt;0),1,0))</f>
        <v>0</v>
      </c>
    </row>
    <row r="321" spans="1:8" x14ac:dyDescent="0.25">
      <c r="A321" s="41"/>
      <c r="B321" s="33"/>
      <c r="C321" s="32"/>
      <c r="D321" s="32"/>
      <c r="E321" s="37"/>
      <c r="F321" s="42"/>
      <c r="G321" s="32"/>
      <c r="H321" s="36">
        <f>IF(D321="",0,IF(AND(B321&gt;=ThongTin!$C$9,B321&lt;=ThongTin!$C$10,COUNTIFS(ThongTin!$B$19:$B$48,C321,ThongTin!$A$19:$A$48,ThongTin!$C$8,ThongTin!$C$19:$C$48,"XUAT_SP")&gt;0),1,0))</f>
        <v>0</v>
      </c>
    </row>
    <row r="322" spans="1:8" x14ac:dyDescent="0.25">
      <c r="A322" s="41"/>
      <c r="B322" s="33"/>
      <c r="C322" s="32"/>
      <c r="D322" s="32"/>
      <c r="E322" s="37"/>
      <c r="F322" s="42"/>
      <c r="G322" s="32"/>
      <c r="H322" s="36">
        <f>IF(D322="",0,IF(AND(B322&gt;=ThongTin!$C$9,B322&lt;=ThongTin!$C$10,COUNTIFS(ThongTin!$B$19:$B$48,C322,ThongTin!$A$19:$A$48,ThongTin!$C$8,ThongTin!$C$19:$C$48,"XUAT_SP")&gt;0),1,0))</f>
        <v>0</v>
      </c>
    </row>
    <row r="323" spans="1:8" x14ac:dyDescent="0.25">
      <c r="A323" s="41"/>
      <c r="B323" s="33"/>
      <c r="C323" s="32"/>
      <c r="D323" s="32"/>
      <c r="E323" s="37"/>
      <c r="F323" s="42"/>
      <c r="G323" s="32"/>
      <c r="H323" s="36">
        <f>IF(D323="",0,IF(AND(B323&gt;=ThongTin!$C$9,B323&lt;=ThongTin!$C$10,COUNTIFS(ThongTin!$B$19:$B$48,C323,ThongTin!$A$19:$A$48,ThongTin!$C$8,ThongTin!$C$19:$C$48,"XUAT_SP")&gt;0),1,0))</f>
        <v>0</v>
      </c>
    </row>
    <row r="324" spans="1:8" x14ac:dyDescent="0.25">
      <c r="A324" s="41"/>
      <c r="B324" s="33"/>
      <c r="C324" s="32"/>
      <c r="D324" s="32"/>
      <c r="E324" s="37"/>
      <c r="F324" s="42"/>
      <c r="G324" s="32"/>
      <c r="H324" s="36">
        <f>IF(D324="",0,IF(AND(B324&gt;=ThongTin!$C$9,B324&lt;=ThongTin!$C$10,COUNTIFS(ThongTin!$B$19:$B$48,C324,ThongTin!$A$19:$A$48,ThongTin!$C$8,ThongTin!$C$19:$C$48,"XUAT_SP")&gt;0),1,0))</f>
        <v>0</v>
      </c>
    </row>
    <row r="325" spans="1:8" x14ac:dyDescent="0.25">
      <c r="A325" s="41"/>
      <c r="B325" s="33"/>
      <c r="C325" s="32"/>
      <c r="D325" s="32"/>
      <c r="E325" s="37"/>
      <c r="F325" s="42"/>
      <c r="G325" s="32"/>
      <c r="H325" s="36">
        <f>IF(D325="",0,IF(AND(B325&gt;=ThongTin!$C$9,B325&lt;=ThongTin!$C$10,COUNTIFS(ThongTin!$B$19:$B$48,C325,ThongTin!$A$19:$A$48,ThongTin!$C$8,ThongTin!$C$19:$C$48,"XUAT_SP")&gt;0),1,0))</f>
        <v>0</v>
      </c>
    </row>
    <row r="326" spans="1:8" x14ac:dyDescent="0.25">
      <c r="A326" s="41"/>
      <c r="B326" s="33"/>
      <c r="C326" s="32"/>
      <c r="D326" s="32"/>
      <c r="E326" s="37"/>
      <c r="F326" s="42"/>
      <c r="G326" s="32"/>
      <c r="H326" s="36">
        <f>IF(D326="",0,IF(AND(B326&gt;=ThongTin!$C$9,B326&lt;=ThongTin!$C$10,COUNTIFS(ThongTin!$B$19:$B$48,C326,ThongTin!$A$19:$A$48,ThongTin!$C$8,ThongTin!$C$19:$C$48,"XUAT_SP")&gt;0),1,0))</f>
        <v>0</v>
      </c>
    </row>
    <row r="327" spans="1:8" x14ac:dyDescent="0.25">
      <c r="A327" s="41"/>
      <c r="B327" s="33"/>
      <c r="C327" s="32"/>
      <c r="D327" s="32"/>
      <c r="E327" s="37"/>
      <c r="F327" s="42"/>
      <c r="G327" s="32"/>
      <c r="H327" s="36">
        <f>IF(D327="",0,IF(AND(B327&gt;=ThongTin!$C$9,B327&lt;=ThongTin!$C$10,COUNTIFS(ThongTin!$B$19:$B$48,C327,ThongTin!$A$19:$A$48,ThongTin!$C$8,ThongTin!$C$19:$C$48,"XUAT_SP")&gt;0),1,0))</f>
        <v>0</v>
      </c>
    </row>
    <row r="328" spans="1:8" x14ac:dyDescent="0.25">
      <c r="A328" s="41"/>
      <c r="B328" s="33"/>
      <c r="C328" s="32"/>
      <c r="D328" s="32"/>
      <c r="E328" s="37"/>
      <c r="F328" s="42"/>
      <c r="G328" s="32"/>
      <c r="H328" s="36">
        <f>IF(D328="",0,IF(AND(B328&gt;=ThongTin!$C$9,B328&lt;=ThongTin!$C$10,COUNTIFS(ThongTin!$B$19:$B$48,C328,ThongTin!$A$19:$A$48,ThongTin!$C$8,ThongTin!$C$19:$C$48,"XUAT_SP")&gt;0),1,0))</f>
        <v>0</v>
      </c>
    </row>
    <row r="329" spans="1:8" x14ac:dyDescent="0.25">
      <c r="A329" s="41"/>
      <c r="B329" s="33"/>
      <c r="C329" s="32"/>
      <c r="D329" s="32"/>
      <c r="E329" s="37"/>
      <c r="F329" s="42"/>
      <c r="G329" s="32"/>
      <c r="H329" s="36">
        <f>IF(D329="",0,IF(AND(B329&gt;=ThongTin!$C$9,B329&lt;=ThongTin!$C$10,COUNTIFS(ThongTin!$B$19:$B$48,C329,ThongTin!$A$19:$A$48,ThongTin!$C$8,ThongTin!$C$19:$C$48,"XUAT_SP")&gt;0),1,0))</f>
        <v>0</v>
      </c>
    </row>
    <row r="330" spans="1:8" x14ac:dyDescent="0.25">
      <c r="A330" s="41"/>
      <c r="B330" s="33"/>
      <c r="C330" s="32"/>
      <c r="D330" s="32"/>
      <c r="E330" s="37"/>
      <c r="F330" s="42"/>
      <c r="G330" s="32"/>
      <c r="H330" s="36">
        <f>IF(D330="",0,IF(AND(B330&gt;=ThongTin!$C$9,B330&lt;=ThongTin!$C$10,COUNTIFS(ThongTin!$B$19:$B$48,C330,ThongTin!$A$19:$A$48,ThongTin!$C$8,ThongTin!$C$19:$C$48,"XUAT_SP")&gt;0),1,0))</f>
        <v>0</v>
      </c>
    </row>
    <row r="331" spans="1:8" x14ac:dyDescent="0.25">
      <c r="A331" s="41"/>
      <c r="B331" s="33"/>
      <c r="C331" s="32"/>
      <c r="D331" s="32"/>
      <c r="E331" s="37"/>
      <c r="F331" s="42"/>
      <c r="G331" s="32"/>
      <c r="H331" s="36">
        <f>IF(D331="",0,IF(AND(B331&gt;=ThongTin!$C$9,B331&lt;=ThongTin!$C$10,COUNTIFS(ThongTin!$B$19:$B$48,C331,ThongTin!$A$19:$A$48,ThongTin!$C$8,ThongTin!$C$19:$C$48,"XUAT_SP")&gt;0),1,0))</f>
        <v>0</v>
      </c>
    </row>
    <row r="332" spans="1:8" x14ac:dyDescent="0.25">
      <c r="A332" s="41"/>
      <c r="B332" s="33"/>
      <c r="C332" s="32"/>
      <c r="D332" s="32"/>
      <c r="E332" s="37"/>
      <c r="F332" s="42"/>
      <c r="G332" s="32"/>
      <c r="H332" s="36">
        <f>IF(D332="",0,IF(AND(B332&gt;=ThongTin!$C$9,B332&lt;=ThongTin!$C$10,COUNTIFS(ThongTin!$B$19:$B$48,C332,ThongTin!$A$19:$A$48,ThongTin!$C$8,ThongTin!$C$19:$C$48,"XUAT_SP")&gt;0),1,0))</f>
        <v>0</v>
      </c>
    </row>
    <row r="333" spans="1:8" x14ac:dyDescent="0.25">
      <c r="A333" s="41"/>
      <c r="B333" s="33"/>
      <c r="C333" s="32"/>
      <c r="D333" s="32"/>
      <c r="E333" s="37"/>
      <c r="F333" s="42"/>
      <c r="G333" s="32"/>
      <c r="H333" s="36">
        <f>IF(D333="",0,IF(AND(B333&gt;=ThongTin!$C$9,B333&lt;=ThongTin!$C$10,COUNTIFS(ThongTin!$B$19:$B$48,C333,ThongTin!$A$19:$A$48,ThongTin!$C$8,ThongTin!$C$19:$C$48,"XUAT_SP")&gt;0),1,0))</f>
        <v>0</v>
      </c>
    </row>
    <row r="334" spans="1:8" x14ac:dyDescent="0.25">
      <c r="A334" s="41"/>
      <c r="B334" s="33"/>
      <c r="C334" s="32"/>
      <c r="D334" s="32"/>
      <c r="E334" s="37"/>
      <c r="F334" s="42"/>
      <c r="G334" s="32"/>
      <c r="H334" s="36">
        <f>IF(D334="",0,IF(AND(B334&gt;=ThongTin!$C$9,B334&lt;=ThongTin!$C$10,COUNTIFS(ThongTin!$B$19:$B$48,C334,ThongTin!$A$19:$A$48,ThongTin!$C$8,ThongTin!$C$19:$C$48,"XUAT_SP")&gt;0),1,0))</f>
        <v>0</v>
      </c>
    </row>
    <row r="335" spans="1:8" x14ac:dyDescent="0.25">
      <c r="A335" s="41"/>
      <c r="B335" s="33"/>
      <c r="C335" s="32"/>
      <c r="D335" s="32"/>
      <c r="E335" s="37"/>
      <c r="F335" s="42"/>
      <c r="G335" s="32"/>
      <c r="H335" s="36">
        <f>IF(D335="",0,IF(AND(B335&gt;=ThongTin!$C$9,B335&lt;=ThongTin!$C$10,COUNTIFS(ThongTin!$B$19:$B$48,C335,ThongTin!$A$19:$A$48,ThongTin!$C$8,ThongTin!$C$19:$C$48,"XUAT_SP")&gt;0),1,0))</f>
        <v>0</v>
      </c>
    </row>
    <row r="336" spans="1:8" x14ac:dyDescent="0.25">
      <c r="A336" s="41"/>
      <c r="B336" s="33"/>
      <c r="C336" s="32"/>
      <c r="D336" s="32"/>
      <c r="E336" s="37"/>
      <c r="F336" s="42"/>
      <c r="G336" s="32"/>
      <c r="H336" s="36">
        <f>IF(D336="",0,IF(AND(B336&gt;=ThongTin!$C$9,B336&lt;=ThongTin!$C$10,COUNTIFS(ThongTin!$B$19:$B$48,C336,ThongTin!$A$19:$A$48,ThongTin!$C$8,ThongTin!$C$19:$C$48,"XUAT_SP")&gt;0),1,0))</f>
        <v>0</v>
      </c>
    </row>
    <row r="337" spans="1:8" x14ac:dyDescent="0.25">
      <c r="A337" s="41"/>
      <c r="B337" s="33"/>
      <c r="C337" s="32"/>
      <c r="D337" s="32"/>
      <c r="E337" s="37"/>
      <c r="F337" s="42"/>
      <c r="G337" s="32"/>
      <c r="H337" s="36">
        <f>IF(D337="",0,IF(AND(B337&gt;=ThongTin!$C$9,B337&lt;=ThongTin!$C$10,COUNTIFS(ThongTin!$B$19:$B$48,C337,ThongTin!$A$19:$A$48,ThongTin!$C$8,ThongTin!$C$19:$C$48,"XUAT_SP")&gt;0),1,0))</f>
        <v>0</v>
      </c>
    </row>
    <row r="338" spans="1:8" x14ac:dyDescent="0.25">
      <c r="A338" s="41"/>
      <c r="B338" s="33"/>
      <c r="C338" s="32"/>
      <c r="D338" s="32"/>
      <c r="E338" s="37"/>
      <c r="F338" s="42"/>
      <c r="G338" s="32"/>
      <c r="H338" s="36">
        <f>IF(D338="",0,IF(AND(B338&gt;=ThongTin!$C$9,B338&lt;=ThongTin!$C$10,COUNTIFS(ThongTin!$B$19:$B$48,C338,ThongTin!$A$19:$A$48,ThongTin!$C$8,ThongTin!$C$19:$C$48,"XUAT_SP")&gt;0),1,0))</f>
        <v>0</v>
      </c>
    </row>
    <row r="339" spans="1:8" x14ac:dyDescent="0.25">
      <c r="A339" s="41"/>
      <c r="B339" s="33"/>
      <c r="C339" s="32"/>
      <c r="D339" s="32"/>
      <c r="E339" s="37"/>
      <c r="F339" s="42"/>
      <c r="G339" s="32"/>
      <c r="H339" s="36">
        <f>IF(D339="",0,IF(AND(B339&gt;=ThongTin!$C$9,B339&lt;=ThongTin!$C$10,COUNTIFS(ThongTin!$B$19:$B$48,C339,ThongTin!$A$19:$A$48,ThongTin!$C$8,ThongTin!$C$19:$C$48,"XUAT_SP")&gt;0),1,0))</f>
        <v>0</v>
      </c>
    </row>
    <row r="340" spans="1:8" x14ac:dyDescent="0.25">
      <c r="A340" s="41"/>
      <c r="B340" s="33"/>
      <c r="C340" s="32"/>
      <c r="D340" s="32"/>
      <c r="E340" s="37"/>
      <c r="F340" s="42"/>
      <c r="G340" s="32"/>
      <c r="H340" s="36">
        <f>IF(D340="",0,IF(AND(B340&gt;=ThongTin!$C$9,B340&lt;=ThongTin!$C$10,COUNTIFS(ThongTin!$B$19:$B$48,C340,ThongTin!$A$19:$A$48,ThongTin!$C$8,ThongTin!$C$19:$C$48,"XUAT_SP")&gt;0),1,0))</f>
        <v>0</v>
      </c>
    </row>
    <row r="341" spans="1:8" x14ac:dyDescent="0.25">
      <c r="A341" s="41"/>
      <c r="B341" s="33"/>
      <c r="C341" s="32"/>
      <c r="D341" s="32"/>
      <c r="E341" s="37"/>
      <c r="F341" s="42"/>
      <c r="G341" s="32"/>
      <c r="H341" s="36">
        <f>IF(D341="",0,IF(AND(B341&gt;=ThongTin!$C$9,B341&lt;=ThongTin!$C$10,COUNTIFS(ThongTin!$B$19:$B$48,C341,ThongTin!$A$19:$A$48,ThongTin!$C$8,ThongTin!$C$19:$C$48,"XUAT_SP")&gt;0),1,0))</f>
        <v>0</v>
      </c>
    </row>
    <row r="342" spans="1:8" x14ac:dyDescent="0.25">
      <c r="A342" s="41"/>
      <c r="B342" s="33"/>
      <c r="C342" s="32"/>
      <c r="D342" s="32"/>
      <c r="E342" s="37"/>
      <c r="F342" s="42"/>
      <c r="G342" s="32"/>
      <c r="H342" s="36">
        <f>IF(D342="",0,IF(AND(B342&gt;=ThongTin!$C$9,B342&lt;=ThongTin!$C$10,COUNTIFS(ThongTin!$B$19:$B$48,C342,ThongTin!$A$19:$A$48,ThongTin!$C$8,ThongTin!$C$19:$C$48,"XUAT_SP")&gt;0),1,0))</f>
        <v>0</v>
      </c>
    </row>
    <row r="343" spans="1:8" x14ac:dyDescent="0.25">
      <c r="A343" s="41"/>
      <c r="B343" s="33"/>
      <c r="C343" s="32"/>
      <c r="D343" s="32"/>
      <c r="E343" s="37"/>
      <c r="F343" s="42"/>
      <c r="G343" s="32"/>
      <c r="H343" s="36">
        <f>IF(D343="",0,IF(AND(B343&gt;=ThongTin!$C$9,B343&lt;=ThongTin!$C$10,COUNTIFS(ThongTin!$B$19:$B$48,C343,ThongTin!$A$19:$A$48,ThongTin!$C$8,ThongTin!$C$19:$C$48,"XUAT_SP")&gt;0),1,0))</f>
        <v>0</v>
      </c>
    </row>
    <row r="344" spans="1:8" x14ac:dyDescent="0.25">
      <c r="A344" s="41"/>
      <c r="B344" s="33"/>
      <c r="C344" s="32"/>
      <c r="D344" s="32"/>
      <c r="E344" s="37"/>
      <c r="F344" s="42"/>
      <c r="G344" s="32"/>
      <c r="H344" s="36">
        <f>IF(D344="",0,IF(AND(B344&gt;=ThongTin!$C$9,B344&lt;=ThongTin!$C$10,COUNTIFS(ThongTin!$B$19:$B$48,C344,ThongTin!$A$19:$A$48,ThongTin!$C$8,ThongTin!$C$19:$C$48,"XUAT_SP")&gt;0),1,0))</f>
        <v>0</v>
      </c>
    </row>
    <row r="345" spans="1:8" x14ac:dyDescent="0.25">
      <c r="A345" s="41"/>
      <c r="B345" s="33"/>
      <c r="C345" s="32"/>
      <c r="D345" s="32"/>
      <c r="E345" s="37"/>
      <c r="F345" s="42"/>
      <c r="G345" s="32"/>
      <c r="H345" s="36">
        <f>IF(D345="",0,IF(AND(B345&gt;=ThongTin!$C$9,B345&lt;=ThongTin!$C$10,COUNTIFS(ThongTin!$B$19:$B$48,C345,ThongTin!$A$19:$A$48,ThongTin!$C$8,ThongTin!$C$19:$C$48,"XUAT_SP")&gt;0),1,0))</f>
        <v>0</v>
      </c>
    </row>
    <row r="346" spans="1:8" x14ac:dyDescent="0.25">
      <c r="A346" s="41"/>
      <c r="B346" s="33"/>
      <c r="C346" s="32"/>
      <c r="D346" s="32"/>
      <c r="E346" s="37"/>
      <c r="F346" s="42"/>
      <c r="G346" s="32"/>
      <c r="H346" s="36">
        <f>IF(D346="",0,IF(AND(B346&gt;=ThongTin!$C$9,B346&lt;=ThongTin!$C$10,COUNTIFS(ThongTin!$B$19:$B$48,C346,ThongTin!$A$19:$A$48,ThongTin!$C$8,ThongTin!$C$19:$C$48,"XUAT_SP")&gt;0),1,0))</f>
        <v>0</v>
      </c>
    </row>
    <row r="347" spans="1:8" x14ac:dyDescent="0.25">
      <c r="A347" s="41"/>
      <c r="B347" s="33"/>
      <c r="C347" s="32"/>
      <c r="D347" s="32"/>
      <c r="E347" s="37"/>
      <c r="F347" s="42"/>
      <c r="G347" s="32"/>
      <c r="H347" s="36">
        <f>IF(D347="",0,IF(AND(B347&gt;=ThongTin!$C$9,B347&lt;=ThongTin!$C$10,COUNTIFS(ThongTin!$B$19:$B$48,C347,ThongTin!$A$19:$A$48,ThongTin!$C$8,ThongTin!$C$19:$C$48,"XUAT_SP")&gt;0),1,0))</f>
        <v>0</v>
      </c>
    </row>
    <row r="348" spans="1:8" x14ac:dyDescent="0.25">
      <c r="A348" s="41"/>
      <c r="B348" s="33"/>
      <c r="C348" s="32"/>
      <c r="D348" s="32"/>
      <c r="E348" s="37"/>
      <c r="F348" s="42"/>
      <c r="G348" s="32"/>
      <c r="H348" s="36">
        <f>IF(D348="",0,IF(AND(B348&gt;=ThongTin!$C$9,B348&lt;=ThongTin!$C$10,COUNTIFS(ThongTin!$B$19:$B$48,C348,ThongTin!$A$19:$A$48,ThongTin!$C$8,ThongTin!$C$19:$C$48,"XUAT_SP")&gt;0),1,0))</f>
        <v>0</v>
      </c>
    </row>
    <row r="349" spans="1:8" x14ac:dyDescent="0.25">
      <c r="A349" s="41"/>
      <c r="B349" s="33"/>
      <c r="C349" s="32"/>
      <c r="D349" s="32"/>
      <c r="E349" s="37"/>
      <c r="F349" s="42"/>
      <c r="G349" s="32"/>
      <c r="H349" s="36">
        <f>IF(D349="",0,IF(AND(B349&gt;=ThongTin!$C$9,B349&lt;=ThongTin!$C$10,COUNTIFS(ThongTin!$B$19:$B$48,C349,ThongTin!$A$19:$A$48,ThongTin!$C$8,ThongTin!$C$19:$C$48,"XUAT_SP")&gt;0),1,0))</f>
        <v>0</v>
      </c>
    </row>
    <row r="350" spans="1:8" x14ac:dyDescent="0.25">
      <c r="A350" s="41"/>
      <c r="B350" s="33"/>
      <c r="C350" s="32"/>
      <c r="D350" s="32"/>
      <c r="E350" s="37"/>
      <c r="F350" s="42"/>
      <c r="G350" s="32"/>
      <c r="H350" s="36">
        <f>IF(D350="",0,IF(AND(B350&gt;=ThongTin!$C$9,B350&lt;=ThongTin!$C$10,COUNTIFS(ThongTin!$B$19:$B$48,C350,ThongTin!$A$19:$A$48,ThongTin!$C$8,ThongTin!$C$19:$C$48,"XUAT_SP")&gt;0),1,0))</f>
        <v>0</v>
      </c>
    </row>
    <row r="351" spans="1:8" x14ac:dyDescent="0.25">
      <c r="A351" s="41"/>
      <c r="B351" s="33"/>
      <c r="C351" s="32"/>
      <c r="D351" s="32"/>
      <c r="E351" s="37"/>
      <c r="F351" s="42"/>
      <c r="G351" s="32"/>
      <c r="H351" s="36">
        <f>IF(D351="",0,IF(AND(B351&gt;=ThongTin!$C$9,B351&lt;=ThongTin!$C$10,COUNTIFS(ThongTin!$B$19:$B$48,C351,ThongTin!$A$19:$A$48,ThongTin!$C$8,ThongTin!$C$19:$C$48,"XUAT_SP")&gt;0),1,0))</f>
        <v>0</v>
      </c>
    </row>
    <row r="352" spans="1:8" x14ac:dyDescent="0.25">
      <c r="A352" s="41"/>
      <c r="B352" s="33"/>
      <c r="C352" s="32"/>
      <c r="D352" s="32"/>
      <c r="E352" s="37"/>
      <c r="F352" s="42"/>
      <c r="G352" s="32"/>
      <c r="H352" s="36">
        <f>IF(D352="",0,IF(AND(B352&gt;=ThongTin!$C$9,B352&lt;=ThongTin!$C$10,COUNTIFS(ThongTin!$B$19:$B$48,C352,ThongTin!$A$19:$A$48,ThongTin!$C$8,ThongTin!$C$19:$C$48,"XUAT_SP")&gt;0),1,0))</f>
        <v>0</v>
      </c>
    </row>
    <row r="353" spans="1:8" x14ac:dyDescent="0.25">
      <c r="A353" s="41"/>
      <c r="B353" s="33"/>
      <c r="C353" s="32"/>
      <c r="D353" s="32"/>
      <c r="E353" s="37"/>
      <c r="F353" s="42"/>
      <c r="G353" s="32"/>
      <c r="H353" s="36">
        <f>IF(D353="",0,IF(AND(B353&gt;=ThongTin!$C$9,B353&lt;=ThongTin!$C$10,COUNTIFS(ThongTin!$B$19:$B$48,C353,ThongTin!$A$19:$A$48,ThongTin!$C$8,ThongTin!$C$19:$C$48,"XUAT_SP")&gt;0),1,0))</f>
        <v>0</v>
      </c>
    </row>
    <row r="354" spans="1:8" x14ac:dyDescent="0.25">
      <c r="A354" s="41"/>
      <c r="B354" s="33"/>
      <c r="C354" s="32"/>
      <c r="D354" s="32"/>
      <c r="E354" s="37"/>
      <c r="F354" s="42"/>
      <c r="G354" s="32"/>
      <c r="H354" s="36">
        <f>IF(D354="",0,IF(AND(B354&gt;=ThongTin!$C$9,B354&lt;=ThongTin!$C$10,COUNTIFS(ThongTin!$B$19:$B$48,C354,ThongTin!$A$19:$A$48,ThongTin!$C$8,ThongTin!$C$19:$C$48,"XUAT_SP")&gt;0),1,0))</f>
        <v>0</v>
      </c>
    </row>
    <row r="355" spans="1:8" x14ac:dyDescent="0.25">
      <c r="A355" s="41"/>
      <c r="B355" s="33"/>
      <c r="C355" s="32"/>
      <c r="D355" s="32"/>
      <c r="E355" s="37"/>
      <c r="F355" s="42"/>
      <c r="G355" s="32"/>
      <c r="H355" s="36">
        <f>IF(D355="",0,IF(AND(B355&gt;=ThongTin!$C$9,B355&lt;=ThongTin!$C$10,COUNTIFS(ThongTin!$B$19:$B$48,C355,ThongTin!$A$19:$A$48,ThongTin!$C$8,ThongTin!$C$19:$C$48,"XUAT_SP")&gt;0),1,0))</f>
        <v>0</v>
      </c>
    </row>
    <row r="356" spans="1:8" x14ac:dyDescent="0.25">
      <c r="A356" s="41"/>
      <c r="B356" s="33"/>
      <c r="C356" s="32"/>
      <c r="D356" s="32"/>
      <c r="E356" s="37"/>
      <c r="F356" s="42"/>
      <c r="G356" s="32"/>
      <c r="H356" s="36">
        <f>IF(D356="",0,IF(AND(B356&gt;=ThongTin!$C$9,B356&lt;=ThongTin!$C$10,COUNTIFS(ThongTin!$B$19:$B$48,C356,ThongTin!$A$19:$A$48,ThongTin!$C$8,ThongTin!$C$19:$C$48,"XUAT_SP")&gt;0),1,0))</f>
        <v>0</v>
      </c>
    </row>
    <row r="357" spans="1:8" x14ac:dyDescent="0.25">
      <c r="A357" s="41"/>
      <c r="B357" s="33"/>
      <c r="C357" s="32"/>
      <c r="D357" s="32"/>
      <c r="E357" s="37"/>
      <c r="F357" s="42"/>
      <c r="G357" s="32"/>
      <c r="H357" s="36">
        <f>IF(D357="",0,IF(AND(B357&gt;=ThongTin!$C$9,B357&lt;=ThongTin!$C$10,COUNTIFS(ThongTin!$B$19:$B$48,C357,ThongTin!$A$19:$A$48,ThongTin!$C$8,ThongTin!$C$19:$C$48,"XUAT_SP")&gt;0),1,0))</f>
        <v>0</v>
      </c>
    </row>
    <row r="358" spans="1:8" x14ac:dyDescent="0.25">
      <c r="A358" s="41"/>
      <c r="B358" s="33"/>
      <c r="C358" s="32"/>
      <c r="D358" s="32"/>
      <c r="E358" s="37"/>
      <c r="F358" s="42"/>
      <c r="G358" s="32"/>
      <c r="H358" s="36">
        <f>IF(D358="",0,IF(AND(B358&gt;=ThongTin!$C$9,B358&lt;=ThongTin!$C$10,COUNTIFS(ThongTin!$B$19:$B$48,C358,ThongTin!$A$19:$A$48,ThongTin!$C$8,ThongTin!$C$19:$C$48,"XUAT_SP")&gt;0),1,0))</f>
        <v>0</v>
      </c>
    </row>
    <row r="359" spans="1:8" x14ac:dyDescent="0.25">
      <c r="A359" s="41"/>
      <c r="B359" s="33"/>
      <c r="C359" s="32"/>
      <c r="D359" s="32"/>
      <c r="E359" s="37"/>
      <c r="F359" s="42"/>
      <c r="G359" s="32"/>
      <c r="H359" s="36">
        <f>IF(D359="",0,IF(AND(B359&gt;=ThongTin!$C$9,B359&lt;=ThongTin!$C$10,COUNTIFS(ThongTin!$B$19:$B$48,C359,ThongTin!$A$19:$A$48,ThongTin!$C$8,ThongTin!$C$19:$C$48,"XUAT_SP")&gt;0),1,0))</f>
        <v>0</v>
      </c>
    </row>
    <row r="360" spans="1:8" x14ac:dyDescent="0.25">
      <c r="A360" s="41"/>
      <c r="B360" s="33"/>
      <c r="C360" s="32"/>
      <c r="D360" s="32"/>
      <c r="E360" s="37"/>
      <c r="F360" s="42"/>
      <c r="G360" s="32"/>
      <c r="H360" s="36">
        <f>IF(D360="",0,IF(AND(B360&gt;=ThongTin!$C$9,B360&lt;=ThongTin!$C$10,COUNTIFS(ThongTin!$B$19:$B$48,C360,ThongTin!$A$19:$A$48,ThongTin!$C$8,ThongTin!$C$19:$C$48,"XUAT_SP")&gt;0),1,0))</f>
        <v>0</v>
      </c>
    </row>
    <row r="361" spans="1:8" x14ac:dyDescent="0.25">
      <c r="A361" s="41"/>
      <c r="B361" s="33"/>
      <c r="C361" s="32"/>
      <c r="D361" s="32"/>
      <c r="E361" s="37"/>
      <c r="F361" s="42"/>
      <c r="G361" s="32"/>
      <c r="H361" s="36">
        <f>IF(D361="",0,IF(AND(B361&gt;=ThongTin!$C$9,B361&lt;=ThongTin!$C$10,COUNTIFS(ThongTin!$B$19:$B$48,C361,ThongTin!$A$19:$A$48,ThongTin!$C$8,ThongTin!$C$19:$C$48,"XUAT_SP")&gt;0),1,0))</f>
        <v>0</v>
      </c>
    </row>
    <row r="362" spans="1:8" x14ac:dyDescent="0.25">
      <c r="A362" s="41"/>
      <c r="B362" s="33"/>
      <c r="C362" s="32"/>
      <c r="D362" s="32"/>
      <c r="E362" s="37"/>
      <c r="F362" s="42"/>
      <c r="G362" s="32"/>
      <c r="H362" s="36">
        <f>IF(D362="",0,IF(AND(B362&gt;=ThongTin!$C$9,B362&lt;=ThongTin!$C$10,COUNTIFS(ThongTin!$B$19:$B$48,C362,ThongTin!$A$19:$A$48,ThongTin!$C$8,ThongTin!$C$19:$C$48,"XUAT_SP")&gt;0),1,0))</f>
        <v>0</v>
      </c>
    </row>
    <row r="363" spans="1:8" x14ac:dyDescent="0.25">
      <c r="A363" s="41"/>
      <c r="B363" s="33"/>
      <c r="C363" s="32"/>
      <c r="D363" s="32"/>
      <c r="E363" s="37"/>
      <c r="F363" s="42"/>
      <c r="G363" s="32"/>
      <c r="H363" s="36">
        <f>IF(D363="",0,IF(AND(B363&gt;=ThongTin!$C$9,B363&lt;=ThongTin!$C$10,COUNTIFS(ThongTin!$B$19:$B$48,C363,ThongTin!$A$19:$A$48,ThongTin!$C$8,ThongTin!$C$19:$C$48,"XUAT_SP")&gt;0),1,0))</f>
        <v>0</v>
      </c>
    </row>
    <row r="364" spans="1:8" x14ac:dyDescent="0.25">
      <c r="A364" s="41"/>
      <c r="B364" s="33"/>
      <c r="C364" s="32"/>
      <c r="D364" s="32"/>
      <c r="E364" s="37"/>
      <c r="F364" s="42"/>
      <c r="G364" s="32"/>
      <c r="H364" s="36">
        <f>IF(D364="",0,IF(AND(B364&gt;=ThongTin!$C$9,B364&lt;=ThongTin!$C$10,COUNTIFS(ThongTin!$B$19:$B$48,C364,ThongTin!$A$19:$A$48,ThongTin!$C$8,ThongTin!$C$19:$C$48,"XUAT_SP")&gt;0),1,0))</f>
        <v>0</v>
      </c>
    </row>
    <row r="365" spans="1:8" x14ac:dyDescent="0.25">
      <c r="A365" s="41"/>
      <c r="B365" s="33"/>
      <c r="C365" s="32"/>
      <c r="D365" s="32"/>
      <c r="E365" s="37"/>
      <c r="F365" s="42"/>
      <c r="G365" s="32"/>
      <c r="H365" s="36">
        <f>IF(D365="",0,IF(AND(B365&gt;=ThongTin!$C$9,B365&lt;=ThongTin!$C$10,COUNTIFS(ThongTin!$B$19:$B$48,C365,ThongTin!$A$19:$A$48,ThongTin!$C$8,ThongTin!$C$19:$C$48,"XUAT_SP")&gt;0),1,0))</f>
        <v>0</v>
      </c>
    </row>
    <row r="366" spans="1:8" x14ac:dyDescent="0.25">
      <c r="A366" s="41"/>
      <c r="B366" s="33"/>
      <c r="C366" s="32"/>
      <c r="D366" s="32"/>
      <c r="E366" s="37"/>
      <c r="F366" s="42"/>
      <c r="G366" s="32"/>
      <c r="H366" s="36">
        <f>IF(D366="",0,IF(AND(B366&gt;=ThongTin!$C$9,B366&lt;=ThongTin!$C$10,COUNTIFS(ThongTin!$B$19:$B$48,C366,ThongTin!$A$19:$A$48,ThongTin!$C$8,ThongTin!$C$19:$C$48,"XUAT_SP")&gt;0),1,0))</f>
        <v>0</v>
      </c>
    </row>
    <row r="367" spans="1:8" x14ac:dyDescent="0.25">
      <c r="A367" s="41"/>
      <c r="B367" s="33"/>
      <c r="C367" s="32"/>
      <c r="D367" s="32"/>
      <c r="E367" s="37"/>
      <c r="F367" s="42"/>
      <c r="G367" s="32"/>
      <c r="H367" s="36">
        <f>IF(D367="",0,IF(AND(B367&gt;=ThongTin!$C$9,B367&lt;=ThongTin!$C$10,COUNTIFS(ThongTin!$B$19:$B$48,C367,ThongTin!$A$19:$A$48,ThongTin!$C$8,ThongTin!$C$19:$C$48,"XUAT_SP")&gt;0),1,0))</f>
        <v>0</v>
      </c>
    </row>
    <row r="368" spans="1:8" x14ac:dyDescent="0.25">
      <c r="A368" s="41"/>
      <c r="B368" s="33"/>
      <c r="C368" s="32"/>
      <c r="D368" s="32"/>
      <c r="E368" s="37"/>
      <c r="F368" s="42"/>
      <c r="G368" s="32"/>
      <c r="H368" s="36">
        <f>IF(D368="",0,IF(AND(B368&gt;=ThongTin!$C$9,B368&lt;=ThongTin!$C$10,COUNTIFS(ThongTin!$B$19:$B$48,C368,ThongTin!$A$19:$A$48,ThongTin!$C$8,ThongTin!$C$19:$C$48,"XUAT_SP")&gt;0),1,0))</f>
        <v>0</v>
      </c>
    </row>
    <row r="369" spans="1:8" x14ac:dyDescent="0.25">
      <c r="A369" s="41"/>
      <c r="B369" s="33"/>
      <c r="C369" s="32"/>
      <c r="D369" s="32"/>
      <c r="E369" s="37"/>
      <c r="F369" s="42"/>
      <c r="G369" s="32"/>
      <c r="H369" s="36">
        <f>IF(D369="",0,IF(AND(B369&gt;=ThongTin!$C$9,B369&lt;=ThongTin!$C$10,COUNTIFS(ThongTin!$B$19:$B$48,C369,ThongTin!$A$19:$A$48,ThongTin!$C$8,ThongTin!$C$19:$C$48,"XUAT_SP")&gt;0),1,0))</f>
        <v>0</v>
      </c>
    </row>
    <row r="370" spans="1:8" x14ac:dyDescent="0.25">
      <c r="A370" s="41"/>
      <c r="B370" s="33"/>
      <c r="C370" s="32"/>
      <c r="D370" s="32"/>
      <c r="E370" s="37"/>
      <c r="F370" s="42"/>
      <c r="G370" s="32"/>
      <c r="H370" s="36">
        <f>IF(D370="",0,IF(AND(B370&gt;=ThongTin!$C$9,B370&lt;=ThongTin!$C$10,COUNTIFS(ThongTin!$B$19:$B$48,C370,ThongTin!$A$19:$A$48,ThongTin!$C$8,ThongTin!$C$19:$C$48,"XUAT_SP")&gt;0),1,0))</f>
        <v>0</v>
      </c>
    </row>
    <row r="371" spans="1:8" x14ac:dyDescent="0.25">
      <c r="A371" s="41"/>
      <c r="B371" s="33"/>
      <c r="C371" s="32"/>
      <c r="D371" s="32"/>
      <c r="E371" s="37"/>
      <c r="F371" s="42"/>
      <c r="G371" s="32"/>
      <c r="H371" s="36">
        <f>IF(D371="",0,IF(AND(B371&gt;=ThongTin!$C$9,B371&lt;=ThongTin!$C$10,COUNTIFS(ThongTin!$B$19:$B$48,C371,ThongTin!$A$19:$A$48,ThongTin!$C$8,ThongTin!$C$19:$C$48,"XUAT_SP")&gt;0),1,0))</f>
        <v>0</v>
      </c>
    </row>
    <row r="372" spans="1:8" x14ac:dyDescent="0.25">
      <c r="A372" s="41"/>
      <c r="B372" s="33"/>
      <c r="C372" s="32"/>
      <c r="D372" s="32"/>
      <c r="E372" s="37"/>
      <c r="F372" s="42"/>
      <c r="G372" s="32"/>
      <c r="H372" s="36">
        <f>IF(D372="",0,IF(AND(B372&gt;=ThongTin!$C$9,B372&lt;=ThongTin!$C$10,COUNTIFS(ThongTin!$B$19:$B$48,C372,ThongTin!$A$19:$A$48,ThongTin!$C$8,ThongTin!$C$19:$C$48,"XUAT_SP")&gt;0),1,0))</f>
        <v>0</v>
      </c>
    </row>
    <row r="373" spans="1:8" x14ac:dyDescent="0.25">
      <c r="A373" s="41"/>
      <c r="B373" s="33"/>
      <c r="C373" s="32"/>
      <c r="D373" s="32"/>
      <c r="E373" s="37"/>
      <c r="F373" s="42"/>
      <c r="G373" s="32"/>
      <c r="H373" s="36">
        <f>IF(D373="",0,IF(AND(B373&gt;=ThongTin!$C$9,B373&lt;=ThongTin!$C$10,COUNTIFS(ThongTin!$B$19:$B$48,C373,ThongTin!$A$19:$A$48,ThongTin!$C$8,ThongTin!$C$19:$C$48,"XUAT_SP")&gt;0),1,0))</f>
        <v>0</v>
      </c>
    </row>
    <row r="374" spans="1:8" x14ac:dyDescent="0.25">
      <c r="A374" s="41"/>
      <c r="B374" s="33"/>
      <c r="C374" s="32"/>
      <c r="D374" s="32"/>
      <c r="E374" s="37"/>
      <c r="F374" s="42"/>
      <c r="G374" s="32"/>
      <c r="H374" s="36">
        <f>IF(D374="",0,IF(AND(B374&gt;=ThongTin!$C$9,B374&lt;=ThongTin!$C$10,COUNTIFS(ThongTin!$B$19:$B$48,C374,ThongTin!$A$19:$A$48,ThongTin!$C$8,ThongTin!$C$19:$C$48,"XUAT_SP")&gt;0),1,0))</f>
        <v>0</v>
      </c>
    </row>
    <row r="375" spans="1:8" x14ac:dyDescent="0.25">
      <c r="A375" s="41"/>
      <c r="B375" s="33"/>
      <c r="C375" s="32"/>
      <c r="D375" s="32"/>
      <c r="E375" s="37"/>
      <c r="F375" s="42"/>
      <c r="G375" s="32"/>
      <c r="H375" s="36">
        <f>IF(D375="",0,IF(AND(B375&gt;=ThongTin!$C$9,B375&lt;=ThongTin!$C$10,COUNTIFS(ThongTin!$B$19:$B$48,C375,ThongTin!$A$19:$A$48,ThongTin!$C$8,ThongTin!$C$19:$C$48,"XUAT_SP")&gt;0),1,0))</f>
        <v>0</v>
      </c>
    </row>
    <row r="376" spans="1:8" x14ac:dyDescent="0.25">
      <c r="A376" s="41"/>
      <c r="B376" s="33"/>
      <c r="C376" s="32"/>
      <c r="D376" s="32"/>
      <c r="E376" s="37"/>
      <c r="F376" s="42"/>
      <c r="G376" s="32"/>
      <c r="H376" s="36">
        <f>IF(D376="",0,IF(AND(B376&gt;=ThongTin!$C$9,B376&lt;=ThongTin!$C$10,COUNTIFS(ThongTin!$B$19:$B$48,C376,ThongTin!$A$19:$A$48,ThongTin!$C$8,ThongTin!$C$19:$C$48,"XUAT_SP")&gt;0),1,0))</f>
        <v>0</v>
      </c>
    </row>
    <row r="377" spans="1:8" x14ac:dyDescent="0.25">
      <c r="A377" s="41"/>
      <c r="B377" s="33"/>
      <c r="C377" s="32"/>
      <c r="D377" s="32"/>
      <c r="E377" s="37"/>
      <c r="F377" s="42"/>
      <c r="G377" s="32"/>
      <c r="H377" s="36">
        <f>IF(D377="",0,IF(AND(B377&gt;=ThongTin!$C$9,B377&lt;=ThongTin!$C$10,COUNTIFS(ThongTin!$B$19:$B$48,C377,ThongTin!$A$19:$A$48,ThongTin!$C$8,ThongTin!$C$19:$C$48,"XUAT_SP")&gt;0),1,0))</f>
        <v>0</v>
      </c>
    </row>
    <row r="378" spans="1:8" x14ac:dyDescent="0.25">
      <c r="A378" s="41"/>
      <c r="B378" s="33"/>
      <c r="C378" s="32"/>
      <c r="D378" s="32"/>
      <c r="E378" s="37"/>
      <c r="F378" s="42"/>
      <c r="G378" s="32"/>
      <c r="H378" s="36">
        <f>IF(D378="",0,IF(AND(B378&gt;=ThongTin!$C$9,B378&lt;=ThongTin!$C$10,COUNTIFS(ThongTin!$B$19:$B$48,C378,ThongTin!$A$19:$A$48,ThongTin!$C$8,ThongTin!$C$19:$C$48,"XUAT_SP")&gt;0),1,0))</f>
        <v>0</v>
      </c>
    </row>
    <row r="379" spans="1:8" x14ac:dyDescent="0.25">
      <c r="A379" s="41"/>
      <c r="B379" s="33"/>
      <c r="C379" s="32"/>
      <c r="D379" s="32"/>
      <c r="E379" s="37"/>
      <c r="F379" s="42"/>
      <c r="G379" s="32"/>
      <c r="H379" s="36">
        <f>IF(D379="",0,IF(AND(B379&gt;=ThongTin!$C$9,B379&lt;=ThongTin!$C$10,COUNTIFS(ThongTin!$B$19:$B$48,C379,ThongTin!$A$19:$A$48,ThongTin!$C$8,ThongTin!$C$19:$C$48,"XUAT_SP")&gt;0),1,0))</f>
        <v>0</v>
      </c>
    </row>
    <row r="380" spans="1:8" x14ac:dyDescent="0.25">
      <c r="A380" s="41"/>
      <c r="B380" s="33"/>
      <c r="C380" s="32"/>
      <c r="D380" s="32"/>
      <c r="E380" s="37"/>
      <c r="F380" s="42"/>
      <c r="G380" s="32"/>
      <c r="H380" s="36">
        <f>IF(D380="",0,IF(AND(B380&gt;=ThongTin!$C$9,B380&lt;=ThongTin!$C$10,COUNTIFS(ThongTin!$B$19:$B$48,C380,ThongTin!$A$19:$A$48,ThongTin!$C$8,ThongTin!$C$19:$C$48,"XUAT_SP")&gt;0),1,0))</f>
        <v>0</v>
      </c>
    </row>
    <row r="381" spans="1:8" x14ac:dyDescent="0.25">
      <c r="A381" s="41"/>
      <c r="B381" s="33"/>
      <c r="C381" s="32"/>
      <c r="D381" s="32"/>
      <c r="E381" s="37"/>
      <c r="F381" s="42"/>
      <c r="G381" s="32"/>
      <c r="H381" s="36">
        <f>IF(D381="",0,IF(AND(B381&gt;=ThongTin!$C$9,B381&lt;=ThongTin!$C$10,COUNTIFS(ThongTin!$B$19:$B$48,C381,ThongTin!$A$19:$A$48,ThongTin!$C$8,ThongTin!$C$19:$C$48,"XUAT_SP")&gt;0),1,0))</f>
        <v>0</v>
      </c>
    </row>
    <row r="382" spans="1:8" x14ac:dyDescent="0.25">
      <c r="A382" s="41"/>
      <c r="B382" s="33"/>
      <c r="C382" s="32"/>
      <c r="D382" s="32"/>
      <c r="E382" s="37"/>
      <c r="F382" s="42"/>
      <c r="G382" s="32"/>
      <c r="H382" s="36">
        <f>IF(D382="",0,IF(AND(B382&gt;=ThongTin!$C$9,B382&lt;=ThongTin!$C$10,COUNTIFS(ThongTin!$B$19:$B$48,C382,ThongTin!$A$19:$A$48,ThongTin!$C$8,ThongTin!$C$19:$C$48,"XUAT_SP")&gt;0),1,0))</f>
        <v>0</v>
      </c>
    </row>
    <row r="383" spans="1:8" x14ac:dyDescent="0.25">
      <c r="A383" s="41"/>
      <c r="B383" s="33"/>
      <c r="C383" s="32"/>
      <c r="D383" s="32"/>
      <c r="E383" s="37"/>
      <c r="F383" s="42"/>
      <c r="G383" s="32"/>
      <c r="H383" s="36">
        <f>IF(D383="",0,IF(AND(B383&gt;=ThongTin!$C$9,B383&lt;=ThongTin!$C$10,COUNTIFS(ThongTin!$B$19:$B$48,C383,ThongTin!$A$19:$A$48,ThongTin!$C$8,ThongTin!$C$19:$C$48,"XUAT_SP")&gt;0),1,0))</f>
        <v>0</v>
      </c>
    </row>
    <row r="384" spans="1:8" x14ac:dyDescent="0.25">
      <c r="A384" s="41"/>
      <c r="B384" s="33"/>
      <c r="C384" s="32"/>
      <c r="D384" s="32"/>
      <c r="E384" s="37"/>
      <c r="F384" s="42"/>
      <c r="G384" s="32"/>
      <c r="H384" s="36">
        <f>IF(D384="",0,IF(AND(B384&gt;=ThongTin!$C$9,B384&lt;=ThongTin!$C$10,COUNTIFS(ThongTin!$B$19:$B$48,C384,ThongTin!$A$19:$A$48,ThongTin!$C$8,ThongTin!$C$19:$C$48,"XUAT_SP")&gt;0),1,0))</f>
        <v>0</v>
      </c>
    </row>
    <row r="385" spans="1:8" x14ac:dyDescent="0.25">
      <c r="A385" s="41"/>
      <c r="B385" s="33"/>
      <c r="C385" s="32"/>
      <c r="D385" s="32"/>
      <c r="E385" s="37"/>
      <c r="F385" s="42"/>
      <c r="G385" s="32"/>
      <c r="H385" s="36">
        <f>IF(D385="",0,IF(AND(B385&gt;=ThongTin!$C$9,B385&lt;=ThongTin!$C$10,COUNTIFS(ThongTin!$B$19:$B$48,C385,ThongTin!$A$19:$A$48,ThongTin!$C$8,ThongTin!$C$19:$C$48,"XUAT_SP")&gt;0),1,0))</f>
        <v>0</v>
      </c>
    </row>
    <row r="386" spans="1:8" x14ac:dyDescent="0.25">
      <c r="A386" s="41"/>
      <c r="B386" s="33"/>
      <c r="C386" s="32"/>
      <c r="D386" s="32"/>
      <c r="E386" s="37"/>
      <c r="F386" s="42"/>
      <c r="G386" s="32"/>
      <c r="H386" s="36">
        <f>IF(D386="",0,IF(AND(B386&gt;=ThongTin!$C$9,B386&lt;=ThongTin!$C$10,COUNTIFS(ThongTin!$B$19:$B$48,C386,ThongTin!$A$19:$A$48,ThongTin!$C$8,ThongTin!$C$19:$C$48,"XUAT_SP")&gt;0),1,0))</f>
        <v>0</v>
      </c>
    </row>
    <row r="387" spans="1:8" x14ac:dyDescent="0.25">
      <c r="A387" s="41"/>
      <c r="B387" s="33"/>
      <c r="C387" s="32"/>
      <c r="D387" s="32"/>
      <c r="E387" s="37"/>
      <c r="F387" s="42"/>
      <c r="G387" s="32"/>
      <c r="H387" s="36">
        <f>IF(D387="",0,IF(AND(B387&gt;=ThongTin!$C$9,B387&lt;=ThongTin!$C$10,COUNTIFS(ThongTin!$B$19:$B$48,C387,ThongTin!$A$19:$A$48,ThongTin!$C$8,ThongTin!$C$19:$C$48,"XUAT_SP")&gt;0),1,0))</f>
        <v>0</v>
      </c>
    </row>
    <row r="388" spans="1:8" x14ac:dyDescent="0.25">
      <c r="A388" s="41"/>
      <c r="B388" s="33"/>
      <c r="C388" s="32"/>
      <c r="D388" s="32"/>
      <c r="E388" s="37"/>
      <c r="F388" s="42"/>
      <c r="G388" s="32"/>
      <c r="H388" s="36">
        <f>IF(D388="",0,IF(AND(B388&gt;=ThongTin!$C$9,B388&lt;=ThongTin!$C$10,COUNTIFS(ThongTin!$B$19:$B$48,C388,ThongTin!$A$19:$A$48,ThongTin!$C$8,ThongTin!$C$19:$C$48,"XUAT_SP")&gt;0),1,0))</f>
        <v>0</v>
      </c>
    </row>
    <row r="389" spans="1:8" x14ac:dyDescent="0.25">
      <c r="A389" s="41"/>
      <c r="B389" s="33"/>
      <c r="C389" s="32"/>
      <c r="D389" s="32"/>
      <c r="E389" s="37"/>
      <c r="F389" s="42"/>
      <c r="G389" s="32"/>
      <c r="H389" s="36">
        <f>IF(D389="",0,IF(AND(B389&gt;=ThongTin!$C$9,B389&lt;=ThongTin!$C$10,COUNTIFS(ThongTin!$B$19:$B$48,C389,ThongTin!$A$19:$A$48,ThongTin!$C$8,ThongTin!$C$19:$C$48,"XUAT_SP")&gt;0),1,0))</f>
        <v>0</v>
      </c>
    </row>
    <row r="390" spans="1:8" x14ac:dyDescent="0.25">
      <c r="A390" s="41"/>
      <c r="B390" s="33"/>
      <c r="C390" s="32"/>
      <c r="D390" s="32"/>
      <c r="E390" s="37"/>
      <c r="F390" s="42"/>
      <c r="G390" s="32"/>
      <c r="H390" s="36">
        <f>IF(D390="",0,IF(AND(B390&gt;=ThongTin!$C$9,B390&lt;=ThongTin!$C$10,COUNTIFS(ThongTin!$B$19:$B$48,C390,ThongTin!$A$19:$A$48,ThongTin!$C$8,ThongTin!$C$19:$C$48,"XUAT_SP")&gt;0),1,0))</f>
        <v>0</v>
      </c>
    </row>
    <row r="391" spans="1:8" x14ac:dyDescent="0.25">
      <c r="A391" s="41"/>
      <c r="B391" s="33"/>
      <c r="C391" s="32"/>
      <c r="D391" s="32"/>
      <c r="E391" s="37"/>
      <c r="F391" s="42"/>
      <c r="G391" s="32"/>
      <c r="H391" s="36">
        <f>IF(D391="",0,IF(AND(B391&gt;=ThongTin!$C$9,B391&lt;=ThongTin!$C$10,COUNTIFS(ThongTin!$B$19:$B$48,C391,ThongTin!$A$19:$A$48,ThongTin!$C$8,ThongTin!$C$19:$C$48,"XUAT_SP")&gt;0),1,0))</f>
        <v>0</v>
      </c>
    </row>
    <row r="392" spans="1:8" x14ac:dyDescent="0.25">
      <c r="A392" s="41"/>
      <c r="B392" s="33"/>
      <c r="C392" s="32"/>
      <c r="D392" s="32"/>
      <c r="E392" s="37"/>
      <c r="F392" s="42"/>
      <c r="G392" s="32"/>
      <c r="H392" s="36">
        <f>IF(D392="",0,IF(AND(B392&gt;=ThongTin!$C$9,B392&lt;=ThongTin!$C$10,COUNTIFS(ThongTin!$B$19:$B$48,C392,ThongTin!$A$19:$A$48,ThongTin!$C$8,ThongTin!$C$19:$C$48,"XUAT_SP")&gt;0),1,0))</f>
        <v>0</v>
      </c>
    </row>
    <row r="393" spans="1:8" x14ac:dyDescent="0.25">
      <c r="A393" s="41"/>
      <c r="B393" s="33"/>
      <c r="C393" s="32"/>
      <c r="D393" s="32"/>
      <c r="E393" s="37"/>
      <c r="F393" s="42"/>
      <c r="G393" s="32"/>
      <c r="H393" s="36">
        <f>IF(D393="",0,IF(AND(B393&gt;=ThongTin!$C$9,B393&lt;=ThongTin!$C$10,COUNTIFS(ThongTin!$B$19:$B$48,C393,ThongTin!$A$19:$A$48,ThongTin!$C$8,ThongTin!$C$19:$C$48,"XUAT_SP")&gt;0),1,0))</f>
        <v>0</v>
      </c>
    </row>
    <row r="394" spans="1:8" x14ac:dyDescent="0.25">
      <c r="A394" s="41"/>
      <c r="B394" s="33"/>
      <c r="C394" s="32"/>
      <c r="D394" s="32"/>
      <c r="E394" s="37"/>
      <c r="F394" s="42"/>
      <c r="G394" s="32"/>
      <c r="H394" s="36">
        <f>IF(D394="",0,IF(AND(B394&gt;=ThongTin!$C$9,B394&lt;=ThongTin!$C$10,COUNTIFS(ThongTin!$B$19:$B$48,C394,ThongTin!$A$19:$A$48,ThongTin!$C$8,ThongTin!$C$19:$C$48,"XUAT_SP")&gt;0),1,0))</f>
        <v>0</v>
      </c>
    </row>
    <row r="395" spans="1:8" x14ac:dyDescent="0.25">
      <c r="A395" s="41"/>
      <c r="B395" s="33"/>
      <c r="C395" s="32"/>
      <c r="D395" s="32"/>
      <c r="E395" s="37"/>
      <c r="F395" s="42"/>
      <c r="G395" s="32"/>
      <c r="H395" s="36">
        <f>IF(D395="",0,IF(AND(B395&gt;=ThongTin!$C$9,B395&lt;=ThongTin!$C$10,COUNTIFS(ThongTin!$B$19:$B$48,C395,ThongTin!$A$19:$A$48,ThongTin!$C$8,ThongTin!$C$19:$C$48,"XUAT_SP")&gt;0),1,0))</f>
        <v>0</v>
      </c>
    </row>
    <row r="396" spans="1:8" x14ac:dyDescent="0.25">
      <c r="A396" s="41"/>
      <c r="B396" s="33"/>
      <c r="C396" s="32"/>
      <c r="D396" s="32"/>
      <c r="E396" s="37"/>
      <c r="F396" s="42"/>
      <c r="G396" s="32"/>
      <c r="H396" s="36">
        <f>IF(D396="",0,IF(AND(B396&gt;=ThongTin!$C$9,B396&lt;=ThongTin!$C$10,COUNTIFS(ThongTin!$B$19:$B$48,C396,ThongTin!$A$19:$A$48,ThongTin!$C$8,ThongTin!$C$19:$C$48,"XUAT_SP")&gt;0),1,0))</f>
        <v>0</v>
      </c>
    </row>
    <row r="397" spans="1:8" x14ac:dyDescent="0.25">
      <c r="A397" s="41"/>
      <c r="B397" s="33"/>
      <c r="C397" s="32"/>
      <c r="D397" s="32"/>
      <c r="E397" s="37"/>
      <c r="F397" s="42"/>
      <c r="G397" s="32"/>
      <c r="H397" s="36">
        <f>IF(D397="",0,IF(AND(B397&gt;=ThongTin!$C$9,B397&lt;=ThongTin!$C$10,COUNTIFS(ThongTin!$B$19:$B$48,C397,ThongTin!$A$19:$A$48,ThongTin!$C$8,ThongTin!$C$19:$C$48,"XUAT_SP")&gt;0),1,0))</f>
        <v>0</v>
      </c>
    </row>
    <row r="398" spans="1:8" x14ac:dyDescent="0.25">
      <c r="A398" s="41"/>
      <c r="B398" s="33"/>
      <c r="C398" s="32"/>
      <c r="D398" s="32"/>
      <c r="E398" s="37"/>
      <c r="F398" s="42"/>
      <c r="G398" s="32"/>
      <c r="H398" s="36">
        <f>IF(D398="",0,IF(AND(B398&gt;=ThongTin!$C$9,B398&lt;=ThongTin!$C$10,COUNTIFS(ThongTin!$B$19:$B$48,C398,ThongTin!$A$19:$A$48,ThongTin!$C$8,ThongTin!$C$19:$C$48,"XUAT_SP")&gt;0),1,0))</f>
        <v>0</v>
      </c>
    </row>
    <row r="399" spans="1:8" x14ac:dyDescent="0.25">
      <c r="A399" s="41"/>
      <c r="B399" s="33"/>
      <c r="C399" s="32"/>
      <c r="D399" s="32"/>
      <c r="E399" s="37"/>
      <c r="F399" s="42"/>
      <c r="G399" s="32"/>
      <c r="H399" s="36">
        <f>IF(D399="",0,IF(AND(B399&gt;=ThongTin!$C$9,B399&lt;=ThongTin!$C$10,COUNTIFS(ThongTin!$B$19:$B$48,C399,ThongTin!$A$19:$A$48,ThongTin!$C$8,ThongTin!$C$19:$C$48,"XUAT_SP")&gt;0),1,0))</f>
        <v>0</v>
      </c>
    </row>
    <row r="400" spans="1:8" x14ac:dyDescent="0.25">
      <c r="A400" s="41"/>
      <c r="B400" s="33"/>
      <c r="C400" s="32"/>
      <c r="D400" s="32"/>
      <c r="E400" s="37"/>
      <c r="F400" s="42"/>
      <c r="G400" s="32"/>
      <c r="H400" s="36">
        <f>IF(D400="",0,IF(AND(B400&gt;=ThongTin!$C$9,B400&lt;=ThongTin!$C$10,COUNTIFS(ThongTin!$B$19:$B$48,C400,ThongTin!$A$19:$A$48,ThongTin!$C$8,ThongTin!$C$19:$C$48,"XUAT_SP")&gt;0),1,0))</f>
        <v>0</v>
      </c>
    </row>
    <row r="401" spans="1:8" x14ac:dyDescent="0.25">
      <c r="A401" s="41"/>
      <c r="B401" s="33"/>
      <c r="C401" s="32"/>
      <c r="D401" s="32"/>
      <c r="E401" s="37"/>
      <c r="F401" s="42"/>
      <c r="G401" s="32"/>
      <c r="H401" s="36">
        <f>IF(D401="",0,IF(AND(B401&gt;=ThongTin!$C$9,B401&lt;=ThongTin!$C$10,COUNTIFS(ThongTin!$B$19:$B$48,C401,ThongTin!$A$19:$A$48,ThongTin!$C$8,ThongTin!$C$19:$C$48,"XUAT_SP")&gt;0),1,0))</f>
        <v>0</v>
      </c>
    </row>
    <row r="402" spans="1:8" x14ac:dyDescent="0.25">
      <c r="A402" s="41"/>
      <c r="B402" s="33"/>
      <c r="C402" s="32"/>
      <c r="D402" s="32"/>
      <c r="E402" s="37"/>
      <c r="F402" s="42"/>
      <c r="G402" s="32"/>
      <c r="H402" s="36">
        <f>IF(D402="",0,IF(AND(B402&gt;=ThongTin!$C$9,B402&lt;=ThongTin!$C$10,COUNTIFS(ThongTin!$B$19:$B$48,C402,ThongTin!$A$19:$A$48,ThongTin!$C$8,ThongTin!$C$19:$C$48,"XUAT_SP")&gt;0),1,0))</f>
        <v>0</v>
      </c>
    </row>
    <row r="403" spans="1:8" x14ac:dyDescent="0.25">
      <c r="A403" s="41"/>
      <c r="B403" s="33"/>
      <c r="C403" s="32"/>
      <c r="D403" s="32"/>
      <c r="E403" s="37"/>
      <c r="F403" s="42"/>
      <c r="G403" s="32"/>
      <c r="H403" s="36">
        <f>IF(D403="",0,IF(AND(B403&gt;=ThongTin!$C$9,B403&lt;=ThongTin!$C$10,COUNTIFS(ThongTin!$B$19:$B$48,C403,ThongTin!$A$19:$A$48,ThongTin!$C$8,ThongTin!$C$19:$C$48,"XUAT_SP")&gt;0),1,0))</f>
        <v>0</v>
      </c>
    </row>
    <row r="404" spans="1:8" x14ac:dyDescent="0.25">
      <c r="A404" s="41"/>
      <c r="B404" s="33"/>
      <c r="C404" s="32"/>
      <c r="D404" s="32"/>
      <c r="E404" s="37"/>
      <c r="F404" s="42"/>
      <c r="G404" s="32"/>
      <c r="H404" s="36">
        <f>IF(D404="",0,IF(AND(B404&gt;=ThongTin!$C$9,B404&lt;=ThongTin!$C$10,COUNTIFS(ThongTin!$B$19:$B$48,C404,ThongTin!$A$19:$A$48,ThongTin!$C$8,ThongTin!$C$19:$C$48,"XUAT_SP")&gt;0),1,0))</f>
        <v>0</v>
      </c>
    </row>
    <row r="405" spans="1:8" x14ac:dyDescent="0.25">
      <c r="A405" s="41"/>
      <c r="B405" s="33"/>
      <c r="C405" s="32"/>
      <c r="D405" s="32"/>
      <c r="E405" s="37"/>
      <c r="F405" s="42"/>
      <c r="G405" s="32"/>
      <c r="H405" s="36">
        <f>IF(D405="",0,IF(AND(B405&gt;=ThongTin!$C$9,B405&lt;=ThongTin!$C$10,COUNTIFS(ThongTin!$B$19:$B$48,C405,ThongTin!$A$19:$A$48,ThongTin!$C$8,ThongTin!$C$19:$C$48,"XUAT_SP")&gt;0),1,0))</f>
        <v>0</v>
      </c>
    </row>
    <row r="406" spans="1:8" x14ac:dyDescent="0.25">
      <c r="A406" s="41"/>
      <c r="B406" s="33"/>
      <c r="C406" s="32"/>
      <c r="D406" s="32"/>
      <c r="E406" s="37"/>
      <c r="F406" s="42"/>
      <c r="G406" s="32"/>
      <c r="H406" s="36">
        <f>IF(D406="",0,IF(AND(B406&gt;=ThongTin!$C$9,B406&lt;=ThongTin!$C$10,COUNTIFS(ThongTin!$B$19:$B$48,C406,ThongTin!$A$19:$A$48,ThongTin!$C$8,ThongTin!$C$19:$C$48,"XUAT_SP")&gt;0),1,0))</f>
        <v>0</v>
      </c>
    </row>
    <row r="407" spans="1:8" x14ac:dyDescent="0.25">
      <c r="A407" s="41"/>
      <c r="B407" s="33"/>
      <c r="C407" s="32"/>
      <c r="D407" s="32"/>
      <c r="E407" s="37"/>
      <c r="F407" s="42"/>
      <c r="G407" s="32"/>
      <c r="H407" s="36">
        <f>IF(D407="",0,IF(AND(B407&gt;=ThongTin!$C$9,B407&lt;=ThongTin!$C$10,COUNTIFS(ThongTin!$B$19:$B$48,C407,ThongTin!$A$19:$A$48,ThongTin!$C$8,ThongTin!$C$19:$C$48,"XUAT_SP")&gt;0),1,0))</f>
        <v>0</v>
      </c>
    </row>
    <row r="408" spans="1:8" x14ac:dyDescent="0.25">
      <c r="A408" s="41"/>
      <c r="B408" s="33"/>
      <c r="C408" s="32"/>
      <c r="D408" s="32"/>
      <c r="E408" s="37"/>
      <c r="F408" s="42"/>
      <c r="G408" s="32"/>
      <c r="H408" s="36">
        <f>IF(D408="",0,IF(AND(B408&gt;=ThongTin!$C$9,B408&lt;=ThongTin!$C$10,COUNTIFS(ThongTin!$B$19:$B$48,C408,ThongTin!$A$19:$A$48,ThongTin!$C$8,ThongTin!$C$19:$C$48,"XUAT_SP")&gt;0),1,0))</f>
        <v>0</v>
      </c>
    </row>
    <row r="409" spans="1:8" x14ac:dyDescent="0.25">
      <c r="A409" s="41"/>
      <c r="B409" s="33"/>
      <c r="C409" s="32"/>
      <c r="D409" s="32"/>
      <c r="E409" s="37"/>
      <c r="F409" s="42"/>
      <c r="G409" s="32"/>
      <c r="H409" s="36">
        <f>IF(D409="",0,IF(AND(B409&gt;=ThongTin!$C$9,B409&lt;=ThongTin!$C$10,COUNTIFS(ThongTin!$B$19:$B$48,C409,ThongTin!$A$19:$A$48,ThongTin!$C$8,ThongTin!$C$19:$C$48,"XUAT_SP")&gt;0),1,0))</f>
        <v>0</v>
      </c>
    </row>
    <row r="410" spans="1:8" x14ac:dyDescent="0.25">
      <c r="A410" s="41"/>
      <c r="B410" s="33"/>
      <c r="C410" s="32"/>
      <c r="D410" s="32"/>
      <c r="E410" s="37"/>
      <c r="F410" s="42"/>
      <c r="G410" s="32"/>
      <c r="H410" s="36">
        <f>IF(D410="",0,IF(AND(B410&gt;=ThongTin!$C$9,B410&lt;=ThongTin!$C$10,COUNTIFS(ThongTin!$B$19:$B$48,C410,ThongTin!$A$19:$A$48,ThongTin!$C$8,ThongTin!$C$19:$C$48,"XUAT_SP")&gt;0),1,0))</f>
        <v>0</v>
      </c>
    </row>
    <row r="411" spans="1:8" x14ac:dyDescent="0.25">
      <c r="A411" s="41"/>
      <c r="B411" s="33"/>
      <c r="C411" s="32"/>
      <c r="D411" s="32"/>
      <c r="E411" s="37"/>
      <c r="F411" s="42"/>
      <c r="G411" s="32"/>
      <c r="H411" s="36">
        <f>IF(D411="",0,IF(AND(B411&gt;=ThongTin!$C$9,B411&lt;=ThongTin!$C$10,COUNTIFS(ThongTin!$B$19:$B$48,C411,ThongTin!$A$19:$A$48,ThongTin!$C$8,ThongTin!$C$19:$C$48,"XUAT_SP")&gt;0),1,0))</f>
        <v>0</v>
      </c>
    </row>
    <row r="412" spans="1:8" x14ac:dyDescent="0.25">
      <c r="A412" s="41"/>
      <c r="B412" s="33"/>
      <c r="C412" s="32"/>
      <c r="D412" s="32"/>
      <c r="E412" s="37"/>
      <c r="F412" s="42"/>
      <c r="G412" s="32"/>
      <c r="H412" s="36">
        <f>IF(D412="",0,IF(AND(B412&gt;=ThongTin!$C$9,B412&lt;=ThongTin!$C$10,COUNTIFS(ThongTin!$B$19:$B$48,C412,ThongTin!$A$19:$A$48,ThongTin!$C$8,ThongTin!$C$19:$C$48,"XUAT_SP")&gt;0),1,0))</f>
        <v>0</v>
      </c>
    </row>
    <row r="413" spans="1:8" x14ac:dyDescent="0.25">
      <c r="A413" s="41"/>
      <c r="B413" s="33"/>
      <c r="C413" s="32"/>
      <c r="D413" s="32"/>
      <c r="E413" s="37"/>
      <c r="F413" s="42"/>
      <c r="G413" s="32"/>
      <c r="H413" s="36">
        <f>IF(D413="",0,IF(AND(B413&gt;=ThongTin!$C$9,B413&lt;=ThongTin!$C$10,COUNTIFS(ThongTin!$B$19:$B$48,C413,ThongTin!$A$19:$A$48,ThongTin!$C$8,ThongTin!$C$19:$C$48,"XUAT_SP")&gt;0),1,0))</f>
        <v>0</v>
      </c>
    </row>
    <row r="414" spans="1:8" x14ac:dyDescent="0.25">
      <c r="A414" s="41"/>
      <c r="B414" s="33"/>
      <c r="C414" s="32"/>
      <c r="D414" s="32"/>
      <c r="E414" s="37"/>
      <c r="F414" s="42"/>
      <c r="G414" s="32"/>
      <c r="H414" s="36">
        <f>IF(D414="",0,IF(AND(B414&gt;=ThongTin!$C$9,B414&lt;=ThongTin!$C$10,COUNTIFS(ThongTin!$B$19:$B$48,C414,ThongTin!$A$19:$A$48,ThongTin!$C$8,ThongTin!$C$19:$C$48,"XUAT_SP")&gt;0),1,0))</f>
        <v>0</v>
      </c>
    </row>
    <row r="415" spans="1:8" x14ac:dyDescent="0.25">
      <c r="A415" s="41"/>
      <c r="B415" s="33"/>
      <c r="C415" s="32"/>
      <c r="D415" s="32"/>
      <c r="E415" s="37"/>
      <c r="F415" s="42"/>
      <c r="G415" s="32"/>
      <c r="H415" s="36">
        <f>IF(D415="",0,IF(AND(B415&gt;=ThongTin!$C$9,B415&lt;=ThongTin!$C$10,COUNTIFS(ThongTin!$B$19:$B$48,C415,ThongTin!$A$19:$A$48,ThongTin!$C$8,ThongTin!$C$19:$C$48,"XUAT_SP")&gt;0),1,0))</f>
        <v>0</v>
      </c>
    </row>
    <row r="416" spans="1:8" x14ac:dyDescent="0.25">
      <c r="A416" s="41"/>
      <c r="B416" s="33"/>
      <c r="C416" s="32"/>
      <c r="D416" s="32"/>
      <c r="E416" s="37"/>
      <c r="F416" s="42"/>
      <c r="G416" s="32"/>
      <c r="H416" s="36">
        <f>IF(D416="",0,IF(AND(B416&gt;=ThongTin!$C$9,B416&lt;=ThongTin!$C$10,COUNTIFS(ThongTin!$B$19:$B$48,C416,ThongTin!$A$19:$A$48,ThongTin!$C$8,ThongTin!$C$19:$C$48,"XUAT_SP")&gt;0),1,0))</f>
        <v>0</v>
      </c>
    </row>
    <row r="417" spans="1:8" x14ac:dyDescent="0.25">
      <c r="A417" s="41"/>
      <c r="B417" s="33"/>
      <c r="C417" s="32"/>
      <c r="D417" s="32"/>
      <c r="E417" s="37"/>
      <c r="F417" s="42"/>
      <c r="G417" s="32"/>
      <c r="H417" s="36">
        <f>IF(D417="",0,IF(AND(B417&gt;=ThongTin!$C$9,B417&lt;=ThongTin!$C$10,COUNTIFS(ThongTin!$B$19:$B$48,C417,ThongTin!$A$19:$A$48,ThongTin!$C$8,ThongTin!$C$19:$C$48,"XUAT_SP")&gt;0),1,0))</f>
        <v>0</v>
      </c>
    </row>
    <row r="418" spans="1:8" x14ac:dyDescent="0.25">
      <c r="A418" s="41"/>
      <c r="B418" s="33"/>
      <c r="C418" s="32"/>
      <c r="D418" s="32"/>
      <c r="E418" s="37"/>
      <c r="F418" s="42"/>
      <c r="G418" s="32"/>
      <c r="H418" s="36">
        <f>IF(D418="",0,IF(AND(B418&gt;=ThongTin!$C$9,B418&lt;=ThongTin!$C$10,COUNTIFS(ThongTin!$B$19:$B$48,C418,ThongTin!$A$19:$A$48,ThongTin!$C$8,ThongTin!$C$19:$C$48,"XUAT_SP")&gt;0),1,0))</f>
        <v>0</v>
      </c>
    </row>
    <row r="419" spans="1:8" x14ac:dyDescent="0.25">
      <c r="A419" s="41"/>
      <c r="B419" s="33"/>
      <c r="C419" s="32"/>
      <c r="D419" s="32"/>
      <c r="E419" s="37"/>
      <c r="F419" s="42"/>
      <c r="G419" s="32"/>
      <c r="H419" s="36">
        <f>IF(D419="",0,IF(AND(B419&gt;=ThongTin!$C$9,B419&lt;=ThongTin!$C$10,COUNTIFS(ThongTin!$B$19:$B$48,C419,ThongTin!$A$19:$A$48,ThongTin!$C$8,ThongTin!$C$19:$C$48,"XUAT_SP")&gt;0),1,0))</f>
        <v>0</v>
      </c>
    </row>
    <row r="420" spans="1:8" x14ac:dyDescent="0.25">
      <c r="A420" s="41"/>
      <c r="B420" s="33"/>
      <c r="C420" s="32"/>
      <c r="D420" s="32"/>
      <c r="E420" s="37"/>
      <c r="F420" s="42"/>
      <c r="G420" s="32"/>
      <c r="H420" s="36">
        <f>IF(D420="",0,IF(AND(B420&gt;=ThongTin!$C$9,B420&lt;=ThongTin!$C$10,COUNTIFS(ThongTin!$B$19:$B$48,C420,ThongTin!$A$19:$A$48,ThongTin!$C$8,ThongTin!$C$19:$C$48,"XUAT_SP")&gt;0),1,0))</f>
        <v>0</v>
      </c>
    </row>
    <row r="421" spans="1:8" x14ac:dyDescent="0.25">
      <c r="A421" s="41"/>
      <c r="B421" s="33"/>
      <c r="C421" s="32"/>
      <c r="D421" s="32"/>
      <c r="E421" s="37"/>
      <c r="F421" s="42"/>
      <c r="G421" s="32"/>
      <c r="H421" s="36">
        <f>IF(D421="",0,IF(AND(B421&gt;=ThongTin!$C$9,B421&lt;=ThongTin!$C$10,COUNTIFS(ThongTin!$B$19:$B$48,C421,ThongTin!$A$19:$A$48,ThongTin!$C$8,ThongTin!$C$19:$C$48,"XUAT_SP")&gt;0),1,0))</f>
        <v>0</v>
      </c>
    </row>
    <row r="422" spans="1:8" x14ac:dyDescent="0.25">
      <c r="A422" s="41"/>
      <c r="B422" s="33"/>
      <c r="C422" s="32"/>
      <c r="D422" s="32"/>
      <c r="E422" s="37"/>
      <c r="F422" s="42"/>
      <c r="G422" s="32"/>
      <c r="H422" s="36">
        <f>IF(D422="",0,IF(AND(B422&gt;=ThongTin!$C$9,B422&lt;=ThongTin!$C$10,COUNTIFS(ThongTin!$B$19:$B$48,C422,ThongTin!$A$19:$A$48,ThongTin!$C$8,ThongTin!$C$19:$C$48,"XUAT_SP")&gt;0),1,0))</f>
        <v>0</v>
      </c>
    </row>
    <row r="423" spans="1:8" x14ac:dyDescent="0.25">
      <c r="A423" s="41"/>
      <c r="B423" s="33"/>
      <c r="C423" s="32"/>
      <c r="D423" s="32"/>
      <c r="E423" s="37"/>
      <c r="F423" s="42"/>
      <c r="G423" s="32"/>
      <c r="H423" s="36">
        <f>IF(D423="",0,IF(AND(B423&gt;=ThongTin!$C$9,B423&lt;=ThongTin!$C$10,COUNTIFS(ThongTin!$B$19:$B$48,C423,ThongTin!$A$19:$A$48,ThongTin!$C$8,ThongTin!$C$19:$C$48,"XUAT_SP")&gt;0),1,0))</f>
        <v>0</v>
      </c>
    </row>
    <row r="424" spans="1:8" x14ac:dyDescent="0.25">
      <c r="A424" s="41"/>
      <c r="B424" s="33"/>
      <c r="C424" s="32"/>
      <c r="D424" s="32"/>
      <c r="E424" s="37"/>
      <c r="F424" s="42"/>
      <c r="G424" s="32"/>
      <c r="H424" s="36">
        <f>IF(D424="",0,IF(AND(B424&gt;=ThongTin!$C$9,B424&lt;=ThongTin!$C$10,COUNTIFS(ThongTin!$B$19:$B$48,C424,ThongTin!$A$19:$A$48,ThongTin!$C$8,ThongTin!$C$19:$C$48,"XUAT_SP")&gt;0),1,0))</f>
        <v>0</v>
      </c>
    </row>
    <row r="425" spans="1:8" x14ac:dyDescent="0.25">
      <c r="A425" s="41"/>
      <c r="B425" s="33"/>
      <c r="C425" s="32"/>
      <c r="D425" s="32"/>
      <c r="E425" s="37"/>
      <c r="F425" s="42"/>
      <c r="G425" s="32"/>
      <c r="H425" s="36">
        <f>IF(D425="",0,IF(AND(B425&gt;=ThongTin!$C$9,B425&lt;=ThongTin!$C$10,COUNTIFS(ThongTin!$B$19:$B$48,C425,ThongTin!$A$19:$A$48,ThongTin!$C$8,ThongTin!$C$19:$C$48,"XUAT_SP")&gt;0),1,0))</f>
        <v>0</v>
      </c>
    </row>
    <row r="426" spans="1:8" x14ac:dyDescent="0.25">
      <c r="A426" s="41"/>
      <c r="B426" s="33"/>
      <c r="C426" s="32"/>
      <c r="D426" s="32"/>
      <c r="E426" s="37"/>
      <c r="F426" s="42"/>
      <c r="G426" s="32"/>
      <c r="H426" s="36">
        <f>IF(D426="",0,IF(AND(B426&gt;=ThongTin!$C$9,B426&lt;=ThongTin!$C$10,COUNTIFS(ThongTin!$B$19:$B$48,C426,ThongTin!$A$19:$A$48,ThongTin!$C$8,ThongTin!$C$19:$C$48,"XUAT_SP")&gt;0),1,0))</f>
        <v>0</v>
      </c>
    </row>
    <row r="427" spans="1:8" x14ac:dyDescent="0.25">
      <c r="A427" s="41"/>
      <c r="B427" s="33"/>
      <c r="C427" s="32"/>
      <c r="D427" s="32"/>
      <c r="E427" s="37"/>
      <c r="F427" s="42"/>
      <c r="G427" s="32"/>
      <c r="H427" s="36">
        <f>IF(D427="",0,IF(AND(B427&gt;=ThongTin!$C$9,B427&lt;=ThongTin!$C$10,COUNTIFS(ThongTin!$B$19:$B$48,C427,ThongTin!$A$19:$A$48,ThongTin!$C$8,ThongTin!$C$19:$C$48,"XUAT_SP")&gt;0),1,0))</f>
        <v>0</v>
      </c>
    </row>
    <row r="428" spans="1:8" x14ac:dyDescent="0.25">
      <c r="A428" s="41"/>
      <c r="B428" s="33"/>
      <c r="C428" s="32"/>
      <c r="D428" s="32"/>
      <c r="E428" s="37"/>
      <c r="F428" s="42"/>
      <c r="G428" s="32"/>
      <c r="H428" s="36">
        <f>IF(D428="",0,IF(AND(B428&gt;=ThongTin!$C$9,B428&lt;=ThongTin!$C$10,COUNTIFS(ThongTin!$B$19:$B$48,C428,ThongTin!$A$19:$A$48,ThongTin!$C$8,ThongTin!$C$19:$C$48,"XUAT_SP")&gt;0),1,0))</f>
        <v>0</v>
      </c>
    </row>
    <row r="429" spans="1:8" x14ac:dyDescent="0.25">
      <c r="A429" s="41"/>
      <c r="B429" s="33"/>
      <c r="C429" s="32"/>
      <c r="D429" s="32"/>
      <c r="E429" s="37"/>
      <c r="F429" s="42"/>
      <c r="G429" s="32"/>
      <c r="H429" s="36">
        <f>IF(D429="",0,IF(AND(B429&gt;=ThongTin!$C$9,B429&lt;=ThongTin!$C$10,COUNTIFS(ThongTin!$B$19:$B$48,C429,ThongTin!$A$19:$A$48,ThongTin!$C$8,ThongTin!$C$19:$C$48,"XUAT_SP")&gt;0),1,0))</f>
        <v>0</v>
      </c>
    </row>
    <row r="430" spans="1:8" x14ac:dyDescent="0.25">
      <c r="A430" s="41"/>
      <c r="B430" s="33"/>
      <c r="C430" s="32"/>
      <c r="D430" s="32"/>
      <c r="E430" s="37"/>
      <c r="F430" s="42"/>
      <c r="G430" s="32"/>
      <c r="H430" s="36">
        <f>IF(D430="",0,IF(AND(B430&gt;=ThongTin!$C$9,B430&lt;=ThongTin!$C$10,COUNTIFS(ThongTin!$B$19:$B$48,C430,ThongTin!$A$19:$A$48,ThongTin!$C$8,ThongTin!$C$19:$C$48,"XUAT_SP")&gt;0),1,0))</f>
        <v>0</v>
      </c>
    </row>
    <row r="431" spans="1:8" x14ac:dyDescent="0.25">
      <c r="A431" s="41"/>
      <c r="B431" s="33"/>
      <c r="C431" s="32"/>
      <c r="D431" s="32"/>
      <c r="E431" s="37"/>
      <c r="F431" s="42"/>
      <c r="G431" s="32"/>
      <c r="H431" s="36">
        <f>IF(D431="",0,IF(AND(B431&gt;=ThongTin!$C$9,B431&lt;=ThongTin!$C$10,COUNTIFS(ThongTin!$B$19:$B$48,C431,ThongTin!$A$19:$A$48,ThongTin!$C$8,ThongTin!$C$19:$C$48,"XUAT_SP")&gt;0),1,0))</f>
        <v>0</v>
      </c>
    </row>
    <row r="432" spans="1:8" x14ac:dyDescent="0.25">
      <c r="A432" s="41"/>
      <c r="B432" s="33"/>
      <c r="C432" s="32"/>
      <c r="D432" s="32"/>
      <c r="E432" s="37"/>
      <c r="F432" s="42"/>
      <c r="G432" s="32"/>
      <c r="H432" s="36">
        <f>IF(D432="",0,IF(AND(B432&gt;=ThongTin!$C$9,B432&lt;=ThongTin!$C$10,COUNTIFS(ThongTin!$B$19:$B$48,C432,ThongTin!$A$19:$A$48,ThongTin!$C$8,ThongTin!$C$19:$C$48,"XUAT_SP")&gt;0),1,0))</f>
        <v>0</v>
      </c>
    </row>
    <row r="433" spans="1:8" x14ac:dyDescent="0.25">
      <c r="A433" s="41"/>
      <c r="B433" s="33"/>
      <c r="C433" s="32"/>
      <c r="D433" s="32"/>
      <c r="E433" s="37"/>
      <c r="F433" s="42"/>
      <c r="G433" s="32"/>
      <c r="H433" s="36">
        <f>IF(D433="",0,IF(AND(B433&gt;=ThongTin!$C$9,B433&lt;=ThongTin!$C$10,COUNTIFS(ThongTin!$B$19:$B$48,C433,ThongTin!$A$19:$A$48,ThongTin!$C$8,ThongTin!$C$19:$C$48,"XUAT_SP")&gt;0),1,0))</f>
        <v>0</v>
      </c>
    </row>
    <row r="434" spans="1:8" x14ac:dyDescent="0.25">
      <c r="A434" s="41"/>
      <c r="B434" s="33"/>
      <c r="C434" s="32"/>
      <c r="D434" s="32"/>
      <c r="E434" s="37"/>
      <c r="F434" s="42"/>
      <c r="G434" s="32"/>
      <c r="H434" s="36">
        <f>IF(D434="",0,IF(AND(B434&gt;=ThongTin!$C$9,B434&lt;=ThongTin!$C$10,COUNTIFS(ThongTin!$B$19:$B$48,C434,ThongTin!$A$19:$A$48,ThongTin!$C$8,ThongTin!$C$19:$C$48,"XUAT_SP")&gt;0),1,0))</f>
        <v>0</v>
      </c>
    </row>
    <row r="435" spans="1:8" x14ac:dyDescent="0.25">
      <c r="A435" s="41"/>
      <c r="B435" s="33"/>
      <c r="C435" s="32"/>
      <c r="D435" s="32"/>
      <c r="E435" s="37"/>
      <c r="F435" s="42"/>
      <c r="G435" s="32"/>
      <c r="H435" s="36">
        <f>IF(D435="",0,IF(AND(B435&gt;=ThongTin!$C$9,B435&lt;=ThongTin!$C$10,COUNTIFS(ThongTin!$B$19:$B$48,C435,ThongTin!$A$19:$A$48,ThongTin!$C$8,ThongTin!$C$19:$C$48,"XUAT_SP")&gt;0),1,0))</f>
        <v>0</v>
      </c>
    </row>
    <row r="436" spans="1:8" x14ac:dyDescent="0.25">
      <c r="A436" s="41"/>
      <c r="B436" s="33"/>
      <c r="C436" s="32"/>
      <c r="D436" s="32"/>
      <c r="E436" s="37"/>
      <c r="F436" s="42"/>
      <c r="G436" s="32"/>
      <c r="H436" s="36">
        <f>IF(D436="",0,IF(AND(B436&gt;=ThongTin!$C$9,B436&lt;=ThongTin!$C$10,COUNTIFS(ThongTin!$B$19:$B$48,C436,ThongTin!$A$19:$A$48,ThongTin!$C$8,ThongTin!$C$19:$C$48,"XUAT_SP")&gt;0),1,0))</f>
        <v>0</v>
      </c>
    </row>
    <row r="437" spans="1:8" x14ac:dyDescent="0.25">
      <c r="A437" s="41"/>
      <c r="B437" s="33"/>
      <c r="C437" s="32"/>
      <c r="D437" s="32"/>
      <c r="E437" s="37"/>
      <c r="F437" s="42"/>
      <c r="G437" s="32"/>
      <c r="H437" s="36">
        <f>IF(D437="",0,IF(AND(B437&gt;=ThongTin!$C$9,B437&lt;=ThongTin!$C$10,COUNTIFS(ThongTin!$B$19:$B$48,C437,ThongTin!$A$19:$A$48,ThongTin!$C$8,ThongTin!$C$19:$C$48,"XUAT_SP")&gt;0),1,0))</f>
        <v>0</v>
      </c>
    </row>
    <row r="438" spans="1:8" x14ac:dyDescent="0.25">
      <c r="A438" s="41"/>
      <c r="B438" s="33"/>
      <c r="C438" s="32"/>
      <c r="D438" s="32"/>
      <c r="E438" s="37"/>
      <c r="F438" s="42"/>
      <c r="G438" s="32"/>
      <c r="H438" s="36">
        <f>IF(D438="",0,IF(AND(B438&gt;=ThongTin!$C$9,B438&lt;=ThongTin!$C$10,COUNTIFS(ThongTin!$B$19:$B$48,C438,ThongTin!$A$19:$A$48,ThongTin!$C$8,ThongTin!$C$19:$C$48,"XUAT_SP")&gt;0),1,0))</f>
        <v>0</v>
      </c>
    </row>
    <row r="439" spans="1:8" x14ac:dyDescent="0.25">
      <c r="A439" s="41"/>
      <c r="B439" s="33"/>
      <c r="C439" s="32"/>
      <c r="D439" s="32"/>
      <c r="E439" s="37"/>
      <c r="F439" s="42"/>
      <c r="G439" s="32"/>
      <c r="H439" s="36">
        <f>IF(D439="",0,IF(AND(B439&gt;=ThongTin!$C$9,B439&lt;=ThongTin!$C$10,COUNTIFS(ThongTin!$B$19:$B$48,C439,ThongTin!$A$19:$A$48,ThongTin!$C$8,ThongTin!$C$19:$C$48,"XUAT_SP")&gt;0),1,0))</f>
        <v>0</v>
      </c>
    </row>
    <row r="440" spans="1:8" x14ac:dyDescent="0.25">
      <c r="A440" s="41"/>
      <c r="B440" s="33"/>
      <c r="C440" s="32"/>
      <c r="D440" s="32"/>
      <c r="E440" s="37"/>
      <c r="F440" s="42"/>
      <c r="G440" s="32"/>
      <c r="H440" s="36">
        <f>IF(D440="",0,IF(AND(B440&gt;=ThongTin!$C$9,B440&lt;=ThongTin!$C$10,COUNTIFS(ThongTin!$B$19:$B$48,C440,ThongTin!$A$19:$A$48,ThongTin!$C$8,ThongTin!$C$19:$C$48,"XUAT_SP")&gt;0),1,0))</f>
        <v>0</v>
      </c>
    </row>
    <row r="441" spans="1:8" x14ac:dyDescent="0.25">
      <c r="A441" s="41"/>
      <c r="B441" s="33"/>
      <c r="C441" s="32"/>
      <c r="D441" s="32"/>
      <c r="E441" s="37"/>
      <c r="F441" s="42"/>
      <c r="G441" s="32"/>
      <c r="H441" s="36">
        <f>IF(D441="",0,IF(AND(B441&gt;=ThongTin!$C$9,B441&lt;=ThongTin!$C$10,COUNTIFS(ThongTin!$B$19:$B$48,C441,ThongTin!$A$19:$A$48,ThongTin!$C$8,ThongTin!$C$19:$C$48,"XUAT_SP")&gt;0),1,0))</f>
        <v>0</v>
      </c>
    </row>
    <row r="442" spans="1:8" x14ac:dyDescent="0.25">
      <c r="A442" s="41"/>
      <c r="B442" s="33"/>
      <c r="C442" s="32"/>
      <c r="D442" s="32"/>
      <c r="E442" s="37"/>
      <c r="F442" s="42"/>
      <c r="G442" s="32"/>
      <c r="H442" s="36">
        <f>IF(D442="",0,IF(AND(B442&gt;=ThongTin!$C$9,B442&lt;=ThongTin!$C$10,COUNTIFS(ThongTin!$B$19:$B$48,C442,ThongTin!$A$19:$A$48,ThongTin!$C$8,ThongTin!$C$19:$C$48,"XUAT_SP")&gt;0),1,0))</f>
        <v>0</v>
      </c>
    </row>
    <row r="443" spans="1:8" x14ac:dyDescent="0.25">
      <c r="A443" s="41"/>
      <c r="B443" s="33"/>
      <c r="C443" s="32"/>
      <c r="D443" s="32"/>
      <c r="E443" s="37"/>
      <c r="F443" s="42"/>
      <c r="G443" s="32"/>
      <c r="H443" s="36">
        <f>IF(D443="",0,IF(AND(B443&gt;=ThongTin!$C$9,B443&lt;=ThongTin!$C$10,COUNTIFS(ThongTin!$B$19:$B$48,C443,ThongTin!$A$19:$A$48,ThongTin!$C$8,ThongTin!$C$19:$C$48,"XUAT_SP")&gt;0),1,0))</f>
        <v>0</v>
      </c>
    </row>
    <row r="444" spans="1:8" x14ac:dyDescent="0.25">
      <c r="A444" s="41"/>
      <c r="B444" s="33"/>
      <c r="C444" s="32"/>
      <c r="D444" s="32"/>
      <c r="E444" s="37"/>
      <c r="F444" s="42"/>
      <c r="G444" s="32"/>
      <c r="H444" s="36">
        <f>IF(D444="",0,IF(AND(B444&gt;=ThongTin!$C$9,B444&lt;=ThongTin!$C$10,COUNTIFS(ThongTin!$B$19:$B$48,C444,ThongTin!$A$19:$A$48,ThongTin!$C$8,ThongTin!$C$19:$C$48,"XUAT_SP")&gt;0),1,0))</f>
        <v>0</v>
      </c>
    </row>
    <row r="445" spans="1:8" x14ac:dyDescent="0.25">
      <c r="A445" s="41"/>
      <c r="B445" s="33"/>
      <c r="C445" s="32"/>
      <c r="D445" s="32"/>
      <c r="E445" s="37"/>
      <c r="F445" s="42"/>
      <c r="G445" s="32"/>
      <c r="H445" s="36">
        <f>IF(D445="",0,IF(AND(B445&gt;=ThongTin!$C$9,B445&lt;=ThongTin!$C$10,COUNTIFS(ThongTin!$B$19:$B$48,C445,ThongTin!$A$19:$A$48,ThongTin!$C$8,ThongTin!$C$19:$C$48,"XUAT_SP")&gt;0),1,0))</f>
        <v>0</v>
      </c>
    </row>
    <row r="446" spans="1:8" x14ac:dyDescent="0.25">
      <c r="A446" s="41"/>
      <c r="B446" s="33"/>
      <c r="C446" s="32"/>
      <c r="D446" s="32"/>
      <c r="E446" s="37"/>
      <c r="F446" s="42"/>
      <c r="G446" s="32"/>
      <c r="H446" s="36">
        <f>IF(D446="",0,IF(AND(B446&gt;=ThongTin!$C$9,B446&lt;=ThongTin!$C$10,COUNTIFS(ThongTin!$B$19:$B$48,C446,ThongTin!$A$19:$A$48,ThongTin!$C$8,ThongTin!$C$19:$C$48,"XUAT_SP")&gt;0),1,0))</f>
        <v>0</v>
      </c>
    </row>
    <row r="447" spans="1:8" x14ac:dyDescent="0.25">
      <c r="A447" s="41"/>
      <c r="B447" s="33"/>
      <c r="C447" s="32"/>
      <c r="D447" s="32"/>
      <c r="E447" s="37"/>
      <c r="F447" s="42"/>
      <c r="G447" s="32"/>
      <c r="H447" s="36">
        <f>IF(D447="",0,IF(AND(B447&gt;=ThongTin!$C$9,B447&lt;=ThongTin!$C$10,COUNTIFS(ThongTin!$B$19:$B$48,C447,ThongTin!$A$19:$A$48,ThongTin!$C$8,ThongTin!$C$19:$C$48,"XUAT_SP")&gt;0),1,0))</f>
        <v>0</v>
      </c>
    </row>
    <row r="448" spans="1:8" x14ac:dyDescent="0.25">
      <c r="A448" s="41"/>
      <c r="B448" s="33"/>
      <c r="C448" s="32"/>
      <c r="D448" s="32"/>
      <c r="E448" s="37"/>
      <c r="F448" s="42"/>
      <c r="G448" s="32"/>
      <c r="H448" s="36">
        <f>IF(D448="",0,IF(AND(B448&gt;=ThongTin!$C$9,B448&lt;=ThongTin!$C$10,COUNTIFS(ThongTin!$B$19:$B$48,C448,ThongTin!$A$19:$A$48,ThongTin!$C$8,ThongTin!$C$19:$C$48,"XUAT_SP")&gt;0),1,0))</f>
        <v>0</v>
      </c>
    </row>
    <row r="449" spans="1:8" x14ac:dyDescent="0.25">
      <c r="A449" s="41"/>
      <c r="B449" s="33"/>
      <c r="C449" s="32"/>
      <c r="D449" s="32"/>
      <c r="E449" s="37"/>
      <c r="F449" s="42"/>
      <c r="G449" s="32"/>
      <c r="H449" s="36">
        <f>IF(D449="",0,IF(AND(B449&gt;=ThongTin!$C$9,B449&lt;=ThongTin!$C$10,COUNTIFS(ThongTin!$B$19:$B$48,C449,ThongTin!$A$19:$A$48,ThongTin!$C$8,ThongTin!$C$19:$C$48,"XUAT_SP")&gt;0),1,0))</f>
        <v>0</v>
      </c>
    </row>
    <row r="450" spans="1:8" x14ac:dyDescent="0.25">
      <c r="A450" s="41"/>
      <c r="B450" s="33"/>
      <c r="C450" s="32"/>
      <c r="D450" s="32"/>
      <c r="E450" s="37"/>
      <c r="F450" s="42"/>
      <c r="G450" s="32"/>
      <c r="H450" s="36">
        <f>IF(D450="",0,IF(AND(B450&gt;=ThongTin!$C$9,B450&lt;=ThongTin!$C$10,COUNTIFS(ThongTin!$B$19:$B$48,C450,ThongTin!$A$19:$A$48,ThongTin!$C$8,ThongTin!$C$19:$C$48,"XUAT_SP")&gt;0),1,0))</f>
        <v>0</v>
      </c>
    </row>
    <row r="451" spans="1:8" x14ac:dyDescent="0.25">
      <c r="A451" s="41"/>
      <c r="B451" s="33"/>
      <c r="C451" s="32"/>
      <c r="D451" s="32"/>
      <c r="E451" s="37"/>
      <c r="F451" s="42"/>
      <c r="G451" s="32"/>
      <c r="H451" s="36">
        <f>IF(D451="",0,IF(AND(B451&gt;=ThongTin!$C$9,B451&lt;=ThongTin!$C$10,COUNTIFS(ThongTin!$B$19:$B$48,C451,ThongTin!$A$19:$A$48,ThongTin!$C$8,ThongTin!$C$19:$C$48,"XUAT_SP")&gt;0),1,0))</f>
        <v>0</v>
      </c>
    </row>
    <row r="452" spans="1:8" x14ac:dyDescent="0.25">
      <c r="A452" s="41"/>
      <c r="B452" s="33"/>
      <c r="C452" s="32"/>
      <c r="D452" s="32"/>
      <c r="E452" s="37"/>
      <c r="F452" s="42"/>
      <c r="G452" s="32"/>
      <c r="H452" s="36">
        <f>IF(D452="",0,IF(AND(B452&gt;=ThongTin!$C$9,B452&lt;=ThongTin!$C$10,COUNTIFS(ThongTin!$B$19:$B$48,C452,ThongTin!$A$19:$A$48,ThongTin!$C$8,ThongTin!$C$19:$C$48,"XUAT_SP")&gt;0),1,0))</f>
        <v>0</v>
      </c>
    </row>
    <row r="453" spans="1:8" x14ac:dyDescent="0.25">
      <c r="A453" s="41"/>
      <c r="B453" s="33"/>
      <c r="C453" s="32"/>
      <c r="D453" s="32"/>
      <c r="E453" s="37"/>
      <c r="F453" s="42"/>
      <c r="G453" s="32"/>
      <c r="H453" s="36">
        <f>IF(D453="",0,IF(AND(B453&gt;=ThongTin!$C$9,B453&lt;=ThongTin!$C$10,COUNTIFS(ThongTin!$B$19:$B$48,C453,ThongTin!$A$19:$A$48,ThongTin!$C$8,ThongTin!$C$19:$C$48,"XUAT_SP")&gt;0),1,0))</f>
        <v>0</v>
      </c>
    </row>
    <row r="454" spans="1:8" x14ac:dyDescent="0.25">
      <c r="A454" s="41"/>
      <c r="B454" s="33"/>
      <c r="C454" s="32"/>
      <c r="D454" s="32"/>
      <c r="E454" s="37"/>
      <c r="F454" s="42"/>
      <c r="G454" s="32"/>
      <c r="H454" s="36">
        <f>IF(D454="",0,IF(AND(B454&gt;=ThongTin!$C$9,B454&lt;=ThongTin!$C$10,COUNTIFS(ThongTin!$B$19:$B$48,C454,ThongTin!$A$19:$A$48,ThongTin!$C$8,ThongTin!$C$19:$C$48,"XUAT_SP")&gt;0),1,0))</f>
        <v>0</v>
      </c>
    </row>
    <row r="455" spans="1:8" x14ac:dyDescent="0.25">
      <c r="A455" s="41"/>
      <c r="B455" s="33"/>
      <c r="C455" s="32"/>
      <c r="D455" s="32"/>
      <c r="E455" s="37"/>
      <c r="F455" s="42"/>
      <c r="G455" s="32"/>
      <c r="H455" s="36">
        <f>IF(D455="",0,IF(AND(B455&gt;=ThongTin!$C$9,B455&lt;=ThongTin!$C$10,COUNTIFS(ThongTin!$B$19:$B$48,C455,ThongTin!$A$19:$A$48,ThongTin!$C$8,ThongTin!$C$19:$C$48,"XUAT_SP")&gt;0),1,0))</f>
        <v>0</v>
      </c>
    </row>
    <row r="456" spans="1:8" x14ac:dyDescent="0.25">
      <c r="A456" s="41"/>
      <c r="B456" s="33"/>
      <c r="C456" s="32"/>
      <c r="D456" s="32"/>
      <c r="E456" s="37"/>
      <c r="F456" s="42"/>
      <c r="G456" s="32"/>
      <c r="H456" s="36">
        <f>IF(D456="",0,IF(AND(B456&gt;=ThongTin!$C$9,B456&lt;=ThongTin!$C$10,COUNTIFS(ThongTin!$B$19:$B$48,C456,ThongTin!$A$19:$A$48,ThongTin!$C$8,ThongTin!$C$19:$C$48,"XUAT_SP")&gt;0),1,0))</f>
        <v>0</v>
      </c>
    </row>
    <row r="457" spans="1:8" x14ac:dyDescent="0.25">
      <c r="A457" s="41"/>
      <c r="B457" s="33"/>
      <c r="C457" s="32"/>
      <c r="D457" s="32"/>
      <c r="E457" s="37"/>
      <c r="F457" s="42"/>
      <c r="G457" s="32"/>
      <c r="H457" s="36">
        <f>IF(D457="",0,IF(AND(B457&gt;=ThongTin!$C$9,B457&lt;=ThongTin!$C$10,COUNTIFS(ThongTin!$B$19:$B$48,C457,ThongTin!$A$19:$A$48,ThongTin!$C$8,ThongTin!$C$19:$C$48,"XUAT_SP")&gt;0),1,0))</f>
        <v>0</v>
      </c>
    </row>
    <row r="458" spans="1:8" x14ac:dyDescent="0.25">
      <c r="A458" s="41"/>
      <c r="B458" s="33"/>
      <c r="C458" s="32"/>
      <c r="D458" s="32"/>
      <c r="E458" s="37"/>
      <c r="F458" s="42"/>
      <c r="G458" s="32"/>
      <c r="H458" s="36">
        <f>IF(D458="",0,IF(AND(B458&gt;=ThongTin!$C$9,B458&lt;=ThongTin!$C$10,COUNTIFS(ThongTin!$B$19:$B$48,C458,ThongTin!$A$19:$A$48,ThongTin!$C$8,ThongTin!$C$19:$C$48,"XUAT_SP")&gt;0),1,0))</f>
        <v>0</v>
      </c>
    </row>
    <row r="459" spans="1:8" x14ac:dyDescent="0.25">
      <c r="A459" s="41"/>
      <c r="B459" s="33"/>
      <c r="C459" s="32"/>
      <c r="D459" s="32"/>
      <c r="E459" s="37"/>
      <c r="F459" s="42"/>
      <c r="G459" s="32"/>
      <c r="H459" s="36">
        <f>IF(D459="",0,IF(AND(B459&gt;=ThongTin!$C$9,B459&lt;=ThongTin!$C$10,COUNTIFS(ThongTin!$B$19:$B$48,C459,ThongTin!$A$19:$A$48,ThongTin!$C$8,ThongTin!$C$19:$C$48,"XUAT_SP")&gt;0),1,0))</f>
        <v>0</v>
      </c>
    </row>
    <row r="460" spans="1:8" x14ac:dyDescent="0.25">
      <c r="A460" s="41"/>
      <c r="B460" s="33"/>
      <c r="C460" s="32"/>
      <c r="D460" s="32"/>
      <c r="E460" s="37"/>
      <c r="F460" s="42"/>
      <c r="G460" s="32"/>
      <c r="H460" s="36">
        <f>IF(D460="",0,IF(AND(B460&gt;=ThongTin!$C$9,B460&lt;=ThongTin!$C$10,COUNTIFS(ThongTin!$B$19:$B$48,C460,ThongTin!$A$19:$A$48,ThongTin!$C$8,ThongTin!$C$19:$C$48,"XUAT_SP")&gt;0),1,0))</f>
        <v>0</v>
      </c>
    </row>
    <row r="461" spans="1:8" x14ac:dyDescent="0.25">
      <c r="A461" s="41"/>
      <c r="B461" s="33"/>
      <c r="C461" s="32"/>
      <c r="D461" s="32"/>
      <c r="E461" s="37"/>
      <c r="F461" s="42"/>
      <c r="G461" s="32"/>
      <c r="H461" s="36">
        <f>IF(D461="",0,IF(AND(B461&gt;=ThongTin!$C$9,B461&lt;=ThongTin!$C$10,COUNTIFS(ThongTin!$B$19:$B$48,C461,ThongTin!$A$19:$A$48,ThongTin!$C$8,ThongTin!$C$19:$C$48,"XUAT_SP")&gt;0),1,0))</f>
        <v>0</v>
      </c>
    </row>
    <row r="462" spans="1:8" x14ac:dyDescent="0.25">
      <c r="A462" s="41"/>
      <c r="B462" s="33"/>
      <c r="C462" s="32"/>
      <c r="D462" s="32"/>
      <c r="E462" s="37"/>
      <c r="F462" s="42"/>
      <c r="G462" s="32"/>
      <c r="H462" s="36">
        <f>IF(D462="",0,IF(AND(B462&gt;=ThongTin!$C$9,B462&lt;=ThongTin!$C$10,COUNTIFS(ThongTin!$B$19:$B$48,C462,ThongTin!$A$19:$A$48,ThongTin!$C$8,ThongTin!$C$19:$C$48,"XUAT_SP")&gt;0),1,0))</f>
        <v>0</v>
      </c>
    </row>
    <row r="463" spans="1:8" x14ac:dyDescent="0.25">
      <c r="A463" s="41"/>
      <c r="B463" s="33"/>
      <c r="C463" s="32"/>
      <c r="D463" s="32"/>
      <c r="E463" s="37"/>
      <c r="F463" s="42"/>
      <c r="G463" s="32"/>
      <c r="H463" s="36">
        <f>IF(D463="",0,IF(AND(B463&gt;=ThongTin!$C$9,B463&lt;=ThongTin!$C$10,COUNTIFS(ThongTin!$B$19:$B$48,C463,ThongTin!$A$19:$A$48,ThongTin!$C$8,ThongTin!$C$19:$C$48,"XUAT_SP")&gt;0),1,0))</f>
        <v>0</v>
      </c>
    </row>
    <row r="464" spans="1:8" x14ac:dyDescent="0.25">
      <c r="A464" s="41"/>
      <c r="B464" s="33"/>
      <c r="C464" s="32"/>
      <c r="D464" s="32"/>
      <c r="E464" s="37"/>
      <c r="F464" s="42"/>
      <c r="G464" s="32"/>
      <c r="H464" s="36">
        <f>IF(D464="",0,IF(AND(B464&gt;=ThongTin!$C$9,B464&lt;=ThongTin!$C$10,COUNTIFS(ThongTin!$B$19:$B$48,C464,ThongTin!$A$19:$A$48,ThongTin!$C$8,ThongTin!$C$19:$C$48,"XUAT_SP")&gt;0),1,0))</f>
        <v>0</v>
      </c>
    </row>
    <row r="465" spans="1:8" x14ac:dyDescent="0.25">
      <c r="A465" s="41"/>
      <c r="B465" s="33"/>
      <c r="C465" s="32"/>
      <c r="D465" s="32"/>
      <c r="E465" s="37"/>
      <c r="F465" s="42"/>
      <c r="G465" s="32"/>
      <c r="H465" s="36">
        <f>IF(D465="",0,IF(AND(B465&gt;=ThongTin!$C$9,B465&lt;=ThongTin!$C$10,COUNTIFS(ThongTin!$B$19:$B$48,C465,ThongTin!$A$19:$A$48,ThongTin!$C$8,ThongTin!$C$19:$C$48,"XUAT_SP")&gt;0),1,0))</f>
        <v>0</v>
      </c>
    </row>
    <row r="466" spans="1:8" x14ac:dyDescent="0.25">
      <c r="A466" s="41"/>
      <c r="B466" s="33"/>
      <c r="C466" s="32"/>
      <c r="D466" s="32"/>
      <c r="E466" s="37"/>
      <c r="F466" s="42"/>
      <c r="G466" s="32"/>
      <c r="H466" s="36">
        <f>IF(D466="",0,IF(AND(B466&gt;=ThongTin!$C$9,B466&lt;=ThongTin!$C$10,COUNTIFS(ThongTin!$B$19:$B$48,C466,ThongTin!$A$19:$A$48,ThongTin!$C$8,ThongTin!$C$19:$C$48,"XUAT_SP")&gt;0),1,0))</f>
        <v>0</v>
      </c>
    </row>
    <row r="467" spans="1:8" x14ac:dyDescent="0.25">
      <c r="A467" s="41"/>
      <c r="B467" s="33"/>
      <c r="C467" s="32"/>
      <c r="D467" s="32"/>
      <c r="E467" s="37"/>
      <c r="F467" s="42"/>
      <c r="G467" s="32"/>
      <c r="H467" s="36">
        <f>IF(D467="",0,IF(AND(B467&gt;=ThongTin!$C$9,B467&lt;=ThongTin!$C$10,COUNTIFS(ThongTin!$B$19:$B$48,C467,ThongTin!$A$19:$A$48,ThongTin!$C$8,ThongTin!$C$19:$C$48,"XUAT_SP")&gt;0),1,0))</f>
        <v>0</v>
      </c>
    </row>
    <row r="468" spans="1:8" x14ac:dyDescent="0.25">
      <c r="A468" s="41"/>
      <c r="B468" s="33"/>
      <c r="C468" s="32"/>
      <c r="D468" s="32"/>
      <c r="E468" s="37"/>
      <c r="F468" s="42"/>
      <c r="G468" s="32"/>
      <c r="H468" s="36">
        <f>IF(D468="",0,IF(AND(B468&gt;=ThongTin!$C$9,B468&lt;=ThongTin!$C$10,COUNTIFS(ThongTin!$B$19:$B$48,C468,ThongTin!$A$19:$A$48,ThongTin!$C$8,ThongTin!$C$19:$C$48,"XUAT_SP")&gt;0),1,0))</f>
        <v>0</v>
      </c>
    </row>
    <row r="469" spans="1:8" x14ac:dyDescent="0.25">
      <c r="A469" s="41"/>
      <c r="B469" s="33"/>
      <c r="C469" s="32"/>
      <c r="D469" s="32"/>
      <c r="E469" s="37"/>
      <c r="F469" s="42"/>
      <c r="G469" s="32"/>
      <c r="H469" s="36">
        <f>IF(D469="",0,IF(AND(B469&gt;=ThongTin!$C$9,B469&lt;=ThongTin!$C$10,COUNTIFS(ThongTin!$B$19:$B$48,C469,ThongTin!$A$19:$A$48,ThongTin!$C$8,ThongTin!$C$19:$C$48,"XUAT_SP")&gt;0),1,0))</f>
        <v>0</v>
      </c>
    </row>
    <row r="470" spans="1:8" x14ac:dyDescent="0.25">
      <c r="A470" s="41"/>
      <c r="B470" s="33"/>
      <c r="C470" s="32"/>
      <c r="D470" s="32"/>
      <c r="E470" s="37"/>
      <c r="F470" s="42"/>
      <c r="G470" s="32"/>
      <c r="H470" s="36">
        <f>IF(D470="",0,IF(AND(B470&gt;=ThongTin!$C$9,B470&lt;=ThongTin!$C$10,COUNTIFS(ThongTin!$B$19:$B$48,C470,ThongTin!$A$19:$A$48,ThongTin!$C$8,ThongTin!$C$19:$C$48,"XUAT_SP")&gt;0),1,0))</f>
        <v>0</v>
      </c>
    </row>
    <row r="471" spans="1:8" x14ac:dyDescent="0.25">
      <c r="A471" s="41"/>
      <c r="B471" s="33"/>
      <c r="C471" s="32"/>
      <c r="D471" s="32"/>
      <c r="E471" s="37"/>
      <c r="F471" s="42"/>
      <c r="G471" s="32"/>
      <c r="H471" s="36">
        <f>IF(D471="",0,IF(AND(B471&gt;=ThongTin!$C$9,B471&lt;=ThongTin!$C$10,COUNTIFS(ThongTin!$B$19:$B$48,C471,ThongTin!$A$19:$A$48,ThongTin!$C$8,ThongTin!$C$19:$C$48,"XUAT_SP")&gt;0),1,0))</f>
        <v>0</v>
      </c>
    </row>
    <row r="472" spans="1:8" x14ac:dyDescent="0.25">
      <c r="A472" s="41"/>
      <c r="B472" s="33"/>
      <c r="C472" s="32"/>
      <c r="D472" s="32"/>
      <c r="E472" s="37"/>
      <c r="F472" s="42"/>
      <c r="G472" s="32"/>
      <c r="H472" s="36">
        <f>IF(D472="",0,IF(AND(B472&gt;=ThongTin!$C$9,B472&lt;=ThongTin!$C$10,COUNTIFS(ThongTin!$B$19:$B$48,C472,ThongTin!$A$19:$A$48,ThongTin!$C$8,ThongTin!$C$19:$C$48,"XUAT_SP")&gt;0),1,0))</f>
        <v>0</v>
      </c>
    </row>
    <row r="473" spans="1:8" x14ac:dyDescent="0.25">
      <c r="A473" s="41"/>
      <c r="B473" s="33"/>
      <c r="C473" s="32"/>
      <c r="D473" s="32"/>
      <c r="E473" s="37"/>
      <c r="F473" s="42"/>
      <c r="G473" s="32"/>
      <c r="H473" s="36">
        <f>IF(D473="",0,IF(AND(B473&gt;=ThongTin!$C$9,B473&lt;=ThongTin!$C$10,COUNTIFS(ThongTin!$B$19:$B$48,C473,ThongTin!$A$19:$A$48,ThongTin!$C$8,ThongTin!$C$19:$C$48,"XUAT_SP")&gt;0),1,0))</f>
        <v>0</v>
      </c>
    </row>
    <row r="474" spans="1:8" x14ac:dyDescent="0.25">
      <c r="A474" s="41"/>
      <c r="B474" s="33"/>
      <c r="C474" s="32"/>
      <c r="D474" s="32"/>
      <c r="E474" s="37"/>
      <c r="F474" s="42"/>
      <c r="G474" s="32"/>
      <c r="H474" s="36">
        <f>IF(D474="",0,IF(AND(B474&gt;=ThongTin!$C$9,B474&lt;=ThongTin!$C$10,COUNTIFS(ThongTin!$B$19:$B$48,C474,ThongTin!$A$19:$A$48,ThongTin!$C$8,ThongTin!$C$19:$C$48,"XUAT_SP")&gt;0),1,0))</f>
        <v>0</v>
      </c>
    </row>
    <row r="475" spans="1:8" x14ac:dyDescent="0.25">
      <c r="A475" s="41"/>
      <c r="B475" s="33"/>
      <c r="C475" s="32"/>
      <c r="D475" s="32"/>
      <c r="E475" s="37"/>
      <c r="F475" s="42"/>
      <c r="G475" s="32"/>
      <c r="H475" s="36">
        <f>IF(D475="",0,IF(AND(B475&gt;=ThongTin!$C$9,B475&lt;=ThongTin!$C$10,COUNTIFS(ThongTin!$B$19:$B$48,C475,ThongTin!$A$19:$A$48,ThongTin!$C$8,ThongTin!$C$19:$C$48,"XUAT_SP")&gt;0),1,0))</f>
        <v>0</v>
      </c>
    </row>
    <row r="476" spans="1:8" x14ac:dyDescent="0.25">
      <c r="A476" s="41"/>
      <c r="B476" s="33"/>
      <c r="C476" s="32"/>
      <c r="D476" s="32"/>
      <c r="E476" s="37"/>
      <c r="F476" s="42"/>
      <c r="G476" s="32"/>
      <c r="H476" s="36">
        <f>IF(D476="",0,IF(AND(B476&gt;=ThongTin!$C$9,B476&lt;=ThongTin!$C$10,COUNTIFS(ThongTin!$B$19:$B$48,C476,ThongTin!$A$19:$A$48,ThongTin!$C$8,ThongTin!$C$19:$C$48,"XUAT_SP")&gt;0),1,0))</f>
        <v>0</v>
      </c>
    </row>
    <row r="477" spans="1:8" x14ac:dyDescent="0.25">
      <c r="A477" s="41"/>
      <c r="B477" s="33"/>
      <c r="C477" s="32"/>
      <c r="D477" s="32"/>
      <c r="E477" s="37"/>
      <c r="F477" s="42"/>
      <c r="G477" s="32"/>
      <c r="H477" s="36">
        <f>IF(D477="",0,IF(AND(B477&gt;=ThongTin!$C$9,B477&lt;=ThongTin!$C$10,COUNTIFS(ThongTin!$B$19:$B$48,C477,ThongTin!$A$19:$A$48,ThongTin!$C$8,ThongTin!$C$19:$C$48,"XUAT_SP")&gt;0),1,0))</f>
        <v>0</v>
      </c>
    </row>
    <row r="478" spans="1:8" x14ac:dyDescent="0.25">
      <c r="A478" s="41"/>
      <c r="B478" s="33"/>
      <c r="C478" s="32"/>
      <c r="D478" s="32"/>
      <c r="E478" s="37"/>
      <c r="F478" s="42"/>
      <c r="G478" s="32"/>
      <c r="H478" s="36">
        <f>IF(D478="",0,IF(AND(B478&gt;=ThongTin!$C$9,B478&lt;=ThongTin!$C$10,COUNTIFS(ThongTin!$B$19:$B$48,C478,ThongTin!$A$19:$A$48,ThongTin!$C$8,ThongTin!$C$19:$C$48,"XUAT_SP")&gt;0),1,0))</f>
        <v>0</v>
      </c>
    </row>
    <row r="479" spans="1:8" x14ac:dyDescent="0.25">
      <c r="A479" s="41"/>
      <c r="B479" s="33"/>
      <c r="C479" s="32"/>
      <c r="D479" s="32"/>
      <c r="E479" s="37"/>
      <c r="F479" s="42"/>
      <c r="G479" s="32"/>
      <c r="H479" s="36">
        <f>IF(D479="",0,IF(AND(B479&gt;=ThongTin!$C$9,B479&lt;=ThongTin!$C$10,COUNTIFS(ThongTin!$B$19:$B$48,C479,ThongTin!$A$19:$A$48,ThongTin!$C$8,ThongTin!$C$19:$C$48,"XUAT_SP")&gt;0),1,0))</f>
        <v>0</v>
      </c>
    </row>
    <row r="480" spans="1:8" x14ac:dyDescent="0.25">
      <c r="A480" s="41"/>
      <c r="B480" s="33"/>
      <c r="C480" s="32"/>
      <c r="D480" s="32"/>
      <c r="E480" s="37"/>
      <c r="F480" s="42"/>
      <c r="G480" s="32"/>
      <c r="H480" s="36">
        <f>IF(D480="",0,IF(AND(B480&gt;=ThongTin!$C$9,B480&lt;=ThongTin!$C$10,COUNTIFS(ThongTin!$B$19:$B$48,C480,ThongTin!$A$19:$A$48,ThongTin!$C$8,ThongTin!$C$19:$C$48,"XUAT_SP")&gt;0),1,0))</f>
        <v>0</v>
      </c>
    </row>
    <row r="481" spans="1:8" x14ac:dyDescent="0.25">
      <c r="A481" s="41"/>
      <c r="B481" s="33"/>
      <c r="C481" s="32"/>
      <c r="D481" s="32"/>
      <c r="E481" s="37"/>
      <c r="F481" s="42"/>
      <c r="G481" s="32"/>
      <c r="H481" s="36">
        <f>IF(D481="",0,IF(AND(B481&gt;=ThongTin!$C$9,B481&lt;=ThongTin!$C$10,COUNTIFS(ThongTin!$B$19:$B$48,C481,ThongTin!$A$19:$A$48,ThongTin!$C$8,ThongTin!$C$19:$C$48,"XUAT_SP")&gt;0),1,0))</f>
        <v>0</v>
      </c>
    </row>
    <row r="482" spans="1:8" x14ac:dyDescent="0.25">
      <c r="A482" s="41"/>
      <c r="B482" s="33"/>
      <c r="C482" s="32"/>
      <c r="D482" s="32"/>
      <c r="E482" s="37"/>
      <c r="F482" s="42"/>
      <c r="G482" s="32"/>
      <c r="H482" s="36">
        <f>IF(D482="",0,IF(AND(B482&gt;=ThongTin!$C$9,B482&lt;=ThongTin!$C$10,COUNTIFS(ThongTin!$B$19:$B$48,C482,ThongTin!$A$19:$A$48,ThongTin!$C$8,ThongTin!$C$19:$C$48,"XUAT_SP")&gt;0),1,0))</f>
        <v>0</v>
      </c>
    </row>
    <row r="483" spans="1:8" x14ac:dyDescent="0.25">
      <c r="A483" s="41"/>
      <c r="B483" s="33"/>
      <c r="C483" s="32"/>
      <c r="D483" s="32"/>
      <c r="E483" s="37"/>
      <c r="F483" s="42"/>
      <c r="G483" s="32"/>
      <c r="H483" s="36">
        <f>IF(D483="",0,IF(AND(B483&gt;=ThongTin!$C$9,B483&lt;=ThongTin!$C$10,COUNTIFS(ThongTin!$B$19:$B$48,C483,ThongTin!$A$19:$A$48,ThongTin!$C$8,ThongTin!$C$19:$C$48,"XUAT_SP")&gt;0),1,0))</f>
        <v>0</v>
      </c>
    </row>
    <row r="484" spans="1:8" x14ac:dyDescent="0.25">
      <c r="A484" s="41"/>
      <c r="B484" s="33"/>
      <c r="C484" s="32"/>
      <c r="D484" s="32"/>
      <c r="E484" s="37"/>
      <c r="F484" s="42"/>
      <c r="G484" s="32"/>
      <c r="H484" s="36">
        <f>IF(D484="",0,IF(AND(B484&gt;=ThongTin!$C$9,B484&lt;=ThongTin!$C$10,COUNTIFS(ThongTin!$B$19:$B$48,C484,ThongTin!$A$19:$A$48,ThongTin!$C$8,ThongTin!$C$19:$C$48,"XUAT_SP")&gt;0),1,0))</f>
        <v>0</v>
      </c>
    </row>
    <row r="485" spans="1:8" x14ac:dyDescent="0.25">
      <c r="A485" s="41"/>
      <c r="B485" s="33"/>
      <c r="C485" s="32"/>
      <c r="D485" s="32"/>
      <c r="E485" s="37"/>
      <c r="F485" s="42"/>
      <c r="G485" s="32"/>
      <c r="H485" s="36">
        <f>IF(D485="",0,IF(AND(B485&gt;=ThongTin!$C$9,B485&lt;=ThongTin!$C$10,COUNTIFS(ThongTin!$B$19:$B$48,C485,ThongTin!$A$19:$A$48,ThongTin!$C$8,ThongTin!$C$19:$C$48,"XUAT_SP")&gt;0),1,0))</f>
        <v>0</v>
      </c>
    </row>
    <row r="486" spans="1:8" x14ac:dyDescent="0.25">
      <c r="A486" s="41"/>
      <c r="B486" s="33"/>
      <c r="C486" s="32"/>
      <c r="D486" s="32"/>
      <c r="E486" s="37"/>
      <c r="F486" s="42"/>
      <c r="G486" s="32"/>
      <c r="H486" s="36">
        <f>IF(D486="",0,IF(AND(B486&gt;=ThongTin!$C$9,B486&lt;=ThongTin!$C$10,COUNTIFS(ThongTin!$B$19:$B$48,C486,ThongTin!$A$19:$A$48,ThongTin!$C$8,ThongTin!$C$19:$C$48,"XUAT_SP")&gt;0),1,0))</f>
        <v>0</v>
      </c>
    </row>
    <row r="487" spans="1:8" x14ac:dyDescent="0.25">
      <c r="A487" s="41"/>
      <c r="B487" s="33"/>
      <c r="C487" s="32"/>
      <c r="D487" s="32"/>
      <c r="E487" s="37"/>
      <c r="F487" s="42"/>
      <c r="G487" s="32"/>
      <c r="H487" s="36">
        <f>IF(D487="",0,IF(AND(B487&gt;=ThongTin!$C$9,B487&lt;=ThongTin!$C$10,COUNTIFS(ThongTin!$B$19:$B$48,C487,ThongTin!$A$19:$A$48,ThongTin!$C$8,ThongTin!$C$19:$C$48,"XUAT_SP")&gt;0),1,0))</f>
        <v>0</v>
      </c>
    </row>
    <row r="488" spans="1:8" x14ac:dyDescent="0.25">
      <c r="A488" s="41"/>
      <c r="B488" s="33"/>
      <c r="C488" s="32"/>
      <c r="D488" s="32"/>
      <c r="E488" s="37"/>
      <c r="F488" s="42"/>
      <c r="G488" s="32"/>
      <c r="H488" s="36">
        <f>IF(D488="",0,IF(AND(B488&gt;=ThongTin!$C$9,B488&lt;=ThongTin!$C$10,COUNTIFS(ThongTin!$B$19:$B$48,C488,ThongTin!$A$19:$A$48,ThongTin!$C$8,ThongTin!$C$19:$C$48,"XUAT_SP")&gt;0),1,0))</f>
        <v>0</v>
      </c>
    </row>
    <row r="489" spans="1:8" x14ac:dyDescent="0.25">
      <c r="A489" s="41"/>
      <c r="B489" s="33"/>
      <c r="C489" s="32"/>
      <c r="D489" s="32"/>
      <c r="E489" s="37"/>
      <c r="F489" s="42"/>
      <c r="G489" s="32"/>
      <c r="H489" s="36">
        <f>IF(D489="",0,IF(AND(B489&gt;=ThongTin!$C$9,B489&lt;=ThongTin!$C$10,COUNTIFS(ThongTin!$B$19:$B$48,C489,ThongTin!$A$19:$A$48,ThongTin!$C$8,ThongTin!$C$19:$C$48,"XUAT_SP")&gt;0),1,0))</f>
        <v>0</v>
      </c>
    </row>
    <row r="490" spans="1:8" x14ac:dyDescent="0.25">
      <c r="A490" s="41"/>
      <c r="B490" s="33"/>
      <c r="C490" s="32"/>
      <c r="D490" s="32"/>
      <c r="E490" s="37"/>
      <c r="F490" s="42"/>
      <c r="G490" s="32"/>
      <c r="H490" s="36">
        <f>IF(D490="",0,IF(AND(B490&gt;=ThongTin!$C$9,B490&lt;=ThongTin!$C$10,COUNTIFS(ThongTin!$B$19:$B$48,C490,ThongTin!$A$19:$A$48,ThongTin!$C$8,ThongTin!$C$19:$C$48,"XUAT_SP")&gt;0),1,0))</f>
        <v>0</v>
      </c>
    </row>
    <row r="491" spans="1:8" x14ac:dyDescent="0.25">
      <c r="A491" s="41"/>
      <c r="B491" s="33"/>
      <c r="C491" s="32"/>
      <c r="D491" s="32"/>
      <c r="E491" s="37"/>
      <c r="F491" s="42"/>
      <c r="G491" s="32"/>
      <c r="H491" s="36">
        <f>IF(D491="",0,IF(AND(B491&gt;=ThongTin!$C$9,B491&lt;=ThongTin!$C$10,COUNTIFS(ThongTin!$B$19:$B$48,C491,ThongTin!$A$19:$A$48,ThongTin!$C$8,ThongTin!$C$19:$C$48,"XUAT_SP")&gt;0),1,0))</f>
        <v>0</v>
      </c>
    </row>
    <row r="492" spans="1:8" x14ac:dyDescent="0.25">
      <c r="A492" s="41"/>
      <c r="B492" s="33"/>
      <c r="C492" s="32"/>
      <c r="D492" s="32"/>
      <c r="E492" s="37"/>
      <c r="F492" s="42"/>
      <c r="G492" s="32"/>
      <c r="H492" s="36">
        <f>IF(D492="",0,IF(AND(B492&gt;=ThongTin!$C$9,B492&lt;=ThongTin!$C$10,COUNTIFS(ThongTin!$B$19:$B$48,C492,ThongTin!$A$19:$A$48,ThongTin!$C$8,ThongTin!$C$19:$C$48,"XUAT_SP")&gt;0),1,0))</f>
        <v>0</v>
      </c>
    </row>
    <row r="493" spans="1:8" x14ac:dyDescent="0.25">
      <c r="A493" s="41"/>
      <c r="B493" s="33"/>
      <c r="C493" s="32"/>
      <c r="D493" s="32"/>
      <c r="E493" s="37"/>
      <c r="F493" s="42"/>
      <c r="G493" s="32"/>
      <c r="H493" s="36">
        <f>IF(D493="",0,IF(AND(B493&gt;=ThongTin!$C$9,B493&lt;=ThongTin!$C$10,COUNTIFS(ThongTin!$B$19:$B$48,C493,ThongTin!$A$19:$A$48,ThongTin!$C$8,ThongTin!$C$19:$C$48,"XUAT_SP")&gt;0),1,0))</f>
        <v>0</v>
      </c>
    </row>
    <row r="494" spans="1:8" x14ac:dyDescent="0.25">
      <c r="A494" s="41"/>
      <c r="B494" s="33"/>
      <c r="C494" s="32"/>
      <c r="D494" s="32"/>
      <c r="E494" s="37"/>
      <c r="F494" s="42"/>
      <c r="G494" s="32"/>
      <c r="H494" s="36">
        <f>IF(D494="",0,IF(AND(B494&gt;=ThongTin!$C$9,B494&lt;=ThongTin!$C$10,COUNTIFS(ThongTin!$B$19:$B$48,C494,ThongTin!$A$19:$A$48,ThongTin!$C$8,ThongTin!$C$19:$C$48,"XUAT_SP")&gt;0),1,0))</f>
        <v>0</v>
      </c>
    </row>
    <row r="495" spans="1:8" x14ac:dyDescent="0.25">
      <c r="A495" s="41"/>
      <c r="B495" s="33"/>
      <c r="C495" s="32"/>
      <c r="D495" s="32"/>
      <c r="E495" s="37"/>
      <c r="F495" s="42"/>
      <c r="G495" s="32"/>
      <c r="H495" s="36">
        <f>IF(D495="",0,IF(AND(B495&gt;=ThongTin!$C$9,B495&lt;=ThongTin!$C$10,COUNTIFS(ThongTin!$B$19:$B$48,C495,ThongTin!$A$19:$A$48,ThongTin!$C$8,ThongTin!$C$19:$C$48,"XUAT_SP")&gt;0),1,0))</f>
        <v>0</v>
      </c>
    </row>
    <row r="496" spans="1:8" x14ac:dyDescent="0.25">
      <c r="A496" s="41"/>
      <c r="B496" s="33"/>
      <c r="C496" s="32"/>
      <c r="D496" s="32"/>
      <c r="E496" s="37"/>
      <c r="F496" s="42"/>
      <c r="G496" s="32"/>
      <c r="H496" s="36">
        <f>IF(D496="",0,IF(AND(B496&gt;=ThongTin!$C$9,B496&lt;=ThongTin!$C$10,COUNTIFS(ThongTin!$B$19:$B$48,C496,ThongTin!$A$19:$A$48,ThongTin!$C$8,ThongTin!$C$19:$C$48,"XUAT_SP")&gt;0),1,0))</f>
        <v>0</v>
      </c>
    </row>
    <row r="497" spans="1:8" x14ac:dyDescent="0.25">
      <c r="A497" s="41"/>
      <c r="B497" s="33"/>
      <c r="C497" s="32"/>
      <c r="D497" s="32"/>
      <c r="E497" s="37"/>
      <c r="F497" s="42"/>
      <c r="G497" s="32"/>
      <c r="H497" s="36">
        <f>IF(D497="",0,IF(AND(B497&gt;=ThongTin!$C$9,B497&lt;=ThongTin!$C$10,COUNTIFS(ThongTin!$B$19:$B$48,C497,ThongTin!$A$19:$A$48,ThongTin!$C$8,ThongTin!$C$19:$C$48,"XUAT_SP")&gt;0),1,0))</f>
        <v>0</v>
      </c>
    </row>
    <row r="498" spans="1:8" x14ac:dyDescent="0.25">
      <c r="A498" s="41"/>
      <c r="B498" s="33"/>
      <c r="C498" s="32"/>
      <c r="D498" s="32"/>
      <c r="E498" s="37"/>
      <c r="F498" s="42"/>
      <c r="G498" s="32"/>
      <c r="H498" s="36">
        <f>IF(D498="",0,IF(AND(B498&gt;=ThongTin!$C$9,B498&lt;=ThongTin!$C$10,COUNTIFS(ThongTin!$B$19:$B$48,C498,ThongTin!$A$19:$A$48,ThongTin!$C$8,ThongTin!$C$19:$C$48,"XUAT_SP")&gt;0),1,0))</f>
        <v>0</v>
      </c>
    </row>
    <row r="499" spans="1:8" x14ac:dyDescent="0.25">
      <c r="A499" s="41"/>
      <c r="B499" s="33"/>
      <c r="C499" s="32"/>
      <c r="D499" s="32"/>
      <c r="E499" s="37"/>
      <c r="F499" s="42"/>
      <c r="G499" s="32"/>
      <c r="H499" s="36">
        <f>IF(D499="",0,IF(AND(B499&gt;=ThongTin!$C$9,B499&lt;=ThongTin!$C$10,COUNTIFS(ThongTin!$B$19:$B$48,C499,ThongTin!$A$19:$A$48,ThongTin!$C$8,ThongTin!$C$19:$C$48,"XUAT_SP")&gt;0),1,0))</f>
        <v>0</v>
      </c>
    </row>
    <row r="500" spans="1:8" x14ac:dyDescent="0.25">
      <c r="A500" s="41"/>
      <c r="B500" s="33"/>
      <c r="C500" s="32"/>
      <c r="D500" s="32"/>
      <c r="E500" s="37"/>
      <c r="F500" s="42"/>
      <c r="G500" s="32"/>
      <c r="H500" s="36">
        <f>IF(D500="",0,IF(AND(B500&gt;=ThongTin!$C$9,B500&lt;=ThongTin!$C$10,COUNTIFS(ThongTin!$B$19:$B$48,C500,ThongTin!$A$19:$A$48,ThongTin!$C$8,ThongTin!$C$19:$C$48,"XUAT_SP")&gt;0),1,0))</f>
        <v>0</v>
      </c>
    </row>
    <row r="501" spans="1:8" x14ac:dyDescent="0.25">
      <c r="A501" s="41"/>
      <c r="B501" s="33"/>
      <c r="C501" s="32"/>
      <c r="D501" s="32"/>
      <c r="E501" s="37"/>
      <c r="F501" s="42"/>
      <c r="G501" s="32"/>
      <c r="H501" s="36">
        <f>IF(D501="",0,IF(AND(B501&gt;=ThongTin!$C$9,B501&lt;=ThongTin!$C$10,COUNTIFS(ThongTin!$B$19:$B$48,C501,ThongTin!$A$19:$A$48,ThongTin!$C$8,ThongTin!$C$19:$C$48,"XUAT_SP")&gt;0),1,0))</f>
        <v>0</v>
      </c>
    </row>
    <row r="502" spans="1:8" x14ac:dyDescent="0.25">
      <c r="A502" s="41"/>
      <c r="B502" s="33"/>
      <c r="C502" s="32"/>
      <c r="D502" s="32"/>
      <c r="E502" s="37"/>
      <c r="F502" s="42"/>
      <c r="G502" s="32"/>
      <c r="H502" s="36">
        <f>IF(D502="",0,IF(AND(B502&gt;=ThongTin!$C$9,B502&lt;=ThongTin!$C$10,COUNTIFS(ThongTin!$B$19:$B$48,C502,ThongTin!$A$19:$A$48,ThongTin!$C$8,ThongTin!$C$19:$C$48,"XUAT_SP")&gt;0),1,0))</f>
        <v>0</v>
      </c>
    </row>
    <row r="503" spans="1:8" x14ac:dyDescent="0.25">
      <c r="A503" s="41"/>
      <c r="B503" s="33"/>
      <c r="C503" s="32"/>
      <c r="D503" s="32"/>
      <c r="E503" s="37"/>
      <c r="F503" s="42"/>
      <c r="G503" s="32"/>
      <c r="H503" s="36">
        <f>IF(D503="",0,IF(AND(B503&gt;=ThongTin!$C$9,B503&lt;=ThongTin!$C$10,COUNTIFS(ThongTin!$B$19:$B$48,C503,ThongTin!$A$19:$A$48,ThongTin!$C$8,ThongTin!$C$19:$C$48,"XUAT_SP")&gt;0),1,0))</f>
        <v>0</v>
      </c>
    </row>
    <row r="504" spans="1:8" x14ac:dyDescent="0.25">
      <c r="A504" s="41"/>
      <c r="B504" s="33"/>
      <c r="C504" s="32"/>
      <c r="D504" s="32"/>
      <c r="E504" s="37"/>
      <c r="F504" s="42"/>
      <c r="G504" s="32"/>
      <c r="H504" s="36">
        <f>IF(D504="",0,IF(AND(B504&gt;=ThongTin!$C$9,B504&lt;=ThongTin!$C$10,COUNTIFS(ThongTin!$B$19:$B$48,C504,ThongTin!$A$19:$A$48,ThongTin!$C$8,ThongTin!$C$19:$C$48,"XUAT_SP")&gt;0),1,0))</f>
        <v>0</v>
      </c>
    </row>
    <row r="505" spans="1:8" x14ac:dyDescent="0.25">
      <c r="A505" s="41"/>
      <c r="B505" s="33"/>
      <c r="C505" s="32"/>
      <c r="D505" s="32"/>
      <c r="E505" s="37"/>
      <c r="F505" s="42"/>
      <c r="G505" s="32"/>
      <c r="H505" s="36">
        <f>IF(D505="",0,IF(AND(B505&gt;=ThongTin!$C$9,B505&lt;=ThongTin!$C$10,COUNTIFS(ThongTin!$B$19:$B$48,C505,ThongTin!$A$19:$A$48,ThongTin!$C$8,ThongTin!$C$19:$C$48,"XUAT_SP")&gt;0),1,0))</f>
        <v>0</v>
      </c>
    </row>
    <row r="506" spans="1:8" x14ac:dyDescent="0.25">
      <c r="A506" s="41"/>
      <c r="B506" s="33"/>
      <c r="C506" s="32"/>
      <c r="D506" s="32"/>
      <c r="E506" s="37"/>
      <c r="F506" s="42"/>
      <c r="G506" s="32"/>
      <c r="H506" s="36">
        <f>IF(D506="",0,IF(AND(B506&gt;=ThongTin!$C$9,B506&lt;=ThongTin!$C$10,COUNTIFS(ThongTin!$B$19:$B$48,C506,ThongTin!$A$19:$A$48,ThongTin!$C$8,ThongTin!$C$19:$C$48,"XUAT_SP")&gt;0),1,0))</f>
        <v>0</v>
      </c>
    </row>
    <row r="507" spans="1:8" x14ac:dyDescent="0.25">
      <c r="A507" s="41"/>
      <c r="B507" s="33"/>
      <c r="C507" s="32"/>
      <c r="D507" s="32"/>
      <c r="E507" s="37"/>
      <c r="F507" s="42"/>
      <c r="G507" s="32"/>
      <c r="H507" s="36">
        <f>IF(D507="",0,IF(AND(B507&gt;=ThongTin!$C$9,B507&lt;=ThongTin!$C$10,COUNTIFS(ThongTin!$B$19:$B$48,C507,ThongTin!$A$19:$A$48,ThongTin!$C$8,ThongTin!$C$19:$C$48,"XUAT_SP")&gt;0),1,0))</f>
        <v>0</v>
      </c>
    </row>
    <row r="508" spans="1:8" x14ac:dyDescent="0.25">
      <c r="A508" s="41"/>
      <c r="B508" s="33"/>
      <c r="C508" s="32"/>
      <c r="D508" s="32"/>
      <c r="E508" s="37"/>
      <c r="F508" s="42"/>
      <c r="G508" s="32"/>
      <c r="H508" s="36">
        <f>IF(D508="",0,IF(AND(B508&gt;=ThongTin!$C$9,B508&lt;=ThongTin!$C$10,COUNTIFS(ThongTin!$B$19:$B$48,C508,ThongTin!$A$19:$A$48,ThongTin!$C$8,ThongTin!$C$19:$C$48,"XUAT_SP")&gt;0),1,0))</f>
        <v>0</v>
      </c>
    </row>
    <row r="509" spans="1:8" x14ac:dyDescent="0.25">
      <c r="A509" s="41"/>
      <c r="B509" s="33"/>
      <c r="C509" s="32"/>
      <c r="D509" s="32"/>
      <c r="E509" s="37"/>
      <c r="F509" s="42"/>
      <c r="G509" s="32"/>
      <c r="H509" s="36">
        <f>IF(D509="",0,IF(AND(B509&gt;=ThongTin!$C$9,B509&lt;=ThongTin!$C$10,COUNTIFS(ThongTin!$B$19:$B$48,C509,ThongTin!$A$19:$A$48,ThongTin!$C$8,ThongTin!$C$19:$C$48,"XUAT_SP")&gt;0),1,0))</f>
        <v>0</v>
      </c>
    </row>
    <row r="510" spans="1:8" x14ac:dyDescent="0.25">
      <c r="A510" s="41"/>
      <c r="B510" s="33"/>
      <c r="C510" s="32"/>
      <c r="D510" s="32"/>
      <c r="E510" s="37"/>
      <c r="F510" s="42"/>
      <c r="G510" s="32"/>
      <c r="H510" s="36">
        <f>IF(D510="",0,IF(AND(B510&gt;=ThongTin!$C$9,B510&lt;=ThongTin!$C$10,COUNTIFS(ThongTin!$B$19:$B$48,C510,ThongTin!$A$19:$A$48,ThongTin!$C$8,ThongTin!$C$19:$C$48,"XUAT_SP")&gt;0),1,0))</f>
        <v>0</v>
      </c>
    </row>
    <row r="511" spans="1:8" x14ac:dyDescent="0.25">
      <c r="A511" s="41"/>
      <c r="B511" s="33"/>
      <c r="C511" s="32"/>
      <c r="D511" s="32"/>
      <c r="E511" s="37"/>
      <c r="F511" s="42"/>
      <c r="G511" s="32"/>
      <c r="H511" s="36">
        <f>IF(D511="",0,IF(AND(B511&gt;=ThongTin!$C$9,B511&lt;=ThongTin!$C$10,COUNTIFS(ThongTin!$B$19:$B$48,C511,ThongTin!$A$19:$A$48,ThongTin!$C$8,ThongTin!$C$19:$C$48,"XUAT_SP")&gt;0),1,0))</f>
        <v>0</v>
      </c>
    </row>
    <row r="512" spans="1:8" x14ac:dyDescent="0.25">
      <c r="A512" s="41"/>
      <c r="B512" s="33"/>
      <c r="C512" s="32"/>
      <c r="D512" s="32"/>
      <c r="E512" s="37"/>
      <c r="F512" s="42"/>
      <c r="G512" s="32"/>
      <c r="H512" s="36">
        <f>IF(D512="",0,IF(AND(B512&gt;=ThongTin!$C$9,B512&lt;=ThongTin!$C$10,COUNTIFS(ThongTin!$B$19:$B$48,C512,ThongTin!$A$19:$A$48,ThongTin!$C$8,ThongTin!$C$19:$C$48,"XUAT_SP")&gt;0),1,0))</f>
        <v>0</v>
      </c>
    </row>
    <row r="513" spans="1:8" x14ac:dyDescent="0.25">
      <c r="A513" s="41"/>
      <c r="B513" s="33"/>
      <c r="C513" s="32"/>
      <c r="D513" s="32"/>
      <c r="E513" s="37"/>
      <c r="F513" s="42"/>
      <c r="G513" s="32"/>
      <c r="H513" s="36">
        <f>IF(D513="",0,IF(AND(B513&gt;=ThongTin!$C$9,B513&lt;=ThongTin!$C$10,COUNTIFS(ThongTin!$B$19:$B$48,C513,ThongTin!$A$19:$A$48,ThongTin!$C$8,ThongTin!$C$19:$C$48,"XUAT_SP")&gt;0),1,0))</f>
        <v>0</v>
      </c>
    </row>
    <row r="514" spans="1:8" x14ac:dyDescent="0.25">
      <c r="A514" s="41"/>
      <c r="B514" s="33"/>
      <c r="C514" s="32"/>
      <c r="D514" s="32"/>
      <c r="E514" s="37"/>
      <c r="F514" s="42"/>
      <c r="G514" s="32"/>
      <c r="H514" s="36">
        <f>IF(D514="",0,IF(AND(B514&gt;=ThongTin!$C$9,B514&lt;=ThongTin!$C$10,COUNTIFS(ThongTin!$B$19:$B$48,C514,ThongTin!$A$19:$A$48,ThongTin!$C$8,ThongTin!$C$19:$C$48,"XUAT_SP")&gt;0),1,0))</f>
        <v>0</v>
      </c>
    </row>
    <row r="515" spans="1:8" x14ac:dyDescent="0.25">
      <c r="A515" s="41"/>
      <c r="B515" s="33"/>
      <c r="C515" s="32"/>
      <c r="D515" s="32"/>
      <c r="E515" s="37"/>
      <c r="F515" s="42"/>
      <c r="G515" s="32"/>
      <c r="H515" s="36">
        <f>IF(D515="",0,IF(AND(B515&gt;=ThongTin!$C$9,B515&lt;=ThongTin!$C$10,COUNTIFS(ThongTin!$B$19:$B$48,C515,ThongTin!$A$19:$A$48,ThongTin!$C$8,ThongTin!$C$19:$C$48,"XUAT_SP")&gt;0),1,0))</f>
        <v>0</v>
      </c>
    </row>
    <row r="516" spans="1:8" x14ac:dyDescent="0.25">
      <c r="A516" s="41"/>
      <c r="B516" s="33"/>
      <c r="C516" s="32"/>
      <c r="D516" s="32"/>
      <c r="E516" s="37"/>
      <c r="F516" s="42"/>
      <c r="G516" s="32"/>
      <c r="H516" s="36">
        <f>IF(D516="",0,IF(AND(B516&gt;=ThongTin!$C$9,B516&lt;=ThongTin!$C$10,COUNTIFS(ThongTin!$B$19:$B$48,C516,ThongTin!$A$19:$A$48,ThongTin!$C$8,ThongTin!$C$19:$C$48,"XUAT_SP")&gt;0),1,0))</f>
        <v>0</v>
      </c>
    </row>
    <row r="517" spans="1:8" x14ac:dyDescent="0.25">
      <c r="A517" s="41"/>
      <c r="B517" s="33"/>
      <c r="C517" s="32"/>
      <c r="D517" s="32"/>
      <c r="E517" s="37"/>
      <c r="F517" s="42"/>
      <c r="G517" s="32"/>
      <c r="H517" s="36">
        <f>IF(D517="",0,IF(AND(B517&gt;=ThongTin!$C$9,B517&lt;=ThongTin!$C$10,COUNTIFS(ThongTin!$B$19:$B$48,C517,ThongTin!$A$19:$A$48,ThongTin!$C$8,ThongTin!$C$19:$C$48,"XUAT_SP")&gt;0),1,0))</f>
        <v>0</v>
      </c>
    </row>
    <row r="518" spans="1:8" x14ac:dyDescent="0.25">
      <c r="A518" s="41"/>
      <c r="B518" s="33"/>
      <c r="C518" s="32"/>
      <c r="D518" s="32"/>
      <c r="E518" s="37"/>
      <c r="F518" s="42"/>
      <c r="G518" s="32"/>
      <c r="H518" s="36">
        <f>IF(D518="",0,IF(AND(B518&gt;=ThongTin!$C$9,B518&lt;=ThongTin!$C$10,COUNTIFS(ThongTin!$B$19:$B$48,C518,ThongTin!$A$19:$A$48,ThongTin!$C$8,ThongTin!$C$19:$C$48,"XUAT_SP")&gt;0),1,0))</f>
        <v>0</v>
      </c>
    </row>
    <row r="519" spans="1:8" x14ac:dyDescent="0.25">
      <c r="A519" s="41"/>
      <c r="B519" s="33"/>
      <c r="C519" s="32"/>
      <c r="D519" s="32"/>
      <c r="E519" s="37"/>
      <c r="F519" s="42"/>
      <c r="G519" s="32"/>
      <c r="H519" s="36">
        <f>IF(D519="",0,IF(AND(B519&gt;=ThongTin!$C$9,B519&lt;=ThongTin!$C$10,COUNTIFS(ThongTin!$B$19:$B$48,C519,ThongTin!$A$19:$A$48,ThongTin!$C$8,ThongTin!$C$19:$C$48,"XUAT_SP")&gt;0),1,0))</f>
        <v>0</v>
      </c>
    </row>
    <row r="520" spans="1:8" x14ac:dyDescent="0.25">
      <c r="A520" s="41"/>
      <c r="B520" s="33"/>
      <c r="C520" s="32"/>
      <c r="D520" s="32"/>
      <c r="E520" s="37"/>
      <c r="F520" s="42"/>
      <c r="G520" s="32"/>
      <c r="H520" s="36">
        <f>IF(D520="",0,IF(AND(B520&gt;=ThongTin!$C$9,B520&lt;=ThongTin!$C$10,COUNTIFS(ThongTin!$B$19:$B$48,C520,ThongTin!$A$19:$A$48,ThongTin!$C$8,ThongTin!$C$19:$C$48,"XUAT_SP")&gt;0),1,0))</f>
        <v>0</v>
      </c>
    </row>
    <row r="521" spans="1:8" x14ac:dyDescent="0.25">
      <c r="A521" s="41"/>
      <c r="B521" s="33"/>
      <c r="C521" s="32"/>
      <c r="D521" s="32"/>
      <c r="E521" s="37"/>
      <c r="F521" s="42"/>
      <c r="G521" s="32"/>
      <c r="H521" s="36">
        <f>IF(D521="",0,IF(AND(B521&gt;=ThongTin!$C$9,B521&lt;=ThongTin!$C$10,COUNTIFS(ThongTin!$B$19:$B$48,C521,ThongTin!$A$19:$A$48,ThongTin!$C$8,ThongTin!$C$19:$C$48,"XUAT_SP")&gt;0),1,0))</f>
        <v>0</v>
      </c>
    </row>
    <row r="522" spans="1:8" x14ac:dyDescent="0.25">
      <c r="A522" s="41"/>
      <c r="B522" s="33"/>
      <c r="C522" s="32"/>
      <c r="D522" s="32"/>
      <c r="E522" s="37"/>
      <c r="F522" s="42"/>
      <c r="G522" s="32"/>
      <c r="H522" s="36">
        <f>IF(D522="",0,IF(AND(B522&gt;=ThongTin!$C$9,B522&lt;=ThongTin!$C$10,COUNTIFS(ThongTin!$B$19:$B$48,C522,ThongTin!$A$19:$A$48,ThongTin!$C$8,ThongTin!$C$19:$C$48,"XUAT_SP")&gt;0),1,0))</f>
        <v>0</v>
      </c>
    </row>
    <row r="523" spans="1:8" x14ac:dyDescent="0.25">
      <c r="A523" s="41"/>
      <c r="B523" s="33"/>
      <c r="C523" s="32"/>
      <c r="D523" s="32"/>
      <c r="E523" s="37"/>
      <c r="F523" s="42"/>
      <c r="G523" s="32"/>
      <c r="H523" s="36">
        <f>IF(D523="",0,IF(AND(B523&gt;=ThongTin!$C$9,B523&lt;=ThongTin!$C$10,COUNTIFS(ThongTin!$B$19:$B$48,C523,ThongTin!$A$19:$A$48,ThongTin!$C$8,ThongTin!$C$19:$C$48,"XUAT_SP")&gt;0),1,0))</f>
        <v>0</v>
      </c>
    </row>
    <row r="524" spans="1:8" x14ac:dyDescent="0.25">
      <c r="A524" s="41"/>
      <c r="B524" s="33"/>
      <c r="C524" s="32"/>
      <c r="D524" s="32"/>
      <c r="E524" s="37"/>
      <c r="F524" s="42"/>
      <c r="G524" s="32"/>
      <c r="H524" s="36">
        <f>IF(D524="",0,IF(AND(B524&gt;=ThongTin!$C$9,B524&lt;=ThongTin!$C$10,COUNTIFS(ThongTin!$B$19:$B$48,C524,ThongTin!$A$19:$A$48,ThongTin!$C$8,ThongTin!$C$19:$C$48,"XUAT_SP")&gt;0),1,0))</f>
        <v>0</v>
      </c>
    </row>
    <row r="525" spans="1:8" x14ac:dyDescent="0.25">
      <c r="A525" s="41"/>
      <c r="B525" s="33"/>
      <c r="C525" s="32"/>
      <c r="D525" s="32"/>
      <c r="E525" s="37"/>
      <c r="F525" s="42"/>
      <c r="G525" s="32"/>
      <c r="H525" s="36">
        <f>IF(D525="",0,IF(AND(B525&gt;=ThongTin!$C$9,B525&lt;=ThongTin!$C$10,COUNTIFS(ThongTin!$B$19:$B$48,C525,ThongTin!$A$19:$A$48,ThongTin!$C$8,ThongTin!$C$19:$C$48,"XUAT_SP")&gt;0),1,0))</f>
        <v>0</v>
      </c>
    </row>
    <row r="526" spans="1:8" x14ac:dyDescent="0.25">
      <c r="A526" s="41"/>
      <c r="B526" s="33"/>
      <c r="C526" s="32"/>
      <c r="D526" s="32"/>
      <c r="E526" s="37"/>
      <c r="F526" s="42"/>
      <c r="G526" s="32"/>
      <c r="H526" s="36">
        <f>IF(D526="",0,IF(AND(B526&gt;=ThongTin!$C$9,B526&lt;=ThongTin!$C$10,COUNTIFS(ThongTin!$B$19:$B$48,C526,ThongTin!$A$19:$A$48,ThongTin!$C$8,ThongTin!$C$19:$C$48,"XUAT_SP")&gt;0),1,0))</f>
        <v>0</v>
      </c>
    </row>
    <row r="527" spans="1:8" x14ac:dyDescent="0.25">
      <c r="A527" s="41"/>
      <c r="B527" s="33"/>
      <c r="C527" s="32"/>
      <c r="D527" s="32"/>
      <c r="E527" s="37"/>
      <c r="F527" s="42"/>
      <c r="G527" s="32"/>
      <c r="H527" s="36">
        <f>IF(D527="",0,IF(AND(B527&gt;=ThongTin!$C$9,B527&lt;=ThongTin!$C$10,COUNTIFS(ThongTin!$B$19:$B$48,C527,ThongTin!$A$19:$A$48,ThongTin!$C$8,ThongTin!$C$19:$C$48,"XUAT_SP")&gt;0),1,0))</f>
        <v>0</v>
      </c>
    </row>
    <row r="528" spans="1:8" x14ac:dyDescent="0.25">
      <c r="A528" s="41"/>
      <c r="B528" s="33"/>
      <c r="C528" s="32"/>
      <c r="D528" s="32"/>
      <c r="E528" s="37"/>
      <c r="F528" s="42"/>
      <c r="G528" s="32"/>
      <c r="H528" s="36">
        <f>IF(D528="",0,IF(AND(B528&gt;=ThongTin!$C$9,B528&lt;=ThongTin!$C$10,COUNTIFS(ThongTin!$B$19:$B$48,C528,ThongTin!$A$19:$A$48,ThongTin!$C$8,ThongTin!$C$19:$C$48,"XUAT_SP")&gt;0),1,0))</f>
        <v>0</v>
      </c>
    </row>
    <row r="529" spans="1:8" x14ac:dyDescent="0.25">
      <c r="A529" s="41"/>
      <c r="B529" s="33"/>
      <c r="C529" s="32"/>
      <c r="D529" s="32"/>
      <c r="E529" s="37"/>
      <c r="F529" s="42"/>
      <c r="G529" s="32"/>
      <c r="H529" s="36">
        <f>IF(D529="",0,IF(AND(B529&gt;=ThongTin!$C$9,B529&lt;=ThongTin!$C$10,COUNTIFS(ThongTin!$B$19:$B$48,C529,ThongTin!$A$19:$A$48,ThongTin!$C$8,ThongTin!$C$19:$C$48,"XUAT_SP")&gt;0),1,0))</f>
        <v>0</v>
      </c>
    </row>
    <row r="530" spans="1:8" x14ac:dyDescent="0.25">
      <c r="A530" s="41"/>
      <c r="B530" s="33"/>
      <c r="C530" s="32"/>
      <c r="D530" s="32"/>
      <c r="E530" s="37"/>
      <c r="F530" s="42"/>
      <c r="G530" s="32"/>
      <c r="H530" s="36">
        <f>IF(D530="",0,IF(AND(B530&gt;=ThongTin!$C$9,B530&lt;=ThongTin!$C$10,COUNTIFS(ThongTin!$B$19:$B$48,C530,ThongTin!$A$19:$A$48,ThongTin!$C$8,ThongTin!$C$19:$C$48,"XUAT_SP")&gt;0),1,0))</f>
        <v>0</v>
      </c>
    </row>
    <row r="531" spans="1:8" x14ac:dyDescent="0.25">
      <c r="A531" s="41"/>
      <c r="B531" s="33"/>
      <c r="C531" s="32"/>
      <c r="D531" s="32"/>
      <c r="E531" s="37"/>
      <c r="F531" s="42"/>
      <c r="G531" s="32"/>
      <c r="H531" s="36">
        <f>IF(D531="",0,IF(AND(B531&gt;=ThongTin!$C$9,B531&lt;=ThongTin!$C$10,COUNTIFS(ThongTin!$B$19:$B$48,C531,ThongTin!$A$19:$A$48,ThongTin!$C$8,ThongTin!$C$19:$C$48,"XUAT_SP")&gt;0),1,0))</f>
        <v>0</v>
      </c>
    </row>
    <row r="532" spans="1:8" x14ac:dyDescent="0.25">
      <c r="A532" s="41"/>
      <c r="B532" s="33"/>
      <c r="C532" s="32"/>
      <c r="D532" s="32"/>
      <c r="E532" s="37"/>
      <c r="F532" s="42"/>
      <c r="G532" s="32"/>
      <c r="H532" s="36">
        <f>IF(D532="",0,IF(AND(B532&gt;=ThongTin!$C$9,B532&lt;=ThongTin!$C$10,COUNTIFS(ThongTin!$B$19:$B$48,C532,ThongTin!$A$19:$A$48,ThongTin!$C$8,ThongTin!$C$19:$C$48,"XUAT_SP")&gt;0),1,0))</f>
        <v>0</v>
      </c>
    </row>
    <row r="533" spans="1:8" x14ac:dyDescent="0.25">
      <c r="A533" s="41"/>
      <c r="B533" s="33"/>
      <c r="C533" s="32"/>
      <c r="D533" s="32"/>
      <c r="E533" s="37"/>
      <c r="F533" s="42"/>
      <c r="G533" s="32"/>
      <c r="H533" s="36">
        <f>IF(D533="",0,IF(AND(B533&gt;=ThongTin!$C$9,B533&lt;=ThongTin!$C$10,COUNTIFS(ThongTin!$B$19:$B$48,C533,ThongTin!$A$19:$A$48,ThongTin!$C$8,ThongTin!$C$19:$C$48,"XUAT_SP")&gt;0),1,0))</f>
        <v>0</v>
      </c>
    </row>
    <row r="534" spans="1:8" x14ac:dyDescent="0.25">
      <c r="A534" s="41"/>
      <c r="B534" s="33"/>
      <c r="C534" s="32"/>
      <c r="D534" s="32"/>
      <c r="E534" s="37"/>
      <c r="F534" s="42"/>
      <c r="G534" s="32"/>
      <c r="H534" s="36">
        <f>IF(D534="",0,IF(AND(B534&gt;=ThongTin!$C$9,B534&lt;=ThongTin!$C$10,COUNTIFS(ThongTin!$B$19:$B$48,C534,ThongTin!$A$19:$A$48,ThongTin!$C$8,ThongTin!$C$19:$C$48,"XUAT_SP")&gt;0),1,0))</f>
        <v>0</v>
      </c>
    </row>
    <row r="535" spans="1:8" x14ac:dyDescent="0.25">
      <c r="A535" s="41"/>
      <c r="B535" s="33"/>
      <c r="C535" s="32"/>
      <c r="D535" s="32"/>
      <c r="E535" s="37"/>
      <c r="F535" s="42"/>
      <c r="G535" s="32"/>
      <c r="H535" s="36">
        <f>IF(D535="",0,IF(AND(B535&gt;=ThongTin!$C$9,B535&lt;=ThongTin!$C$10,COUNTIFS(ThongTin!$B$19:$B$48,C535,ThongTin!$A$19:$A$48,ThongTin!$C$8,ThongTin!$C$19:$C$48,"XUAT_SP")&gt;0),1,0))</f>
        <v>0</v>
      </c>
    </row>
    <row r="536" spans="1:8" x14ac:dyDescent="0.25">
      <c r="A536" s="41"/>
      <c r="B536" s="33"/>
      <c r="C536" s="32"/>
      <c r="D536" s="32"/>
      <c r="E536" s="37"/>
      <c r="F536" s="42"/>
      <c r="G536" s="32"/>
      <c r="H536" s="36">
        <f>IF(D536="",0,IF(AND(B536&gt;=ThongTin!$C$9,B536&lt;=ThongTin!$C$10,COUNTIFS(ThongTin!$B$19:$B$48,C536,ThongTin!$A$19:$A$48,ThongTin!$C$8,ThongTin!$C$19:$C$48,"XUAT_SP")&gt;0),1,0))</f>
        <v>0</v>
      </c>
    </row>
    <row r="537" spans="1:8" x14ac:dyDescent="0.25">
      <c r="A537" s="41"/>
      <c r="B537" s="33"/>
      <c r="C537" s="32"/>
      <c r="D537" s="32"/>
      <c r="E537" s="37"/>
      <c r="F537" s="42"/>
      <c r="G537" s="32"/>
      <c r="H537" s="36">
        <f>IF(D537="",0,IF(AND(B537&gt;=ThongTin!$C$9,B537&lt;=ThongTin!$C$10,COUNTIFS(ThongTin!$B$19:$B$48,C537,ThongTin!$A$19:$A$48,ThongTin!$C$8,ThongTin!$C$19:$C$48,"XUAT_SP")&gt;0),1,0))</f>
        <v>0</v>
      </c>
    </row>
    <row r="538" spans="1:8" x14ac:dyDescent="0.25">
      <c r="A538" s="41"/>
      <c r="B538" s="33"/>
      <c r="C538" s="32"/>
      <c r="D538" s="32"/>
      <c r="E538" s="37"/>
      <c r="F538" s="42"/>
      <c r="G538" s="32"/>
      <c r="H538" s="36">
        <f>IF(D538="",0,IF(AND(B538&gt;=ThongTin!$C$9,B538&lt;=ThongTin!$C$10,COUNTIFS(ThongTin!$B$19:$B$48,C538,ThongTin!$A$19:$A$48,ThongTin!$C$8,ThongTin!$C$19:$C$48,"XUAT_SP")&gt;0),1,0))</f>
        <v>0</v>
      </c>
    </row>
    <row r="539" spans="1:8" x14ac:dyDescent="0.25">
      <c r="A539" s="41"/>
      <c r="B539" s="33"/>
      <c r="C539" s="32"/>
      <c r="D539" s="32"/>
      <c r="E539" s="37"/>
      <c r="F539" s="42"/>
      <c r="G539" s="32"/>
      <c r="H539" s="36">
        <f>IF(D539="",0,IF(AND(B539&gt;=ThongTin!$C$9,B539&lt;=ThongTin!$C$10,COUNTIFS(ThongTin!$B$19:$B$48,C539,ThongTin!$A$19:$A$48,ThongTin!$C$8,ThongTin!$C$19:$C$48,"XUAT_SP")&gt;0),1,0))</f>
        <v>0</v>
      </c>
    </row>
    <row r="540" spans="1:8" x14ac:dyDescent="0.25">
      <c r="A540" s="41"/>
      <c r="B540" s="33"/>
      <c r="C540" s="32"/>
      <c r="D540" s="32"/>
      <c r="E540" s="37"/>
      <c r="F540" s="42"/>
      <c r="G540" s="32"/>
      <c r="H540" s="36">
        <f>IF(D540="",0,IF(AND(B540&gt;=ThongTin!$C$9,B540&lt;=ThongTin!$C$10,COUNTIFS(ThongTin!$B$19:$B$48,C540,ThongTin!$A$19:$A$48,ThongTin!$C$8,ThongTin!$C$19:$C$48,"XUAT_SP")&gt;0),1,0))</f>
        <v>0</v>
      </c>
    </row>
    <row r="541" spans="1:8" x14ac:dyDescent="0.25">
      <c r="A541" s="41"/>
      <c r="B541" s="33"/>
      <c r="C541" s="32"/>
      <c r="D541" s="32"/>
      <c r="E541" s="37"/>
      <c r="F541" s="42"/>
      <c r="G541" s="32"/>
      <c r="H541" s="36">
        <f>IF(D541="",0,IF(AND(B541&gt;=ThongTin!$C$9,B541&lt;=ThongTin!$C$10,COUNTIFS(ThongTin!$B$19:$B$48,C541,ThongTin!$A$19:$A$48,ThongTin!$C$8,ThongTin!$C$19:$C$48,"XUAT_SP")&gt;0),1,0))</f>
        <v>0</v>
      </c>
    </row>
    <row r="542" spans="1:8" x14ac:dyDescent="0.25">
      <c r="A542" s="41"/>
      <c r="B542" s="33"/>
      <c r="C542" s="32"/>
      <c r="D542" s="32"/>
      <c r="E542" s="37"/>
      <c r="F542" s="42"/>
      <c r="G542" s="32"/>
      <c r="H542" s="36">
        <f>IF(D542="",0,IF(AND(B542&gt;=ThongTin!$C$9,B542&lt;=ThongTin!$C$10,COUNTIFS(ThongTin!$B$19:$B$48,C542,ThongTin!$A$19:$A$48,ThongTin!$C$8,ThongTin!$C$19:$C$48,"XUAT_SP")&gt;0),1,0))</f>
        <v>0</v>
      </c>
    </row>
    <row r="543" spans="1:8" x14ac:dyDescent="0.25">
      <c r="A543" s="41"/>
      <c r="B543" s="33"/>
      <c r="C543" s="32"/>
      <c r="D543" s="32"/>
      <c r="E543" s="37"/>
      <c r="F543" s="42"/>
      <c r="G543" s="32"/>
      <c r="H543" s="36">
        <f>IF(D543="",0,IF(AND(B543&gt;=ThongTin!$C$9,B543&lt;=ThongTin!$C$10,COUNTIFS(ThongTin!$B$19:$B$48,C543,ThongTin!$A$19:$A$48,ThongTin!$C$8,ThongTin!$C$19:$C$48,"XUAT_SP")&gt;0),1,0))</f>
        <v>0</v>
      </c>
    </row>
    <row r="544" spans="1:8" x14ac:dyDescent="0.25">
      <c r="A544" s="41"/>
      <c r="B544" s="33"/>
      <c r="C544" s="32"/>
      <c r="D544" s="32"/>
      <c r="E544" s="37"/>
      <c r="F544" s="42"/>
      <c r="G544" s="32"/>
      <c r="H544" s="36">
        <f>IF(D544="",0,IF(AND(B544&gt;=ThongTin!$C$9,B544&lt;=ThongTin!$C$10,COUNTIFS(ThongTin!$B$19:$B$48,C544,ThongTin!$A$19:$A$48,ThongTin!$C$8,ThongTin!$C$19:$C$48,"XUAT_SP")&gt;0),1,0))</f>
        <v>0</v>
      </c>
    </row>
    <row r="545" spans="1:8" x14ac:dyDescent="0.25">
      <c r="A545" s="41"/>
      <c r="B545" s="33"/>
      <c r="C545" s="32"/>
      <c r="D545" s="32"/>
      <c r="E545" s="37"/>
      <c r="F545" s="42"/>
      <c r="G545" s="32"/>
      <c r="H545" s="36">
        <f>IF(D545="",0,IF(AND(B545&gt;=ThongTin!$C$9,B545&lt;=ThongTin!$C$10,COUNTIFS(ThongTin!$B$19:$B$48,C545,ThongTin!$A$19:$A$48,ThongTin!$C$8,ThongTin!$C$19:$C$48,"XUAT_SP")&gt;0),1,0))</f>
        <v>0</v>
      </c>
    </row>
    <row r="546" spans="1:8" x14ac:dyDescent="0.25">
      <c r="A546" s="41"/>
      <c r="B546" s="33"/>
      <c r="C546" s="32"/>
      <c r="D546" s="32"/>
      <c r="E546" s="37"/>
      <c r="F546" s="42"/>
      <c r="G546" s="32"/>
      <c r="H546" s="36">
        <f>IF(D546="",0,IF(AND(B546&gt;=ThongTin!$C$9,B546&lt;=ThongTin!$C$10,COUNTIFS(ThongTin!$B$19:$B$48,C546,ThongTin!$A$19:$A$48,ThongTin!$C$8,ThongTin!$C$19:$C$48,"XUAT_SP")&gt;0),1,0))</f>
        <v>0</v>
      </c>
    </row>
    <row r="547" spans="1:8" x14ac:dyDescent="0.25">
      <c r="A547" s="41"/>
      <c r="B547" s="33"/>
      <c r="C547" s="32"/>
      <c r="D547" s="32"/>
      <c r="E547" s="37"/>
      <c r="F547" s="42"/>
      <c r="G547" s="32"/>
      <c r="H547" s="36">
        <f>IF(D547="",0,IF(AND(B547&gt;=ThongTin!$C$9,B547&lt;=ThongTin!$C$10,COUNTIFS(ThongTin!$B$19:$B$48,C547,ThongTin!$A$19:$A$48,ThongTin!$C$8,ThongTin!$C$19:$C$48,"XUAT_SP")&gt;0),1,0))</f>
        <v>0</v>
      </c>
    </row>
    <row r="548" spans="1:8" x14ac:dyDescent="0.25">
      <c r="A548" s="41"/>
      <c r="B548" s="33"/>
      <c r="C548" s="32"/>
      <c r="D548" s="32"/>
      <c r="E548" s="37"/>
      <c r="F548" s="42"/>
      <c r="G548" s="32"/>
      <c r="H548" s="36">
        <f>IF(D548="",0,IF(AND(B548&gt;=ThongTin!$C$9,B548&lt;=ThongTin!$C$10,COUNTIFS(ThongTin!$B$19:$B$48,C548,ThongTin!$A$19:$A$48,ThongTin!$C$8,ThongTin!$C$19:$C$48,"XUAT_SP")&gt;0),1,0))</f>
        <v>0</v>
      </c>
    </row>
    <row r="549" spans="1:8" x14ac:dyDescent="0.25">
      <c r="A549" s="41"/>
      <c r="B549" s="33"/>
      <c r="C549" s="32"/>
      <c r="D549" s="32"/>
      <c r="E549" s="37"/>
      <c r="F549" s="42"/>
      <c r="G549" s="32"/>
      <c r="H549" s="36">
        <f>IF(D549="",0,IF(AND(B549&gt;=ThongTin!$C$9,B549&lt;=ThongTin!$C$10,COUNTIFS(ThongTin!$B$19:$B$48,C549,ThongTin!$A$19:$A$48,ThongTin!$C$8,ThongTin!$C$19:$C$48,"XUAT_SP")&gt;0),1,0))</f>
        <v>0</v>
      </c>
    </row>
    <row r="550" spans="1:8" x14ac:dyDescent="0.25">
      <c r="A550" s="41"/>
      <c r="B550" s="33"/>
      <c r="C550" s="32"/>
      <c r="D550" s="32"/>
      <c r="E550" s="37"/>
      <c r="F550" s="42"/>
      <c r="G550" s="32"/>
      <c r="H550" s="36">
        <f>IF(D550="",0,IF(AND(B550&gt;=ThongTin!$C$9,B550&lt;=ThongTin!$C$10,COUNTIFS(ThongTin!$B$19:$B$48,C550,ThongTin!$A$19:$A$48,ThongTin!$C$8,ThongTin!$C$19:$C$48,"XUAT_SP")&gt;0),1,0))</f>
        <v>0</v>
      </c>
    </row>
    <row r="551" spans="1:8" x14ac:dyDescent="0.25">
      <c r="A551" s="41"/>
      <c r="B551" s="33"/>
      <c r="C551" s="32"/>
      <c r="D551" s="32"/>
      <c r="E551" s="37"/>
      <c r="F551" s="42"/>
      <c r="G551" s="32"/>
      <c r="H551" s="36">
        <f>IF(D551="",0,IF(AND(B551&gt;=ThongTin!$C$9,B551&lt;=ThongTin!$C$10,COUNTIFS(ThongTin!$B$19:$B$48,C551,ThongTin!$A$19:$A$48,ThongTin!$C$8,ThongTin!$C$19:$C$48,"XUAT_SP")&gt;0),1,0))</f>
        <v>0</v>
      </c>
    </row>
    <row r="552" spans="1:8" x14ac:dyDescent="0.25">
      <c r="A552" s="41"/>
      <c r="B552" s="33"/>
      <c r="C552" s="32"/>
      <c r="D552" s="32"/>
      <c r="E552" s="37"/>
      <c r="F552" s="42"/>
      <c r="G552" s="32"/>
      <c r="H552" s="36">
        <f>IF(D552="",0,IF(AND(B552&gt;=ThongTin!$C$9,B552&lt;=ThongTin!$C$10,COUNTIFS(ThongTin!$B$19:$B$48,C552,ThongTin!$A$19:$A$48,ThongTin!$C$8,ThongTin!$C$19:$C$48,"XUAT_SP")&gt;0),1,0))</f>
        <v>0</v>
      </c>
    </row>
    <row r="553" spans="1:8" x14ac:dyDescent="0.25">
      <c r="A553" s="41"/>
      <c r="B553" s="33"/>
      <c r="C553" s="32"/>
      <c r="D553" s="32"/>
      <c r="E553" s="37"/>
      <c r="F553" s="42"/>
      <c r="G553" s="32"/>
      <c r="H553" s="36">
        <f>IF(D553="",0,IF(AND(B553&gt;=ThongTin!$C$9,B553&lt;=ThongTin!$C$10,COUNTIFS(ThongTin!$B$19:$B$48,C553,ThongTin!$A$19:$A$48,ThongTin!$C$8,ThongTin!$C$19:$C$48,"XUAT_SP")&gt;0),1,0))</f>
        <v>0</v>
      </c>
    </row>
    <row r="554" spans="1:8" x14ac:dyDescent="0.25">
      <c r="A554" s="41"/>
      <c r="B554" s="33"/>
      <c r="C554" s="32"/>
      <c r="D554" s="32"/>
      <c r="E554" s="37"/>
      <c r="F554" s="42"/>
      <c r="G554" s="32"/>
      <c r="H554" s="36">
        <f>IF(D554="",0,IF(AND(B554&gt;=ThongTin!$C$9,B554&lt;=ThongTin!$C$10,COUNTIFS(ThongTin!$B$19:$B$48,C554,ThongTin!$A$19:$A$48,ThongTin!$C$8,ThongTin!$C$19:$C$48,"XUAT_SP")&gt;0),1,0))</f>
        <v>0</v>
      </c>
    </row>
    <row r="555" spans="1:8" x14ac:dyDescent="0.25">
      <c r="A555" s="41"/>
      <c r="B555" s="33"/>
      <c r="C555" s="32"/>
      <c r="D555" s="32"/>
      <c r="E555" s="37"/>
      <c r="F555" s="42"/>
      <c r="G555" s="32"/>
      <c r="H555" s="36">
        <f>IF(D555="",0,IF(AND(B555&gt;=ThongTin!$C$9,B555&lt;=ThongTin!$C$10,COUNTIFS(ThongTin!$B$19:$B$48,C555,ThongTin!$A$19:$A$48,ThongTin!$C$8,ThongTin!$C$19:$C$48,"XUAT_SP")&gt;0),1,0))</f>
        <v>0</v>
      </c>
    </row>
    <row r="556" spans="1:8" x14ac:dyDescent="0.25">
      <c r="A556" s="41"/>
      <c r="B556" s="33"/>
      <c r="C556" s="32"/>
      <c r="D556" s="32"/>
      <c r="E556" s="37"/>
      <c r="F556" s="42"/>
      <c r="G556" s="32"/>
      <c r="H556" s="36">
        <f>IF(D556="",0,IF(AND(B556&gt;=ThongTin!$C$9,B556&lt;=ThongTin!$C$10,COUNTIFS(ThongTin!$B$19:$B$48,C556,ThongTin!$A$19:$A$48,ThongTin!$C$8,ThongTin!$C$19:$C$48,"XUAT_SP")&gt;0),1,0))</f>
        <v>0</v>
      </c>
    </row>
    <row r="557" spans="1:8" x14ac:dyDescent="0.25">
      <c r="A557" s="41"/>
      <c r="B557" s="33"/>
      <c r="C557" s="32"/>
      <c r="D557" s="32"/>
      <c r="E557" s="37"/>
      <c r="F557" s="42"/>
      <c r="G557" s="32"/>
      <c r="H557" s="36">
        <f>IF(D557="",0,IF(AND(B557&gt;=ThongTin!$C$9,B557&lt;=ThongTin!$C$10,COUNTIFS(ThongTin!$B$19:$B$48,C557,ThongTin!$A$19:$A$48,ThongTin!$C$8,ThongTin!$C$19:$C$48,"XUAT_SP")&gt;0),1,0))</f>
        <v>0</v>
      </c>
    </row>
    <row r="558" spans="1:8" x14ac:dyDescent="0.25">
      <c r="A558" s="41"/>
      <c r="B558" s="33"/>
      <c r="C558" s="32"/>
      <c r="D558" s="32"/>
      <c r="E558" s="37"/>
      <c r="F558" s="42"/>
      <c r="G558" s="32"/>
      <c r="H558" s="36">
        <f>IF(D558="",0,IF(AND(B558&gt;=ThongTin!$C$9,B558&lt;=ThongTin!$C$10,COUNTIFS(ThongTin!$B$19:$B$48,C558,ThongTin!$A$19:$A$48,ThongTin!$C$8,ThongTin!$C$19:$C$48,"XUAT_SP")&gt;0),1,0))</f>
        <v>0</v>
      </c>
    </row>
    <row r="559" spans="1:8" x14ac:dyDescent="0.25">
      <c r="A559" s="41"/>
      <c r="B559" s="33"/>
      <c r="C559" s="32"/>
      <c r="D559" s="32"/>
      <c r="E559" s="37"/>
      <c r="F559" s="42"/>
      <c r="G559" s="32"/>
      <c r="H559" s="36">
        <f>IF(D559="",0,IF(AND(B559&gt;=ThongTin!$C$9,B559&lt;=ThongTin!$C$10,COUNTIFS(ThongTin!$B$19:$B$48,C559,ThongTin!$A$19:$A$48,ThongTin!$C$8,ThongTin!$C$19:$C$48,"XUAT_SP")&gt;0),1,0))</f>
        <v>0</v>
      </c>
    </row>
    <row r="560" spans="1:8" x14ac:dyDescent="0.25">
      <c r="A560" s="41"/>
      <c r="B560" s="33"/>
      <c r="C560" s="32"/>
      <c r="D560" s="32"/>
      <c r="E560" s="37"/>
      <c r="F560" s="42"/>
      <c r="G560" s="32"/>
      <c r="H560" s="36">
        <f>IF(D560="",0,IF(AND(B560&gt;=ThongTin!$C$9,B560&lt;=ThongTin!$C$10,COUNTIFS(ThongTin!$B$19:$B$48,C560,ThongTin!$A$19:$A$48,ThongTin!$C$8,ThongTin!$C$19:$C$48,"XUAT_SP")&gt;0),1,0))</f>
        <v>0</v>
      </c>
    </row>
    <row r="561" spans="1:8" x14ac:dyDescent="0.25">
      <c r="A561" s="41"/>
      <c r="B561" s="33"/>
      <c r="C561" s="32"/>
      <c r="D561" s="32"/>
      <c r="E561" s="37"/>
      <c r="F561" s="42"/>
      <c r="G561" s="32"/>
      <c r="H561" s="36">
        <f>IF(D561="",0,IF(AND(B561&gt;=ThongTin!$C$9,B561&lt;=ThongTin!$C$10,COUNTIFS(ThongTin!$B$19:$B$48,C561,ThongTin!$A$19:$A$48,ThongTin!$C$8,ThongTin!$C$19:$C$48,"XUAT_SP")&gt;0),1,0))</f>
        <v>0</v>
      </c>
    </row>
    <row r="562" spans="1:8" x14ac:dyDescent="0.25">
      <c r="A562" s="41"/>
      <c r="B562" s="33"/>
      <c r="C562" s="32"/>
      <c r="D562" s="32"/>
      <c r="E562" s="37"/>
      <c r="F562" s="42"/>
      <c r="G562" s="32"/>
      <c r="H562" s="36">
        <f>IF(D562="",0,IF(AND(B562&gt;=ThongTin!$C$9,B562&lt;=ThongTin!$C$10,COUNTIFS(ThongTin!$B$19:$B$48,C562,ThongTin!$A$19:$A$48,ThongTin!$C$8,ThongTin!$C$19:$C$48,"XUAT_SP")&gt;0),1,0))</f>
        <v>0</v>
      </c>
    </row>
    <row r="563" spans="1:8" x14ac:dyDescent="0.25">
      <c r="A563" s="41"/>
      <c r="B563" s="33"/>
      <c r="C563" s="32"/>
      <c r="D563" s="32"/>
      <c r="E563" s="37"/>
      <c r="F563" s="42"/>
      <c r="G563" s="32"/>
      <c r="H563" s="36">
        <f>IF(D563="",0,IF(AND(B563&gt;=ThongTin!$C$9,B563&lt;=ThongTin!$C$10,COUNTIFS(ThongTin!$B$19:$B$48,C563,ThongTin!$A$19:$A$48,ThongTin!$C$8,ThongTin!$C$19:$C$48,"XUAT_SP")&gt;0),1,0))</f>
        <v>0</v>
      </c>
    </row>
    <row r="564" spans="1:8" x14ac:dyDescent="0.25">
      <c r="A564" s="41"/>
      <c r="B564" s="33"/>
      <c r="C564" s="32"/>
      <c r="D564" s="32"/>
      <c r="E564" s="37"/>
      <c r="F564" s="42"/>
      <c r="G564" s="32"/>
      <c r="H564" s="36">
        <f>IF(D564="",0,IF(AND(B564&gt;=ThongTin!$C$9,B564&lt;=ThongTin!$C$10,COUNTIFS(ThongTin!$B$19:$B$48,C564,ThongTin!$A$19:$A$48,ThongTin!$C$8,ThongTin!$C$19:$C$48,"XUAT_SP")&gt;0),1,0))</f>
        <v>0</v>
      </c>
    </row>
    <row r="565" spans="1:8" x14ac:dyDescent="0.25">
      <c r="A565" s="41"/>
      <c r="B565" s="33"/>
      <c r="C565" s="32"/>
      <c r="D565" s="32"/>
      <c r="E565" s="37"/>
      <c r="F565" s="42"/>
      <c r="G565" s="32"/>
      <c r="H565" s="36">
        <f>IF(D565="",0,IF(AND(B565&gt;=ThongTin!$C$9,B565&lt;=ThongTin!$C$10,COUNTIFS(ThongTin!$B$19:$B$48,C565,ThongTin!$A$19:$A$48,ThongTin!$C$8,ThongTin!$C$19:$C$48,"XUAT_SP")&gt;0),1,0))</f>
        <v>0</v>
      </c>
    </row>
    <row r="566" spans="1:8" x14ac:dyDescent="0.25">
      <c r="A566" s="41"/>
      <c r="B566" s="33"/>
      <c r="C566" s="32"/>
      <c r="D566" s="32"/>
      <c r="E566" s="37"/>
      <c r="F566" s="42"/>
      <c r="G566" s="32"/>
      <c r="H566" s="36">
        <f>IF(D566="",0,IF(AND(B566&gt;=ThongTin!$C$9,B566&lt;=ThongTin!$C$10,COUNTIFS(ThongTin!$B$19:$B$48,C566,ThongTin!$A$19:$A$48,ThongTin!$C$8,ThongTin!$C$19:$C$48,"XUAT_SP")&gt;0),1,0))</f>
        <v>0</v>
      </c>
    </row>
    <row r="567" spans="1:8" x14ac:dyDescent="0.25">
      <c r="A567" s="41"/>
      <c r="B567" s="33"/>
      <c r="C567" s="32"/>
      <c r="D567" s="32"/>
      <c r="E567" s="37"/>
      <c r="F567" s="42"/>
      <c r="G567" s="32"/>
      <c r="H567" s="36">
        <f>IF(D567="",0,IF(AND(B567&gt;=ThongTin!$C$9,B567&lt;=ThongTin!$C$10,COUNTIFS(ThongTin!$B$19:$B$48,C567,ThongTin!$A$19:$A$48,ThongTin!$C$8,ThongTin!$C$19:$C$48,"XUAT_SP")&gt;0),1,0))</f>
        <v>0</v>
      </c>
    </row>
    <row r="568" spans="1:8" x14ac:dyDescent="0.25">
      <c r="A568" s="41"/>
      <c r="B568" s="33"/>
      <c r="C568" s="32"/>
      <c r="D568" s="32"/>
      <c r="E568" s="37"/>
      <c r="F568" s="42"/>
      <c r="G568" s="32"/>
      <c r="H568" s="36">
        <f>IF(D568="",0,IF(AND(B568&gt;=ThongTin!$C$9,B568&lt;=ThongTin!$C$10,COUNTIFS(ThongTin!$B$19:$B$48,C568,ThongTin!$A$19:$A$48,ThongTin!$C$8,ThongTin!$C$19:$C$48,"XUAT_SP")&gt;0),1,0))</f>
        <v>0</v>
      </c>
    </row>
    <row r="569" spans="1:8" x14ac:dyDescent="0.25">
      <c r="A569" s="41"/>
      <c r="B569" s="33"/>
      <c r="C569" s="32"/>
      <c r="D569" s="32"/>
      <c r="E569" s="37"/>
      <c r="F569" s="42"/>
      <c r="G569" s="32"/>
      <c r="H569" s="36">
        <f>IF(D569="",0,IF(AND(B569&gt;=ThongTin!$C$9,B569&lt;=ThongTin!$C$10,COUNTIFS(ThongTin!$B$19:$B$48,C569,ThongTin!$A$19:$A$48,ThongTin!$C$8,ThongTin!$C$19:$C$48,"XUAT_SP")&gt;0),1,0))</f>
        <v>0</v>
      </c>
    </row>
    <row r="570" spans="1:8" x14ac:dyDescent="0.25">
      <c r="A570" s="41"/>
      <c r="B570" s="33"/>
      <c r="C570" s="32"/>
      <c r="D570" s="32"/>
      <c r="E570" s="37"/>
      <c r="F570" s="42"/>
      <c r="G570" s="32"/>
      <c r="H570" s="36">
        <f>IF(D570="",0,IF(AND(B570&gt;=ThongTin!$C$9,B570&lt;=ThongTin!$C$10,COUNTIFS(ThongTin!$B$19:$B$48,C570,ThongTin!$A$19:$A$48,ThongTin!$C$8,ThongTin!$C$19:$C$48,"XUAT_SP")&gt;0),1,0))</f>
        <v>0</v>
      </c>
    </row>
    <row r="571" spans="1:8" x14ac:dyDescent="0.25">
      <c r="A571" s="41"/>
      <c r="B571" s="33"/>
      <c r="C571" s="32"/>
      <c r="D571" s="32"/>
      <c r="E571" s="37"/>
      <c r="F571" s="42"/>
      <c r="G571" s="32"/>
      <c r="H571" s="36">
        <f>IF(D571="",0,IF(AND(B571&gt;=ThongTin!$C$9,B571&lt;=ThongTin!$C$10,COUNTIFS(ThongTin!$B$19:$B$48,C571,ThongTin!$A$19:$A$48,ThongTin!$C$8,ThongTin!$C$19:$C$48,"XUAT_SP")&gt;0),1,0))</f>
        <v>0</v>
      </c>
    </row>
    <row r="572" spans="1:8" x14ac:dyDescent="0.25">
      <c r="A572" s="41"/>
      <c r="B572" s="33"/>
      <c r="C572" s="32"/>
      <c r="D572" s="32"/>
      <c r="E572" s="37"/>
      <c r="F572" s="42"/>
      <c r="G572" s="32"/>
      <c r="H572" s="36">
        <f>IF(D572="",0,IF(AND(B572&gt;=ThongTin!$C$9,B572&lt;=ThongTin!$C$10,COUNTIFS(ThongTin!$B$19:$B$48,C572,ThongTin!$A$19:$A$48,ThongTin!$C$8,ThongTin!$C$19:$C$48,"XUAT_SP")&gt;0),1,0))</f>
        <v>0</v>
      </c>
    </row>
    <row r="573" spans="1:8" x14ac:dyDescent="0.25">
      <c r="A573" s="41"/>
      <c r="B573" s="33"/>
      <c r="C573" s="32"/>
      <c r="D573" s="32"/>
      <c r="E573" s="37"/>
      <c r="F573" s="42"/>
      <c r="G573" s="32"/>
      <c r="H573" s="36">
        <f>IF(D573="",0,IF(AND(B573&gt;=ThongTin!$C$9,B573&lt;=ThongTin!$C$10,COUNTIFS(ThongTin!$B$19:$B$48,C573,ThongTin!$A$19:$A$48,ThongTin!$C$8,ThongTin!$C$19:$C$48,"XUAT_SP")&gt;0),1,0))</f>
        <v>0</v>
      </c>
    </row>
    <row r="574" spans="1:8" x14ac:dyDescent="0.25">
      <c r="A574" s="41"/>
      <c r="B574" s="33"/>
      <c r="C574" s="32"/>
      <c r="D574" s="32"/>
      <c r="E574" s="37"/>
      <c r="F574" s="42"/>
      <c r="G574" s="32"/>
      <c r="H574" s="36">
        <f>IF(D574="",0,IF(AND(B574&gt;=ThongTin!$C$9,B574&lt;=ThongTin!$C$10,COUNTIFS(ThongTin!$B$19:$B$48,C574,ThongTin!$A$19:$A$48,ThongTin!$C$8,ThongTin!$C$19:$C$48,"XUAT_SP")&gt;0),1,0))</f>
        <v>0</v>
      </c>
    </row>
    <row r="575" spans="1:8" x14ac:dyDescent="0.25">
      <c r="A575" s="41"/>
      <c r="B575" s="33"/>
      <c r="C575" s="32"/>
      <c r="D575" s="32"/>
      <c r="E575" s="37"/>
      <c r="F575" s="42"/>
      <c r="G575" s="32"/>
      <c r="H575" s="36">
        <f>IF(D575="",0,IF(AND(B575&gt;=ThongTin!$C$9,B575&lt;=ThongTin!$C$10,COUNTIFS(ThongTin!$B$19:$B$48,C575,ThongTin!$A$19:$A$48,ThongTin!$C$8,ThongTin!$C$19:$C$48,"XUAT_SP")&gt;0),1,0))</f>
        <v>0</v>
      </c>
    </row>
    <row r="576" spans="1:8" x14ac:dyDescent="0.25">
      <c r="A576" s="41"/>
      <c r="B576" s="33"/>
      <c r="C576" s="32"/>
      <c r="D576" s="32"/>
      <c r="E576" s="37"/>
      <c r="F576" s="42"/>
      <c r="G576" s="32"/>
      <c r="H576" s="36">
        <f>IF(D576="",0,IF(AND(B576&gt;=ThongTin!$C$9,B576&lt;=ThongTin!$C$10,COUNTIFS(ThongTin!$B$19:$B$48,C576,ThongTin!$A$19:$A$48,ThongTin!$C$8,ThongTin!$C$19:$C$48,"XUAT_SP")&gt;0),1,0))</f>
        <v>0</v>
      </c>
    </row>
    <row r="577" spans="1:8" x14ac:dyDescent="0.25">
      <c r="A577" s="41"/>
      <c r="B577" s="33"/>
      <c r="C577" s="32"/>
      <c r="D577" s="32"/>
      <c r="E577" s="37"/>
      <c r="F577" s="42"/>
      <c r="G577" s="32"/>
      <c r="H577" s="36">
        <f>IF(D577="",0,IF(AND(B577&gt;=ThongTin!$C$9,B577&lt;=ThongTin!$C$10,COUNTIFS(ThongTin!$B$19:$B$48,C577,ThongTin!$A$19:$A$48,ThongTin!$C$8,ThongTin!$C$19:$C$48,"XUAT_SP")&gt;0),1,0))</f>
        <v>0</v>
      </c>
    </row>
    <row r="578" spans="1:8" x14ac:dyDescent="0.25">
      <c r="A578" s="41"/>
      <c r="B578" s="33"/>
      <c r="C578" s="32"/>
      <c r="D578" s="32"/>
      <c r="E578" s="37"/>
      <c r="F578" s="42"/>
      <c r="G578" s="32"/>
      <c r="H578" s="36">
        <f>IF(D578="",0,IF(AND(B578&gt;=ThongTin!$C$9,B578&lt;=ThongTin!$C$10,COUNTIFS(ThongTin!$B$19:$B$48,C578,ThongTin!$A$19:$A$48,ThongTin!$C$8,ThongTin!$C$19:$C$48,"XUAT_SP")&gt;0),1,0))</f>
        <v>0</v>
      </c>
    </row>
    <row r="579" spans="1:8" x14ac:dyDescent="0.25">
      <c r="A579" s="41"/>
      <c r="B579" s="33"/>
      <c r="C579" s="32"/>
      <c r="D579" s="32"/>
      <c r="E579" s="37"/>
      <c r="F579" s="42"/>
      <c r="G579" s="32"/>
      <c r="H579" s="36">
        <f>IF(D579="",0,IF(AND(B579&gt;=ThongTin!$C$9,B579&lt;=ThongTin!$C$10,COUNTIFS(ThongTin!$B$19:$B$48,C579,ThongTin!$A$19:$A$48,ThongTin!$C$8,ThongTin!$C$19:$C$48,"XUAT_SP")&gt;0),1,0))</f>
        <v>0</v>
      </c>
    </row>
    <row r="580" spans="1:8" x14ac:dyDescent="0.25">
      <c r="A580" s="41"/>
      <c r="B580" s="33"/>
      <c r="C580" s="32"/>
      <c r="D580" s="32"/>
      <c r="E580" s="37"/>
      <c r="F580" s="42"/>
      <c r="G580" s="32"/>
      <c r="H580" s="36">
        <f>IF(D580="",0,IF(AND(B580&gt;=ThongTin!$C$9,B580&lt;=ThongTin!$C$10,COUNTIFS(ThongTin!$B$19:$B$48,C580,ThongTin!$A$19:$A$48,ThongTin!$C$8,ThongTin!$C$19:$C$48,"XUAT_SP")&gt;0),1,0))</f>
        <v>0</v>
      </c>
    </row>
    <row r="581" spans="1:8" x14ac:dyDescent="0.25">
      <c r="A581" s="41"/>
      <c r="B581" s="33"/>
      <c r="C581" s="32"/>
      <c r="D581" s="32"/>
      <c r="E581" s="37"/>
      <c r="F581" s="42"/>
      <c r="G581" s="32"/>
      <c r="H581" s="36">
        <f>IF(D581="",0,IF(AND(B581&gt;=ThongTin!$C$9,B581&lt;=ThongTin!$C$10,COUNTIFS(ThongTin!$B$19:$B$48,C581,ThongTin!$A$19:$A$48,ThongTin!$C$8,ThongTin!$C$19:$C$48,"XUAT_SP")&gt;0),1,0))</f>
        <v>0</v>
      </c>
    </row>
    <row r="582" spans="1:8" x14ac:dyDescent="0.25">
      <c r="A582" s="41"/>
      <c r="B582" s="33"/>
      <c r="C582" s="32"/>
      <c r="D582" s="32"/>
      <c r="E582" s="37"/>
      <c r="F582" s="42"/>
      <c r="G582" s="32"/>
      <c r="H582" s="36">
        <f>IF(D582="",0,IF(AND(B582&gt;=ThongTin!$C$9,B582&lt;=ThongTin!$C$10,COUNTIFS(ThongTin!$B$19:$B$48,C582,ThongTin!$A$19:$A$48,ThongTin!$C$8,ThongTin!$C$19:$C$48,"XUAT_SP")&gt;0),1,0))</f>
        <v>0</v>
      </c>
    </row>
    <row r="583" spans="1:8" x14ac:dyDescent="0.25">
      <c r="A583" s="41"/>
      <c r="B583" s="33"/>
      <c r="C583" s="32"/>
      <c r="D583" s="32"/>
      <c r="E583" s="37"/>
      <c r="F583" s="42"/>
      <c r="G583" s="32"/>
      <c r="H583" s="36">
        <f>IF(D583="",0,IF(AND(B583&gt;=ThongTin!$C$9,B583&lt;=ThongTin!$C$10,COUNTIFS(ThongTin!$B$19:$B$48,C583,ThongTin!$A$19:$A$48,ThongTin!$C$8,ThongTin!$C$19:$C$48,"XUAT_SP")&gt;0),1,0))</f>
        <v>0</v>
      </c>
    </row>
    <row r="584" spans="1:8" x14ac:dyDescent="0.25">
      <c r="A584" s="41"/>
      <c r="B584" s="33"/>
      <c r="C584" s="32"/>
      <c r="D584" s="32"/>
      <c r="E584" s="37"/>
      <c r="F584" s="42"/>
      <c r="G584" s="32"/>
      <c r="H584" s="36">
        <f>IF(D584="",0,IF(AND(B584&gt;=ThongTin!$C$9,B584&lt;=ThongTin!$C$10,COUNTIFS(ThongTin!$B$19:$B$48,C584,ThongTin!$A$19:$A$48,ThongTin!$C$8,ThongTin!$C$19:$C$48,"XUAT_SP")&gt;0),1,0))</f>
        <v>0</v>
      </c>
    </row>
    <row r="585" spans="1:8" x14ac:dyDescent="0.25">
      <c r="A585" s="41"/>
      <c r="B585" s="33"/>
      <c r="C585" s="32"/>
      <c r="D585" s="32"/>
      <c r="E585" s="37"/>
      <c r="F585" s="42"/>
      <c r="G585" s="32"/>
      <c r="H585" s="36">
        <f>IF(D585="",0,IF(AND(B585&gt;=ThongTin!$C$9,B585&lt;=ThongTin!$C$10,COUNTIFS(ThongTin!$B$19:$B$48,C585,ThongTin!$A$19:$A$48,ThongTin!$C$8,ThongTin!$C$19:$C$48,"XUAT_SP")&gt;0),1,0))</f>
        <v>0</v>
      </c>
    </row>
    <row r="586" spans="1:8" x14ac:dyDescent="0.25">
      <c r="A586" s="41"/>
      <c r="B586" s="33"/>
      <c r="C586" s="32"/>
      <c r="D586" s="32"/>
      <c r="E586" s="37"/>
      <c r="F586" s="42"/>
      <c r="G586" s="32"/>
      <c r="H586" s="36">
        <f>IF(D586="",0,IF(AND(B586&gt;=ThongTin!$C$9,B586&lt;=ThongTin!$C$10,COUNTIFS(ThongTin!$B$19:$B$48,C586,ThongTin!$A$19:$A$48,ThongTin!$C$8,ThongTin!$C$19:$C$48,"XUAT_SP")&gt;0),1,0))</f>
        <v>0</v>
      </c>
    </row>
    <row r="587" spans="1:8" x14ac:dyDescent="0.25">
      <c r="A587" s="41"/>
      <c r="B587" s="33"/>
      <c r="C587" s="32"/>
      <c r="D587" s="32"/>
      <c r="E587" s="37"/>
      <c r="F587" s="42"/>
      <c r="G587" s="32"/>
      <c r="H587" s="36">
        <f>IF(D587="",0,IF(AND(B587&gt;=ThongTin!$C$9,B587&lt;=ThongTin!$C$10,COUNTIFS(ThongTin!$B$19:$B$48,C587,ThongTin!$A$19:$A$48,ThongTin!$C$8,ThongTin!$C$19:$C$48,"XUAT_SP")&gt;0),1,0))</f>
        <v>0</v>
      </c>
    </row>
    <row r="588" spans="1:8" x14ac:dyDescent="0.25">
      <c r="A588" s="41"/>
      <c r="B588" s="33"/>
      <c r="C588" s="32"/>
      <c r="D588" s="32"/>
      <c r="E588" s="37"/>
      <c r="F588" s="42"/>
      <c r="G588" s="32"/>
      <c r="H588" s="36">
        <f>IF(D588="",0,IF(AND(B588&gt;=ThongTin!$C$9,B588&lt;=ThongTin!$C$10,COUNTIFS(ThongTin!$B$19:$B$48,C588,ThongTin!$A$19:$A$48,ThongTin!$C$8,ThongTin!$C$19:$C$48,"XUAT_SP")&gt;0),1,0))</f>
        <v>0</v>
      </c>
    </row>
    <row r="589" spans="1:8" x14ac:dyDescent="0.25">
      <c r="A589" s="41"/>
      <c r="B589" s="33"/>
      <c r="C589" s="32"/>
      <c r="D589" s="32"/>
      <c r="E589" s="37"/>
      <c r="F589" s="42"/>
      <c r="G589" s="32"/>
      <c r="H589" s="36">
        <f>IF(D589="",0,IF(AND(B589&gt;=ThongTin!$C$9,B589&lt;=ThongTin!$C$10,COUNTIFS(ThongTin!$B$19:$B$48,C589,ThongTin!$A$19:$A$48,ThongTin!$C$8,ThongTin!$C$19:$C$48,"XUAT_SP")&gt;0),1,0))</f>
        <v>0</v>
      </c>
    </row>
    <row r="590" spans="1:8" x14ac:dyDescent="0.25">
      <c r="A590" s="41"/>
      <c r="B590" s="33"/>
      <c r="C590" s="32"/>
      <c r="D590" s="32"/>
      <c r="E590" s="37"/>
      <c r="F590" s="42"/>
      <c r="G590" s="32"/>
      <c r="H590" s="36">
        <f>IF(D590="",0,IF(AND(B590&gt;=ThongTin!$C$9,B590&lt;=ThongTin!$C$10,COUNTIFS(ThongTin!$B$19:$B$48,C590,ThongTin!$A$19:$A$48,ThongTin!$C$8,ThongTin!$C$19:$C$48,"XUAT_SP")&gt;0),1,0))</f>
        <v>0</v>
      </c>
    </row>
    <row r="591" spans="1:8" x14ac:dyDescent="0.25">
      <c r="A591" s="41"/>
      <c r="B591" s="33"/>
      <c r="C591" s="32"/>
      <c r="D591" s="32"/>
      <c r="E591" s="37"/>
      <c r="F591" s="42"/>
      <c r="G591" s="32"/>
      <c r="H591" s="36">
        <f>IF(D591="",0,IF(AND(B591&gt;=ThongTin!$C$9,B591&lt;=ThongTin!$C$10,COUNTIFS(ThongTin!$B$19:$B$48,C591,ThongTin!$A$19:$A$48,ThongTin!$C$8,ThongTin!$C$19:$C$48,"XUAT_SP")&gt;0),1,0))</f>
        <v>0</v>
      </c>
    </row>
    <row r="592" spans="1:8" x14ac:dyDescent="0.25">
      <c r="A592" s="41"/>
      <c r="B592" s="33"/>
      <c r="C592" s="32"/>
      <c r="D592" s="32"/>
      <c r="E592" s="37"/>
      <c r="F592" s="42"/>
      <c r="G592" s="32"/>
      <c r="H592" s="36">
        <f>IF(D592="",0,IF(AND(B592&gt;=ThongTin!$C$9,B592&lt;=ThongTin!$C$10,COUNTIFS(ThongTin!$B$19:$B$48,C592,ThongTin!$A$19:$A$48,ThongTin!$C$8,ThongTin!$C$19:$C$48,"XUAT_SP")&gt;0),1,0))</f>
        <v>0</v>
      </c>
    </row>
    <row r="593" spans="1:8" x14ac:dyDescent="0.25">
      <c r="A593" s="41"/>
      <c r="B593" s="33"/>
      <c r="C593" s="32"/>
      <c r="D593" s="32"/>
      <c r="E593" s="37"/>
      <c r="F593" s="42"/>
      <c r="G593" s="32"/>
      <c r="H593" s="36">
        <f>IF(D593="",0,IF(AND(B593&gt;=ThongTin!$C$9,B593&lt;=ThongTin!$C$10,COUNTIFS(ThongTin!$B$19:$B$48,C593,ThongTin!$A$19:$A$48,ThongTin!$C$8,ThongTin!$C$19:$C$48,"XUAT_SP")&gt;0),1,0))</f>
        <v>0</v>
      </c>
    </row>
    <row r="594" spans="1:8" x14ac:dyDescent="0.25">
      <c r="A594" s="41"/>
      <c r="B594" s="33"/>
      <c r="C594" s="32"/>
      <c r="D594" s="32"/>
      <c r="E594" s="37"/>
      <c r="F594" s="42"/>
      <c r="G594" s="32"/>
      <c r="H594" s="36">
        <f>IF(D594="",0,IF(AND(B594&gt;=ThongTin!$C$9,B594&lt;=ThongTin!$C$10,COUNTIFS(ThongTin!$B$19:$B$48,C594,ThongTin!$A$19:$A$48,ThongTin!$C$8,ThongTin!$C$19:$C$48,"XUAT_SP")&gt;0),1,0))</f>
        <v>0</v>
      </c>
    </row>
    <row r="595" spans="1:8" x14ac:dyDescent="0.25">
      <c r="A595" s="41"/>
      <c r="B595" s="33"/>
      <c r="C595" s="32"/>
      <c r="D595" s="32"/>
      <c r="E595" s="37"/>
      <c r="F595" s="42"/>
      <c r="G595" s="32"/>
      <c r="H595" s="36">
        <f>IF(D595="",0,IF(AND(B595&gt;=ThongTin!$C$9,B595&lt;=ThongTin!$C$10,COUNTIFS(ThongTin!$B$19:$B$48,C595,ThongTin!$A$19:$A$48,ThongTin!$C$8,ThongTin!$C$19:$C$48,"XUAT_SP")&gt;0),1,0))</f>
        <v>0</v>
      </c>
    </row>
    <row r="596" spans="1:8" x14ac:dyDescent="0.25">
      <c r="A596" s="41"/>
      <c r="B596" s="33"/>
      <c r="C596" s="32"/>
      <c r="D596" s="32"/>
      <c r="E596" s="37"/>
      <c r="F596" s="42"/>
      <c r="G596" s="32"/>
      <c r="H596" s="36">
        <f>IF(D596="",0,IF(AND(B596&gt;=ThongTin!$C$9,B596&lt;=ThongTin!$C$10,COUNTIFS(ThongTin!$B$19:$B$48,C596,ThongTin!$A$19:$A$48,ThongTin!$C$8,ThongTin!$C$19:$C$48,"XUAT_SP")&gt;0),1,0))</f>
        <v>0</v>
      </c>
    </row>
    <row r="597" spans="1:8" x14ac:dyDescent="0.25">
      <c r="A597" s="41"/>
      <c r="B597" s="33"/>
      <c r="C597" s="32"/>
      <c r="D597" s="32"/>
      <c r="E597" s="37"/>
      <c r="F597" s="42"/>
      <c r="G597" s="32"/>
      <c r="H597" s="36">
        <f>IF(D597="",0,IF(AND(B597&gt;=ThongTin!$C$9,B597&lt;=ThongTin!$C$10,COUNTIFS(ThongTin!$B$19:$B$48,C597,ThongTin!$A$19:$A$48,ThongTin!$C$8,ThongTin!$C$19:$C$48,"XUAT_SP")&gt;0),1,0))</f>
        <v>0</v>
      </c>
    </row>
    <row r="598" spans="1:8" x14ac:dyDescent="0.25">
      <c r="A598" s="41"/>
      <c r="B598" s="33"/>
      <c r="C598" s="32"/>
      <c r="D598" s="32"/>
      <c r="E598" s="37"/>
      <c r="F598" s="42"/>
      <c r="G598" s="32"/>
      <c r="H598" s="36">
        <f>IF(D598="",0,IF(AND(B598&gt;=ThongTin!$C$9,B598&lt;=ThongTin!$C$10,COUNTIFS(ThongTin!$B$19:$B$48,C598,ThongTin!$A$19:$A$48,ThongTin!$C$8,ThongTin!$C$19:$C$48,"XUAT_SP")&gt;0),1,0))</f>
        <v>0</v>
      </c>
    </row>
    <row r="599" spans="1:8" x14ac:dyDescent="0.25">
      <c r="A599" s="41"/>
      <c r="B599" s="33"/>
      <c r="C599" s="32"/>
      <c r="D599" s="32"/>
      <c r="E599" s="37"/>
      <c r="F599" s="42"/>
      <c r="G599" s="32"/>
      <c r="H599" s="36">
        <f>IF(D599="",0,IF(AND(B599&gt;=ThongTin!$C$9,B599&lt;=ThongTin!$C$10,COUNTIFS(ThongTin!$B$19:$B$48,C599,ThongTin!$A$19:$A$48,ThongTin!$C$8,ThongTin!$C$19:$C$48,"XUAT_SP")&gt;0),1,0))</f>
        <v>0</v>
      </c>
    </row>
    <row r="600" spans="1:8" x14ac:dyDescent="0.25">
      <c r="A600" s="41"/>
      <c r="B600" s="33"/>
      <c r="C600" s="32"/>
      <c r="D600" s="32"/>
      <c r="E600" s="37"/>
      <c r="F600" s="42"/>
      <c r="G600" s="32"/>
      <c r="H600" s="36">
        <f>IF(D600="",0,IF(AND(B600&gt;=ThongTin!$C$9,B600&lt;=ThongTin!$C$10,COUNTIFS(ThongTin!$B$19:$B$48,C600,ThongTin!$A$19:$A$48,ThongTin!$C$8,ThongTin!$C$19:$C$48,"XUAT_SP")&gt;0),1,0))</f>
        <v>0</v>
      </c>
    </row>
    <row r="601" spans="1:8" x14ac:dyDescent="0.25">
      <c r="A601" s="41"/>
      <c r="B601" s="33"/>
      <c r="C601" s="32"/>
      <c r="D601" s="32"/>
      <c r="E601" s="37"/>
      <c r="F601" s="42"/>
      <c r="G601" s="32"/>
      <c r="H601" s="36">
        <f>IF(D601="",0,IF(AND(B601&gt;=ThongTin!$C$9,B601&lt;=ThongTin!$C$10,COUNTIFS(ThongTin!$B$19:$B$48,C601,ThongTin!$A$19:$A$48,ThongTin!$C$8,ThongTin!$C$19:$C$48,"XUAT_SP")&gt;0),1,0))</f>
        <v>0</v>
      </c>
    </row>
    <row r="602" spans="1:8" x14ac:dyDescent="0.25">
      <c r="A602" s="41"/>
      <c r="B602" s="33"/>
      <c r="C602" s="32"/>
      <c r="D602" s="32"/>
      <c r="E602" s="37"/>
      <c r="F602" s="42"/>
      <c r="G602" s="32"/>
      <c r="H602" s="36">
        <f>IF(D602="",0,IF(AND(B602&gt;=ThongTin!$C$9,B602&lt;=ThongTin!$C$10,COUNTIFS(ThongTin!$B$19:$B$48,C602,ThongTin!$A$19:$A$48,ThongTin!$C$8,ThongTin!$C$19:$C$48,"XUAT_SP")&gt;0),1,0))</f>
        <v>0</v>
      </c>
    </row>
    <row r="603" spans="1:8" x14ac:dyDescent="0.25">
      <c r="A603" s="41"/>
      <c r="B603" s="33"/>
      <c r="C603" s="32"/>
      <c r="D603" s="32"/>
      <c r="E603" s="37"/>
      <c r="F603" s="42"/>
      <c r="G603" s="32"/>
      <c r="H603" s="36">
        <f>IF(D603="",0,IF(AND(B603&gt;=ThongTin!$C$9,B603&lt;=ThongTin!$C$10,COUNTIFS(ThongTin!$B$19:$B$48,C603,ThongTin!$A$19:$A$48,ThongTin!$C$8,ThongTin!$C$19:$C$48,"XUAT_SP")&gt;0),1,0))</f>
        <v>0</v>
      </c>
    </row>
    <row r="604" spans="1:8" x14ac:dyDescent="0.25">
      <c r="A604" s="41"/>
      <c r="B604" s="33"/>
      <c r="C604" s="32"/>
      <c r="D604" s="32"/>
      <c r="E604" s="37"/>
      <c r="F604" s="42"/>
      <c r="G604" s="32"/>
      <c r="H604" s="36">
        <f>IF(D604="",0,IF(AND(B604&gt;=ThongTin!$C$9,B604&lt;=ThongTin!$C$10,COUNTIFS(ThongTin!$B$19:$B$48,C604,ThongTin!$A$19:$A$48,ThongTin!$C$8,ThongTin!$C$19:$C$48,"XUAT_SP")&gt;0),1,0))</f>
        <v>0</v>
      </c>
    </row>
    <row r="605" spans="1:8" x14ac:dyDescent="0.25">
      <c r="A605" s="41"/>
      <c r="B605" s="33"/>
      <c r="C605" s="32"/>
      <c r="D605" s="32"/>
      <c r="E605" s="37"/>
      <c r="F605" s="42"/>
      <c r="G605" s="32"/>
      <c r="H605" s="36">
        <f>IF(D605="",0,IF(AND(B605&gt;=ThongTin!$C$9,B605&lt;=ThongTin!$C$10,COUNTIFS(ThongTin!$B$19:$B$48,C605,ThongTin!$A$19:$A$48,ThongTin!$C$8,ThongTin!$C$19:$C$48,"XUAT_SP")&gt;0),1,0))</f>
        <v>0</v>
      </c>
    </row>
    <row r="606" spans="1:8" x14ac:dyDescent="0.25">
      <c r="A606" s="41"/>
      <c r="B606" s="33"/>
      <c r="C606" s="32"/>
      <c r="D606" s="32"/>
      <c r="E606" s="37"/>
      <c r="F606" s="42"/>
      <c r="G606" s="32"/>
      <c r="H606" s="36">
        <f>IF(D606="",0,IF(AND(B606&gt;=ThongTin!$C$9,B606&lt;=ThongTin!$C$10,COUNTIFS(ThongTin!$B$19:$B$48,C606,ThongTin!$A$19:$A$48,ThongTin!$C$8,ThongTin!$C$19:$C$48,"XUAT_SP")&gt;0),1,0))</f>
        <v>0</v>
      </c>
    </row>
    <row r="607" spans="1:8" x14ac:dyDescent="0.25">
      <c r="A607" s="41"/>
      <c r="B607" s="33"/>
      <c r="C607" s="32"/>
      <c r="D607" s="32"/>
      <c r="E607" s="37"/>
      <c r="F607" s="42"/>
      <c r="G607" s="32"/>
      <c r="H607" s="36">
        <f>IF(D607="",0,IF(AND(B607&gt;=ThongTin!$C$9,B607&lt;=ThongTin!$C$10,COUNTIFS(ThongTin!$B$19:$B$48,C607,ThongTin!$A$19:$A$48,ThongTin!$C$8,ThongTin!$C$19:$C$48,"XUAT_SP")&gt;0),1,0))</f>
        <v>0</v>
      </c>
    </row>
    <row r="608" spans="1:8" x14ac:dyDescent="0.25">
      <c r="A608" s="41"/>
      <c r="B608" s="33"/>
      <c r="C608" s="32"/>
      <c r="D608" s="32"/>
      <c r="E608" s="37"/>
      <c r="F608" s="42"/>
      <c r="G608" s="32"/>
      <c r="H608" s="36">
        <f>IF(D608="",0,IF(AND(B608&gt;=ThongTin!$C$9,B608&lt;=ThongTin!$C$10,COUNTIFS(ThongTin!$B$19:$B$48,C608,ThongTin!$A$19:$A$48,ThongTin!$C$8,ThongTin!$C$19:$C$48,"XUAT_SP")&gt;0),1,0))</f>
        <v>0</v>
      </c>
    </row>
    <row r="609" spans="1:8" x14ac:dyDescent="0.25">
      <c r="A609" s="41"/>
      <c r="B609" s="33"/>
      <c r="C609" s="32"/>
      <c r="D609" s="32"/>
      <c r="E609" s="37"/>
      <c r="F609" s="42"/>
      <c r="G609" s="32"/>
      <c r="H609" s="36">
        <f>IF(D609="",0,IF(AND(B609&gt;=ThongTin!$C$9,B609&lt;=ThongTin!$C$10,COUNTIFS(ThongTin!$B$19:$B$48,C609,ThongTin!$A$19:$A$48,ThongTin!$C$8,ThongTin!$C$19:$C$48,"XUAT_SP")&gt;0),1,0))</f>
        <v>0</v>
      </c>
    </row>
    <row r="610" spans="1:8" x14ac:dyDescent="0.25">
      <c r="A610" s="41"/>
      <c r="B610" s="33"/>
      <c r="C610" s="32"/>
      <c r="D610" s="32"/>
      <c r="E610" s="37"/>
      <c r="F610" s="42"/>
      <c r="G610" s="32"/>
      <c r="H610" s="36">
        <f>IF(D610="",0,IF(AND(B610&gt;=ThongTin!$C$9,B610&lt;=ThongTin!$C$10,COUNTIFS(ThongTin!$B$19:$B$48,C610,ThongTin!$A$19:$A$48,ThongTin!$C$8,ThongTin!$C$19:$C$48,"XUAT_SP")&gt;0),1,0))</f>
        <v>0</v>
      </c>
    </row>
    <row r="611" spans="1:8" x14ac:dyDescent="0.25">
      <c r="A611" s="41"/>
      <c r="B611" s="33"/>
      <c r="C611" s="32"/>
      <c r="D611" s="32"/>
      <c r="E611" s="37"/>
      <c r="F611" s="42"/>
      <c r="G611" s="32"/>
      <c r="H611" s="36">
        <f>IF(D611="",0,IF(AND(B611&gt;=ThongTin!$C$9,B611&lt;=ThongTin!$C$10,COUNTIFS(ThongTin!$B$19:$B$48,C611,ThongTin!$A$19:$A$48,ThongTin!$C$8,ThongTin!$C$19:$C$48,"XUAT_SP")&gt;0),1,0))</f>
        <v>0</v>
      </c>
    </row>
    <row r="612" spans="1:8" x14ac:dyDescent="0.25">
      <c r="A612" s="41"/>
      <c r="B612" s="33"/>
      <c r="C612" s="32"/>
      <c r="D612" s="32"/>
      <c r="E612" s="37"/>
      <c r="F612" s="42"/>
      <c r="G612" s="32"/>
      <c r="H612" s="36">
        <f>IF(D612="",0,IF(AND(B612&gt;=ThongTin!$C$9,B612&lt;=ThongTin!$C$10,COUNTIFS(ThongTin!$B$19:$B$48,C612,ThongTin!$A$19:$A$48,ThongTin!$C$8,ThongTin!$C$19:$C$48,"XUAT_SP")&gt;0),1,0))</f>
        <v>0</v>
      </c>
    </row>
    <row r="613" spans="1:8" x14ac:dyDescent="0.25">
      <c r="A613" s="41"/>
      <c r="B613" s="33"/>
      <c r="C613" s="32"/>
      <c r="D613" s="32"/>
      <c r="E613" s="37"/>
      <c r="F613" s="42"/>
      <c r="G613" s="32"/>
      <c r="H613" s="36">
        <f>IF(D613="",0,IF(AND(B613&gt;=ThongTin!$C$9,B613&lt;=ThongTin!$C$10,COUNTIFS(ThongTin!$B$19:$B$48,C613,ThongTin!$A$19:$A$48,ThongTin!$C$8,ThongTin!$C$19:$C$48,"XUAT_SP")&gt;0),1,0))</f>
        <v>0</v>
      </c>
    </row>
    <row r="614" spans="1:8" x14ac:dyDescent="0.25">
      <c r="A614" s="41"/>
      <c r="B614" s="33"/>
      <c r="C614" s="32"/>
      <c r="D614" s="32"/>
      <c r="E614" s="37"/>
      <c r="F614" s="42"/>
      <c r="G614" s="32"/>
      <c r="H614" s="36">
        <f>IF(D614="",0,IF(AND(B614&gt;=ThongTin!$C$9,B614&lt;=ThongTin!$C$10,COUNTIFS(ThongTin!$B$19:$B$48,C614,ThongTin!$A$19:$A$48,ThongTin!$C$8,ThongTin!$C$19:$C$48,"XUAT_SP")&gt;0),1,0))</f>
        <v>0</v>
      </c>
    </row>
    <row r="615" spans="1:8" x14ac:dyDescent="0.25">
      <c r="A615" s="41"/>
      <c r="B615" s="33"/>
      <c r="C615" s="32"/>
      <c r="D615" s="32"/>
      <c r="E615" s="37"/>
      <c r="F615" s="42"/>
      <c r="G615" s="32"/>
      <c r="H615" s="36">
        <f>IF(D615="",0,IF(AND(B615&gt;=ThongTin!$C$9,B615&lt;=ThongTin!$C$10,COUNTIFS(ThongTin!$B$19:$B$48,C615,ThongTin!$A$19:$A$48,ThongTin!$C$8,ThongTin!$C$19:$C$48,"XUAT_SP")&gt;0),1,0))</f>
        <v>0</v>
      </c>
    </row>
    <row r="616" spans="1:8" x14ac:dyDescent="0.25">
      <c r="A616" s="41"/>
      <c r="B616" s="33"/>
      <c r="C616" s="32"/>
      <c r="D616" s="32"/>
      <c r="E616" s="37"/>
      <c r="F616" s="42"/>
      <c r="G616" s="32"/>
      <c r="H616" s="36">
        <f>IF(D616="",0,IF(AND(B616&gt;=ThongTin!$C$9,B616&lt;=ThongTin!$C$10,COUNTIFS(ThongTin!$B$19:$B$48,C616,ThongTin!$A$19:$A$48,ThongTin!$C$8,ThongTin!$C$19:$C$48,"XUAT_SP")&gt;0),1,0))</f>
        <v>0</v>
      </c>
    </row>
    <row r="617" spans="1:8" x14ac:dyDescent="0.25">
      <c r="A617" s="41"/>
      <c r="B617" s="33"/>
      <c r="C617" s="32"/>
      <c r="D617" s="32"/>
      <c r="E617" s="37"/>
      <c r="F617" s="42"/>
      <c r="G617" s="32"/>
      <c r="H617" s="36">
        <f>IF(D617="",0,IF(AND(B617&gt;=ThongTin!$C$9,B617&lt;=ThongTin!$C$10,COUNTIFS(ThongTin!$B$19:$B$48,C617,ThongTin!$A$19:$A$48,ThongTin!$C$8,ThongTin!$C$19:$C$48,"XUAT_SP")&gt;0),1,0))</f>
        <v>0</v>
      </c>
    </row>
    <row r="618" spans="1:8" x14ac:dyDescent="0.25">
      <c r="A618" s="41"/>
      <c r="B618" s="33"/>
      <c r="C618" s="32"/>
      <c r="D618" s="32"/>
      <c r="E618" s="37"/>
      <c r="F618" s="42"/>
      <c r="G618" s="32"/>
      <c r="H618" s="36">
        <f>IF(D618="",0,IF(AND(B618&gt;=ThongTin!$C$9,B618&lt;=ThongTin!$C$10,COUNTIFS(ThongTin!$B$19:$B$48,C618,ThongTin!$A$19:$A$48,ThongTin!$C$8,ThongTin!$C$19:$C$48,"XUAT_SP")&gt;0),1,0))</f>
        <v>0</v>
      </c>
    </row>
    <row r="619" spans="1:8" x14ac:dyDescent="0.25">
      <c r="A619" s="41"/>
      <c r="B619" s="33"/>
      <c r="C619" s="32"/>
      <c r="D619" s="32"/>
      <c r="E619" s="37"/>
      <c r="F619" s="42"/>
      <c r="G619" s="32"/>
      <c r="H619" s="36">
        <f>IF(D619="",0,IF(AND(B619&gt;=ThongTin!$C$9,B619&lt;=ThongTin!$C$10,COUNTIFS(ThongTin!$B$19:$B$48,C619,ThongTin!$A$19:$A$48,ThongTin!$C$8,ThongTin!$C$19:$C$48,"XUAT_SP")&gt;0),1,0))</f>
        <v>0</v>
      </c>
    </row>
    <row r="620" spans="1:8" x14ac:dyDescent="0.25">
      <c r="A620" s="41"/>
      <c r="B620" s="33"/>
      <c r="C620" s="32"/>
      <c r="D620" s="32"/>
      <c r="E620" s="37"/>
      <c r="F620" s="42"/>
      <c r="G620" s="32"/>
      <c r="H620" s="36">
        <f>IF(D620="",0,IF(AND(B620&gt;=ThongTin!$C$9,B620&lt;=ThongTin!$C$10,COUNTIFS(ThongTin!$B$19:$B$48,C620,ThongTin!$A$19:$A$48,ThongTin!$C$8,ThongTin!$C$19:$C$48,"XUAT_SP")&gt;0),1,0))</f>
        <v>0</v>
      </c>
    </row>
    <row r="621" spans="1:8" x14ac:dyDescent="0.25">
      <c r="A621" s="41"/>
      <c r="B621" s="33"/>
      <c r="C621" s="32"/>
      <c r="D621" s="32"/>
      <c r="E621" s="37"/>
      <c r="F621" s="42"/>
      <c r="G621" s="32"/>
      <c r="H621" s="36">
        <f>IF(D621="",0,IF(AND(B621&gt;=ThongTin!$C$9,B621&lt;=ThongTin!$C$10,COUNTIFS(ThongTin!$B$19:$B$48,C621,ThongTin!$A$19:$A$48,ThongTin!$C$8,ThongTin!$C$19:$C$48,"XUAT_SP")&gt;0),1,0))</f>
        <v>0</v>
      </c>
    </row>
    <row r="622" spans="1:8" x14ac:dyDescent="0.25">
      <c r="A622" s="41"/>
      <c r="B622" s="33"/>
      <c r="C622" s="32"/>
      <c r="D622" s="32"/>
      <c r="E622" s="37"/>
      <c r="F622" s="42"/>
      <c r="G622" s="32"/>
      <c r="H622" s="36">
        <f>IF(D622="",0,IF(AND(B622&gt;=ThongTin!$C$9,B622&lt;=ThongTin!$C$10,COUNTIFS(ThongTin!$B$19:$B$48,C622,ThongTin!$A$19:$A$48,ThongTin!$C$8,ThongTin!$C$19:$C$48,"XUAT_SP")&gt;0),1,0))</f>
        <v>0</v>
      </c>
    </row>
    <row r="623" spans="1:8" x14ac:dyDescent="0.25">
      <c r="A623" s="41"/>
      <c r="B623" s="33"/>
      <c r="C623" s="32"/>
      <c r="D623" s="32"/>
      <c r="E623" s="37"/>
      <c r="F623" s="42"/>
      <c r="G623" s="32"/>
      <c r="H623" s="36">
        <f>IF(D623="",0,IF(AND(B623&gt;=ThongTin!$C$9,B623&lt;=ThongTin!$C$10,COUNTIFS(ThongTin!$B$19:$B$48,C623,ThongTin!$A$19:$A$48,ThongTin!$C$8,ThongTin!$C$19:$C$48,"XUAT_SP")&gt;0),1,0))</f>
        <v>0</v>
      </c>
    </row>
    <row r="624" spans="1:8" x14ac:dyDescent="0.25">
      <c r="A624" s="41"/>
      <c r="B624" s="33"/>
      <c r="C624" s="32"/>
      <c r="D624" s="32"/>
      <c r="E624" s="37"/>
      <c r="F624" s="42"/>
      <c r="G624" s="32"/>
      <c r="H624" s="36">
        <f>IF(D624="",0,IF(AND(B624&gt;=ThongTin!$C$9,B624&lt;=ThongTin!$C$10,COUNTIFS(ThongTin!$B$19:$B$48,C624,ThongTin!$A$19:$A$48,ThongTin!$C$8,ThongTin!$C$19:$C$48,"XUAT_SP")&gt;0),1,0))</f>
        <v>0</v>
      </c>
    </row>
    <row r="625" spans="1:8" x14ac:dyDescent="0.25">
      <c r="A625" s="41"/>
      <c r="B625" s="33"/>
      <c r="C625" s="32"/>
      <c r="D625" s="32"/>
      <c r="E625" s="37"/>
      <c r="F625" s="42"/>
      <c r="G625" s="32"/>
      <c r="H625" s="36">
        <f>IF(D625="",0,IF(AND(B625&gt;=ThongTin!$C$9,B625&lt;=ThongTin!$C$10,COUNTIFS(ThongTin!$B$19:$B$48,C625,ThongTin!$A$19:$A$48,ThongTin!$C$8,ThongTin!$C$19:$C$48,"XUAT_SP")&gt;0),1,0))</f>
        <v>0</v>
      </c>
    </row>
    <row r="626" spans="1:8" x14ac:dyDescent="0.25">
      <c r="A626" s="41"/>
      <c r="B626" s="33"/>
      <c r="C626" s="32"/>
      <c r="D626" s="32"/>
      <c r="E626" s="37"/>
      <c r="F626" s="42"/>
      <c r="G626" s="32"/>
      <c r="H626" s="36">
        <f>IF(D626="",0,IF(AND(B626&gt;=ThongTin!$C$9,B626&lt;=ThongTin!$C$10,COUNTIFS(ThongTin!$B$19:$B$48,C626,ThongTin!$A$19:$A$48,ThongTin!$C$8,ThongTin!$C$19:$C$48,"XUAT_SP")&gt;0),1,0))</f>
        <v>0</v>
      </c>
    </row>
    <row r="627" spans="1:8" x14ac:dyDescent="0.25">
      <c r="A627" s="41"/>
      <c r="B627" s="33"/>
      <c r="C627" s="32"/>
      <c r="D627" s="32"/>
      <c r="E627" s="37"/>
      <c r="F627" s="42"/>
      <c r="G627" s="32"/>
      <c r="H627" s="36">
        <f>IF(D627="",0,IF(AND(B627&gt;=ThongTin!$C$9,B627&lt;=ThongTin!$C$10,COUNTIFS(ThongTin!$B$19:$B$48,C627,ThongTin!$A$19:$A$48,ThongTin!$C$8,ThongTin!$C$19:$C$48,"XUAT_SP")&gt;0),1,0))</f>
        <v>0</v>
      </c>
    </row>
    <row r="628" spans="1:8" x14ac:dyDescent="0.25">
      <c r="A628" s="41"/>
      <c r="B628" s="33"/>
      <c r="C628" s="32"/>
      <c r="D628" s="32"/>
      <c r="E628" s="37"/>
      <c r="F628" s="42"/>
      <c r="G628" s="32"/>
      <c r="H628" s="36">
        <f>IF(D628="",0,IF(AND(B628&gt;=ThongTin!$C$9,B628&lt;=ThongTin!$C$10,COUNTIFS(ThongTin!$B$19:$B$48,C628,ThongTin!$A$19:$A$48,ThongTin!$C$8,ThongTin!$C$19:$C$48,"XUAT_SP")&gt;0),1,0))</f>
        <v>0</v>
      </c>
    </row>
    <row r="629" spans="1:8" x14ac:dyDescent="0.25">
      <c r="A629" s="41"/>
      <c r="B629" s="33"/>
      <c r="C629" s="32"/>
      <c r="D629" s="32"/>
      <c r="E629" s="37"/>
      <c r="F629" s="42"/>
      <c r="G629" s="32"/>
      <c r="H629" s="36">
        <f>IF(D629="",0,IF(AND(B629&gt;=ThongTin!$C$9,B629&lt;=ThongTin!$C$10,COUNTIFS(ThongTin!$B$19:$B$48,C629,ThongTin!$A$19:$A$48,ThongTin!$C$8,ThongTin!$C$19:$C$48,"XUAT_SP")&gt;0),1,0))</f>
        <v>0</v>
      </c>
    </row>
    <row r="630" spans="1:8" x14ac:dyDescent="0.25">
      <c r="A630" s="41"/>
      <c r="B630" s="33"/>
      <c r="C630" s="32"/>
      <c r="D630" s="32"/>
      <c r="E630" s="37"/>
      <c r="F630" s="42"/>
      <c r="G630" s="32"/>
      <c r="H630" s="36">
        <f>IF(D630="",0,IF(AND(B630&gt;=ThongTin!$C$9,B630&lt;=ThongTin!$C$10,COUNTIFS(ThongTin!$B$19:$B$48,C630,ThongTin!$A$19:$A$48,ThongTin!$C$8,ThongTin!$C$19:$C$48,"XUAT_SP")&gt;0),1,0))</f>
        <v>0</v>
      </c>
    </row>
    <row r="631" spans="1:8" x14ac:dyDescent="0.25">
      <c r="A631" s="41"/>
      <c r="B631" s="33"/>
      <c r="C631" s="32"/>
      <c r="D631" s="32"/>
      <c r="E631" s="37"/>
      <c r="F631" s="42"/>
      <c r="G631" s="32"/>
      <c r="H631" s="36">
        <f>IF(D631="",0,IF(AND(B631&gt;=ThongTin!$C$9,B631&lt;=ThongTin!$C$10,COUNTIFS(ThongTin!$B$19:$B$48,C631,ThongTin!$A$19:$A$48,ThongTin!$C$8,ThongTin!$C$19:$C$48,"XUAT_SP")&gt;0),1,0))</f>
        <v>0</v>
      </c>
    </row>
    <row r="632" spans="1:8" x14ac:dyDescent="0.25">
      <c r="A632" s="41"/>
      <c r="B632" s="33"/>
      <c r="C632" s="32"/>
      <c r="D632" s="32"/>
      <c r="E632" s="37"/>
      <c r="F632" s="42"/>
      <c r="G632" s="32"/>
      <c r="H632" s="36">
        <f>IF(D632="",0,IF(AND(B632&gt;=ThongTin!$C$9,B632&lt;=ThongTin!$C$10,COUNTIFS(ThongTin!$B$19:$B$48,C632,ThongTin!$A$19:$A$48,ThongTin!$C$8,ThongTin!$C$19:$C$48,"XUAT_SP")&gt;0),1,0))</f>
        <v>0</v>
      </c>
    </row>
    <row r="633" spans="1:8" x14ac:dyDescent="0.25">
      <c r="A633" s="41"/>
      <c r="B633" s="33"/>
      <c r="C633" s="32"/>
      <c r="D633" s="32"/>
      <c r="E633" s="37"/>
      <c r="F633" s="42"/>
      <c r="G633" s="32"/>
      <c r="H633" s="36">
        <f>IF(D633="",0,IF(AND(B633&gt;=ThongTin!$C$9,B633&lt;=ThongTin!$C$10,COUNTIFS(ThongTin!$B$19:$B$48,C633,ThongTin!$A$19:$A$48,ThongTin!$C$8,ThongTin!$C$19:$C$48,"XUAT_SP")&gt;0),1,0))</f>
        <v>0</v>
      </c>
    </row>
    <row r="634" spans="1:8" x14ac:dyDescent="0.25">
      <c r="A634" s="41"/>
      <c r="B634" s="33"/>
      <c r="C634" s="32"/>
      <c r="D634" s="32"/>
      <c r="E634" s="37"/>
      <c r="F634" s="42"/>
      <c r="G634" s="32"/>
      <c r="H634" s="36">
        <f>IF(D634="",0,IF(AND(B634&gt;=ThongTin!$C$9,B634&lt;=ThongTin!$C$10,COUNTIFS(ThongTin!$B$19:$B$48,C634,ThongTin!$A$19:$A$48,ThongTin!$C$8,ThongTin!$C$19:$C$48,"XUAT_SP")&gt;0),1,0))</f>
        <v>0</v>
      </c>
    </row>
    <row r="635" spans="1:8" x14ac:dyDescent="0.25">
      <c r="A635" s="41"/>
      <c r="B635" s="33"/>
      <c r="C635" s="32"/>
      <c r="D635" s="32"/>
      <c r="E635" s="37"/>
      <c r="F635" s="42"/>
      <c r="G635" s="32"/>
      <c r="H635" s="36">
        <f>IF(D635="",0,IF(AND(B635&gt;=ThongTin!$C$9,B635&lt;=ThongTin!$C$10,COUNTIFS(ThongTin!$B$19:$B$48,C635,ThongTin!$A$19:$A$48,ThongTin!$C$8,ThongTin!$C$19:$C$48,"XUAT_SP")&gt;0),1,0))</f>
        <v>0</v>
      </c>
    </row>
    <row r="636" spans="1:8" x14ac:dyDescent="0.25">
      <c r="A636" s="41"/>
      <c r="B636" s="33"/>
      <c r="C636" s="32"/>
      <c r="D636" s="32"/>
      <c r="E636" s="37"/>
      <c r="F636" s="42"/>
      <c r="G636" s="32"/>
      <c r="H636" s="36">
        <f>IF(D636="",0,IF(AND(B636&gt;=ThongTin!$C$9,B636&lt;=ThongTin!$C$10,COUNTIFS(ThongTin!$B$19:$B$48,C636,ThongTin!$A$19:$A$48,ThongTin!$C$8,ThongTin!$C$19:$C$48,"XUAT_SP")&gt;0),1,0))</f>
        <v>0</v>
      </c>
    </row>
    <row r="637" spans="1:8" x14ac:dyDescent="0.25">
      <c r="A637" s="41"/>
      <c r="B637" s="33"/>
      <c r="C637" s="32"/>
      <c r="D637" s="32"/>
      <c r="E637" s="37"/>
      <c r="F637" s="42"/>
      <c r="G637" s="32"/>
      <c r="H637" s="36">
        <f>IF(D637="",0,IF(AND(B637&gt;=ThongTin!$C$9,B637&lt;=ThongTin!$C$10,COUNTIFS(ThongTin!$B$19:$B$48,C637,ThongTin!$A$19:$A$48,ThongTin!$C$8,ThongTin!$C$19:$C$48,"XUAT_SP")&gt;0),1,0))</f>
        <v>0</v>
      </c>
    </row>
    <row r="638" spans="1:8" x14ac:dyDescent="0.25">
      <c r="A638" s="41"/>
      <c r="B638" s="33"/>
      <c r="C638" s="32"/>
      <c r="D638" s="32"/>
      <c r="E638" s="37"/>
      <c r="F638" s="42"/>
      <c r="G638" s="32"/>
      <c r="H638" s="36">
        <f>IF(D638="",0,IF(AND(B638&gt;=ThongTin!$C$9,B638&lt;=ThongTin!$C$10,COUNTIFS(ThongTin!$B$19:$B$48,C638,ThongTin!$A$19:$A$48,ThongTin!$C$8,ThongTin!$C$19:$C$48,"XUAT_SP")&gt;0),1,0))</f>
        <v>0</v>
      </c>
    </row>
    <row r="639" spans="1:8" x14ac:dyDescent="0.25">
      <c r="A639" s="41"/>
      <c r="B639" s="33"/>
      <c r="C639" s="32"/>
      <c r="D639" s="32"/>
      <c r="E639" s="37"/>
      <c r="F639" s="42"/>
      <c r="G639" s="32"/>
      <c r="H639" s="36">
        <f>IF(D639="",0,IF(AND(B639&gt;=ThongTin!$C$9,B639&lt;=ThongTin!$C$10,COUNTIFS(ThongTin!$B$19:$B$48,C639,ThongTin!$A$19:$A$48,ThongTin!$C$8,ThongTin!$C$19:$C$48,"XUAT_SP")&gt;0),1,0))</f>
        <v>0</v>
      </c>
    </row>
    <row r="640" spans="1:8" x14ac:dyDescent="0.25">
      <c r="A640" s="41"/>
      <c r="B640" s="33"/>
      <c r="C640" s="32"/>
      <c r="D640" s="32"/>
      <c r="E640" s="37"/>
      <c r="F640" s="42"/>
      <c r="G640" s="32"/>
      <c r="H640" s="36">
        <f>IF(D640="",0,IF(AND(B640&gt;=ThongTin!$C$9,B640&lt;=ThongTin!$C$10,COUNTIFS(ThongTin!$B$19:$B$48,C640,ThongTin!$A$19:$A$48,ThongTin!$C$8,ThongTin!$C$19:$C$48,"XUAT_SP")&gt;0),1,0))</f>
        <v>0</v>
      </c>
    </row>
    <row r="641" spans="1:8" x14ac:dyDescent="0.25">
      <c r="A641" s="41"/>
      <c r="B641" s="33"/>
      <c r="C641" s="32"/>
      <c r="D641" s="32"/>
      <c r="E641" s="37"/>
      <c r="F641" s="42"/>
      <c r="G641" s="32"/>
      <c r="H641" s="36">
        <f>IF(D641="",0,IF(AND(B641&gt;=ThongTin!$C$9,B641&lt;=ThongTin!$C$10,COUNTIFS(ThongTin!$B$19:$B$48,C641,ThongTin!$A$19:$A$48,ThongTin!$C$8,ThongTin!$C$19:$C$48,"XUAT_SP")&gt;0),1,0))</f>
        <v>0</v>
      </c>
    </row>
    <row r="642" spans="1:8" x14ac:dyDescent="0.25">
      <c r="A642" s="41"/>
      <c r="B642" s="33"/>
      <c r="C642" s="32"/>
      <c r="D642" s="32"/>
      <c r="E642" s="37"/>
      <c r="F642" s="42"/>
      <c r="G642" s="32"/>
      <c r="H642" s="36">
        <f>IF(D642="",0,IF(AND(B642&gt;=ThongTin!$C$9,B642&lt;=ThongTin!$C$10,COUNTIFS(ThongTin!$B$19:$B$48,C642,ThongTin!$A$19:$A$48,ThongTin!$C$8,ThongTin!$C$19:$C$48,"XUAT_SP")&gt;0),1,0))</f>
        <v>0</v>
      </c>
    </row>
    <row r="643" spans="1:8" x14ac:dyDescent="0.25">
      <c r="A643" s="41"/>
      <c r="B643" s="33"/>
      <c r="C643" s="32"/>
      <c r="D643" s="32"/>
      <c r="E643" s="37"/>
      <c r="F643" s="42"/>
      <c r="G643" s="32"/>
      <c r="H643" s="36">
        <f>IF(D643="",0,IF(AND(B643&gt;=ThongTin!$C$9,B643&lt;=ThongTin!$C$10,COUNTIFS(ThongTin!$B$19:$B$48,C643,ThongTin!$A$19:$A$48,ThongTin!$C$8,ThongTin!$C$19:$C$48,"XUAT_SP")&gt;0),1,0))</f>
        <v>0</v>
      </c>
    </row>
    <row r="644" spans="1:8" x14ac:dyDescent="0.25">
      <c r="A644" s="41"/>
      <c r="B644" s="33"/>
      <c r="C644" s="32"/>
      <c r="D644" s="32"/>
      <c r="E644" s="37"/>
      <c r="F644" s="42"/>
      <c r="G644" s="32"/>
      <c r="H644" s="36">
        <f>IF(D644="",0,IF(AND(B644&gt;=ThongTin!$C$9,B644&lt;=ThongTin!$C$10,COUNTIFS(ThongTin!$B$19:$B$48,C644,ThongTin!$A$19:$A$48,ThongTin!$C$8,ThongTin!$C$19:$C$48,"XUAT_SP")&gt;0),1,0))</f>
        <v>0</v>
      </c>
    </row>
    <row r="645" spans="1:8" x14ac:dyDescent="0.25">
      <c r="A645" s="41"/>
      <c r="B645" s="33"/>
      <c r="C645" s="32"/>
      <c r="D645" s="32"/>
      <c r="E645" s="37"/>
      <c r="F645" s="42"/>
      <c r="G645" s="32"/>
      <c r="H645" s="36">
        <f>IF(D645="",0,IF(AND(B645&gt;=ThongTin!$C$9,B645&lt;=ThongTin!$C$10,COUNTIFS(ThongTin!$B$19:$B$48,C645,ThongTin!$A$19:$A$48,ThongTin!$C$8,ThongTin!$C$19:$C$48,"XUAT_SP")&gt;0),1,0))</f>
        <v>0</v>
      </c>
    </row>
    <row r="646" spans="1:8" x14ac:dyDescent="0.25">
      <c r="A646" s="41"/>
      <c r="B646" s="33"/>
      <c r="C646" s="32"/>
      <c r="D646" s="32"/>
      <c r="E646" s="37"/>
      <c r="F646" s="42"/>
      <c r="G646" s="32"/>
      <c r="H646" s="36">
        <f>IF(D646="",0,IF(AND(B646&gt;=ThongTin!$C$9,B646&lt;=ThongTin!$C$10,COUNTIFS(ThongTin!$B$19:$B$48,C646,ThongTin!$A$19:$A$48,ThongTin!$C$8,ThongTin!$C$19:$C$48,"XUAT_SP")&gt;0),1,0))</f>
        <v>0</v>
      </c>
    </row>
    <row r="647" spans="1:8" x14ac:dyDescent="0.25">
      <c r="A647" s="41"/>
      <c r="B647" s="33"/>
      <c r="C647" s="32"/>
      <c r="D647" s="32"/>
      <c r="E647" s="37"/>
      <c r="F647" s="42"/>
      <c r="G647" s="32"/>
      <c r="H647" s="36">
        <f>IF(D647="",0,IF(AND(B647&gt;=ThongTin!$C$9,B647&lt;=ThongTin!$C$10,COUNTIFS(ThongTin!$B$19:$B$48,C647,ThongTin!$A$19:$A$48,ThongTin!$C$8,ThongTin!$C$19:$C$48,"XUAT_SP")&gt;0),1,0))</f>
        <v>0</v>
      </c>
    </row>
    <row r="648" spans="1:8" x14ac:dyDescent="0.25">
      <c r="A648" s="41"/>
      <c r="B648" s="33"/>
      <c r="C648" s="32"/>
      <c r="D648" s="32"/>
      <c r="E648" s="37"/>
      <c r="F648" s="42"/>
      <c r="G648" s="32"/>
      <c r="H648" s="36">
        <f>IF(D648="",0,IF(AND(B648&gt;=ThongTin!$C$9,B648&lt;=ThongTin!$C$10,COUNTIFS(ThongTin!$B$19:$B$48,C648,ThongTin!$A$19:$A$48,ThongTin!$C$8,ThongTin!$C$19:$C$48,"XUAT_SP")&gt;0),1,0))</f>
        <v>0</v>
      </c>
    </row>
    <row r="649" spans="1:8" x14ac:dyDescent="0.25">
      <c r="A649" s="41"/>
      <c r="B649" s="33"/>
      <c r="C649" s="32"/>
      <c r="D649" s="32"/>
      <c r="E649" s="37"/>
      <c r="F649" s="42"/>
      <c r="G649" s="32"/>
      <c r="H649" s="36">
        <f>IF(D649="",0,IF(AND(B649&gt;=ThongTin!$C$9,B649&lt;=ThongTin!$C$10,COUNTIFS(ThongTin!$B$19:$B$48,C649,ThongTin!$A$19:$A$48,ThongTin!$C$8,ThongTin!$C$19:$C$48,"XUAT_SP")&gt;0),1,0))</f>
        <v>0</v>
      </c>
    </row>
    <row r="650" spans="1:8" x14ac:dyDescent="0.25">
      <c r="A650" s="41"/>
      <c r="B650" s="33"/>
      <c r="C650" s="32"/>
      <c r="D650" s="32"/>
      <c r="E650" s="37"/>
      <c r="F650" s="42"/>
      <c r="G650" s="32"/>
      <c r="H650" s="36">
        <f>IF(D650="",0,IF(AND(B650&gt;=ThongTin!$C$9,B650&lt;=ThongTin!$C$10,COUNTIFS(ThongTin!$B$19:$B$48,C650,ThongTin!$A$19:$A$48,ThongTin!$C$8,ThongTin!$C$19:$C$48,"XUAT_SP")&gt;0),1,0))</f>
        <v>0</v>
      </c>
    </row>
    <row r="651" spans="1:8" x14ac:dyDescent="0.25">
      <c r="A651" s="41"/>
      <c r="B651" s="33"/>
      <c r="C651" s="32"/>
      <c r="D651" s="32"/>
      <c r="E651" s="37"/>
      <c r="F651" s="42"/>
      <c r="G651" s="32"/>
      <c r="H651" s="36">
        <f>IF(D651="",0,IF(AND(B651&gt;=ThongTin!$C$9,B651&lt;=ThongTin!$C$10,COUNTIFS(ThongTin!$B$19:$B$48,C651,ThongTin!$A$19:$A$48,ThongTin!$C$8,ThongTin!$C$19:$C$48,"XUAT_SP")&gt;0),1,0))</f>
        <v>0</v>
      </c>
    </row>
    <row r="652" spans="1:8" x14ac:dyDescent="0.25">
      <c r="A652" s="41"/>
      <c r="B652" s="33"/>
      <c r="C652" s="32"/>
      <c r="D652" s="32"/>
      <c r="E652" s="37"/>
      <c r="F652" s="42"/>
      <c r="G652" s="32"/>
      <c r="H652" s="36">
        <f>IF(D652="",0,IF(AND(B652&gt;=ThongTin!$C$9,B652&lt;=ThongTin!$C$10,COUNTIFS(ThongTin!$B$19:$B$48,C652,ThongTin!$A$19:$A$48,ThongTin!$C$8,ThongTin!$C$19:$C$48,"XUAT_SP")&gt;0),1,0))</f>
        <v>0</v>
      </c>
    </row>
    <row r="653" spans="1:8" x14ac:dyDescent="0.25">
      <c r="A653" s="41"/>
      <c r="B653" s="33"/>
      <c r="C653" s="32"/>
      <c r="D653" s="32"/>
      <c r="E653" s="37"/>
      <c r="F653" s="42"/>
      <c r="G653" s="32"/>
      <c r="H653" s="36">
        <f>IF(D653="",0,IF(AND(B653&gt;=ThongTin!$C$9,B653&lt;=ThongTin!$C$10,COUNTIFS(ThongTin!$B$19:$B$48,C653,ThongTin!$A$19:$A$48,ThongTin!$C$8,ThongTin!$C$19:$C$48,"XUAT_SP")&gt;0),1,0))</f>
        <v>0</v>
      </c>
    </row>
    <row r="654" spans="1:8" x14ac:dyDescent="0.25">
      <c r="A654" s="41"/>
      <c r="B654" s="33"/>
      <c r="C654" s="32"/>
      <c r="D654" s="32"/>
      <c r="E654" s="37"/>
      <c r="F654" s="42"/>
      <c r="G654" s="32"/>
      <c r="H654" s="36">
        <f>IF(D654="",0,IF(AND(B654&gt;=ThongTin!$C$9,B654&lt;=ThongTin!$C$10,COUNTIFS(ThongTin!$B$19:$B$48,C654,ThongTin!$A$19:$A$48,ThongTin!$C$8,ThongTin!$C$19:$C$48,"XUAT_SP")&gt;0),1,0))</f>
        <v>0</v>
      </c>
    </row>
    <row r="655" spans="1:8" x14ac:dyDescent="0.25">
      <c r="A655" s="41"/>
      <c r="B655" s="33"/>
      <c r="C655" s="32"/>
      <c r="D655" s="32"/>
      <c r="E655" s="37"/>
      <c r="F655" s="42"/>
      <c r="G655" s="32"/>
      <c r="H655" s="36">
        <f>IF(D655="",0,IF(AND(B655&gt;=ThongTin!$C$9,B655&lt;=ThongTin!$C$10,COUNTIFS(ThongTin!$B$19:$B$48,C655,ThongTin!$A$19:$A$48,ThongTin!$C$8,ThongTin!$C$19:$C$48,"XUAT_SP")&gt;0),1,0))</f>
        <v>0</v>
      </c>
    </row>
    <row r="656" spans="1:8" x14ac:dyDescent="0.25">
      <c r="A656" s="41"/>
      <c r="B656" s="33"/>
      <c r="C656" s="32"/>
      <c r="D656" s="32"/>
      <c r="E656" s="37"/>
      <c r="F656" s="42"/>
      <c r="G656" s="32"/>
      <c r="H656" s="36">
        <f>IF(D656="",0,IF(AND(B656&gt;=ThongTin!$C$9,B656&lt;=ThongTin!$C$10,COUNTIFS(ThongTin!$B$19:$B$48,C656,ThongTin!$A$19:$A$48,ThongTin!$C$8,ThongTin!$C$19:$C$48,"XUAT_SP")&gt;0),1,0))</f>
        <v>0</v>
      </c>
    </row>
    <row r="657" spans="1:8" x14ac:dyDescent="0.25">
      <c r="A657" s="41"/>
      <c r="B657" s="33"/>
      <c r="C657" s="32"/>
      <c r="D657" s="32"/>
      <c r="E657" s="37"/>
      <c r="F657" s="42"/>
      <c r="G657" s="32"/>
      <c r="H657" s="36">
        <f>IF(D657="",0,IF(AND(B657&gt;=ThongTin!$C$9,B657&lt;=ThongTin!$C$10,COUNTIFS(ThongTin!$B$19:$B$48,C657,ThongTin!$A$19:$A$48,ThongTin!$C$8,ThongTin!$C$19:$C$48,"XUAT_SP")&gt;0),1,0))</f>
        <v>0</v>
      </c>
    </row>
    <row r="658" spans="1:8" x14ac:dyDescent="0.25">
      <c r="A658" s="41"/>
      <c r="B658" s="33"/>
      <c r="C658" s="32"/>
      <c r="D658" s="32"/>
      <c r="E658" s="37"/>
      <c r="F658" s="42"/>
      <c r="G658" s="32"/>
      <c r="H658" s="36">
        <f>IF(D658="",0,IF(AND(B658&gt;=ThongTin!$C$9,B658&lt;=ThongTin!$C$10,COUNTIFS(ThongTin!$B$19:$B$48,C658,ThongTin!$A$19:$A$48,ThongTin!$C$8,ThongTin!$C$19:$C$48,"XUAT_SP")&gt;0),1,0))</f>
        <v>0</v>
      </c>
    </row>
    <row r="659" spans="1:8" x14ac:dyDescent="0.25">
      <c r="A659" s="41"/>
      <c r="B659" s="33"/>
      <c r="C659" s="32"/>
      <c r="D659" s="32"/>
      <c r="E659" s="37"/>
      <c r="F659" s="42"/>
      <c r="G659" s="32"/>
      <c r="H659" s="36">
        <f>IF(D659="",0,IF(AND(B659&gt;=ThongTin!$C$9,B659&lt;=ThongTin!$C$10,COUNTIFS(ThongTin!$B$19:$B$48,C659,ThongTin!$A$19:$A$48,ThongTin!$C$8,ThongTin!$C$19:$C$48,"XUAT_SP")&gt;0),1,0))</f>
        <v>0</v>
      </c>
    </row>
    <row r="660" spans="1:8" x14ac:dyDescent="0.25">
      <c r="A660" s="41"/>
      <c r="B660" s="33"/>
      <c r="C660" s="32"/>
      <c r="D660" s="32"/>
      <c r="E660" s="37"/>
      <c r="F660" s="42"/>
      <c r="G660" s="32"/>
      <c r="H660" s="36">
        <f>IF(D660="",0,IF(AND(B660&gt;=ThongTin!$C$9,B660&lt;=ThongTin!$C$10,COUNTIFS(ThongTin!$B$19:$B$48,C660,ThongTin!$A$19:$A$48,ThongTin!$C$8,ThongTin!$C$19:$C$48,"XUAT_SP")&gt;0),1,0))</f>
        <v>0</v>
      </c>
    </row>
    <row r="661" spans="1:8" x14ac:dyDescent="0.25">
      <c r="A661" s="41"/>
      <c r="B661" s="33"/>
      <c r="C661" s="32"/>
      <c r="D661" s="32"/>
      <c r="E661" s="37"/>
      <c r="F661" s="42"/>
      <c r="G661" s="32"/>
      <c r="H661" s="36">
        <f>IF(D661="",0,IF(AND(B661&gt;=ThongTin!$C$9,B661&lt;=ThongTin!$C$10,COUNTIFS(ThongTin!$B$19:$B$48,C661,ThongTin!$A$19:$A$48,ThongTin!$C$8,ThongTin!$C$19:$C$48,"XUAT_SP")&gt;0),1,0))</f>
        <v>0</v>
      </c>
    </row>
    <row r="662" spans="1:8" x14ac:dyDescent="0.25">
      <c r="A662" s="41"/>
      <c r="B662" s="33"/>
      <c r="C662" s="32"/>
      <c r="D662" s="32"/>
      <c r="E662" s="37"/>
      <c r="F662" s="42"/>
      <c r="G662" s="32"/>
      <c r="H662" s="36">
        <f>IF(D662="",0,IF(AND(B662&gt;=ThongTin!$C$9,B662&lt;=ThongTin!$C$10,COUNTIFS(ThongTin!$B$19:$B$48,C662,ThongTin!$A$19:$A$48,ThongTin!$C$8,ThongTin!$C$19:$C$48,"XUAT_SP")&gt;0),1,0))</f>
        <v>0</v>
      </c>
    </row>
    <row r="663" spans="1:8" x14ac:dyDescent="0.25">
      <c r="A663" s="41"/>
      <c r="B663" s="33"/>
      <c r="C663" s="32"/>
      <c r="D663" s="32"/>
      <c r="E663" s="37"/>
      <c r="F663" s="42"/>
      <c r="G663" s="32"/>
      <c r="H663" s="36">
        <f>IF(D663="",0,IF(AND(B663&gt;=ThongTin!$C$9,B663&lt;=ThongTin!$C$10,COUNTIFS(ThongTin!$B$19:$B$48,C663,ThongTin!$A$19:$A$48,ThongTin!$C$8,ThongTin!$C$19:$C$48,"XUAT_SP")&gt;0),1,0))</f>
        <v>0</v>
      </c>
    </row>
    <row r="664" spans="1:8" x14ac:dyDescent="0.25">
      <c r="A664" s="41"/>
      <c r="B664" s="33"/>
      <c r="C664" s="32"/>
      <c r="D664" s="32"/>
      <c r="E664" s="37"/>
      <c r="F664" s="42"/>
      <c r="G664" s="32"/>
      <c r="H664" s="36">
        <f>IF(D664="",0,IF(AND(B664&gt;=ThongTin!$C$9,B664&lt;=ThongTin!$C$10,COUNTIFS(ThongTin!$B$19:$B$48,C664,ThongTin!$A$19:$A$48,ThongTin!$C$8,ThongTin!$C$19:$C$48,"XUAT_SP")&gt;0),1,0))</f>
        <v>0</v>
      </c>
    </row>
    <row r="665" spans="1:8" x14ac:dyDescent="0.25">
      <c r="A665" s="41"/>
      <c r="B665" s="33"/>
      <c r="C665" s="32"/>
      <c r="D665" s="32"/>
      <c r="E665" s="37"/>
      <c r="F665" s="42"/>
      <c r="G665" s="32"/>
      <c r="H665" s="36">
        <f>IF(D665="",0,IF(AND(B665&gt;=ThongTin!$C$9,B665&lt;=ThongTin!$C$10,COUNTIFS(ThongTin!$B$19:$B$48,C665,ThongTin!$A$19:$A$48,ThongTin!$C$8,ThongTin!$C$19:$C$48,"XUAT_SP")&gt;0),1,0))</f>
        <v>0</v>
      </c>
    </row>
    <row r="666" spans="1:8" x14ac:dyDescent="0.25">
      <c r="A666" s="41"/>
      <c r="B666" s="33"/>
      <c r="C666" s="32"/>
      <c r="D666" s="32"/>
      <c r="E666" s="37"/>
      <c r="F666" s="42"/>
      <c r="G666" s="32"/>
      <c r="H666" s="36">
        <f>IF(D666="",0,IF(AND(B666&gt;=ThongTin!$C$9,B666&lt;=ThongTin!$C$10,COUNTIFS(ThongTin!$B$19:$B$48,C666,ThongTin!$A$19:$A$48,ThongTin!$C$8,ThongTin!$C$19:$C$48,"XUAT_SP")&gt;0),1,0))</f>
        <v>0</v>
      </c>
    </row>
    <row r="667" spans="1:8" x14ac:dyDescent="0.25">
      <c r="A667" s="41"/>
      <c r="B667" s="33"/>
      <c r="C667" s="32"/>
      <c r="D667" s="32"/>
      <c r="E667" s="37"/>
      <c r="F667" s="42"/>
      <c r="G667" s="32"/>
      <c r="H667" s="36">
        <f>IF(D667="",0,IF(AND(B667&gt;=ThongTin!$C$9,B667&lt;=ThongTin!$C$10,COUNTIFS(ThongTin!$B$19:$B$48,C667,ThongTin!$A$19:$A$48,ThongTin!$C$8,ThongTin!$C$19:$C$48,"XUAT_SP")&gt;0),1,0))</f>
        <v>0</v>
      </c>
    </row>
    <row r="668" spans="1:8" x14ac:dyDescent="0.25">
      <c r="A668" s="41"/>
      <c r="B668" s="33"/>
      <c r="C668" s="32"/>
      <c r="D668" s="32"/>
      <c r="E668" s="37"/>
      <c r="F668" s="42"/>
      <c r="G668" s="32"/>
      <c r="H668" s="36">
        <f>IF(D668="",0,IF(AND(B668&gt;=ThongTin!$C$9,B668&lt;=ThongTin!$C$10,COUNTIFS(ThongTin!$B$19:$B$48,C668,ThongTin!$A$19:$A$48,ThongTin!$C$8,ThongTin!$C$19:$C$48,"XUAT_SP")&gt;0),1,0))</f>
        <v>0</v>
      </c>
    </row>
    <row r="669" spans="1:8" x14ac:dyDescent="0.25">
      <c r="A669" s="41"/>
      <c r="B669" s="33"/>
      <c r="C669" s="32"/>
      <c r="D669" s="32"/>
      <c r="E669" s="37"/>
      <c r="F669" s="42"/>
      <c r="G669" s="32"/>
      <c r="H669" s="36">
        <f>IF(D669="",0,IF(AND(B669&gt;=ThongTin!$C$9,B669&lt;=ThongTin!$C$10,COUNTIFS(ThongTin!$B$19:$B$48,C669,ThongTin!$A$19:$A$48,ThongTin!$C$8,ThongTin!$C$19:$C$48,"XUAT_SP")&gt;0),1,0))</f>
        <v>0</v>
      </c>
    </row>
    <row r="670" spans="1:8" x14ac:dyDescent="0.25">
      <c r="A670" s="41"/>
      <c r="B670" s="33"/>
      <c r="C670" s="32"/>
      <c r="D670" s="32"/>
      <c r="E670" s="37"/>
      <c r="F670" s="42"/>
      <c r="G670" s="32"/>
      <c r="H670" s="36">
        <f>IF(D670="",0,IF(AND(B670&gt;=ThongTin!$C$9,B670&lt;=ThongTin!$C$10,COUNTIFS(ThongTin!$B$19:$B$48,C670,ThongTin!$A$19:$A$48,ThongTin!$C$8,ThongTin!$C$19:$C$48,"XUAT_SP")&gt;0),1,0))</f>
        <v>0</v>
      </c>
    </row>
    <row r="671" spans="1:8" x14ac:dyDescent="0.25">
      <c r="A671" s="41"/>
      <c r="B671" s="33"/>
      <c r="C671" s="32"/>
      <c r="D671" s="32"/>
      <c r="E671" s="37"/>
      <c r="F671" s="42"/>
      <c r="G671" s="32"/>
      <c r="H671" s="36">
        <f>IF(D671="",0,IF(AND(B671&gt;=ThongTin!$C$9,B671&lt;=ThongTin!$C$10,COUNTIFS(ThongTin!$B$19:$B$48,C671,ThongTin!$A$19:$A$48,ThongTin!$C$8,ThongTin!$C$19:$C$48,"XUAT_SP")&gt;0),1,0))</f>
        <v>0</v>
      </c>
    </row>
    <row r="672" spans="1:8" x14ac:dyDescent="0.25">
      <c r="A672" s="41"/>
      <c r="B672" s="33"/>
      <c r="C672" s="32"/>
      <c r="D672" s="32"/>
      <c r="E672" s="37"/>
      <c r="F672" s="42"/>
      <c r="G672" s="32"/>
      <c r="H672" s="36">
        <f>IF(D672="",0,IF(AND(B672&gt;=ThongTin!$C$9,B672&lt;=ThongTin!$C$10,COUNTIFS(ThongTin!$B$19:$B$48,C672,ThongTin!$A$19:$A$48,ThongTin!$C$8,ThongTin!$C$19:$C$48,"XUAT_SP")&gt;0),1,0))</f>
        <v>0</v>
      </c>
    </row>
    <row r="673" spans="1:8" x14ac:dyDescent="0.25">
      <c r="A673" s="41"/>
      <c r="B673" s="33"/>
      <c r="C673" s="32"/>
      <c r="D673" s="32"/>
      <c r="E673" s="37"/>
      <c r="F673" s="42"/>
      <c r="G673" s="32"/>
      <c r="H673" s="36">
        <f>IF(D673="",0,IF(AND(B673&gt;=ThongTin!$C$9,B673&lt;=ThongTin!$C$10,COUNTIFS(ThongTin!$B$19:$B$48,C673,ThongTin!$A$19:$A$48,ThongTin!$C$8,ThongTin!$C$19:$C$48,"XUAT_SP")&gt;0),1,0))</f>
        <v>0</v>
      </c>
    </row>
    <row r="674" spans="1:8" x14ac:dyDescent="0.25">
      <c r="A674" s="41"/>
      <c r="B674" s="33"/>
      <c r="C674" s="32"/>
      <c r="D674" s="32"/>
      <c r="E674" s="37"/>
      <c r="F674" s="42"/>
      <c r="G674" s="32"/>
      <c r="H674" s="36">
        <f>IF(D674="",0,IF(AND(B674&gt;=ThongTin!$C$9,B674&lt;=ThongTin!$C$10,COUNTIFS(ThongTin!$B$19:$B$48,C674,ThongTin!$A$19:$A$48,ThongTin!$C$8,ThongTin!$C$19:$C$48,"XUAT_SP")&gt;0),1,0))</f>
        <v>0</v>
      </c>
    </row>
    <row r="675" spans="1:8" x14ac:dyDescent="0.25">
      <c r="A675" s="41"/>
      <c r="B675" s="33"/>
      <c r="C675" s="32"/>
      <c r="D675" s="32"/>
      <c r="E675" s="37"/>
      <c r="F675" s="42"/>
      <c r="G675" s="32"/>
      <c r="H675" s="36">
        <f>IF(D675="",0,IF(AND(B675&gt;=ThongTin!$C$9,B675&lt;=ThongTin!$C$10,COUNTIFS(ThongTin!$B$19:$B$48,C675,ThongTin!$A$19:$A$48,ThongTin!$C$8,ThongTin!$C$19:$C$48,"XUAT_SP")&gt;0),1,0))</f>
        <v>0</v>
      </c>
    </row>
    <row r="676" spans="1:8" x14ac:dyDescent="0.25">
      <c r="A676" s="41"/>
      <c r="B676" s="33"/>
      <c r="C676" s="32"/>
      <c r="D676" s="32"/>
      <c r="E676" s="37"/>
      <c r="F676" s="42"/>
      <c r="G676" s="32"/>
      <c r="H676" s="36">
        <f>IF(D676="",0,IF(AND(B676&gt;=ThongTin!$C$9,B676&lt;=ThongTin!$C$10,COUNTIFS(ThongTin!$B$19:$B$48,C676,ThongTin!$A$19:$A$48,ThongTin!$C$8,ThongTin!$C$19:$C$48,"XUAT_SP")&gt;0),1,0))</f>
        <v>0</v>
      </c>
    </row>
    <row r="677" spans="1:8" x14ac:dyDescent="0.25">
      <c r="A677" s="41"/>
      <c r="B677" s="33"/>
      <c r="C677" s="32"/>
      <c r="D677" s="32"/>
      <c r="E677" s="37"/>
      <c r="F677" s="42"/>
      <c r="G677" s="32"/>
      <c r="H677" s="36">
        <f>IF(D677="",0,IF(AND(B677&gt;=ThongTin!$C$9,B677&lt;=ThongTin!$C$10,COUNTIFS(ThongTin!$B$19:$B$48,C677,ThongTin!$A$19:$A$48,ThongTin!$C$8,ThongTin!$C$19:$C$48,"XUAT_SP")&gt;0),1,0))</f>
        <v>0</v>
      </c>
    </row>
    <row r="678" spans="1:8" x14ac:dyDescent="0.25">
      <c r="A678" s="41"/>
      <c r="B678" s="33"/>
      <c r="C678" s="32"/>
      <c r="D678" s="32"/>
      <c r="E678" s="37"/>
      <c r="F678" s="42"/>
      <c r="G678" s="32"/>
      <c r="H678" s="36">
        <f>IF(D678="",0,IF(AND(B678&gt;=ThongTin!$C$9,B678&lt;=ThongTin!$C$10,COUNTIFS(ThongTin!$B$19:$B$48,C678,ThongTin!$A$19:$A$48,ThongTin!$C$8,ThongTin!$C$19:$C$48,"XUAT_SP")&gt;0),1,0))</f>
        <v>0</v>
      </c>
    </row>
    <row r="679" spans="1:8" x14ac:dyDescent="0.25">
      <c r="A679" s="41"/>
      <c r="B679" s="33"/>
      <c r="C679" s="32"/>
      <c r="D679" s="32"/>
      <c r="E679" s="37"/>
      <c r="F679" s="42"/>
      <c r="G679" s="32"/>
      <c r="H679" s="36">
        <f>IF(D679="",0,IF(AND(B679&gt;=ThongTin!$C$9,B679&lt;=ThongTin!$C$10,COUNTIFS(ThongTin!$B$19:$B$48,C679,ThongTin!$A$19:$A$48,ThongTin!$C$8,ThongTin!$C$19:$C$48,"XUAT_SP")&gt;0),1,0))</f>
        <v>0</v>
      </c>
    </row>
    <row r="680" spans="1:8" x14ac:dyDescent="0.25">
      <c r="A680" s="41"/>
      <c r="B680" s="33"/>
      <c r="C680" s="32"/>
      <c r="D680" s="32"/>
      <c r="E680" s="37"/>
      <c r="F680" s="42"/>
      <c r="G680" s="32"/>
      <c r="H680" s="36">
        <f>IF(D680="",0,IF(AND(B680&gt;=ThongTin!$C$9,B680&lt;=ThongTin!$C$10,COUNTIFS(ThongTin!$B$19:$B$48,C680,ThongTin!$A$19:$A$48,ThongTin!$C$8,ThongTin!$C$19:$C$48,"XUAT_SP")&gt;0),1,0))</f>
        <v>0</v>
      </c>
    </row>
    <row r="681" spans="1:8" x14ac:dyDescent="0.25">
      <c r="A681" s="41"/>
      <c r="B681" s="33"/>
      <c r="C681" s="32"/>
      <c r="D681" s="32"/>
      <c r="E681" s="37"/>
      <c r="F681" s="42"/>
      <c r="G681" s="32"/>
      <c r="H681" s="36">
        <f>IF(D681="",0,IF(AND(B681&gt;=ThongTin!$C$9,B681&lt;=ThongTin!$C$10,COUNTIFS(ThongTin!$B$19:$B$48,C681,ThongTin!$A$19:$A$48,ThongTin!$C$8,ThongTin!$C$19:$C$48,"XUAT_SP")&gt;0),1,0))</f>
        <v>0</v>
      </c>
    </row>
    <row r="682" spans="1:8" x14ac:dyDescent="0.25">
      <c r="A682" s="41"/>
      <c r="B682" s="33"/>
      <c r="C682" s="32"/>
      <c r="D682" s="32"/>
      <c r="E682" s="37"/>
      <c r="F682" s="42"/>
      <c r="G682" s="32"/>
      <c r="H682" s="36">
        <f>IF(D682="",0,IF(AND(B682&gt;=ThongTin!$C$9,B682&lt;=ThongTin!$C$10,COUNTIFS(ThongTin!$B$19:$B$48,C682,ThongTin!$A$19:$A$48,ThongTin!$C$8,ThongTin!$C$19:$C$48,"XUAT_SP")&gt;0),1,0))</f>
        <v>0</v>
      </c>
    </row>
    <row r="683" spans="1:8" x14ac:dyDescent="0.25">
      <c r="A683" s="41"/>
      <c r="B683" s="33"/>
      <c r="C683" s="32"/>
      <c r="D683" s="32"/>
      <c r="E683" s="37"/>
      <c r="F683" s="42"/>
      <c r="G683" s="32"/>
      <c r="H683" s="36">
        <f>IF(D683="",0,IF(AND(B683&gt;=ThongTin!$C$9,B683&lt;=ThongTin!$C$10,COUNTIFS(ThongTin!$B$19:$B$48,C683,ThongTin!$A$19:$A$48,ThongTin!$C$8,ThongTin!$C$19:$C$48,"XUAT_SP")&gt;0),1,0))</f>
        <v>0</v>
      </c>
    </row>
    <row r="684" spans="1:8" x14ac:dyDescent="0.25">
      <c r="A684" s="41"/>
      <c r="B684" s="33"/>
      <c r="C684" s="32"/>
      <c r="D684" s="32"/>
      <c r="E684" s="37"/>
      <c r="F684" s="42"/>
      <c r="G684" s="32"/>
      <c r="H684" s="36">
        <f>IF(D684="",0,IF(AND(B684&gt;=ThongTin!$C$9,B684&lt;=ThongTin!$C$10,COUNTIFS(ThongTin!$B$19:$B$48,C684,ThongTin!$A$19:$A$48,ThongTin!$C$8,ThongTin!$C$19:$C$48,"XUAT_SP")&gt;0),1,0))</f>
        <v>0</v>
      </c>
    </row>
    <row r="685" spans="1:8" x14ac:dyDescent="0.25">
      <c r="A685" s="41"/>
      <c r="B685" s="33"/>
      <c r="C685" s="32"/>
      <c r="D685" s="32"/>
      <c r="E685" s="37"/>
      <c r="F685" s="42"/>
      <c r="G685" s="32"/>
      <c r="H685" s="36">
        <f>IF(D685="",0,IF(AND(B685&gt;=ThongTin!$C$9,B685&lt;=ThongTin!$C$10,COUNTIFS(ThongTin!$B$19:$B$48,C685,ThongTin!$A$19:$A$48,ThongTin!$C$8,ThongTin!$C$19:$C$48,"XUAT_SP")&gt;0),1,0))</f>
        <v>0</v>
      </c>
    </row>
    <row r="686" spans="1:8" x14ac:dyDescent="0.25">
      <c r="A686" s="41"/>
      <c r="B686" s="33"/>
      <c r="C686" s="32"/>
      <c r="D686" s="32"/>
      <c r="E686" s="37"/>
      <c r="F686" s="42"/>
      <c r="G686" s="32"/>
      <c r="H686" s="36">
        <f>IF(D686="",0,IF(AND(B686&gt;=ThongTin!$C$9,B686&lt;=ThongTin!$C$10,COUNTIFS(ThongTin!$B$19:$B$48,C686,ThongTin!$A$19:$A$48,ThongTin!$C$8,ThongTin!$C$19:$C$48,"XUAT_SP")&gt;0),1,0))</f>
        <v>0</v>
      </c>
    </row>
    <row r="687" spans="1:8" x14ac:dyDescent="0.25">
      <c r="A687" s="41"/>
      <c r="B687" s="33"/>
      <c r="C687" s="32"/>
      <c r="D687" s="32"/>
      <c r="E687" s="37"/>
      <c r="F687" s="42"/>
      <c r="G687" s="32"/>
      <c r="H687" s="36">
        <f>IF(D687="",0,IF(AND(B687&gt;=ThongTin!$C$9,B687&lt;=ThongTin!$C$10,COUNTIFS(ThongTin!$B$19:$B$48,C687,ThongTin!$A$19:$A$48,ThongTin!$C$8,ThongTin!$C$19:$C$48,"XUAT_SP")&gt;0),1,0))</f>
        <v>0</v>
      </c>
    </row>
    <row r="688" spans="1:8" x14ac:dyDescent="0.25">
      <c r="A688" s="41"/>
      <c r="B688" s="33"/>
      <c r="C688" s="32"/>
      <c r="D688" s="32"/>
      <c r="E688" s="37"/>
      <c r="F688" s="42"/>
      <c r="G688" s="32"/>
      <c r="H688" s="36">
        <f>IF(D688="",0,IF(AND(B688&gt;=ThongTin!$C$9,B688&lt;=ThongTin!$C$10,COUNTIFS(ThongTin!$B$19:$B$48,C688,ThongTin!$A$19:$A$48,ThongTin!$C$8,ThongTin!$C$19:$C$48,"XUAT_SP")&gt;0),1,0))</f>
        <v>0</v>
      </c>
    </row>
    <row r="689" spans="1:8" x14ac:dyDescent="0.25">
      <c r="A689" s="41"/>
      <c r="B689" s="33"/>
      <c r="C689" s="32"/>
      <c r="D689" s="32"/>
      <c r="E689" s="37"/>
      <c r="F689" s="42"/>
      <c r="G689" s="32"/>
      <c r="H689" s="36">
        <f>IF(D689="",0,IF(AND(B689&gt;=ThongTin!$C$9,B689&lt;=ThongTin!$C$10,COUNTIFS(ThongTin!$B$19:$B$48,C689,ThongTin!$A$19:$A$48,ThongTin!$C$8,ThongTin!$C$19:$C$48,"XUAT_SP")&gt;0),1,0))</f>
        <v>0</v>
      </c>
    </row>
    <row r="690" spans="1:8" x14ac:dyDescent="0.25">
      <c r="A690" s="41"/>
      <c r="B690" s="33"/>
      <c r="C690" s="32"/>
      <c r="D690" s="32"/>
      <c r="E690" s="37"/>
      <c r="F690" s="42"/>
      <c r="G690" s="32"/>
      <c r="H690" s="36">
        <f>IF(D690="",0,IF(AND(B690&gt;=ThongTin!$C$9,B690&lt;=ThongTin!$C$10,COUNTIFS(ThongTin!$B$19:$B$48,C690,ThongTin!$A$19:$A$48,ThongTin!$C$8,ThongTin!$C$19:$C$48,"XUAT_SP")&gt;0),1,0))</f>
        <v>0</v>
      </c>
    </row>
    <row r="691" spans="1:8" x14ac:dyDescent="0.25">
      <c r="A691" s="41"/>
      <c r="B691" s="33"/>
      <c r="C691" s="32"/>
      <c r="D691" s="32"/>
      <c r="E691" s="37"/>
      <c r="F691" s="42"/>
      <c r="G691" s="32"/>
      <c r="H691" s="36">
        <f>IF(D691="",0,IF(AND(B691&gt;=ThongTin!$C$9,B691&lt;=ThongTin!$C$10,COUNTIFS(ThongTin!$B$19:$B$48,C691,ThongTin!$A$19:$A$48,ThongTin!$C$8,ThongTin!$C$19:$C$48,"XUAT_SP")&gt;0),1,0))</f>
        <v>0</v>
      </c>
    </row>
    <row r="692" spans="1:8" x14ac:dyDescent="0.25">
      <c r="A692" s="41"/>
      <c r="B692" s="33"/>
      <c r="C692" s="32"/>
      <c r="D692" s="32"/>
      <c r="E692" s="37"/>
      <c r="F692" s="42"/>
      <c r="G692" s="32"/>
      <c r="H692" s="36">
        <f>IF(D692="",0,IF(AND(B692&gt;=ThongTin!$C$9,B692&lt;=ThongTin!$C$10,COUNTIFS(ThongTin!$B$19:$B$48,C692,ThongTin!$A$19:$A$48,ThongTin!$C$8,ThongTin!$C$19:$C$48,"XUAT_SP")&gt;0),1,0))</f>
        <v>0</v>
      </c>
    </row>
    <row r="693" spans="1:8" x14ac:dyDescent="0.25">
      <c r="A693" s="41"/>
      <c r="B693" s="33"/>
      <c r="C693" s="32"/>
      <c r="D693" s="32"/>
      <c r="E693" s="37"/>
      <c r="F693" s="42"/>
      <c r="G693" s="32"/>
      <c r="H693" s="36">
        <f>IF(D693="",0,IF(AND(B693&gt;=ThongTin!$C$9,B693&lt;=ThongTin!$C$10,COUNTIFS(ThongTin!$B$19:$B$48,C693,ThongTin!$A$19:$A$48,ThongTin!$C$8,ThongTin!$C$19:$C$48,"XUAT_SP")&gt;0),1,0))</f>
        <v>0</v>
      </c>
    </row>
    <row r="694" spans="1:8" x14ac:dyDescent="0.25">
      <c r="A694" s="41"/>
      <c r="B694" s="33"/>
      <c r="C694" s="32"/>
      <c r="D694" s="32"/>
      <c r="E694" s="37"/>
      <c r="F694" s="42"/>
      <c r="G694" s="32"/>
      <c r="H694" s="36">
        <f>IF(D694="",0,IF(AND(B694&gt;=ThongTin!$C$9,B694&lt;=ThongTin!$C$10,COUNTIFS(ThongTin!$B$19:$B$48,C694,ThongTin!$A$19:$A$48,ThongTin!$C$8,ThongTin!$C$19:$C$48,"XUAT_SP")&gt;0),1,0))</f>
        <v>0</v>
      </c>
    </row>
    <row r="695" spans="1:8" x14ac:dyDescent="0.25">
      <c r="A695" s="41"/>
      <c r="B695" s="33"/>
      <c r="C695" s="32"/>
      <c r="D695" s="32"/>
      <c r="E695" s="37"/>
      <c r="F695" s="42"/>
      <c r="G695" s="32"/>
      <c r="H695" s="36">
        <f>IF(D695="",0,IF(AND(B695&gt;=ThongTin!$C$9,B695&lt;=ThongTin!$C$10,COUNTIFS(ThongTin!$B$19:$B$48,C695,ThongTin!$A$19:$A$48,ThongTin!$C$8,ThongTin!$C$19:$C$48,"XUAT_SP")&gt;0),1,0))</f>
        <v>0</v>
      </c>
    </row>
    <row r="696" spans="1:8" x14ac:dyDescent="0.25">
      <c r="A696" s="41"/>
      <c r="B696" s="33"/>
      <c r="C696" s="32"/>
      <c r="D696" s="32"/>
      <c r="E696" s="37"/>
      <c r="F696" s="42"/>
      <c r="G696" s="32"/>
      <c r="H696" s="36">
        <f>IF(D696="",0,IF(AND(B696&gt;=ThongTin!$C$9,B696&lt;=ThongTin!$C$10,COUNTIFS(ThongTin!$B$19:$B$48,C696,ThongTin!$A$19:$A$48,ThongTin!$C$8,ThongTin!$C$19:$C$48,"XUAT_SP")&gt;0),1,0))</f>
        <v>0</v>
      </c>
    </row>
    <row r="697" spans="1:8" x14ac:dyDescent="0.25">
      <c r="A697" s="41"/>
      <c r="B697" s="33"/>
      <c r="C697" s="32"/>
      <c r="D697" s="32"/>
      <c r="E697" s="37"/>
      <c r="F697" s="42"/>
      <c r="G697" s="32"/>
      <c r="H697" s="36">
        <f>IF(D697="",0,IF(AND(B697&gt;=ThongTin!$C$9,B697&lt;=ThongTin!$C$10,COUNTIFS(ThongTin!$B$19:$B$48,C697,ThongTin!$A$19:$A$48,ThongTin!$C$8,ThongTin!$C$19:$C$48,"XUAT_SP")&gt;0),1,0))</f>
        <v>0</v>
      </c>
    </row>
    <row r="698" spans="1:8" x14ac:dyDescent="0.25">
      <c r="A698" s="41"/>
      <c r="B698" s="33"/>
      <c r="C698" s="32"/>
      <c r="D698" s="32"/>
      <c r="E698" s="37"/>
      <c r="F698" s="42"/>
      <c r="G698" s="32"/>
      <c r="H698" s="36">
        <f>IF(D698="",0,IF(AND(B698&gt;=ThongTin!$C$9,B698&lt;=ThongTin!$C$10,COUNTIFS(ThongTin!$B$19:$B$48,C698,ThongTin!$A$19:$A$48,ThongTin!$C$8,ThongTin!$C$19:$C$48,"XUAT_SP")&gt;0),1,0))</f>
        <v>0</v>
      </c>
    </row>
    <row r="699" spans="1:8" x14ac:dyDescent="0.25">
      <c r="A699" s="41"/>
      <c r="B699" s="33"/>
      <c r="C699" s="32"/>
      <c r="D699" s="32"/>
      <c r="E699" s="37"/>
      <c r="F699" s="42"/>
      <c r="G699" s="32"/>
      <c r="H699" s="36">
        <f>IF(D699="",0,IF(AND(B699&gt;=ThongTin!$C$9,B699&lt;=ThongTin!$C$10,COUNTIFS(ThongTin!$B$19:$B$48,C699,ThongTin!$A$19:$A$48,ThongTin!$C$8,ThongTin!$C$19:$C$48,"XUAT_SP")&gt;0),1,0))</f>
        <v>0</v>
      </c>
    </row>
    <row r="700" spans="1:8" x14ac:dyDescent="0.25">
      <c r="A700" s="41"/>
      <c r="B700" s="33"/>
      <c r="C700" s="32"/>
      <c r="D700" s="32"/>
      <c r="E700" s="37"/>
      <c r="F700" s="42"/>
      <c r="G700" s="32"/>
      <c r="H700" s="36">
        <f>IF(D700="",0,IF(AND(B700&gt;=ThongTin!$C$9,B700&lt;=ThongTin!$C$10,COUNTIFS(ThongTin!$B$19:$B$48,C700,ThongTin!$A$19:$A$48,ThongTin!$C$8,ThongTin!$C$19:$C$48,"XUAT_SP")&gt;0),1,0))</f>
        <v>0</v>
      </c>
    </row>
    <row r="701" spans="1:8" x14ac:dyDescent="0.25">
      <c r="A701" s="41"/>
      <c r="B701" s="33"/>
      <c r="C701" s="32"/>
      <c r="D701" s="32"/>
      <c r="E701" s="37"/>
      <c r="F701" s="42"/>
      <c r="G701" s="32"/>
      <c r="H701" s="36">
        <f>IF(D701="",0,IF(AND(B701&gt;=ThongTin!$C$9,B701&lt;=ThongTin!$C$10,COUNTIFS(ThongTin!$B$19:$B$48,C701,ThongTin!$A$19:$A$48,ThongTin!$C$8,ThongTin!$C$19:$C$48,"XUAT_SP")&gt;0),1,0))</f>
        <v>0</v>
      </c>
    </row>
    <row r="702" spans="1:8" x14ac:dyDescent="0.25">
      <c r="A702" s="41"/>
      <c r="B702" s="33"/>
      <c r="C702" s="32"/>
      <c r="D702" s="32"/>
      <c r="E702" s="37"/>
      <c r="F702" s="42"/>
      <c r="G702" s="32"/>
      <c r="H702" s="36">
        <f>IF(D702="",0,IF(AND(B702&gt;=ThongTin!$C$9,B702&lt;=ThongTin!$C$10,COUNTIFS(ThongTin!$B$19:$B$48,C702,ThongTin!$A$19:$A$48,ThongTin!$C$8,ThongTin!$C$19:$C$48,"XUAT_SP")&gt;0),1,0))</f>
        <v>0</v>
      </c>
    </row>
    <row r="703" spans="1:8" x14ac:dyDescent="0.25">
      <c r="A703" s="41"/>
      <c r="B703" s="33"/>
      <c r="C703" s="32"/>
      <c r="D703" s="32"/>
      <c r="E703" s="37"/>
      <c r="F703" s="42"/>
      <c r="G703" s="32"/>
      <c r="H703" s="36">
        <f>IF(D703="",0,IF(AND(B703&gt;=ThongTin!$C$9,B703&lt;=ThongTin!$C$10,COUNTIFS(ThongTin!$B$19:$B$48,C703,ThongTin!$A$19:$A$48,ThongTin!$C$8,ThongTin!$C$19:$C$48,"XUAT_SP")&gt;0),1,0))</f>
        <v>0</v>
      </c>
    </row>
    <row r="704" spans="1:8" x14ac:dyDescent="0.25">
      <c r="A704" s="41"/>
      <c r="B704" s="33"/>
      <c r="C704" s="32"/>
      <c r="D704" s="32"/>
      <c r="E704" s="37"/>
      <c r="F704" s="42"/>
      <c r="G704" s="32"/>
      <c r="H704" s="36">
        <f>IF(D704="",0,IF(AND(B704&gt;=ThongTin!$C$9,B704&lt;=ThongTin!$C$10,COUNTIFS(ThongTin!$B$19:$B$48,C704,ThongTin!$A$19:$A$48,ThongTin!$C$8,ThongTin!$C$19:$C$48,"XUAT_SP")&gt;0),1,0))</f>
        <v>0</v>
      </c>
    </row>
    <row r="705" spans="1:8" x14ac:dyDescent="0.25">
      <c r="A705" s="41"/>
      <c r="B705" s="33"/>
      <c r="C705" s="32"/>
      <c r="D705" s="32"/>
      <c r="E705" s="37"/>
      <c r="F705" s="42"/>
      <c r="G705" s="32"/>
      <c r="H705" s="36">
        <f>IF(D705="",0,IF(AND(B705&gt;=ThongTin!$C$9,B705&lt;=ThongTin!$C$10,COUNTIFS(ThongTin!$B$19:$B$48,C705,ThongTin!$A$19:$A$48,ThongTin!$C$8,ThongTin!$C$19:$C$48,"XUAT_SP")&gt;0),1,0))</f>
        <v>0</v>
      </c>
    </row>
    <row r="706" spans="1:8" x14ac:dyDescent="0.25">
      <c r="A706" s="41"/>
      <c r="B706" s="33"/>
      <c r="C706" s="32"/>
      <c r="D706" s="32"/>
      <c r="E706" s="37"/>
      <c r="F706" s="42"/>
      <c r="G706" s="32"/>
      <c r="H706" s="36">
        <f>IF(D706="",0,IF(AND(B706&gt;=ThongTin!$C$9,B706&lt;=ThongTin!$C$10,COUNTIFS(ThongTin!$B$19:$B$48,C706,ThongTin!$A$19:$A$48,ThongTin!$C$8,ThongTin!$C$19:$C$48,"XUAT_SP")&gt;0),1,0))</f>
        <v>0</v>
      </c>
    </row>
    <row r="707" spans="1:8" x14ac:dyDescent="0.25">
      <c r="A707" s="41"/>
      <c r="B707" s="33"/>
      <c r="C707" s="32"/>
      <c r="D707" s="32"/>
      <c r="E707" s="37"/>
      <c r="F707" s="42"/>
      <c r="G707" s="32"/>
      <c r="H707" s="36">
        <f>IF(D707="",0,IF(AND(B707&gt;=ThongTin!$C$9,B707&lt;=ThongTin!$C$10,COUNTIFS(ThongTin!$B$19:$B$48,C707,ThongTin!$A$19:$A$48,ThongTin!$C$8,ThongTin!$C$19:$C$48,"XUAT_SP")&gt;0),1,0))</f>
        <v>0</v>
      </c>
    </row>
    <row r="708" spans="1:8" x14ac:dyDescent="0.25">
      <c r="A708" s="41"/>
      <c r="B708" s="33"/>
      <c r="C708" s="32"/>
      <c r="D708" s="32"/>
      <c r="E708" s="37"/>
      <c r="F708" s="42"/>
      <c r="G708" s="32"/>
      <c r="H708" s="36">
        <f>IF(D708="",0,IF(AND(B708&gt;=ThongTin!$C$9,B708&lt;=ThongTin!$C$10,COUNTIFS(ThongTin!$B$19:$B$48,C708,ThongTin!$A$19:$A$48,ThongTin!$C$8,ThongTin!$C$19:$C$48,"XUAT_SP")&gt;0),1,0))</f>
        <v>0</v>
      </c>
    </row>
    <row r="709" spans="1:8" x14ac:dyDescent="0.25">
      <c r="A709" s="41"/>
      <c r="B709" s="33"/>
      <c r="C709" s="32"/>
      <c r="D709" s="32"/>
      <c r="E709" s="37"/>
      <c r="F709" s="42"/>
      <c r="G709" s="32"/>
      <c r="H709" s="36">
        <f>IF(D709="",0,IF(AND(B709&gt;=ThongTin!$C$9,B709&lt;=ThongTin!$C$10,COUNTIFS(ThongTin!$B$19:$B$48,C709,ThongTin!$A$19:$A$48,ThongTin!$C$8,ThongTin!$C$19:$C$48,"XUAT_SP")&gt;0),1,0))</f>
        <v>0</v>
      </c>
    </row>
    <row r="710" spans="1:8" x14ac:dyDescent="0.25">
      <c r="A710" s="41"/>
      <c r="B710" s="33"/>
      <c r="C710" s="32"/>
      <c r="D710" s="32"/>
      <c r="E710" s="37"/>
      <c r="F710" s="42"/>
      <c r="G710" s="32"/>
      <c r="H710" s="36">
        <f>IF(D710="",0,IF(AND(B710&gt;=ThongTin!$C$9,B710&lt;=ThongTin!$C$10,COUNTIFS(ThongTin!$B$19:$B$48,C710,ThongTin!$A$19:$A$48,ThongTin!$C$8,ThongTin!$C$19:$C$48,"XUAT_SP")&gt;0),1,0))</f>
        <v>0</v>
      </c>
    </row>
    <row r="711" spans="1:8" x14ac:dyDescent="0.25">
      <c r="A711" s="41"/>
      <c r="B711" s="33"/>
      <c r="C711" s="32"/>
      <c r="D711" s="32"/>
      <c r="E711" s="37"/>
      <c r="F711" s="42"/>
      <c r="G711" s="32"/>
      <c r="H711" s="36">
        <f>IF(D711="",0,IF(AND(B711&gt;=ThongTin!$C$9,B711&lt;=ThongTin!$C$10,COUNTIFS(ThongTin!$B$19:$B$48,C711,ThongTin!$A$19:$A$48,ThongTin!$C$8,ThongTin!$C$19:$C$48,"XUAT_SP")&gt;0),1,0))</f>
        <v>0</v>
      </c>
    </row>
    <row r="712" spans="1:8" x14ac:dyDescent="0.25">
      <c r="A712" s="41"/>
      <c r="B712" s="33"/>
      <c r="C712" s="32"/>
      <c r="D712" s="32"/>
      <c r="E712" s="37"/>
      <c r="F712" s="42"/>
      <c r="G712" s="32"/>
      <c r="H712" s="36">
        <f>IF(D712="",0,IF(AND(B712&gt;=ThongTin!$C$9,B712&lt;=ThongTin!$C$10,COUNTIFS(ThongTin!$B$19:$B$48,C712,ThongTin!$A$19:$A$48,ThongTin!$C$8,ThongTin!$C$19:$C$48,"XUAT_SP")&gt;0),1,0))</f>
        <v>0</v>
      </c>
    </row>
    <row r="713" spans="1:8" x14ac:dyDescent="0.25">
      <c r="A713" s="41"/>
      <c r="B713" s="33"/>
      <c r="C713" s="32"/>
      <c r="D713" s="32"/>
      <c r="E713" s="37"/>
      <c r="F713" s="42"/>
      <c r="G713" s="32"/>
      <c r="H713" s="36">
        <f>IF(D713="",0,IF(AND(B713&gt;=ThongTin!$C$9,B713&lt;=ThongTin!$C$10,COUNTIFS(ThongTin!$B$19:$B$48,C713,ThongTin!$A$19:$A$48,ThongTin!$C$8,ThongTin!$C$19:$C$48,"XUAT_SP")&gt;0),1,0))</f>
        <v>0</v>
      </c>
    </row>
    <row r="714" spans="1:8" x14ac:dyDescent="0.25">
      <c r="A714" s="41"/>
      <c r="B714" s="33"/>
      <c r="C714" s="32"/>
      <c r="D714" s="32"/>
      <c r="E714" s="37"/>
      <c r="F714" s="42"/>
      <c r="G714" s="32"/>
      <c r="H714" s="36">
        <f>IF(D714="",0,IF(AND(B714&gt;=ThongTin!$C$9,B714&lt;=ThongTin!$C$10,COUNTIFS(ThongTin!$B$19:$B$48,C714,ThongTin!$A$19:$A$48,ThongTin!$C$8,ThongTin!$C$19:$C$48,"XUAT_SP")&gt;0),1,0))</f>
        <v>0</v>
      </c>
    </row>
    <row r="715" spans="1:8" x14ac:dyDescent="0.25">
      <c r="A715" s="41"/>
      <c r="B715" s="33"/>
      <c r="C715" s="32"/>
      <c r="D715" s="32"/>
      <c r="E715" s="37"/>
      <c r="F715" s="42"/>
      <c r="G715" s="32"/>
      <c r="H715" s="36">
        <f>IF(D715="",0,IF(AND(B715&gt;=ThongTin!$C$9,B715&lt;=ThongTin!$C$10,COUNTIFS(ThongTin!$B$19:$B$48,C715,ThongTin!$A$19:$A$48,ThongTin!$C$8,ThongTin!$C$19:$C$48,"XUAT_SP")&gt;0),1,0))</f>
        <v>0</v>
      </c>
    </row>
    <row r="716" spans="1:8" x14ac:dyDescent="0.25">
      <c r="A716" s="41"/>
      <c r="B716" s="33"/>
      <c r="C716" s="32"/>
      <c r="D716" s="32"/>
      <c r="E716" s="37"/>
      <c r="F716" s="42"/>
      <c r="G716" s="32"/>
      <c r="H716" s="36">
        <f>IF(D716="",0,IF(AND(B716&gt;=ThongTin!$C$9,B716&lt;=ThongTin!$C$10,COUNTIFS(ThongTin!$B$19:$B$48,C716,ThongTin!$A$19:$A$48,ThongTin!$C$8,ThongTin!$C$19:$C$48,"XUAT_SP")&gt;0),1,0))</f>
        <v>0</v>
      </c>
    </row>
    <row r="717" spans="1:8" x14ac:dyDescent="0.25">
      <c r="A717" s="41"/>
      <c r="B717" s="33"/>
      <c r="C717" s="32"/>
      <c r="D717" s="32"/>
      <c r="E717" s="37"/>
      <c r="F717" s="42"/>
      <c r="G717" s="32"/>
      <c r="H717" s="36">
        <f>IF(D717="",0,IF(AND(B717&gt;=ThongTin!$C$9,B717&lt;=ThongTin!$C$10,COUNTIFS(ThongTin!$B$19:$B$48,C717,ThongTin!$A$19:$A$48,ThongTin!$C$8,ThongTin!$C$19:$C$48,"XUAT_SP")&gt;0),1,0))</f>
        <v>0</v>
      </c>
    </row>
    <row r="718" spans="1:8" x14ac:dyDescent="0.25">
      <c r="A718" s="41"/>
      <c r="B718" s="33"/>
      <c r="C718" s="32"/>
      <c r="D718" s="32"/>
      <c r="E718" s="37"/>
      <c r="F718" s="42"/>
      <c r="G718" s="32"/>
      <c r="H718" s="36">
        <f>IF(D718="",0,IF(AND(B718&gt;=ThongTin!$C$9,B718&lt;=ThongTin!$C$10,COUNTIFS(ThongTin!$B$19:$B$48,C718,ThongTin!$A$19:$A$48,ThongTin!$C$8,ThongTin!$C$19:$C$48,"XUAT_SP")&gt;0),1,0))</f>
        <v>0</v>
      </c>
    </row>
    <row r="719" spans="1:8" x14ac:dyDescent="0.25">
      <c r="A719" s="41"/>
      <c r="B719" s="33"/>
      <c r="C719" s="32"/>
      <c r="D719" s="32"/>
      <c r="E719" s="37"/>
      <c r="F719" s="42"/>
      <c r="G719" s="32"/>
      <c r="H719" s="36">
        <f>IF(D719="",0,IF(AND(B719&gt;=ThongTin!$C$9,B719&lt;=ThongTin!$C$10,COUNTIFS(ThongTin!$B$19:$B$48,C719,ThongTin!$A$19:$A$48,ThongTin!$C$8,ThongTin!$C$19:$C$48,"XUAT_SP")&gt;0),1,0))</f>
        <v>0</v>
      </c>
    </row>
    <row r="720" spans="1:8" x14ac:dyDescent="0.25">
      <c r="A720" s="41"/>
      <c r="B720" s="33"/>
      <c r="C720" s="32"/>
      <c r="D720" s="32"/>
      <c r="E720" s="37"/>
      <c r="F720" s="42"/>
      <c r="G720" s="32"/>
      <c r="H720" s="36">
        <f>IF(D720="",0,IF(AND(B720&gt;=ThongTin!$C$9,B720&lt;=ThongTin!$C$10,COUNTIFS(ThongTin!$B$19:$B$48,C720,ThongTin!$A$19:$A$48,ThongTin!$C$8,ThongTin!$C$19:$C$48,"XUAT_SP")&gt;0),1,0))</f>
        <v>0</v>
      </c>
    </row>
    <row r="721" spans="1:8" x14ac:dyDescent="0.25">
      <c r="A721" s="41"/>
      <c r="B721" s="33"/>
      <c r="C721" s="32"/>
      <c r="D721" s="32"/>
      <c r="E721" s="37"/>
      <c r="F721" s="42"/>
      <c r="G721" s="32"/>
      <c r="H721" s="36">
        <f>IF(D721="",0,IF(AND(B721&gt;=ThongTin!$C$9,B721&lt;=ThongTin!$C$10,COUNTIFS(ThongTin!$B$19:$B$48,C721,ThongTin!$A$19:$A$48,ThongTin!$C$8,ThongTin!$C$19:$C$48,"XUAT_SP")&gt;0),1,0))</f>
        <v>0</v>
      </c>
    </row>
    <row r="722" spans="1:8" x14ac:dyDescent="0.25">
      <c r="A722" s="41"/>
      <c r="B722" s="33"/>
      <c r="C722" s="32"/>
      <c r="D722" s="32"/>
      <c r="E722" s="37"/>
      <c r="F722" s="42"/>
      <c r="G722" s="32"/>
      <c r="H722" s="36">
        <f>IF(D722="",0,IF(AND(B722&gt;=ThongTin!$C$9,B722&lt;=ThongTin!$C$10,COUNTIFS(ThongTin!$B$19:$B$48,C722,ThongTin!$A$19:$A$48,ThongTin!$C$8,ThongTin!$C$19:$C$48,"XUAT_SP")&gt;0),1,0))</f>
        <v>0</v>
      </c>
    </row>
    <row r="723" spans="1:8" x14ac:dyDescent="0.25">
      <c r="A723" s="41"/>
      <c r="B723" s="33"/>
      <c r="C723" s="32"/>
      <c r="D723" s="32"/>
      <c r="E723" s="37"/>
      <c r="F723" s="42"/>
      <c r="G723" s="32"/>
      <c r="H723" s="36">
        <f>IF(D723="",0,IF(AND(B723&gt;=ThongTin!$C$9,B723&lt;=ThongTin!$C$10,COUNTIFS(ThongTin!$B$19:$B$48,C723,ThongTin!$A$19:$A$48,ThongTin!$C$8,ThongTin!$C$19:$C$48,"XUAT_SP")&gt;0),1,0))</f>
        <v>0</v>
      </c>
    </row>
    <row r="724" spans="1:8" x14ac:dyDescent="0.25">
      <c r="A724" s="41"/>
      <c r="B724" s="33"/>
      <c r="C724" s="32"/>
      <c r="D724" s="32"/>
      <c r="E724" s="37"/>
      <c r="F724" s="42"/>
      <c r="G724" s="32"/>
      <c r="H724" s="36">
        <f>IF(D724="",0,IF(AND(B724&gt;=ThongTin!$C$9,B724&lt;=ThongTin!$C$10,COUNTIFS(ThongTin!$B$19:$B$48,C724,ThongTin!$A$19:$A$48,ThongTin!$C$8,ThongTin!$C$19:$C$48,"XUAT_SP")&gt;0),1,0))</f>
        <v>0</v>
      </c>
    </row>
    <row r="725" spans="1:8" x14ac:dyDescent="0.25">
      <c r="A725" s="41"/>
      <c r="B725" s="33"/>
      <c r="C725" s="32"/>
      <c r="D725" s="32"/>
      <c r="E725" s="37"/>
      <c r="F725" s="42"/>
      <c r="G725" s="32"/>
      <c r="H725" s="36">
        <f>IF(D725="",0,IF(AND(B725&gt;=ThongTin!$C$9,B725&lt;=ThongTin!$C$10,COUNTIFS(ThongTin!$B$19:$B$48,C725,ThongTin!$A$19:$A$48,ThongTin!$C$8,ThongTin!$C$19:$C$48,"XUAT_SP")&gt;0),1,0))</f>
        <v>0</v>
      </c>
    </row>
    <row r="726" spans="1:8" x14ac:dyDescent="0.25">
      <c r="A726" s="41"/>
      <c r="B726" s="33"/>
      <c r="C726" s="32"/>
      <c r="D726" s="32"/>
      <c r="E726" s="37"/>
      <c r="F726" s="42"/>
      <c r="G726" s="32"/>
      <c r="H726" s="36">
        <f>IF(D726="",0,IF(AND(B726&gt;=ThongTin!$C$9,B726&lt;=ThongTin!$C$10,COUNTIFS(ThongTin!$B$19:$B$48,C726,ThongTin!$A$19:$A$48,ThongTin!$C$8,ThongTin!$C$19:$C$48,"XUAT_SP")&gt;0),1,0))</f>
        <v>0</v>
      </c>
    </row>
    <row r="727" spans="1:8" x14ac:dyDescent="0.25">
      <c r="A727" s="41"/>
      <c r="B727" s="33"/>
      <c r="C727" s="32"/>
      <c r="D727" s="32"/>
      <c r="E727" s="37"/>
      <c r="F727" s="42"/>
      <c r="G727" s="32"/>
      <c r="H727" s="36">
        <f>IF(D727="",0,IF(AND(B727&gt;=ThongTin!$C$9,B727&lt;=ThongTin!$C$10,COUNTIFS(ThongTin!$B$19:$B$48,C727,ThongTin!$A$19:$A$48,ThongTin!$C$8,ThongTin!$C$19:$C$48,"XUAT_SP")&gt;0),1,0))</f>
        <v>0</v>
      </c>
    </row>
    <row r="728" spans="1:8" x14ac:dyDescent="0.25">
      <c r="A728" s="41"/>
      <c r="B728" s="33"/>
      <c r="C728" s="32"/>
      <c r="D728" s="32"/>
      <c r="E728" s="37"/>
      <c r="F728" s="42"/>
      <c r="G728" s="32"/>
      <c r="H728" s="36">
        <f>IF(D728="",0,IF(AND(B728&gt;=ThongTin!$C$9,B728&lt;=ThongTin!$C$10,COUNTIFS(ThongTin!$B$19:$B$48,C728,ThongTin!$A$19:$A$48,ThongTin!$C$8,ThongTin!$C$19:$C$48,"XUAT_SP")&gt;0),1,0))</f>
        <v>0</v>
      </c>
    </row>
    <row r="729" spans="1:8" x14ac:dyDescent="0.25">
      <c r="A729" s="41"/>
      <c r="B729" s="33"/>
      <c r="C729" s="32"/>
      <c r="D729" s="32"/>
      <c r="E729" s="37"/>
      <c r="F729" s="42"/>
      <c r="G729" s="32"/>
      <c r="H729" s="36">
        <f>IF(D729="",0,IF(AND(B729&gt;=ThongTin!$C$9,B729&lt;=ThongTin!$C$10,COUNTIFS(ThongTin!$B$19:$B$48,C729,ThongTin!$A$19:$A$48,ThongTin!$C$8,ThongTin!$C$19:$C$48,"XUAT_SP")&gt;0),1,0))</f>
        <v>0</v>
      </c>
    </row>
    <row r="730" spans="1:8" x14ac:dyDescent="0.25">
      <c r="A730" s="41"/>
      <c r="B730" s="33"/>
      <c r="C730" s="32"/>
      <c r="D730" s="32"/>
      <c r="E730" s="37"/>
      <c r="F730" s="42"/>
      <c r="G730" s="32"/>
      <c r="H730" s="36">
        <f>IF(D730="",0,IF(AND(B730&gt;=ThongTin!$C$9,B730&lt;=ThongTin!$C$10,COUNTIFS(ThongTin!$B$19:$B$48,C730,ThongTin!$A$19:$A$48,ThongTin!$C$8,ThongTin!$C$19:$C$48,"XUAT_SP")&gt;0),1,0))</f>
        <v>0</v>
      </c>
    </row>
    <row r="731" spans="1:8" x14ac:dyDescent="0.25">
      <c r="A731" s="41"/>
      <c r="B731" s="33"/>
      <c r="C731" s="32"/>
      <c r="D731" s="32"/>
      <c r="E731" s="37"/>
      <c r="F731" s="42"/>
      <c r="G731" s="32"/>
      <c r="H731" s="36">
        <f>IF(D731="",0,IF(AND(B731&gt;=ThongTin!$C$9,B731&lt;=ThongTin!$C$10,COUNTIFS(ThongTin!$B$19:$B$48,C731,ThongTin!$A$19:$A$48,ThongTin!$C$8,ThongTin!$C$19:$C$48,"XUAT_SP")&gt;0),1,0))</f>
        <v>0</v>
      </c>
    </row>
    <row r="732" spans="1:8" x14ac:dyDescent="0.25">
      <c r="A732" s="41"/>
      <c r="B732" s="33"/>
      <c r="C732" s="32"/>
      <c r="D732" s="32"/>
      <c r="E732" s="37"/>
      <c r="F732" s="42"/>
      <c r="G732" s="32"/>
      <c r="H732" s="36">
        <f>IF(D732="",0,IF(AND(B732&gt;=ThongTin!$C$9,B732&lt;=ThongTin!$C$10,COUNTIFS(ThongTin!$B$19:$B$48,C732,ThongTin!$A$19:$A$48,ThongTin!$C$8,ThongTin!$C$19:$C$48,"XUAT_SP")&gt;0),1,0))</f>
        <v>0</v>
      </c>
    </row>
    <row r="733" spans="1:8" x14ac:dyDescent="0.25">
      <c r="A733" s="41"/>
      <c r="B733" s="33"/>
      <c r="C733" s="32"/>
      <c r="D733" s="32"/>
      <c r="E733" s="37"/>
      <c r="F733" s="42"/>
      <c r="G733" s="32"/>
      <c r="H733" s="36">
        <f>IF(D733="",0,IF(AND(B733&gt;=ThongTin!$C$9,B733&lt;=ThongTin!$C$10,COUNTIFS(ThongTin!$B$19:$B$48,C733,ThongTin!$A$19:$A$48,ThongTin!$C$8,ThongTin!$C$19:$C$48,"XUAT_SP")&gt;0),1,0))</f>
        <v>0</v>
      </c>
    </row>
    <row r="734" spans="1:8" x14ac:dyDescent="0.25">
      <c r="A734" s="41"/>
      <c r="B734" s="33"/>
      <c r="C734" s="32"/>
      <c r="D734" s="32"/>
      <c r="E734" s="37"/>
      <c r="F734" s="42"/>
      <c r="G734" s="32"/>
      <c r="H734" s="36">
        <f>IF(D734="",0,IF(AND(B734&gt;=ThongTin!$C$9,B734&lt;=ThongTin!$C$10,COUNTIFS(ThongTin!$B$19:$B$48,C734,ThongTin!$A$19:$A$48,ThongTin!$C$8,ThongTin!$C$19:$C$48,"XUAT_SP")&gt;0),1,0))</f>
        <v>0</v>
      </c>
    </row>
    <row r="735" spans="1:8" x14ac:dyDescent="0.25">
      <c r="A735" s="41"/>
      <c r="B735" s="33"/>
      <c r="C735" s="32"/>
      <c r="D735" s="32"/>
      <c r="E735" s="37"/>
      <c r="F735" s="42"/>
      <c r="G735" s="32"/>
      <c r="H735" s="36">
        <f>IF(D735="",0,IF(AND(B735&gt;=ThongTin!$C$9,B735&lt;=ThongTin!$C$10,COUNTIFS(ThongTin!$B$19:$B$48,C735,ThongTin!$A$19:$A$48,ThongTin!$C$8,ThongTin!$C$19:$C$48,"XUAT_SP")&gt;0),1,0))</f>
        <v>0</v>
      </c>
    </row>
    <row r="736" spans="1:8" x14ac:dyDescent="0.25">
      <c r="A736" s="41"/>
      <c r="B736" s="33"/>
      <c r="C736" s="32"/>
      <c r="D736" s="32"/>
      <c r="E736" s="37"/>
      <c r="F736" s="42"/>
      <c r="G736" s="32"/>
      <c r="H736" s="36">
        <f>IF(D736="",0,IF(AND(B736&gt;=ThongTin!$C$9,B736&lt;=ThongTin!$C$10,COUNTIFS(ThongTin!$B$19:$B$48,C736,ThongTin!$A$19:$A$48,ThongTin!$C$8,ThongTin!$C$19:$C$48,"XUAT_SP")&gt;0),1,0))</f>
        <v>0</v>
      </c>
    </row>
    <row r="737" spans="1:8" x14ac:dyDescent="0.25">
      <c r="A737" s="41"/>
      <c r="B737" s="33"/>
      <c r="C737" s="32"/>
      <c r="D737" s="32"/>
      <c r="E737" s="37"/>
      <c r="F737" s="42"/>
      <c r="G737" s="32"/>
      <c r="H737" s="36">
        <f>IF(D737="",0,IF(AND(B737&gt;=ThongTin!$C$9,B737&lt;=ThongTin!$C$10,COUNTIFS(ThongTin!$B$19:$B$48,C737,ThongTin!$A$19:$A$48,ThongTin!$C$8,ThongTin!$C$19:$C$48,"XUAT_SP")&gt;0),1,0))</f>
        <v>0</v>
      </c>
    </row>
    <row r="738" spans="1:8" x14ac:dyDescent="0.25">
      <c r="A738" s="41"/>
      <c r="B738" s="33"/>
      <c r="C738" s="32"/>
      <c r="D738" s="32"/>
      <c r="E738" s="37"/>
      <c r="F738" s="42"/>
      <c r="G738" s="32"/>
      <c r="H738" s="36">
        <f>IF(D738="",0,IF(AND(B738&gt;=ThongTin!$C$9,B738&lt;=ThongTin!$C$10,COUNTIFS(ThongTin!$B$19:$B$48,C738,ThongTin!$A$19:$A$48,ThongTin!$C$8,ThongTin!$C$19:$C$48,"XUAT_SP")&gt;0),1,0))</f>
        <v>0</v>
      </c>
    </row>
    <row r="739" spans="1:8" x14ac:dyDescent="0.25">
      <c r="A739" s="41"/>
      <c r="B739" s="33"/>
      <c r="C739" s="32"/>
      <c r="D739" s="32"/>
      <c r="E739" s="37"/>
      <c r="F739" s="42"/>
      <c r="G739" s="32"/>
      <c r="H739" s="36">
        <f>IF(D739="",0,IF(AND(B739&gt;=ThongTin!$C$9,B739&lt;=ThongTin!$C$10,COUNTIFS(ThongTin!$B$19:$B$48,C739,ThongTin!$A$19:$A$48,ThongTin!$C$8,ThongTin!$C$19:$C$48,"XUAT_SP")&gt;0),1,0))</f>
        <v>0</v>
      </c>
    </row>
    <row r="740" spans="1:8" x14ac:dyDescent="0.25">
      <c r="A740" s="41"/>
      <c r="B740" s="33"/>
      <c r="C740" s="32"/>
      <c r="D740" s="32"/>
      <c r="E740" s="37"/>
      <c r="F740" s="42"/>
      <c r="G740" s="32"/>
      <c r="H740" s="36">
        <f>IF(D740="",0,IF(AND(B740&gt;=ThongTin!$C$9,B740&lt;=ThongTin!$C$10,COUNTIFS(ThongTin!$B$19:$B$48,C740,ThongTin!$A$19:$A$48,ThongTin!$C$8,ThongTin!$C$19:$C$48,"XUAT_SP")&gt;0),1,0))</f>
        <v>0</v>
      </c>
    </row>
    <row r="741" spans="1:8" x14ac:dyDescent="0.25">
      <c r="A741" s="41"/>
      <c r="B741" s="33"/>
      <c r="C741" s="32"/>
      <c r="D741" s="32"/>
      <c r="E741" s="37"/>
      <c r="F741" s="42"/>
      <c r="G741" s="32"/>
      <c r="H741" s="36">
        <f>IF(D741="",0,IF(AND(B741&gt;=ThongTin!$C$9,B741&lt;=ThongTin!$C$10,COUNTIFS(ThongTin!$B$19:$B$48,C741,ThongTin!$A$19:$A$48,ThongTin!$C$8,ThongTin!$C$19:$C$48,"XUAT_SP")&gt;0),1,0))</f>
        <v>0</v>
      </c>
    </row>
    <row r="742" spans="1:8" x14ac:dyDescent="0.25">
      <c r="A742" s="41"/>
      <c r="B742" s="33"/>
      <c r="C742" s="32"/>
      <c r="D742" s="32"/>
      <c r="E742" s="37"/>
      <c r="F742" s="42"/>
      <c r="G742" s="32"/>
      <c r="H742" s="36">
        <f>IF(D742="",0,IF(AND(B742&gt;=ThongTin!$C$9,B742&lt;=ThongTin!$C$10,COUNTIFS(ThongTin!$B$19:$B$48,C742,ThongTin!$A$19:$A$48,ThongTin!$C$8,ThongTin!$C$19:$C$48,"XUAT_SP")&gt;0),1,0))</f>
        <v>0</v>
      </c>
    </row>
    <row r="743" spans="1:8" x14ac:dyDescent="0.25">
      <c r="A743" s="41"/>
      <c r="B743" s="33"/>
      <c r="C743" s="32"/>
      <c r="D743" s="32"/>
      <c r="E743" s="37"/>
      <c r="F743" s="42"/>
      <c r="G743" s="32"/>
      <c r="H743" s="36">
        <f>IF(D743="",0,IF(AND(B743&gt;=ThongTin!$C$9,B743&lt;=ThongTin!$C$10,COUNTIFS(ThongTin!$B$19:$B$48,C743,ThongTin!$A$19:$A$48,ThongTin!$C$8,ThongTin!$C$19:$C$48,"XUAT_SP")&gt;0),1,0))</f>
        <v>0</v>
      </c>
    </row>
    <row r="744" spans="1:8" x14ac:dyDescent="0.25">
      <c r="A744" s="41"/>
      <c r="B744" s="33"/>
      <c r="C744" s="32"/>
      <c r="D744" s="32"/>
      <c r="E744" s="37"/>
      <c r="F744" s="42"/>
      <c r="G744" s="32"/>
      <c r="H744" s="36">
        <f>IF(D744="",0,IF(AND(B744&gt;=ThongTin!$C$9,B744&lt;=ThongTin!$C$10,COUNTIFS(ThongTin!$B$19:$B$48,C744,ThongTin!$A$19:$A$48,ThongTin!$C$8,ThongTin!$C$19:$C$48,"XUAT_SP")&gt;0),1,0))</f>
        <v>0</v>
      </c>
    </row>
    <row r="745" spans="1:8" x14ac:dyDescent="0.25">
      <c r="A745" s="41"/>
      <c r="B745" s="33"/>
      <c r="C745" s="32"/>
      <c r="D745" s="32"/>
      <c r="E745" s="37"/>
      <c r="F745" s="42"/>
      <c r="G745" s="32"/>
      <c r="H745" s="36">
        <f>IF(D745="",0,IF(AND(B745&gt;=ThongTin!$C$9,B745&lt;=ThongTin!$C$10,COUNTIFS(ThongTin!$B$19:$B$48,C745,ThongTin!$A$19:$A$48,ThongTin!$C$8,ThongTin!$C$19:$C$48,"XUAT_SP")&gt;0),1,0))</f>
        <v>0</v>
      </c>
    </row>
    <row r="746" spans="1:8" x14ac:dyDescent="0.25">
      <c r="A746" s="41"/>
      <c r="B746" s="33"/>
      <c r="C746" s="32"/>
      <c r="D746" s="32"/>
      <c r="E746" s="37"/>
      <c r="F746" s="42"/>
      <c r="G746" s="32"/>
      <c r="H746" s="36">
        <f>IF(D746="",0,IF(AND(B746&gt;=ThongTin!$C$9,B746&lt;=ThongTin!$C$10,COUNTIFS(ThongTin!$B$19:$B$48,C746,ThongTin!$A$19:$A$48,ThongTin!$C$8,ThongTin!$C$19:$C$48,"XUAT_SP")&gt;0),1,0))</f>
        <v>0</v>
      </c>
    </row>
    <row r="747" spans="1:8" x14ac:dyDescent="0.25">
      <c r="A747" s="41"/>
      <c r="B747" s="33"/>
      <c r="C747" s="32"/>
      <c r="D747" s="32"/>
      <c r="E747" s="37"/>
      <c r="F747" s="42"/>
      <c r="G747" s="32"/>
      <c r="H747" s="36">
        <f>IF(D747="",0,IF(AND(B747&gt;=ThongTin!$C$9,B747&lt;=ThongTin!$C$10,COUNTIFS(ThongTin!$B$19:$B$48,C747,ThongTin!$A$19:$A$48,ThongTin!$C$8,ThongTin!$C$19:$C$48,"XUAT_SP")&gt;0),1,0))</f>
        <v>0</v>
      </c>
    </row>
    <row r="748" spans="1:8" x14ac:dyDescent="0.25">
      <c r="A748" s="41"/>
      <c r="B748" s="33"/>
      <c r="C748" s="32"/>
      <c r="D748" s="32"/>
      <c r="E748" s="37"/>
      <c r="F748" s="42"/>
      <c r="G748" s="32"/>
      <c r="H748" s="36">
        <f>IF(D748="",0,IF(AND(B748&gt;=ThongTin!$C$9,B748&lt;=ThongTin!$C$10,COUNTIFS(ThongTin!$B$19:$B$48,C748,ThongTin!$A$19:$A$48,ThongTin!$C$8,ThongTin!$C$19:$C$48,"XUAT_SP")&gt;0),1,0))</f>
        <v>0</v>
      </c>
    </row>
    <row r="749" spans="1:8" x14ac:dyDescent="0.25">
      <c r="A749" s="41"/>
      <c r="B749" s="33"/>
      <c r="C749" s="32"/>
      <c r="D749" s="32"/>
      <c r="E749" s="37"/>
      <c r="F749" s="42"/>
      <c r="G749" s="32"/>
      <c r="H749" s="36">
        <f>IF(D749="",0,IF(AND(B749&gt;=ThongTin!$C$9,B749&lt;=ThongTin!$C$10,COUNTIFS(ThongTin!$B$19:$B$48,C749,ThongTin!$A$19:$A$48,ThongTin!$C$8,ThongTin!$C$19:$C$48,"XUAT_SP")&gt;0),1,0))</f>
        <v>0</v>
      </c>
    </row>
    <row r="750" spans="1:8" x14ac:dyDescent="0.25">
      <c r="A750" s="41"/>
      <c r="B750" s="33"/>
      <c r="C750" s="32"/>
      <c r="D750" s="32"/>
      <c r="E750" s="37"/>
      <c r="F750" s="42"/>
      <c r="G750" s="32"/>
      <c r="H750" s="36">
        <f>IF(D750="",0,IF(AND(B750&gt;=ThongTin!$C$9,B750&lt;=ThongTin!$C$10,COUNTIFS(ThongTin!$B$19:$B$48,C750,ThongTin!$A$19:$A$48,ThongTin!$C$8,ThongTin!$C$19:$C$48,"XUAT_SP")&gt;0),1,0))</f>
        <v>0</v>
      </c>
    </row>
    <row r="751" spans="1:8" x14ac:dyDescent="0.25">
      <c r="A751" s="41"/>
      <c r="B751" s="33"/>
      <c r="C751" s="32"/>
      <c r="D751" s="32"/>
      <c r="E751" s="37"/>
      <c r="F751" s="42"/>
      <c r="G751" s="32"/>
      <c r="H751" s="36">
        <f>IF(D751="",0,IF(AND(B751&gt;=ThongTin!$C$9,B751&lt;=ThongTin!$C$10,COUNTIFS(ThongTin!$B$19:$B$48,C751,ThongTin!$A$19:$A$48,ThongTin!$C$8,ThongTin!$C$19:$C$48,"XUAT_SP")&gt;0),1,0))</f>
        <v>0</v>
      </c>
    </row>
    <row r="752" spans="1:8" x14ac:dyDescent="0.25">
      <c r="A752" s="41"/>
      <c r="B752" s="33"/>
      <c r="C752" s="32"/>
      <c r="D752" s="32"/>
      <c r="E752" s="37"/>
      <c r="F752" s="42"/>
      <c r="G752" s="32"/>
      <c r="H752" s="36">
        <f>IF(D752="",0,IF(AND(B752&gt;=ThongTin!$C$9,B752&lt;=ThongTin!$C$10,COUNTIFS(ThongTin!$B$19:$B$48,C752,ThongTin!$A$19:$A$48,ThongTin!$C$8,ThongTin!$C$19:$C$48,"XUAT_SP")&gt;0),1,0))</f>
        <v>0</v>
      </c>
    </row>
    <row r="753" spans="1:8" x14ac:dyDescent="0.25">
      <c r="A753" s="41"/>
      <c r="B753" s="33"/>
      <c r="C753" s="32"/>
      <c r="D753" s="32"/>
      <c r="E753" s="37"/>
      <c r="F753" s="42"/>
      <c r="G753" s="32"/>
      <c r="H753" s="36">
        <f>IF(D753="",0,IF(AND(B753&gt;=ThongTin!$C$9,B753&lt;=ThongTin!$C$10,COUNTIFS(ThongTin!$B$19:$B$48,C753,ThongTin!$A$19:$A$48,ThongTin!$C$8,ThongTin!$C$19:$C$48,"XUAT_SP")&gt;0),1,0))</f>
        <v>0</v>
      </c>
    </row>
    <row r="754" spans="1:8" x14ac:dyDescent="0.25">
      <c r="A754" s="41"/>
      <c r="B754" s="33"/>
      <c r="C754" s="32"/>
      <c r="D754" s="32"/>
      <c r="E754" s="37"/>
      <c r="F754" s="42"/>
      <c r="G754" s="32"/>
      <c r="H754" s="36">
        <f>IF(D754="",0,IF(AND(B754&gt;=ThongTin!$C$9,B754&lt;=ThongTin!$C$10,COUNTIFS(ThongTin!$B$19:$B$48,C754,ThongTin!$A$19:$A$48,ThongTin!$C$8,ThongTin!$C$19:$C$48,"XUAT_SP")&gt;0),1,0))</f>
        <v>0</v>
      </c>
    </row>
    <row r="755" spans="1:8" x14ac:dyDescent="0.25">
      <c r="A755" s="41"/>
      <c r="B755" s="33"/>
      <c r="C755" s="32"/>
      <c r="D755" s="32"/>
      <c r="E755" s="37"/>
      <c r="F755" s="42"/>
      <c r="G755" s="32"/>
      <c r="H755" s="36">
        <f>IF(D755="",0,IF(AND(B755&gt;=ThongTin!$C$9,B755&lt;=ThongTin!$C$10,COUNTIFS(ThongTin!$B$19:$B$48,C755,ThongTin!$A$19:$A$48,ThongTin!$C$8,ThongTin!$C$19:$C$48,"XUAT_SP")&gt;0),1,0))</f>
        <v>0</v>
      </c>
    </row>
    <row r="756" spans="1:8" x14ac:dyDescent="0.25">
      <c r="A756" s="41"/>
      <c r="B756" s="33"/>
      <c r="C756" s="32"/>
      <c r="D756" s="32"/>
      <c r="E756" s="37"/>
      <c r="F756" s="42"/>
      <c r="G756" s="32"/>
      <c r="H756" s="36">
        <f>IF(D756="",0,IF(AND(B756&gt;=ThongTin!$C$9,B756&lt;=ThongTin!$C$10,COUNTIFS(ThongTin!$B$19:$B$48,C756,ThongTin!$A$19:$A$48,ThongTin!$C$8,ThongTin!$C$19:$C$48,"XUAT_SP")&gt;0),1,0))</f>
        <v>0</v>
      </c>
    </row>
    <row r="757" spans="1:8" x14ac:dyDescent="0.25">
      <c r="A757" s="41"/>
      <c r="B757" s="33"/>
      <c r="C757" s="32"/>
      <c r="D757" s="32"/>
      <c r="E757" s="37"/>
      <c r="F757" s="42"/>
      <c r="G757" s="32"/>
      <c r="H757" s="36">
        <f>IF(D757="",0,IF(AND(B757&gt;=ThongTin!$C$9,B757&lt;=ThongTin!$C$10,COUNTIFS(ThongTin!$B$19:$B$48,C757,ThongTin!$A$19:$A$48,ThongTin!$C$8,ThongTin!$C$19:$C$48,"XUAT_SP")&gt;0),1,0))</f>
        <v>0</v>
      </c>
    </row>
    <row r="758" spans="1:8" x14ac:dyDescent="0.25">
      <c r="A758" s="41"/>
      <c r="B758" s="33"/>
      <c r="C758" s="32"/>
      <c r="D758" s="32"/>
      <c r="E758" s="37"/>
      <c r="F758" s="42"/>
      <c r="G758" s="32"/>
      <c r="H758" s="36">
        <f>IF(D758="",0,IF(AND(B758&gt;=ThongTin!$C$9,B758&lt;=ThongTin!$C$10,COUNTIFS(ThongTin!$B$19:$B$48,C758,ThongTin!$A$19:$A$48,ThongTin!$C$8,ThongTin!$C$19:$C$48,"XUAT_SP")&gt;0),1,0))</f>
        <v>0</v>
      </c>
    </row>
    <row r="759" spans="1:8" x14ac:dyDescent="0.25">
      <c r="A759" s="41"/>
      <c r="B759" s="33"/>
      <c r="C759" s="32"/>
      <c r="D759" s="32"/>
      <c r="E759" s="37"/>
      <c r="F759" s="42"/>
      <c r="G759" s="32"/>
      <c r="H759" s="36">
        <f>IF(D759="",0,IF(AND(B759&gt;=ThongTin!$C$9,B759&lt;=ThongTin!$C$10,COUNTIFS(ThongTin!$B$19:$B$48,C759,ThongTin!$A$19:$A$48,ThongTin!$C$8,ThongTin!$C$19:$C$48,"XUAT_SP")&gt;0),1,0))</f>
        <v>0</v>
      </c>
    </row>
    <row r="760" spans="1:8" x14ac:dyDescent="0.25">
      <c r="A760" s="41"/>
      <c r="B760" s="33"/>
      <c r="C760" s="32"/>
      <c r="D760" s="32"/>
      <c r="E760" s="37"/>
      <c r="F760" s="42"/>
      <c r="G760" s="32"/>
      <c r="H760" s="36">
        <f>IF(D760="",0,IF(AND(B760&gt;=ThongTin!$C$9,B760&lt;=ThongTin!$C$10,COUNTIFS(ThongTin!$B$19:$B$48,C760,ThongTin!$A$19:$A$48,ThongTin!$C$8,ThongTin!$C$19:$C$48,"XUAT_SP")&gt;0),1,0))</f>
        <v>0</v>
      </c>
    </row>
    <row r="761" spans="1:8" x14ac:dyDescent="0.25">
      <c r="A761" s="41"/>
      <c r="B761" s="33"/>
      <c r="C761" s="32"/>
      <c r="D761" s="32"/>
      <c r="E761" s="37"/>
      <c r="F761" s="42"/>
      <c r="G761" s="32"/>
      <c r="H761" s="36">
        <f>IF(D761="",0,IF(AND(B761&gt;=ThongTin!$C$9,B761&lt;=ThongTin!$C$10,COUNTIFS(ThongTin!$B$19:$B$48,C761,ThongTin!$A$19:$A$48,ThongTin!$C$8,ThongTin!$C$19:$C$48,"XUAT_SP")&gt;0),1,0))</f>
        <v>0</v>
      </c>
    </row>
    <row r="762" spans="1:8" x14ac:dyDescent="0.25">
      <c r="A762" s="41"/>
      <c r="B762" s="33"/>
      <c r="C762" s="32"/>
      <c r="D762" s="32"/>
      <c r="E762" s="37"/>
      <c r="F762" s="42"/>
      <c r="G762" s="32"/>
      <c r="H762" s="36">
        <f>IF(D762="",0,IF(AND(B762&gt;=ThongTin!$C$9,B762&lt;=ThongTin!$C$10,COUNTIFS(ThongTin!$B$19:$B$48,C762,ThongTin!$A$19:$A$48,ThongTin!$C$8,ThongTin!$C$19:$C$48,"XUAT_SP")&gt;0),1,0))</f>
        <v>0</v>
      </c>
    </row>
    <row r="763" spans="1:8" x14ac:dyDescent="0.25">
      <c r="A763" s="41"/>
      <c r="B763" s="33"/>
      <c r="C763" s="32"/>
      <c r="D763" s="32"/>
      <c r="E763" s="37"/>
      <c r="F763" s="42"/>
      <c r="G763" s="32"/>
      <c r="H763" s="36">
        <f>IF(D763="",0,IF(AND(B763&gt;=ThongTin!$C$9,B763&lt;=ThongTin!$C$10,COUNTIFS(ThongTin!$B$19:$B$48,C763,ThongTin!$A$19:$A$48,ThongTin!$C$8,ThongTin!$C$19:$C$48,"XUAT_SP")&gt;0),1,0))</f>
        <v>0</v>
      </c>
    </row>
    <row r="764" spans="1:8" x14ac:dyDescent="0.25">
      <c r="A764" s="41"/>
      <c r="B764" s="33"/>
      <c r="C764" s="32"/>
      <c r="D764" s="32"/>
      <c r="E764" s="37"/>
      <c r="F764" s="42"/>
      <c r="G764" s="32"/>
      <c r="H764" s="36">
        <f>IF(D764="",0,IF(AND(B764&gt;=ThongTin!$C$9,B764&lt;=ThongTin!$C$10,COUNTIFS(ThongTin!$B$19:$B$48,C764,ThongTin!$A$19:$A$48,ThongTin!$C$8,ThongTin!$C$19:$C$48,"XUAT_SP")&gt;0),1,0))</f>
        <v>0</v>
      </c>
    </row>
    <row r="765" spans="1:8" x14ac:dyDescent="0.25">
      <c r="A765" s="41"/>
      <c r="B765" s="33"/>
      <c r="C765" s="32"/>
      <c r="D765" s="32"/>
      <c r="E765" s="37"/>
      <c r="F765" s="42"/>
      <c r="G765" s="32"/>
      <c r="H765" s="36">
        <f>IF(D765="",0,IF(AND(B765&gt;=ThongTin!$C$9,B765&lt;=ThongTin!$C$10,COUNTIFS(ThongTin!$B$19:$B$48,C765,ThongTin!$A$19:$A$48,ThongTin!$C$8,ThongTin!$C$19:$C$48,"XUAT_SP")&gt;0),1,0))</f>
        <v>0</v>
      </c>
    </row>
    <row r="766" spans="1:8" x14ac:dyDescent="0.25">
      <c r="A766" s="41"/>
      <c r="B766" s="33"/>
      <c r="C766" s="32"/>
      <c r="D766" s="32"/>
      <c r="E766" s="37"/>
      <c r="F766" s="42"/>
      <c r="G766" s="32"/>
      <c r="H766" s="36">
        <f>IF(D766="",0,IF(AND(B766&gt;=ThongTin!$C$9,B766&lt;=ThongTin!$C$10,COUNTIFS(ThongTin!$B$19:$B$48,C766,ThongTin!$A$19:$A$48,ThongTin!$C$8,ThongTin!$C$19:$C$48,"XUAT_SP")&gt;0),1,0))</f>
        <v>0</v>
      </c>
    </row>
    <row r="767" spans="1:8" x14ac:dyDescent="0.25">
      <c r="A767" s="41"/>
      <c r="B767" s="33"/>
      <c r="C767" s="32"/>
      <c r="D767" s="32"/>
      <c r="E767" s="37"/>
      <c r="F767" s="42"/>
      <c r="G767" s="32"/>
      <c r="H767" s="36">
        <f>IF(D767="",0,IF(AND(B767&gt;=ThongTin!$C$9,B767&lt;=ThongTin!$C$10,COUNTIFS(ThongTin!$B$19:$B$48,C767,ThongTin!$A$19:$A$48,ThongTin!$C$8,ThongTin!$C$19:$C$48,"XUAT_SP")&gt;0),1,0))</f>
        <v>0</v>
      </c>
    </row>
    <row r="768" spans="1:8" x14ac:dyDescent="0.25">
      <c r="A768" s="41"/>
      <c r="B768" s="33"/>
      <c r="C768" s="32"/>
      <c r="D768" s="32"/>
      <c r="E768" s="37"/>
      <c r="F768" s="42"/>
      <c r="G768" s="32"/>
      <c r="H768" s="36">
        <f>IF(D768="",0,IF(AND(B768&gt;=ThongTin!$C$9,B768&lt;=ThongTin!$C$10,COUNTIFS(ThongTin!$B$19:$B$48,C768,ThongTin!$A$19:$A$48,ThongTin!$C$8,ThongTin!$C$19:$C$48,"XUAT_SP")&gt;0),1,0))</f>
        <v>0</v>
      </c>
    </row>
    <row r="769" spans="1:8" x14ac:dyDescent="0.25">
      <c r="A769" s="41"/>
      <c r="B769" s="33"/>
      <c r="C769" s="32"/>
      <c r="D769" s="32"/>
      <c r="E769" s="37"/>
      <c r="F769" s="42"/>
      <c r="G769" s="32"/>
      <c r="H769" s="36">
        <f>IF(D769="",0,IF(AND(B769&gt;=ThongTin!$C$9,B769&lt;=ThongTin!$C$10,COUNTIFS(ThongTin!$B$19:$B$48,C769,ThongTin!$A$19:$A$48,ThongTin!$C$8,ThongTin!$C$19:$C$48,"XUAT_SP")&gt;0),1,0))</f>
        <v>0</v>
      </c>
    </row>
    <row r="770" spans="1:8" x14ac:dyDescent="0.25">
      <c r="A770" s="41"/>
      <c r="B770" s="33"/>
      <c r="C770" s="32"/>
      <c r="D770" s="32"/>
      <c r="E770" s="37"/>
      <c r="F770" s="42"/>
      <c r="G770" s="32"/>
      <c r="H770" s="36">
        <f>IF(D770="",0,IF(AND(B770&gt;=ThongTin!$C$9,B770&lt;=ThongTin!$C$10,COUNTIFS(ThongTin!$B$19:$B$48,C770,ThongTin!$A$19:$A$48,ThongTin!$C$8,ThongTin!$C$19:$C$48,"XUAT_SP")&gt;0),1,0))</f>
        <v>0</v>
      </c>
    </row>
    <row r="771" spans="1:8" x14ac:dyDescent="0.25">
      <c r="A771" s="41"/>
      <c r="B771" s="33"/>
      <c r="C771" s="32"/>
      <c r="D771" s="32"/>
      <c r="E771" s="37"/>
      <c r="F771" s="42"/>
      <c r="G771" s="32"/>
      <c r="H771" s="36">
        <f>IF(D771="",0,IF(AND(B771&gt;=ThongTin!$C$9,B771&lt;=ThongTin!$C$10,COUNTIFS(ThongTin!$B$19:$B$48,C771,ThongTin!$A$19:$A$48,ThongTin!$C$8,ThongTin!$C$19:$C$48,"XUAT_SP")&gt;0),1,0))</f>
        <v>0</v>
      </c>
    </row>
    <row r="772" spans="1:8" x14ac:dyDescent="0.25">
      <c r="A772" s="41"/>
      <c r="B772" s="33"/>
      <c r="C772" s="32"/>
      <c r="D772" s="32"/>
      <c r="E772" s="37"/>
      <c r="F772" s="42"/>
      <c r="G772" s="32"/>
      <c r="H772" s="36">
        <f>IF(D772="",0,IF(AND(B772&gt;=ThongTin!$C$9,B772&lt;=ThongTin!$C$10,COUNTIFS(ThongTin!$B$19:$B$48,C772,ThongTin!$A$19:$A$48,ThongTin!$C$8,ThongTin!$C$19:$C$48,"XUAT_SP")&gt;0),1,0))</f>
        <v>0</v>
      </c>
    </row>
    <row r="773" spans="1:8" x14ac:dyDescent="0.25">
      <c r="A773" s="41"/>
      <c r="B773" s="33"/>
      <c r="C773" s="32"/>
      <c r="D773" s="32"/>
      <c r="E773" s="37"/>
      <c r="F773" s="42"/>
      <c r="G773" s="32"/>
      <c r="H773" s="36">
        <f>IF(D773="",0,IF(AND(B773&gt;=ThongTin!$C$9,B773&lt;=ThongTin!$C$10,COUNTIFS(ThongTin!$B$19:$B$48,C773,ThongTin!$A$19:$A$48,ThongTin!$C$8,ThongTin!$C$19:$C$48,"XUAT_SP")&gt;0),1,0))</f>
        <v>0</v>
      </c>
    </row>
    <row r="774" spans="1:8" x14ac:dyDescent="0.25">
      <c r="A774" s="41"/>
      <c r="B774" s="33"/>
      <c r="C774" s="32"/>
      <c r="D774" s="32"/>
      <c r="E774" s="37"/>
      <c r="F774" s="42"/>
      <c r="G774" s="32"/>
      <c r="H774" s="36">
        <f>IF(D774="",0,IF(AND(B774&gt;=ThongTin!$C$9,B774&lt;=ThongTin!$C$10,COUNTIFS(ThongTin!$B$19:$B$48,C774,ThongTin!$A$19:$A$48,ThongTin!$C$8,ThongTin!$C$19:$C$48,"XUAT_SP")&gt;0),1,0))</f>
        <v>0</v>
      </c>
    </row>
    <row r="775" spans="1:8" x14ac:dyDescent="0.25">
      <c r="A775" s="41"/>
      <c r="B775" s="33"/>
      <c r="C775" s="32"/>
      <c r="D775" s="32"/>
      <c r="E775" s="37"/>
      <c r="F775" s="42"/>
      <c r="G775" s="32"/>
      <c r="H775" s="36">
        <f>IF(D775="",0,IF(AND(B775&gt;=ThongTin!$C$9,B775&lt;=ThongTin!$C$10,COUNTIFS(ThongTin!$B$19:$B$48,C775,ThongTin!$A$19:$A$48,ThongTin!$C$8,ThongTin!$C$19:$C$48,"XUAT_SP")&gt;0),1,0))</f>
        <v>0</v>
      </c>
    </row>
    <row r="776" spans="1:8" x14ac:dyDescent="0.25">
      <c r="A776" s="41"/>
      <c r="B776" s="33"/>
      <c r="C776" s="32"/>
      <c r="D776" s="32"/>
      <c r="E776" s="37"/>
      <c r="F776" s="42"/>
      <c r="G776" s="32"/>
      <c r="H776" s="36">
        <f>IF(D776="",0,IF(AND(B776&gt;=ThongTin!$C$9,B776&lt;=ThongTin!$C$10,COUNTIFS(ThongTin!$B$19:$B$48,C776,ThongTin!$A$19:$A$48,ThongTin!$C$8,ThongTin!$C$19:$C$48,"XUAT_SP")&gt;0),1,0))</f>
        <v>0</v>
      </c>
    </row>
    <row r="777" spans="1:8" x14ac:dyDescent="0.25">
      <c r="A777" s="41"/>
      <c r="B777" s="33"/>
      <c r="C777" s="32"/>
      <c r="D777" s="32"/>
      <c r="E777" s="37"/>
      <c r="F777" s="42"/>
      <c r="G777" s="32"/>
      <c r="H777" s="36">
        <f>IF(D777="",0,IF(AND(B777&gt;=ThongTin!$C$9,B777&lt;=ThongTin!$C$10,COUNTIFS(ThongTin!$B$19:$B$48,C777,ThongTin!$A$19:$A$48,ThongTin!$C$8,ThongTin!$C$19:$C$48,"XUAT_SP")&gt;0),1,0))</f>
        <v>0</v>
      </c>
    </row>
    <row r="778" spans="1:8" x14ac:dyDescent="0.25">
      <c r="A778" s="41"/>
      <c r="B778" s="33"/>
      <c r="C778" s="32"/>
      <c r="D778" s="32"/>
      <c r="E778" s="37"/>
      <c r="F778" s="42"/>
      <c r="G778" s="32"/>
      <c r="H778" s="36">
        <f>IF(D778="",0,IF(AND(B778&gt;=ThongTin!$C$9,B778&lt;=ThongTin!$C$10,COUNTIFS(ThongTin!$B$19:$B$48,C778,ThongTin!$A$19:$A$48,ThongTin!$C$8,ThongTin!$C$19:$C$48,"XUAT_SP")&gt;0),1,0))</f>
        <v>0</v>
      </c>
    </row>
    <row r="779" spans="1:8" x14ac:dyDescent="0.25">
      <c r="A779" s="41"/>
      <c r="B779" s="33"/>
      <c r="C779" s="32"/>
      <c r="D779" s="32"/>
      <c r="E779" s="37"/>
      <c r="F779" s="42"/>
      <c r="G779" s="32"/>
      <c r="H779" s="36">
        <f>IF(D779="",0,IF(AND(B779&gt;=ThongTin!$C$9,B779&lt;=ThongTin!$C$10,COUNTIFS(ThongTin!$B$19:$B$48,C779,ThongTin!$A$19:$A$48,ThongTin!$C$8,ThongTin!$C$19:$C$48,"XUAT_SP")&gt;0),1,0))</f>
        <v>0</v>
      </c>
    </row>
    <row r="780" spans="1:8" x14ac:dyDescent="0.25">
      <c r="A780" s="41"/>
      <c r="B780" s="33"/>
      <c r="C780" s="32"/>
      <c r="D780" s="32"/>
      <c r="E780" s="37"/>
      <c r="F780" s="42"/>
      <c r="G780" s="32"/>
      <c r="H780" s="36">
        <f>IF(D780="",0,IF(AND(B780&gt;=ThongTin!$C$9,B780&lt;=ThongTin!$C$10,COUNTIFS(ThongTin!$B$19:$B$48,C780,ThongTin!$A$19:$A$48,ThongTin!$C$8,ThongTin!$C$19:$C$48,"XUAT_SP")&gt;0),1,0))</f>
        <v>0</v>
      </c>
    </row>
    <row r="781" spans="1:8" x14ac:dyDescent="0.25">
      <c r="A781" s="41"/>
      <c r="B781" s="33"/>
      <c r="C781" s="32"/>
      <c r="D781" s="32"/>
      <c r="E781" s="37"/>
      <c r="F781" s="42"/>
      <c r="G781" s="32"/>
      <c r="H781" s="36">
        <f>IF(D781="",0,IF(AND(B781&gt;=ThongTin!$C$9,B781&lt;=ThongTin!$C$10,COUNTIFS(ThongTin!$B$19:$B$48,C781,ThongTin!$A$19:$A$48,ThongTin!$C$8,ThongTin!$C$19:$C$48,"XUAT_SP")&gt;0),1,0))</f>
        <v>0</v>
      </c>
    </row>
    <row r="782" spans="1:8" x14ac:dyDescent="0.25">
      <c r="A782" s="41"/>
      <c r="B782" s="33"/>
      <c r="C782" s="32"/>
      <c r="D782" s="32"/>
      <c r="E782" s="37"/>
      <c r="F782" s="42"/>
      <c r="G782" s="32"/>
      <c r="H782" s="36">
        <f>IF(D782="",0,IF(AND(B782&gt;=ThongTin!$C$9,B782&lt;=ThongTin!$C$10,COUNTIFS(ThongTin!$B$19:$B$48,C782,ThongTin!$A$19:$A$48,ThongTin!$C$8,ThongTin!$C$19:$C$48,"XUAT_SP")&gt;0),1,0))</f>
        <v>0</v>
      </c>
    </row>
    <row r="783" spans="1:8" x14ac:dyDescent="0.25">
      <c r="A783" s="41"/>
      <c r="B783" s="33"/>
      <c r="C783" s="32"/>
      <c r="D783" s="32"/>
      <c r="E783" s="37"/>
      <c r="F783" s="42"/>
      <c r="G783" s="32"/>
      <c r="H783" s="36">
        <f>IF(D783="",0,IF(AND(B783&gt;=ThongTin!$C$9,B783&lt;=ThongTin!$C$10,COUNTIFS(ThongTin!$B$19:$B$48,C783,ThongTin!$A$19:$A$48,ThongTin!$C$8,ThongTin!$C$19:$C$48,"XUAT_SP")&gt;0),1,0))</f>
        <v>0</v>
      </c>
    </row>
    <row r="784" spans="1:8" x14ac:dyDescent="0.25">
      <c r="A784" s="41"/>
      <c r="B784" s="33"/>
      <c r="C784" s="32"/>
      <c r="D784" s="32"/>
      <c r="E784" s="37"/>
      <c r="F784" s="42"/>
      <c r="G784" s="32"/>
      <c r="H784" s="36">
        <f>IF(D784="",0,IF(AND(B784&gt;=ThongTin!$C$9,B784&lt;=ThongTin!$C$10,COUNTIFS(ThongTin!$B$19:$B$48,C784,ThongTin!$A$19:$A$48,ThongTin!$C$8,ThongTin!$C$19:$C$48,"XUAT_SP")&gt;0),1,0))</f>
        <v>0</v>
      </c>
    </row>
    <row r="785" spans="1:8" x14ac:dyDescent="0.25">
      <c r="A785" s="41"/>
      <c r="B785" s="33"/>
      <c r="C785" s="32"/>
      <c r="D785" s="32"/>
      <c r="E785" s="37"/>
      <c r="F785" s="42"/>
      <c r="G785" s="32"/>
      <c r="H785" s="36">
        <f>IF(D785="",0,IF(AND(B785&gt;=ThongTin!$C$9,B785&lt;=ThongTin!$C$10,COUNTIFS(ThongTin!$B$19:$B$48,C785,ThongTin!$A$19:$A$48,ThongTin!$C$8,ThongTin!$C$19:$C$48,"XUAT_SP")&gt;0),1,0))</f>
        <v>0</v>
      </c>
    </row>
    <row r="786" spans="1:8" x14ac:dyDescent="0.25">
      <c r="A786" s="41"/>
      <c r="B786" s="33"/>
      <c r="C786" s="32"/>
      <c r="D786" s="32"/>
      <c r="E786" s="37"/>
      <c r="F786" s="42"/>
      <c r="G786" s="32"/>
      <c r="H786" s="36">
        <f>IF(D786="",0,IF(AND(B786&gt;=ThongTin!$C$9,B786&lt;=ThongTin!$C$10,COUNTIFS(ThongTin!$B$19:$B$48,C786,ThongTin!$A$19:$A$48,ThongTin!$C$8,ThongTin!$C$19:$C$48,"XUAT_SP")&gt;0),1,0))</f>
        <v>0</v>
      </c>
    </row>
    <row r="787" spans="1:8" x14ac:dyDescent="0.25">
      <c r="A787" s="41"/>
      <c r="B787" s="33"/>
      <c r="C787" s="32"/>
      <c r="D787" s="32"/>
      <c r="E787" s="37"/>
      <c r="F787" s="42"/>
      <c r="G787" s="32"/>
      <c r="H787" s="36">
        <f>IF(D787="",0,IF(AND(B787&gt;=ThongTin!$C$9,B787&lt;=ThongTin!$C$10,COUNTIFS(ThongTin!$B$19:$B$48,C787,ThongTin!$A$19:$A$48,ThongTin!$C$8,ThongTin!$C$19:$C$48,"XUAT_SP")&gt;0),1,0))</f>
        <v>0</v>
      </c>
    </row>
    <row r="788" spans="1:8" x14ac:dyDescent="0.25">
      <c r="A788" s="41"/>
      <c r="B788" s="33"/>
      <c r="C788" s="32"/>
      <c r="D788" s="32"/>
      <c r="E788" s="37"/>
      <c r="F788" s="42"/>
      <c r="G788" s="32"/>
      <c r="H788" s="36">
        <f>IF(D788="",0,IF(AND(B788&gt;=ThongTin!$C$9,B788&lt;=ThongTin!$C$10,COUNTIFS(ThongTin!$B$19:$B$48,C788,ThongTin!$A$19:$A$48,ThongTin!$C$8,ThongTin!$C$19:$C$48,"XUAT_SP")&gt;0),1,0))</f>
        <v>0</v>
      </c>
    </row>
    <row r="789" spans="1:8" x14ac:dyDescent="0.25">
      <c r="A789" s="41"/>
      <c r="B789" s="33"/>
      <c r="C789" s="32"/>
      <c r="D789" s="32"/>
      <c r="E789" s="37"/>
      <c r="F789" s="42"/>
      <c r="G789" s="32"/>
      <c r="H789" s="36">
        <f>IF(D789="",0,IF(AND(B789&gt;=ThongTin!$C$9,B789&lt;=ThongTin!$C$10,COUNTIFS(ThongTin!$B$19:$B$48,C789,ThongTin!$A$19:$A$48,ThongTin!$C$8,ThongTin!$C$19:$C$48,"XUAT_SP")&gt;0),1,0))</f>
        <v>0</v>
      </c>
    </row>
    <row r="790" spans="1:8" x14ac:dyDescent="0.25">
      <c r="A790" s="41"/>
      <c r="B790" s="33"/>
      <c r="C790" s="32"/>
      <c r="D790" s="32"/>
      <c r="E790" s="37"/>
      <c r="F790" s="42"/>
      <c r="G790" s="32"/>
      <c r="H790" s="36">
        <f>IF(D790="",0,IF(AND(B790&gt;=ThongTin!$C$9,B790&lt;=ThongTin!$C$10,COUNTIFS(ThongTin!$B$19:$B$48,C790,ThongTin!$A$19:$A$48,ThongTin!$C$8,ThongTin!$C$19:$C$48,"XUAT_SP")&gt;0),1,0))</f>
        <v>0</v>
      </c>
    </row>
    <row r="791" spans="1:8" x14ac:dyDescent="0.25">
      <c r="A791" s="41"/>
      <c r="B791" s="33"/>
      <c r="C791" s="32"/>
      <c r="D791" s="32"/>
      <c r="E791" s="37"/>
      <c r="F791" s="42"/>
      <c r="G791" s="32"/>
      <c r="H791" s="36">
        <f>IF(D791="",0,IF(AND(B791&gt;=ThongTin!$C$9,B791&lt;=ThongTin!$C$10,COUNTIFS(ThongTin!$B$19:$B$48,C791,ThongTin!$A$19:$A$48,ThongTin!$C$8,ThongTin!$C$19:$C$48,"XUAT_SP")&gt;0),1,0))</f>
        <v>0</v>
      </c>
    </row>
    <row r="792" spans="1:8" x14ac:dyDescent="0.25">
      <c r="A792" s="41"/>
      <c r="B792" s="33"/>
      <c r="C792" s="32"/>
      <c r="D792" s="32"/>
      <c r="E792" s="37"/>
      <c r="F792" s="42"/>
      <c r="G792" s="32"/>
      <c r="H792" s="36">
        <f>IF(D792="",0,IF(AND(B792&gt;=ThongTin!$C$9,B792&lt;=ThongTin!$C$10,COUNTIFS(ThongTin!$B$19:$B$48,C792,ThongTin!$A$19:$A$48,ThongTin!$C$8,ThongTin!$C$19:$C$48,"XUAT_SP")&gt;0),1,0))</f>
        <v>0</v>
      </c>
    </row>
    <row r="793" spans="1:8" x14ac:dyDescent="0.25">
      <c r="A793" s="41"/>
      <c r="B793" s="33"/>
      <c r="C793" s="32"/>
      <c r="D793" s="32"/>
      <c r="E793" s="37"/>
      <c r="F793" s="42"/>
      <c r="G793" s="32"/>
      <c r="H793" s="36">
        <f>IF(D793="",0,IF(AND(B793&gt;=ThongTin!$C$9,B793&lt;=ThongTin!$C$10,COUNTIFS(ThongTin!$B$19:$B$48,C793,ThongTin!$A$19:$A$48,ThongTin!$C$8,ThongTin!$C$19:$C$48,"XUAT_SP")&gt;0),1,0))</f>
        <v>0</v>
      </c>
    </row>
    <row r="794" spans="1:8" x14ac:dyDescent="0.25">
      <c r="A794" s="41"/>
      <c r="B794" s="33"/>
      <c r="C794" s="32"/>
      <c r="D794" s="32"/>
      <c r="E794" s="37"/>
      <c r="F794" s="42"/>
      <c r="G794" s="32"/>
      <c r="H794" s="36">
        <f>IF(D794="",0,IF(AND(B794&gt;=ThongTin!$C$9,B794&lt;=ThongTin!$C$10,COUNTIFS(ThongTin!$B$19:$B$48,C794,ThongTin!$A$19:$A$48,ThongTin!$C$8,ThongTin!$C$19:$C$48,"XUAT_SP")&gt;0),1,0))</f>
        <v>0</v>
      </c>
    </row>
    <row r="795" spans="1:8" x14ac:dyDescent="0.25">
      <c r="A795" s="41"/>
      <c r="B795" s="33"/>
      <c r="C795" s="32"/>
      <c r="D795" s="32"/>
      <c r="E795" s="37"/>
      <c r="F795" s="42"/>
      <c r="G795" s="32"/>
      <c r="H795" s="36">
        <f>IF(D795="",0,IF(AND(B795&gt;=ThongTin!$C$9,B795&lt;=ThongTin!$C$10,COUNTIFS(ThongTin!$B$19:$B$48,C795,ThongTin!$A$19:$A$48,ThongTin!$C$8,ThongTin!$C$19:$C$48,"XUAT_SP")&gt;0),1,0))</f>
        <v>0</v>
      </c>
    </row>
    <row r="796" spans="1:8" x14ac:dyDescent="0.25">
      <c r="A796" s="41"/>
      <c r="B796" s="33"/>
      <c r="C796" s="32"/>
      <c r="D796" s="32"/>
      <c r="E796" s="37"/>
      <c r="F796" s="42"/>
      <c r="G796" s="32"/>
      <c r="H796" s="36">
        <f>IF(D796="",0,IF(AND(B796&gt;=ThongTin!$C$9,B796&lt;=ThongTin!$C$10,COUNTIFS(ThongTin!$B$19:$B$48,C796,ThongTin!$A$19:$A$48,ThongTin!$C$8,ThongTin!$C$19:$C$48,"XUAT_SP")&gt;0),1,0))</f>
        <v>0</v>
      </c>
    </row>
    <row r="797" spans="1:8" x14ac:dyDescent="0.25">
      <c r="A797" s="41"/>
      <c r="B797" s="33"/>
      <c r="C797" s="32"/>
      <c r="D797" s="32"/>
      <c r="E797" s="37"/>
      <c r="F797" s="42"/>
      <c r="G797" s="32"/>
      <c r="H797" s="36">
        <f>IF(D797="",0,IF(AND(B797&gt;=ThongTin!$C$9,B797&lt;=ThongTin!$C$10,COUNTIFS(ThongTin!$B$19:$B$48,C797,ThongTin!$A$19:$A$48,ThongTin!$C$8,ThongTin!$C$19:$C$48,"XUAT_SP")&gt;0),1,0))</f>
        <v>0</v>
      </c>
    </row>
    <row r="798" spans="1:8" x14ac:dyDescent="0.25">
      <c r="A798" s="41"/>
      <c r="B798" s="33"/>
      <c r="C798" s="32"/>
      <c r="D798" s="32"/>
      <c r="E798" s="37"/>
      <c r="F798" s="42"/>
      <c r="G798" s="32"/>
      <c r="H798" s="36">
        <f>IF(D798="",0,IF(AND(B798&gt;=ThongTin!$C$9,B798&lt;=ThongTin!$C$10,COUNTIFS(ThongTin!$B$19:$B$48,C798,ThongTin!$A$19:$A$48,ThongTin!$C$8,ThongTin!$C$19:$C$48,"XUAT_SP")&gt;0),1,0))</f>
        <v>0</v>
      </c>
    </row>
    <row r="799" spans="1:8" x14ac:dyDescent="0.25">
      <c r="A799" s="41"/>
      <c r="B799" s="33"/>
      <c r="C799" s="32"/>
      <c r="D799" s="32"/>
      <c r="E799" s="37"/>
      <c r="F799" s="42"/>
      <c r="G799" s="32"/>
      <c r="H799" s="36">
        <f>IF(D799="",0,IF(AND(B799&gt;=ThongTin!$C$9,B799&lt;=ThongTin!$C$10,COUNTIFS(ThongTin!$B$19:$B$48,C799,ThongTin!$A$19:$A$48,ThongTin!$C$8,ThongTin!$C$19:$C$48,"XUAT_SP")&gt;0),1,0))</f>
        <v>0</v>
      </c>
    </row>
    <row r="800" spans="1:8" x14ac:dyDescent="0.25">
      <c r="A800" s="41"/>
      <c r="B800" s="33"/>
      <c r="C800" s="32"/>
      <c r="D800" s="32"/>
      <c r="E800" s="37"/>
      <c r="F800" s="42"/>
      <c r="G800" s="32"/>
      <c r="H800" s="36">
        <f>IF(D800="",0,IF(AND(B800&gt;=ThongTin!$C$9,B800&lt;=ThongTin!$C$10,COUNTIFS(ThongTin!$B$19:$B$48,C800,ThongTin!$A$19:$A$48,ThongTin!$C$8,ThongTin!$C$19:$C$48,"XUAT_SP")&gt;0),1,0))</f>
        <v>0</v>
      </c>
    </row>
    <row r="801" spans="1:8" x14ac:dyDescent="0.25">
      <c r="A801" s="41"/>
      <c r="B801" s="33"/>
      <c r="C801" s="32"/>
      <c r="D801" s="32"/>
      <c r="E801" s="37"/>
      <c r="F801" s="42"/>
      <c r="G801" s="32"/>
      <c r="H801" s="36">
        <f>IF(D801="",0,IF(AND(B801&gt;=ThongTin!$C$9,B801&lt;=ThongTin!$C$10,COUNTIFS(ThongTin!$B$19:$B$48,C801,ThongTin!$A$19:$A$48,ThongTin!$C$8,ThongTin!$C$19:$C$48,"XUAT_SP")&gt;0),1,0))</f>
        <v>0</v>
      </c>
    </row>
    <row r="802" spans="1:8" x14ac:dyDescent="0.25">
      <c r="A802" s="41"/>
      <c r="B802" s="33"/>
      <c r="C802" s="32"/>
      <c r="D802" s="32"/>
      <c r="E802" s="37"/>
      <c r="F802" s="42"/>
      <c r="G802" s="32"/>
      <c r="H802" s="36">
        <f>IF(D802="",0,IF(AND(B802&gt;=ThongTin!$C$9,B802&lt;=ThongTin!$C$10,COUNTIFS(ThongTin!$B$19:$B$48,C802,ThongTin!$A$19:$A$48,ThongTin!$C$8,ThongTin!$C$19:$C$48,"XUAT_SP")&gt;0),1,0))</f>
        <v>0</v>
      </c>
    </row>
    <row r="803" spans="1:8" x14ac:dyDescent="0.25">
      <c r="A803" s="41"/>
      <c r="B803" s="33"/>
      <c r="C803" s="32"/>
      <c r="D803" s="32"/>
      <c r="E803" s="37"/>
      <c r="F803" s="42"/>
      <c r="G803" s="32"/>
      <c r="H803" s="36">
        <f>IF(D803="",0,IF(AND(B803&gt;=ThongTin!$C$9,B803&lt;=ThongTin!$C$10,COUNTIFS(ThongTin!$B$19:$B$48,C803,ThongTin!$A$19:$A$48,ThongTin!$C$8,ThongTin!$C$19:$C$48,"XUAT_SP")&gt;0),1,0))</f>
        <v>0</v>
      </c>
    </row>
    <row r="804" spans="1:8" x14ac:dyDescent="0.25">
      <c r="A804" s="41"/>
      <c r="B804" s="33"/>
      <c r="C804" s="32"/>
      <c r="D804" s="32"/>
      <c r="E804" s="37"/>
      <c r="F804" s="42"/>
      <c r="G804" s="32"/>
      <c r="H804" s="36">
        <f>IF(D804="",0,IF(AND(B804&gt;=ThongTin!$C$9,B804&lt;=ThongTin!$C$10,COUNTIFS(ThongTin!$B$19:$B$48,C804,ThongTin!$A$19:$A$48,ThongTin!$C$8,ThongTin!$C$19:$C$48,"XUAT_SP")&gt;0),1,0))</f>
        <v>0</v>
      </c>
    </row>
    <row r="805" spans="1:8" x14ac:dyDescent="0.25">
      <c r="A805" s="41"/>
      <c r="B805" s="33"/>
      <c r="C805" s="32"/>
      <c r="D805" s="32"/>
      <c r="E805" s="37"/>
      <c r="F805" s="42"/>
      <c r="G805" s="32"/>
      <c r="H805" s="36">
        <f>IF(D805="",0,IF(AND(B805&gt;=ThongTin!$C$9,B805&lt;=ThongTin!$C$10,COUNTIFS(ThongTin!$B$19:$B$48,C805,ThongTin!$A$19:$A$48,ThongTin!$C$8,ThongTin!$C$19:$C$48,"XUAT_SP")&gt;0),1,0))</f>
        <v>0</v>
      </c>
    </row>
    <row r="806" spans="1:8" x14ac:dyDescent="0.25">
      <c r="A806" s="41"/>
      <c r="B806" s="33"/>
      <c r="C806" s="32"/>
      <c r="D806" s="32"/>
      <c r="E806" s="37"/>
      <c r="F806" s="42"/>
      <c r="G806" s="32"/>
      <c r="H806" s="36">
        <f>IF(D806="",0,IF(AND(B806&gt;=ThongTin!$C$9,B806&lt;=ThongTin!$C$10,COUNTIFS(ThongTin!$B$19:$B$48,C806,ThongTin!$A$19:$A$48,ThongTin!$C$8,ThongTin!$C$19:$C$48,"XUAT_SP")&gt;0),1,0))</f>
        <v>0</v>
      </c>
    </row>
    <row r="807" spans="1:8" x14ac:dyDescent="0.25">
      <c r="A807" s="41"/>
      <c r="B807" s="33"/>
      <c r="C807" s="32"/>
      <c r="D807" s="32"/>
      <c r="E807" s="37"/>
      <c r="F807" s="42"/>
      <c r="G807" s="32"/>
      <c r="H807" s="36">
        <f>IF(D807="",0,IF(AND(B807&gt;=ThongTin!$C$9,B807&lt;=ThongTin!$C$10,COUNTIFS(ThongTin!$B$19:$B$48,C807,ThongTin!$A$19:$A$48,ThongTin!$C$8,ThongTin!$C$19:$C$48,"XUAT_SP")&gt;0),1,0))</f>
        <v>0</v>
      </c>
    </row>
    <row r="808" spans="1:8" x14ac:dyDescent="0.25">
      <c r="A808" s="41"/>
      <c r="B808" s="33"/>
      <c r="C808" s="32"/>
      <c r="D808" s="32"/>
      <c r="E808" s="37"/>
      <c r="F808" s="42"/>
      <c r="G808" s="32"/>
      <c r="H808" s="36">
        <f>IF(D808="",0,IF(AND(B808&gt;=ThongTin!$C$9,B808&lt;=ThongTin!$C$10,COUNTIFS(ThongTin!$B$19:$B$48,C808,ThongTin!$A$19:$A$48,ThongTin!$C$8,ThongTin!$C$19:$C$48,"XUAT_SP")&gt;0),1,0))</f>
        <v>0</v>
      </c>
    </row>
    <row r="809" spans="1:8" x14ac:dyDescent="0.25">
      <c r="A809" s="41"/>
      <c r="B809" s="33"/>
      <c r="C809" s="32"/>
      <c r="D809" s="32"/>
      <c r="E809" s="37"/>
      <c r="F809" s="42"/>
      <c r="G809" s="32"/>
      <c r="H809" s="36">
        <f>IF(D809="",0,IF(AND(B809&gt;=ThongTin!$C$9,B809&lt;=ThongTin!$C$10,COUNTIFS(ThongTin!$B$19:$B$48,C809,ThongTin!$A$19:$A$48,ThongTin!$C$8,ThongTin!$C$19:$C$48,"XUAT_SP")&gt;0),1,0))</f>
        <v>0</v>
      </c>
    </row>
    <row r="810" spans="1:8" x14ac:dyDescent="0.25">
      <c r="A810" s="41"/>
      <c r="B810" s="33"/>
      <c r="C810" s="32"/>
      <c r="D810" s="32"/>
      <c r="E810" s="37"/>
      <c r="F810" s="42"/>
      <c r="G810" s="32"/>
      <c r="H810" s="36">
        <f>IF(D810="",0,IF(AND(B810&gt;=ThongTin!$C$9,B810&lt;=ThongTin!$C$10,COUNTIFS(ThongTin!$B$19:$B$48,C810,ThongTin!$A$19:$A$48,ThongTin!$C$8,ThongTin!$C$19:$C$48,"XUAT_SP")&gt;0),1,0))</f>
        <v>0</v>
      </c>
    </row>
    <row r="811" spans="1:8" x14ac:dyDescent="0.25">
      <c r="A811" s="41"/>
      <c r="B811" s="33"/>
      <c r="C811" s="32"/>
      <c r="D811" s="32"/>
      <c r="E811" s="37"/>
      <c r="F811" s="42"/>
      <c r="G811" s="32"/>
      <c r="H811" s="36">
        <f>IF(D811="",0,IF(AND(B811&gt;=ThongTin!$C$9,B811&lt;=ThongTin!$C$10,COUNTIFS(ThongTin!$B$19:$B$48,C811,ThongTin!$A$19:$A$48,ThongTin!$C$8,ThongTin!$C$19:$C$48,"XUAT_SP")&gt;0),1,0))</f>
        <v>0</v>
      </c>
    </row>
    <row r="812" spans="1:8" x14ac:dyDescent="0.25">
      <c r="A812" s="41"/>
      <c r="B812" s="33"/>
      <c r="C812" s="32"/>
      <c r="D812" s="32"/>
      <c r="E812" s="37"/>
      <c r="F812" s="42"/>
      <c r="G812" s="32"/>
      <c r="H812" s="36">
        <f>IF(D812="",0,IF(AND(B812&gt;=ThongTin!$C$9,B812&lt;=ThongTin!$C$10,COUNTIFS(ThongTin!$B$19:$B$48,C812,ThongTin!$A$19:$A$48,ThongTin!$C$8,ThongTin!$C$19:$C$48,"XUAT_SP")&gt;0),1,0))</f>
        <v>0</v>
      </c>
    </row>
    <row r="813" spans="1:8" x14ac:dyDescent="0.25">
      <c r="A813" s="41"/>
      <c r="B813" s="33"/>
      <c r="C813" s="32"/>
      <c r="D813" s="32"/>
      <c r="E813" s="37"/>
      <c r="F813" s="42"/>
      <c r="G813" s="32"/>
      <c r="H813" s="36">
        <f>IF(D813="",0,IF(AND(B813&gt;=ThongTin!$C$9,B813&lt;=ThongTin!$C$10,COUNTIFS(ThongTin!$B$19:$B$48,C813,ThongTin!$A$19:$A$48,ThongTin!$C$8,ThongTin!$C$19:$C$48,"XUAT_SP")&gt;0),1,0))</f>
        <v>0</v>
      </c>
    </row>
    <row r="814" spans="1:8" x14ac:dyDescent="0.25">
      <c r="A814" s="41"/>
      <c r="B814" s="33"/>
      <c r="C814" s="32"/>
      <c r="D814" s="32"/>
      <c r="E814" s="37"/>
      <c r="F814" s="42"/>
      <c r="G814" s="32"/>
      <c r="H814" s="36">
        <f>IF(D814="",0,IF(AND(B814&gt;=ThongTin!$C$9,B814&lt;=ThongTin!$C$10,COUNTIFS(ThongTin!$B$19:$B$48,C814,ThongTin!$A$19:$A$48,ThongTin!$C$8,ThongTin!$C$19:$C$48,"XUAT_SP")&gt;0),1,0))</f>
        <v>0</v>
      </c>
    </row>
    <row r="815" spans="1:8" x14ac:dyDescent="0.25">
      <c r="A815" s="41"/>
      <c r="B815" s="33"/>
      <c r="C815" s="32"/>
      <c r="D815" s="32"/>
      <c r="E815" s="37"/>
      <c r="F815" s="42"/>
      <c r="G815" s="32"/>
      <c r="H815" s="36">
        <f>IF(D815="",0,IF(AND(B815&gt;=ThongTin!$C$9,B815&lt;=ThongTin!$C$10,COUNTIFS(ThongTin!$B$19:$B$48,C815,ThongTin!$A$19:$A$48,ThongTin!$C$8,ThongTin!$C$19:$C$48,"XUAT_SP")&gt;0),1,0))</f>
        <v>0</v>
      </c>
    </row>
    <row r="816" spans="1:8" x14ac:dyDescent="0.25">
      <c r="A816" s="41"/>
      <c r="B816" s="33"/>
      <c r="C816" s="32"/>
      <c r="D816" s="32"/>
      <c r="E816" s="37"/>
      <c r="F816" s="42"/>
      <c r="G816" s="32"/>
      <c r="H816" s="36">
        <f>IF(D816="",0,IF(AND(B816&gt;=ThongTin!$C$9,B816&lt;=ThongTin!$C$10,COUNTIFS(ThongTin!$B$19:$B$48,C816,ThongTin!$A$19:$A$48,ThongTin!$C$8,ThongTin!$C$19:$C$48,"XUAT_SP")&gt;0),1,0))</f>
        <v>0</v>
      </c>
    </row>
    <row r="817" spans="1:8" x14ac:dyDescent="0.25">
      <c r="A817" s="41"/>
      <c r="B817" s="33"/>
      <c r="C817" s="32"/>
      <c r="D817" s="32"/>
      <c r="E817" s="37"/>
      <c r="F817" s="42"/>
      <c r="G817" s="32"/>
      <c r="H817" s="36">
        <f>IF(D817="",0,IF(AND(B817&gt;=ThongTin!$C$9,B817&lt;=ThongTin!$C$10,COUNTIFS(ThongTin!$B$19:$B$48,C817,ThongTin!$A$19:$A$48,ThongTin!$C$8,ThongTin!$C$19:$C$48,"XUAT_SP")&gt;0),1,0))</f>
        <v>0</v>
      </c>
    </row>
    <row r="818" spans="1:8" x14ac:dyDescent="0.25">
      <c r="A818" s="41"/>
      <c r="B818" s="33"/>
      <c r="C818" s="32"/>
      <c r="D818" s="32"/>
      <c r="E818" s="37"/>
      <c r="F818" s="42"/>
      <c r="G818" s="32"/>
      <c r="H818" s="36">
        <f>IF(D818="",0,IF(AND(B818&gt;=ThongTin!$C$9,B818&lt;=ThongTin!$C$10,COUNTIFS(ThongTin!$B$19:$B$48,C818,ThongTin!$A$19:$A$48,ThongTin!$C$8,ThongTin!$C$19:$C$48,"XUAT_SP")&gt;0),1,0))</f>
        <v>0</v>
      </c>
    </row>
    <row r="819" spans="1:8" x14ac:dyDescent="0.25">
      <c r="A819" s="41"/>
      <c r="B819" s="33"/>
      <c r="C819" s="32"/>
      <c r="D819" s="32"/>
      <c r="E819" s="37"/>
      <c r="F819" s="42"/>
      <c r="G819" s="32"/>
      <c r="H819" s="36">
        <f>IF(D819="",0,IF(AND(B819&gt;=ThongTin!$C$9,B819&lt;=ThongTin!$C$10,COUNTIFS(ThongTin!$B$19:$B$48,C819,ThongTin!$A$19:$A$48,ThongTin!$C$8,ThongTin!$C$19:$C$48,"XUAT_SP")&gt;0),1,0))</f>
        <v>0</v>
      </c>
    </row>
    <row r="820" spans="1:8" x14ac:dyDescent="0.25">
      <c r="A820" s="41"/>
      <c r="B820" s="33"/>
      <c r="C820" s="32"/>
      <c r="D820" s="32"/>
      <c r="E820" s="37"/>
      <c r="F820" s="42"/>
      <c r="G820" s="32"/>
      <c r="H820" s="36">
        <f>IF(D820="",0,IF(AND(B820&gt;=ThongTin!$C$9,B820&lt;=ThongTin!$C$10,COUNTIFS(ThongTin!$B$19:$B$48,C820,ThongTin!$A$19:$A$48,ThongTin!$C$8,ThongTin!$C$19:$C$48,"XUAT_SP")&gt;0),1,0))</f>
        <v>0</v>
      </c>
    </row>
    <row r="821" spans="1:8" x14ac:dyDescent="0.25">
      <c r="A821" s="41"/>
      <c r="B821" s="33"/>
      <c r="C821" s="32"/>
      <c r="D821" s="32"/>
      <c r="E821" s="37"/>
      <c r="F821" s="42"/>
      <c r="G821" s="32"/>
      <c r="H821" s="36">
        <f>IF(D821="",0,IF(AND(B821&gt;=ThongTin!$C$9,B821&lt;=ThongTin!$C$10,COUNTIFS(ThongTin!$B$19:$B$48,C821,ThongTin!$A$19:$A$48,ThongTin!$C$8,ThongTin!$C$19:$C$48,"XUAT_SP")&gt;0),1,0))</f>
        <v>0</v>
      </c>
    </row>
    <row r="822" spans="1:8" x14ac:dyDescent="0.25">
      <c r="A822" s="41"/>
      <c r="B822" s="33"/>
      <c r="C822" s="32"/>
      <c r="D822" s="32"/>
      <c r="E822" s="37"/>
      <c r="F822" s="42"/>
      <c r="G822" s="32"/>
      <c r="H822" s="36">
        <f>IF(D822="",0,IF(AND(B822&gt;=ThongTin!$C$9,B822&lt;=ThongTin!$C$10,COUNTIFS(ThongTin!$B$19:$B$48,C822,ThongTin!$A$19:$A$48,ThongTin!$C$8,ThongTin!$C$19:$C$48,"XUAT_SP")&gt;0),1,0))</f>
        <v>0</v>
      </c>
    </row>
    <row r="823" spans="1:8" x14ac:dyDescent="0.25">
      <c r="A823" s="41"/>
      <c r="B823" s="33"/>
      <c r="C823" s="32"/>
      <c r="D823" s="32"/>
      <c r="E823" s="37"/>
      <c r="F823" s="42"/>
      <c r="G823" s="32"/>
      <c r="H823" s="36">
        <f>IF(D823="",0,IF(AND(B823&gt;=ThongTin!$C$9,B823&lt;=ThongTin!$C$10,COUNTIFS(ThongTin!$B$19:$B$48,C823,ThongTin!$A$19:$A$48,ThongTin!$C$8,ThongTin!$C$19:$C$48,"XUAT_SP")&gt;0),1,0))</f>
        <v>0</v>
      </c>
    </row>
    <row r="824" spans="1:8" x14ac:dyDescent="0.25">
      <c r="A824" s="41"/>
      <c r="B824" s="33"/>
      <c r="C824" s="32"/>
      <c r="D824" s="32"/>
      <c r="E824" s="37"/>
      <c r="F824" s="42"/>
      <c r="G824" s="32"/>
      <c r="H824" s="36">
        <f>IF(D824="",0,IF(AND(B824&gt;=ThongTin!$C$9,B824&lt;=ThongTin!$C$10,COUNTIFS(ThongTin!$B$19:$B$48,C824,ThongTin!$A$19:$A$48,ThongTin!$C$8,ThongTin!$C$19:$C$48,"XUAT_SP")&gt;0),1,0))</f>
        <v>0</v>
      </c>
    </row>
    <row r="825" spans="1:8" x14ac:dyDescent="0.25">
      <c r="A825" s="41"/>
      <c r="B825" s="33"/>
      <c r="C825" s="32"/>
      <c r="D825" s="32"/>
      <c r="E825" s="37"/>
      <c r="F825" s="42"/>
      <c r="G825" s="32"/>
      <c r="H825" s="36">
        <f>IF(D825="",0,IF(AND(B825&gt;=ThongTin!$C$9,B825&lt;=ThongTin!$C$10,COUNTIFS(ThongTin!$B$19:$B$48,C825,ThongTin!$A$19:$A$48,ThongTin!$C$8,ThongTin!$C$19:$C$48,"XUAT_SP")&gt;0),1,0))</f>
        <v>0</v>
      </c>
    </row>
    <row r="826" spans="1:8" x14ac:dyDescent="0.25">
      <c r="A826" s="41"/>
      <c r="B826" s="33"/>
      <c r="C826" s="32"/>
      <c r="D826" s="32"/>
      <c r="E826" s="37"/>
      <c r="F826" s="42"/>
      <c r="G826" s="32"/>
      <c r="H826" s="36">
        <f>IF(D826="",0,IF(AND(B826&gt;=ThongTin!$C$9,B826&lt;=ThongTin!$C$10,COUNTIFS(ThongTin!$B$19:$B$48,C826,ThongTin!$A$19:$A$48,ThongTin!$C$8,ThongTin!$C$19:$C$48,"XUAT_SP")&gt;0),1,0))</f>
        <v>0</v>
      </c>
    </row>
    <row r="827" spans="1:8" x14ac:dyDescent="0.25">
      <c r="A827" s="41"/>
      <c r="B827" s="33"/>
      <c r="C827" s="32"/>
      <c r="D827" s="32"/>
      <c r="E827" s="37"/>
      <c r="F827" s="42"/>
      <c r="G827" s="32"/>
      <c r="H827" s="36">
        <f>IF(D827="",0,IF(AND(B827&gt;=ThongTin!$C$9,B827&lt;=ThongTin!$C$10,COUNTIFS(ThongTin!$B$19:$B$48,C827,ThongTin!$A$19:$A$48,ThongTin!$C$8,ThongTin!$C$19:$C$48,"XUAT_SP")&gt;0),1,0))</f>
        <v>0</v>
      </c>
    </row>
    <row r="828" spans="1:8" x14ac:dyDescent="0.25">
      <c r="A828" s="41"/>
      <c r="B828" s="33"/>
      <c r="C828" s="32"/>
      <c r="D828" s="32"/>
      <c r="E828" s="37"/>
      <c r="F828" s="42"/>
      <c r="G828" s="32"/>
      <c r="H828" s="36">
        <f>IF(D828="",0,IF(AND(B828&gt;=ThongTin!$C$9,B828&lt;=ThongTin!$C$10,COUNTIFS(ThongTin!$B$19:$B$48,C828,ThongTin!$A$19:$A$48,ThongTin!$C$8,ThongTin!$C$19:$C$48,"XUAT_SP")&gt;0),1,0))</f>
        <v>0</v>
      </c>
    </row>
    <row r="829" spans="1:8" x14ac:dyDescent="0.25">
      <c r="A829" s="41"/>
      <c r="B829" s="33"/>
      <c r="C829" s="32"/>
      <c r="D829" s="32"/>
      <c r="E829" s="37"/>
      <c r="F829" s="42"/>
      <c r="G829" s="32"/>
      <c r="H829" s="36">
        <f>IF(D829="",0,IF(AND(B829&gt;=ThongTin!$C$9,B829&lt;=ThongTin!$C$10,COUNTIFS(ThongTin!$B$19:$B$48,C829,ThongTin!$A$19:$A$48,ThongTin!$C$8,ThongTin!$C$19:$C$48,"XUAT_SP")&gt;0),1,0))</f>
        <v>0</v>
      </c>
    </row>
    <row r="830" spans="1:8" x14ac:dyDescent="0.25">
      <c r="A830" s="41"/>
      <c r="B830" s="33"/>
      <c r="C830" s="32"/>
      <c r="D830" s="32"/>
      <c r="E830" s="37"/>
      <c r="F830" s="42"/>
      <c r="G830" s="32"/>
      <c r="H830" s="36">
        <f>IF(D830="",0,IF(AND(B830&gt;=ThongTin!$C$9,B830&lt;=ThongTin!$C$10,COUNTIFS(ThongTin!$B$19:$B$48,C830,ThongTin!$A$19:$A$48,ThongTin!$C$8,ThongTin!$C$19:$C$48,"XUAT_SP")&gt;0),1,0))</f>
        <v>0</v>
      </c>
    </row>
    <row r="831" spans="1:8" x14ac:dyDescent="0.25">
      <c r="A831" s="41"/>
      <c r="B831" s="33"/>
      <c r="C831" s="32"/>
      <c r="D831" s="32"/>
      <c r="E831" s="37"/>
      <c r="F831" s="42"/>
      <c r="G831" s="32"/>
      <c r="H831" s="36">
        <f>IF(D831="",0,IF(AND(B831&gt;=ThongTin!$C$9,B831&lt;=ThongTin!$C$10,COUNTIFS(ThongTin!$B$19:$B$48,C831,ThongTin!$A$19:$A$48,ThongTin!$C$8,ThongTin!$C$19:$C$48,"XUAT_SP")&gt;0),1,0))</f>
        <v>0</v>
      </c>
    </row>
    <row r="832" spans="1:8" x14ac:dyDescent="0.25">
      <c r="A832" s="41"/>
      <c r="B832" s="33"/>
      <c r="C832" s="32"/>
      <c r="D832" s="32"/>
      <c r="E832" s="37"/>
      <c r="F832" s="42"/>
      <c r="G832" s="32"/>
      <c r="H832" s="36">
        <f>IF(D832="",0,IF(AND(B832&gt;=ThongTin!$C$9,B832&lt;=ThongTin!$C$10,COUNTIFS(ThongTin!$B$19:$B$48,C832,ThongTin!$A$19:$A$48,ThongTin!$C$8,ThongTin!$C$19:$C$48,"XUAT_SP")&gt;0),1,0))</f>
        <v>0</v>
      </c>
    </row>
    <row r="833" spans="1:8" x14ac:dyDescent="0.25">
      <c r="A833" s="41"/>
      <c r="B833" s="33"/>
      <c r="C833" s="32"/>
      <c r="D833" s="32"/>
      <c r="E833" s="37"/>
      <c r="F833" s="42"/>
      <c r="G833" s="32"/>
      <c r="H833" s="36">
        <f>IF(D833="",0,IF(AND(B833&gt;=ThongTin!$C$9,B833&lt;=ThongTin!$C$10,COUNTIFS(ThongTin!$B$19:$B$48,C833,ThongTin!$A$19:$A$48,ThongTin!$C$8,ThongTin!$C$19:$C$48,"XUAT_SP")&gt;0),1,0))</f>
        <v>0</v>
      </c>
    </row>
    <row r="834" spans="1:8" x14ac:dyDescent="0.25">
      <c r="A834" s="41"/>
      <c r="B834" s="33"/>
      <c r="C834" s="32"/>
      <c r="D834" s="32"/>
      <c r="E834" s="37"/>
      <c r="F834" s="42"/>
      <c r="G834" s="32"/>
      <c r="H834" s="36">
        <f>IF(D834="",0,IF(AND(B834&gt;=ThongTin!$C$9,B834&lt;=ThongTin!$C$10,COUNTIFS(ThongTin!$B$19:$B$48,C834,ThongTin!$A$19:$A$48,ThongTin!$C$8,ThongTin!$C$19:$C$48,"XUAT_SP")&gt;0),1,0))</f>
        <v>0</v>
      </c>
    </row>
    <row r="835" spans="1:8" x14ac:dyDescent="0.25">
      <c r="A835" s="41"/>
      <c r="B835" s="33"/>
      <c r="C835" s="32"/>
      <c r="D835" s="32"/>
      <c r="E835" s="37"/>
      <c r="F835" s="42"/>
      <c r="G835" s="32"/>
      <c r="H835" s="36">
        <f>IF(D835="",0,IF(AND(B835&gt;=ThongTin!$C$9,B835&lt;=ThongTin!$C$10,COUNTIFS(ThongTin!$B$19:$B$48,C835,ThongTin!$A$19:$A$48,ThongTin!$C$8,ThongTin!$C$19:$C$48,"XUAT_SP")&gt;0),1,0))</f>
        <v>0</v>
      </c>
    </row>
    <row r="836" spans="1:8" x14ac:dyDescent="0.25">
      <c r="A836" s="41"/>
      <c r="B836" s="33"/>
      <c r="C836" s="32"/>
      <c r="D836" s="32"/>
      <c r="E836" s="37"/>
      <c r="F836" s="42"/>
      <c r="G836" s="32"/>
      <c r="H836" s="36">
        <f>IF(D836="",0,IF(AND(B836&gt;=ThongTin!$C$9,B836&lt;=ThongTin!$C$10,COUNTIFS(ThongTin!$B$19:$B$48,C836,ThongTin!$A$19:$A$48,ThongTin!$C$8,ThongTin!$C$19:$C$48,"XUAT_SP")&gt;0),1,0))</f>
        <v>0</v>
      </c>
    </row>
    <row r="837" spans="1:8" x14ac:dyDescent="0.25">
      <c r="A837" s="41"/>
      <c r="B837" s="33"/>
      <c r="C837" s="32"/>
      <c r="D837" s="32"/>
      <c r="E837" s="37"/>
      <c r="F837" s="42"/>
      <c r="G837" s="32"/>
      <c r="H837" s="36">
        <f>IF(D837="",0,IF(AND(B837&gt;=ThongTin!$C$9,B837&lt;=ThongTin!$C$10,COUNTIFS(ThongTin!$B$19:$B$48,C837,ThongTin!$A$19:$A$48,ThongTin!$C$8,ThongTin!$C$19:$C$48,"XUAT_SP")&gt;0),1,0))</f>
        <v>0</v>
      </c>
    </row>
    <row r="838" spans="1:8" x14ac:dyDescent="0.25">
      <c r="A838" s="41"/>
      <c r="B838" s="33"/>
      <c r="C838" s="32"/>
      <c r="D838" s="32"/>
      <c r="E838" s="37"/>
      <c r="F838" s="42"/>
      <c r="G838" s="32"/>
      <c r="H838" s="36">
        <f>IF(D838="",0,IF(AND(B838&gt;=ThongTin!$C$9,B838&lt;=ThongTin!$C$10,COUNTIFS(ThongTin!$B$19:$B$48,C838,ThongTin!$A$19:$A$48,ThongTin!$C$8,ThongTin!$C$19:$C$48,"XUAT_SP")&gt;0),1,0))</f>
        <v>0</v>
      </c>
    </row>
    <row r="839" spans="1:8" x14ac:dyDescent="0.25">
      <c r="A839" s="41"/>
      <c r="B839" s="33"/>
      <c r="C839" s="32"/>
      <c r="D839" s="32"/>
      <c r="E839" s="37"/>
      <c r="F839" s="42"/>
      <c r="G839" s="32"/>
      <c r="H839" s="36">
        <f>IF(D839="",0,IF(AND(B839&gt;=ThongTin!$C$9,B839&lt;=ThongTin!$C$10,COUNTIFS(ThongTin!$B$19:$B$48,C839,ThongTin!$A$19:$A$48,ThongTin!$C$8,ThongTin!$C$19:$C$48,"XUAT_SP")&gt;0),1,0))</f>
        <v>0</v>
      </c>
    </row>
    <row r="840" spans="1:8" x14ac:dyDescent="0.25">
      <c r="A840" s="41"/>
      <c r="B840" s="33"/>
      <c r="C840" s="32"/>
      <c r="D840" s="32"/>
      <c r="E840" s="37"/>
      <c r="F840" s="42"/>
      <c r="G840" s="32"/>
      <c r="H840" s="36">
        <f>IF(D840="",0,IF(AND(B840&gt;=ThongTin!$C$9,B840&lt;=ThongTin!$C$10,COUNTIFS(ThongTin!$B$19:$B$48,C840,ThongTin!$A$19:$A$48,ThongTin!$C$8,ThongTin!$C$19:$C$48,"XUAT_SP")&gt;0),1,0))</f>
        <v>0</v>
      </c>
    </row>
    <row r="841" spans="1:8" x14ac:dyDescent="0.25">
      <c r="A841" s="41"/>
      <c r="B841" s="33"/>
      <c r="C841" s="32"/>
      <c r="D841" s="32"/>
      <c r="E841" s="37"/>
      <c r="F841" s="42"/>
      <c r="G841" s="32"/>
      <c r="H841" s="36">
        <f>IF(D841="",0,IF(AND(B841&gt;=ThongTin!$C$9,B841&lt;=ThongTin!$C$10,COUNTIFS(ThongTin!$B$19:$B$48,C841,ThongTin!$A$19:$A$48,ThongTin!$C$8,ThongTin!$C$19:$C$48,"XUAT_SP")&gt;0),1,0))</f>
        <v>0</v>
      </c>
    </row>
    <row r="842" spans="1:8" x14ac:dyDescent="0.25">
      <c r="A842" s="41"/>
      <c r="B842" s="33"/>
      <c r="C842" s="32"/>
      <c r="D842" s="32"/>
      <c r="E842" s="37"/>
      <c r="F842" s="42"/>
      <c r="G842" s="32"/>
      <c r="H842" s="36">
        <f>IF(D842="",0,IF(AND(B842&gt;=ThongTin!$C$9,B842&lt;=ThongTin!$C$10,COUNTIFS(ThongTin!$B$19:$B$48,C842,ThongTin!$A$19:$A$48,ThongTin!$C$8,ThongTin!$C$19:$C$48,"XUAT_SP")&gt;0),1,0))</f>
        <v>0</v>
      </c>
    </row>
    <row r="843" spans="1:8" x14ac:dyDescent="0.25">
      <c r="A843" s="41"/>
      <c r="B843" s="33"/>
      <c r="C843" s="32"/>
      <c r="D843" s="32"/>
      <c r="E843" s="37"/>
      <c r="F843" s="42"/>
      <c r="G843" s="32"/>
      <c r="H843" s="36">
        <f>IF(D843="",0,IF(AND(B843&gt;=ThongTin!$C$9,B843&lt;=ThongTin!$C$10,COUNTIFS(ThongTin!$B$19:$B$48,C843,ThongTin!$A$19:$A$48,ThongTin!$C$8,ThongTin!$C$19:$C$48,"XUAT_SP")&gt;0),1,0))</f>
        <v>0</v>
      </c>
    </row>
    <row r="844" spans="1:8" x14ac:dyDescent="0.25">
      <c r="A844" s="41"/>
      <c r="B844" s="33"/>
      <c r="C844" s="32"/>
      <c r="D844" s="32"/>
      <c r="E844" s="37"/>
      <c r="F844" s="42"/>
      <c r="G844" s="32"/>
      <c r="H844" s="36">
        <f>IF(D844="",0,IF(AND(B844&gt;=ThongTin!$C$9,B844&lt;=ThongTin!$C$10,COUNTIFS(ThongTin!$B$19:$B$48,C844,ThongTin!$A$19:$A$48,ThongTin!$C$8,ThongTin!$C$19:$C$48,"XUAT_SP")&gt;0),1,0))</f>
        <v>0</v>
      </c>
    </row>
    <row r="845" spans="1:8" x14ac:dyDescent="0.25">
      <c r="A845" s="41"/>
      <c r="B845" s="33"/>
      <c r="C845" s="32"/>
      <c r="D845" s="32"/>
      <c r="E845" s="37"/>
      <c r="F845" s="42"/>
      <c r="G845" s="32"/>
      <c r="H845" s="36">
        <f>IF(D845="",0,IF(AND(B845&gt;=ThongTin!$C$9,B845&lt;=ThongTin!$C$10,COUNTIFS(ThongTin!$B$19:$B$48,C845,ThongTin!$A$19:$A$48,ThongTin!$C$8,ThongTin!$C$19:$C$48,"XUAT_SP")&gt;0),1,0))</f>
        <v>0</v>
      </c>
    </row>
    <row r="846" spans="1:8" x14ac:dyDescent="0.25">
      <c r="A846" s="41"/>
      <c r="B846" s="33"/>
      <c r="C846" s="32"/>
      <c r="D846" s="32"/>
      <c r="E846" s="37"/>
      <c r="F846" s="42"/>
      <c r="G846" s="32"/>
      <c r="H846" s="36">
        <f>IF(D846="",0,IF(AND(B846&gt;=ThongTin!$C$9,B846&lt;=ThongTin!$C$10,COUNTIFS(ThongTin!$B$19:$B$48,C846,ThongTin!$A$19:$A$48,ThongTin!$C$8,ThongTin!$C$19:$C$48,"XUAT_SP")&gt;0),1,0))</f>
        <v>0</v>
      </c>
    </row>
    <row r="847" spans="1:8" x14ac:dyDescent="0.25">
      <c r="A847" s="41"/>
      <c r="B847" s="33"/>
      <c r="C847" s="32"/>
      <c r="D847" s="32"/>
      <c r="E847" s="37"/>
      <c r="F847" s="42"/>
      <c r="G847" s="32"/>
      <c r="H847" s="36">
        <f>IF(D847="",0,IF(AND(B847&gt;=ThongTin!$C$9,B847&lt;=ThongTin!$C$10,COUNTIFS(ThongTin!$B$19:$B$48,C847,ThongTin!$A$19:$A$48,ThongTin!$C$8,ThongTin!$C$19:$C$48,"XUAT_SP")&gt;0),1,0))</f>
        <v>0</v>
      </c>
    </row>
    <row r="848" spans="1:8" x14ac:dyDescent="0.25">
      <c r="A848" s="41"/>
      <c r="B848" s="33"/>
      <c r="C848" s="32"/>
      <c r="D848" s="32"/>
      <c r="E848" s="37"/>
      <c r="F848" s="42"/>
      <c r="G848" s="32"/>
      <c r="H848" s="36">
        <f>IF(D848="",0,IF(AND(B848&gt;=ThongTin!$C$9,B848&lt;=ThongTin!$C$10,COUNTIFS(ThongTin!$B$19:$B$48,C848,ThongTin!$A$19:$A$48,ThongTin!$C$8,ThongTin!$C$19:$C$48,"XUAT_SP")&gt;0),1,0))</f>
        <v>0</v>
      </c>
    </row>
    <row r="849" spans="1:8" x14ac:dyDescent="0.25">
      <c r="A849" s="41"/>
      <c r="B849" s="33"/>
      <c r="C849" s="32"/>
      <c r="D849" s="32"/>
      <c r="E849" s="37"/>
      <c r="F849" s="42"/>
      <c r="G849" s="32"/>
      <c r="H849" s="36">
        <f>IF(D849="",0,IF(AND(B849&gt;=ThongTin!$C$9,B849&lt;=ThongTin!$C$10,COUNTIFS(ThongTin!$B$19:$B$48,C849,ThongTin!$A$19:$A$48,ThongTin!$C$8,ThongTin!$C$19:$C$48,"XUAT_SP")&gt;0),1,0))</f>
        <v>0</v>
      </c>
    </row>
    <row r="850" spans="1:8" x14ac:dyDescent="0.25">
      <c r="A850" s="41"/>
      <c r="B850" s="33"/>
      <c r="C850" s="32"/>
      <c r="D850" s="32"/>
      <c r="E850" s="37"/>
      <c r="F850" s="42"/>
      <c r="G850" s="32"/>
      <c r="H850" s="36">
        <f>IF(D850="",0,IF(AND(B850&gt;=ThongTin!$C$9,B850&lt;=ThongTin!$C$10,COUNTIFS(ThongTin!$B$19:$B$48,C850,ThongTin!$A$19:$A$48,ThongTin!$C$8,ThongTin!$C$19:$C$48,"XUAT_SP")&gt;0),1,0))</f>
        <v>0</v>
      </c>
    </row>
    <row r="851" spans="1:8" x14ac:dyDescent="0.25">
      <c r="A851" s="41"/>
      <c r="B851" s="33"/>
      <c r="C851" s="32"/>
      <c r="D851" s="32"/>
      <c r="E851" s="37"/>
      <c r="F851" s="42"/>
      <c r="G851" s="32"/>
      <c r="H851" s="36">
        <f>IF(D851="",0,IF(AND(B851&gt;=ThongTin!$C$9,B851&lt;=ThongTin!$C$10,COUNTIFS(ThongTin!$B$19:$B$48,C851,ThongTin!$A$19:$A$48,ThongTin!$C$8,ThongTin!$C$19:$C$48,"XUAT_SP")&gt;0),1,0))</f>
        <v>0</v>
      </c>
    </row>
    <row r="852" spans="1:8" x14ac:dyDescent="0.25">
      <c r="A852" s="41"/>
      <c r="B852" s="33"/>
      <c r="C852" s="32"/>
      <c r="D852" s="32"/>
      <c r="E852" s="37"/>
      <c r="F852" s="42"/>
      <c r="G852" s="32"/>
      <c r="H852" s="36">
        <f>IF(D852="",0,IF(AND(B852&gt;=ThongTin!$C$9,B852&lt;=ThongTin!$C$10,COUNTIFS(ThongTin!$B$19:$B$48,C852,ThongTin!$A$19:$A$48,ThongTin!$C$8,ThongTin!$C$19:$C$48,"XUAT_SP")&gt;0),1,0))</f>
        <v>0</v>
      </c>
    </row>
    <row r="853" spans="1:8" x14ac:dyDescent="0.25">
      <c r="A853" s="41"/>
      <c r="B853" s="33"/>
      <c r="C853" s="32"/>
      <c r="D853" s="32"/>
      <c r="E853" s="37"/>
      <c r="F853" s="42"/>
      <c r="G853" s="32"/>
      <c r="H853" s="36">
        <f>IF(D853="",0,IF(AND(B853&gt;=ThongTin!$C$9,B853&lt;=ThongTin!$C$10,COUNTIFS(ThongTin!$B$19:$B$48,C853,ThongTin!$A$19:$A$48,ThongTin!$C$8,ThongTin!$C$19:$C$48,"XUAT_SP")&gt;0),1,0))</f>
        <v>0</v>
      </c>
    </row>
    <row r="854" spans="1:8" x14ac:dyDescent="0.25">
      <c r="A854" s="41"/>
      <c r="B854" s="33"/>
      <c r="C854" s="32"/>
      <c r="D854" s="32"/>
      <c r="E854" s="37"/>
      <c r="F854" s="42"/>
      <c r="G854" s="32"/>
      <c r="H854" s="36">
        <f>IF(D854="",0,IF(AND(B854&gt;=ThongTin!$C$9,B854&lt;=ThongTin!$C$10,COUNTIFS(ThongTin!$B$19:$B$48,C854,ThongTin!$A$19:$A$48,ThongTin!$C$8,ThongTin!$C$19:$C$48,"XUAT_SP")&gt;0),1,0))</f>
        <v>0</v>
      </c>
    </row>
    <row r="855" spans="1:8" x14ac:dyDescent="0.25">
      <c r="A855" s="41"/>
      <c r="B855" s="33"/>
      <c r="C855" s="32"/>
      <c r="D855" s="32"/>
      <c r="E855" s="37"/>
      <c r="F855" s="42"/>
      <c r="G855" s="32"/>
      <c r="H855" s="36">
        <f>IF(D855="",0,IF(AND(B855&gt;=ThongTin!$C$9,B855&lt;=ThongTin!$C$10,COUNTIFS(ThongTin!$B$19:$B$48,C855,ThongTin!$A$19:$A$48,ThongTin!$C$8,ThongTin!$C$19:$C$48,"XUAT_SP")&gt;0),1,0))</f>
        <v>0</v>
      </c>
    </row>
    <row r="856" spans="1:8" x14ac:dyDescent="0.25">
      <c r="A856" s="41"/>
      <c r="B856" s="33"/>
      <c r="C856" s="32"/>
      <c r="D856" s="32"/>
      <c r="E856" s="37"/>
      <c r="F856" s="42"/>
      <c r="G856" s="32"/>
      <c r="H856" s="36">
        <f>IF(D856="",0,IF(AND(B856&gt;=ThongTin!$C$9,B856&lt;=ThongTin!$C$10,COUNTIFS(ThongTin!$B$19:$B$48,C856,ThongTin!$A$19:$A$48,ThongTin!$C$8,ThongTin!$C$19:$C$48,"XUAT_SP")&gt;0),1,0))</f>
        <v>0</v>
      </c>
    </row>
    <row r="857" spans="1:8" x14ac:dyDescent="0.25">
      <c r="A857" s="41"/>
      <c r="B857" s="33"/>
      <c r="C857" s="32"/>
      <c r="D857" s="32"/>
      <c r="E857" s="37"/>
      <c r="F857" s="42"/>
      <c r="G857" s="32"/>
      <c r="H857" s="36">
        <f>IF(D857="",0,IF(AND(B857&gt;=ThongTin!$C$9,B857&lt;=ThongTin!$C$10,COUNTIFS(ThongTin!$B$19:$B$48,C857,ThongTin!$A$19:$A$48,ThongTin!$C$8,ThongTin!$C$19:$C$48,"XUAT_SP")&gt;0),1,0))</f>
        <v>0</v>
      </c>
    </row>
    <row r="858" spans="1:8" x14ac:dyDescent="0.25">
      <c r="A858" s="41"/>
      <c r="B858" s="33"/>
      <c r="C858" s="32"/>
      <c r="D858" s="32"/>
      <c r="E858" s="37"/>
      <c r="F858" s="42"/>
      <c r="G858" s="32"/>
      <c r="H858" s="36">
        <f>IF(D858="",0,IF(AND(B858&gt;=ThongTin!$C$9,B858&lt;=ThongTin!$C$10,COUNTIFS(ThongTin!$B$19:$B$48,C858,ThongTin!$A$19:$A$48,ThongTin!$C$8,ThongTin!$C$19:$C$48,"XUAT_SP")&gt;0),1,0))</f>
        <v>0</v>
      </c>
    </row>
    <row r="859" spans="1:8" x14ac:dyDescent="0.25">
      <c r="A859" s="41"/>
      <c r="B859" s="33"/>
      <c r="C859" s="32"/>
      <c r="D859" s="32"/>
      <c r="E859" s="37"/>
      <c r="F859" s="42"/>
      <c r="G859" s="32"/>
      <c r="H859" s="36">
        <f>IF(D859="",0,IF(AND(B859&gt;=ThongTin!$C$9,B859&lt;=ThongTin!$C$10,COUNTIFS(ThongTin!$B$19:$B$48,C859,ThongTin!$A$19:$A$48,ThongTin!$C$8,ThongTin!$C$19:$C$48,"XUAT_SP")&gt;0),1,0))</f>
        <v>0</v>
      </c>
    </row>
    <row r="860" spans="1:8" x14ac:dyDescent="0.25">
      <c r="A860" s="41"/>
      <c r="B860" s="33"/>
      <c r="C860" s="32"/>
      <c r="D860" s="32"/>
      <c r="E860" s="37"/>
      <c r="F860" s="42"/>
      <c r="G860" s="32"/>
      <c r="H860" s="36">
        <f>IF(D860="",0,IF(AND(B860&gt;=ThongTin!$C$9,B860&lt;=ThongTin!$C$10,COUNTIFS(ThongTin!$B$19:$B$48,C860,ThongTin!$A$19:$A$48,ThongTin!$C$8,ThongTin!$C$19:$C$48,"XUAT_SP")&gt;0),1,0))</f>
        <v>0</v>
      </c>
    </row>
    <row r="861" spans="1:8" x14ac:dyDescent="0.25">
      <c r="A861" s="41"/>
      <c r="B861" s="33"/>
      <c r="C861" s="32"/>
      <c r="D861" s="32"/>
      <c r="E861" s="37"/>
      <c r="F861" s="42"/>
      <c r="G861" s="32"/>
      <c r="H861" s="36">
        <f>IF(D861="",0,IF(AND(B861&gt;=ThongTin!$C$9,B861&lt;=ThongTin!$C$10,COUNTIFS(ThongTin!$B$19:$B$48,C861,ThongTin!$A$19:$A$48,ThongTin!$C$8,ThongTin!$C$19:$C$48,"XUAT_SP")&gt;0),1,0))</f>
        <v>0</v>
      </c>
    </row>
    <row r="862" spans="1:8" x14ac:dyDescent="0.25">
      <c r="A862" s="41"/>
      <c r="B862" s="33"/>
      <c r="C862" s="32"/>
      <c r="D862" s="32"/>
      <c r="E862" s="37"/>
      <c r="F862" s="42"/>
      <c r="G862" s="32"/>
      <c r="H862" s="36">
        <f>IF(D862="",0,IF(AND(B862&gt;=ThongTin!$C$9,B862&lt;=ThongTin!$C$10,COUNTIFS(ThongTin!$B$19:$B$48,C862,ThongTin!$A$19:$A$48,ThongTin!$C$8,ThongTin!$C$19:$C$48,"XUAT_SP")&gt;0),1,0))</f>
        <v>0</v>
      </c>
    </row>
    <row r="863" spans="1:8" x14ac:dyDescent="0.25">
      <c r="A863" s="41"/>
      <c r="B863" s="33"/>
      <c r="C863" s="32"/>
      <c r="D863" s="32"/>
      <c r="E863" s="37"/>
      <c r="F863" s="42"/>
      <c r="G863" s="32"/>
      <c r="H863" s="36">
        <f>IF(D863="",0,IF(AND(B863&gt;=ThongTin!$C$9,B863&lt;=ThongTin!$C$10,COUNTIFS(ThongTin!$B$19:$B$48,C863,ThongTin!$A$19:$A$48,ThongTin!$C$8,ThongTin!$C$19:$C$48,"XUAT_SP")&gt;0),1,0))</f>
        <v>0</v>
      </c>
    </row>
    <row r="864" spans="1:8" x14ac:dyDescent="0.25">
      <c r="A864" s="41"/>
      <c r="B864" s="33"/>
      <c r="C864" s="32"/>
      <c r="D864" s="32"/>
      <c r="E864" s="37"/>
      <c r="F864" s="42"/>
      <c r="G864" s="32"/>
      <c r="H864" s="36">
        <f>IF(D864="",0,IF(AND(B864&gt;=ThongTin!$C$9,B864&lt;=ThongTin!$C$10,COUNTIFS(ThongTin!$B$19:$B$48,C864,ThongTin!$A$19:$A$48,ThongTin!$C$8,ThongTin!$C$19:$C$48,"XUAT_SP")&gt;0),1,0))</f>
        <v>0</v>
      </c>
    </row>
    <row r="865" spans="1:8" x14ac:dyDescent="0.25">
      <c r="A865" s="41"/>
      <c r="B865" s="33"/>
      <c r="C865" s="32"/>
      <c r="D865" s="32"/>
      <c r="E865" s="37"/>
      <c r="F865" s="42"/>
      <c r="G865" s="32"/>
      <c r="H865" s="36">
        <f>IF(D865="",0,IF(AND(B865&gt;=ThongTin!$C$9,B865&lt;=ThongTin!$C$10,COUNTIFS(ThongTin!$B$19:$B$48,C865,ThongTin!$A$19:$A$48,ThongTin!$C$8,ThongTin!$C$19:$C$48,"XUAT_SP")&gt;0),1,0))</f>
        <v>0</v>
      </c>
    </row>
    <row r="866" spans="1:8" x14ac:dyDescent="0.25">
      <c r="A866" s="41"/>
      <c r="B866" s="33"/>
      <c r="C866" s="32"/>
      <c r="D866" s="32"/>
      <c r="E866" s="37"/>
      <c r="F866" s="42"/>
      <c r="G866" s="32"/>
      <c r="H866" s="36">
        <f>IF(D866="",0,IF(AND(B866&gt;=ThongTin!$C$9,B866&lt;=ThongTin!$C$10,COUNTIFS(ThongTin!$B$19:$B$48,C866,ThongTin!$A$19:$A$48,ThongTin!$C$8,ThongTin!$C$19:$C$48,"XUAT_SP")&gt;0),1,0))</f>
        <v>0</v>
      </c>
    </row>
    <row r="867" spans="1:8" x14ac:dyDescent="0.25">
      <c r="A867" s="41"/>
      <c r="B867" s="33"/>
      <c r="C867" s="32"/>
      <c r="D867" s="32"/>
      <c r="E867" s="37"/>
      <c r="F867" s="42"/>
      <c r="G867" s="32"/>
      <c r="H867" s="36">
        <f>IF(D867="",0,IF(AND(B867&gt;=ThongTin!$C$9,B867&lt;=ThongTin!$C$10,COUNTIFS(ThongTin!$B$19:$B$48,C867,ThongTin!$A$19:$A$48,ThongTin!$C$8,ThongTin!$C$19:$C$48,"XUAT_SP")&gt;0),1,0))</f>
        <v>0</v>
      </c>
    </row>
    <row r="868" spans="1:8" x14ac:dyDescent="0.25">
      <c r="A868" s="41"/>
      <c r="B868" s="33"/>
      <c r="C868" s="32"/>
      <c r="D868" s="32"/>
      <c r="E868" s="37"/>
      <c r="F868" s="42"/>
      <c r="G868" s="32"/>
      <c r="H868" s="36">
        <f>IF(D868="",0,IF(AND(B868&gt;=ThongTin!$C$9,B868&lt;=ThongTin!$C$10,COUNTIFS(ThongTin!$B$19:$B$48,C868,ThongTin!$A$19:$A$48,ThongTin!$C$8,ThongTin!$C$19:$C$48,"XUAT_SP")&gt;0),1,0))</f>
        <v>0</v>
      </c>
    </row>
    <row r="869" spans="1:8" x14ac:dyDescent="0.25">
      <c r="A869" s="41"/>
      <c r="B869" s="33"/>
      <c r="C869" s="32"/>
      <c r="D869" s="32"/>
      <c r="E869" s="37"/>
      <c r="F869" s="42"/>
      <c r="G869" s="32"/>
      <c r="H869" s="36">
        <f>IF(D869="",0,IF(AND(B869&gt;=ThongTin!$C$9,B869&lt;=ThongTin!$C$10,COUNTIFS(ThongTin!$B$19:$B$48,C869,ThongTin!$A$19:$A$48,ThongTin!$C$8,ThongTin!$C$19:$C$48,"XUAT_SP")&gt;0),1,0))</f>
        <v>0</v>
      </c>
    </row>
    <row r="870" spans="1:8" x14ac:dyDescent="0.25">
      <c r="A870" s="41"/>
      <c r="B870" s="33"/>
      <c r="C870" s="32"/>
      <c r="D870" s="32"/>
      <c r="E870" s="37"/>
      <c r="F870" s="42"/>
      <c r="G870" s="32"/>
      <c r="H870" s="36">
        <f>IF(D870="",0,IF(AND(B870&gt;=ThongTin!$C$9,B870&lt;=ThongTin!$C$10,COUNTIFS(ThongTin!$B$19:$B$48,C870,ThongTin!$A$19:$A$48,ThongTin!$C$8,ThongTin!$C$19:$C$48,"XUAT_SP")&gt;0),1,0))</f>
        <v>0</v>
      </c>
    </row>
    <row r="871" spans="1:8" x14ac:dyDescent="0.25">
      <c r="A871" s="41"/>
      <c r="B871" s="33"/>
      <c r="C871" s="32"/>
      <c r="D871" s="32"/>
      <c r="E871" s="37"/>
      <c r="F871" s="42"/>
      <c r="G871" s="32"/>
      <c r="H871" s="36">
        <f>IF(D871="",0,IF(AND(B871&gt;=ThongTin!$C$9,B871&lt;=ThongTin!$C$10,COUNTIFS(ThongTin!$B$19:$B$48,C871,ThongTin!$A$19:$A$48,ThongTin!$C$8,ThongTin!$C$19:$C$48,"XUAT_SP")&gt;0),1,0))</f>
        <v>0</v>
      </c>
    </row>
    <row r="872" spans="1:8" x14ac:dyDescent="0.25">
      <c r="A872" s="41"/>
      <c r="B872" s="33"/>
      <c r="C872" s="32"/>
      <c r="D872" s="32"/>
      <c r="E872" s="37"/>
      <c r="F872" s="42"/>
      <c r="G872" s="32"/>
      <c r="H872" s="36">
        <f>IF(D872="",0,IF(AND(B872&gt;=ThongTin!$C$9,B872&lt;=ThongTin!$C$10,COUNTIFS(ThongTin!$B$19:$B$48,C872,ThongTin!$A$19:$A$48,ThongTin!$C$8,ThongTin!$C$19:$C$48,"XUAT_SP")&gt;0),1,0))</f>
        <v>0</v>
      </c>
    </row>
    <row r="873" spans="1:8" x14ac:dyDescent="0.25">
      <c r="A873" s="41"/>
      <c r="B873" s="33"/>
      <c r="C873" s="32"/>
      <c r="D873" s="32"/>
      <c r="E873" s="37"/>
      <c r="F873" s="42"/>
      <c r="G873" s="32"/>
      <c r="H873" s="36">
        <f>IF(D873="",0,IF(AND(B873&gt;=ThongTin!$C$9,B873&lt;=ThongTin!$C$10,COUNTIFS(ThongTin!$B$19:$B$48,C873,ThongTin!$A$19:$A$48,ThongTin!$C$8,ThongTin!$C$19:$C$48,"XUAT_SP")&gt;0),1,0))</f>
        <v>0</v>
      </c>
    </row>
    <row r="874" spans="1:8" x14ac:dyDescent="0.25">
      <c r="A874" s="41"/>
      <c r="B874" s="33"/>
      <c r="C874" s="32"/>
      <c r="D874" s="32"/>
      <c r="E874" s="37"/>
      <c r="F874" s="42"/>
      <c r="G874" s="32"/>
      <c r="H874" s="36">
        <f>IF(D874="",0,IF(AND(B874&gt;=ThongTin!$C$9,B874&lt;=ThongTin!$C$10,COUNTIFS(ThongTin!$B$19:$B$48,C874,ThongTin!$A$19:$A$48,ThongTin!$C$8,ThongTin!$C$19:$C$48,"XUAT_SP")&gt;0),1,0))</f>
        <v>0</v>
      </c>
    </row>
    <row r="875" spans="1:8" x14ac:dyDescent="0.25">
      <c r="A875" s="41"/>
      <c r="B875" s="33"/>
      <c r="C875" s="32"/>
      <c r="D875" s="32"/>
      <c r="E875" s="37"/>
      <c r="F875" s="42"/>
      <c r="G875" s="32"/>
      <c r="H875" s="36">
        <f>IF(D875="",0,IF(AND(B875&gt;=ThongTin!$C$9,B875&lt;=ThongTin!$C$10,COUNTIFS(ThongTin!$B$19:$B$48,C875,ThongTin!$A$19:$A$48,ThongTin!$C$8,ThongTin!$C$19:$C$48,"XUAT_SP")&gt;0),1,0))</f>
        <v>0</v>
      </c>
    </row>
    <row r="876" spans="1:8" x14ac:dyDescent="0.25">
      <c r="A876" s="41"/>
      <c r="B876" s="33"/>
      <c r="C876" s="32"/>
      <c r="D876" s="32"/>
      <c r="E876" s="37"/>
      <c r="F876" s="42"/>
      <c r="G876" s="32"/>
      <c r="H876" s="36">
        <f>IF(D876="",0,IF(AND(B876&gt;=ThongTin!$C$9,B876&lt;=ThongTin!$C$10,COUNTIFS(ThongTin!$B$19:$B$48,C876,ThongTin!$A$19:$A$48,ThongTin!$C$8,ThongTin!$C$19:$C$48,"XUAT_SP")&gt;0),1,0))</f>
        <v>0</v>
      </c>
    </row>
    <row r="877" spans="1:8" x14ac:dyDescent="0.25">
      <c r="A877" s="41"/>
      <c r="B877" s="33"/>
      <c r="C877" s="32"/>
      <c r="D877" s="32"/>
      <c r="E877" s="37"/>
      <c r="F877" s="42"/>
      <c r="G877" s="32"/>
      <c r="H877" s="36">
        <f>IF(D877="",0,IF(AND(B877&gt;=ThongTin!$C$9,B877&lt;=ThongTin!$C$10,COUNTIFS(ThongTin!$B$19:$B$48,C877,ThongTin!$A$19:$A$48,ThongTin!$C$8,ThongTin!$C$19:$C$48,"XUAT_SP")&gt;0),1,0))</f>
        <v>0</v>
      </c>
    </row>
    <row r="878" spans="1:8" x14ac:dyDescent="0.25">
      <c r="A878" s="41"/>
      <c r="B878" s="33"/>
      <c r="C878" s="32"/>
      <c r="D878" s="32"/>
      <c r="E878" s="37"/>
      <c r="F878" s="42"/>
      <c r="G878" s="32"/>
      <c r="H878" s="36">
        <f>IF(D878="",0,IF(AND(B878&gt;=ThongTin!$C$9,B878&lt;=ThongTin!$C$10,COUNTIFS(ThongTin!$B$19:$B$48,C878,ThongTin!$A$19:$A$48,ThongTin!$C$8,ThongTin!$C$19:$C$48,"XUAT_SP")&gt;0),1,0))</f>
        <v>0</v>
      </c>
    </row>
    <row r="879" spans="1:8" x14ac:dyDescent="0.25">
      <c r="A879" s="41"/>
      <c r="B879" s="33"/>
      <c r="C879" s="32"/>
      <c r="D879" s="32"/>
      <c r="E879" s="37"/>
      <c r="F879" s="42"/>
      <c r="G879" s="32"/>
      <c r="H879" s="36">
        <f>IF(D879="",0,IF(AND(B879&gt;=ThongTin!$C$9,B879&lt;=ThongTin!$C$10,COUNTIFS(ThongTin!$B$19:$B$48,C879,ThongTin!$A$19:$A$48,ThongTin!$C$8,ThongTin!$C$19:$C$48,"XUAT_SP")&gt;0),1,0))</f>
        <v>0</v>
      </c>
    </row>
    <row r="880" spans="1:8" x14ac:dyDescent="0.25">
      <c r="A880" s="41"/>
      <c r="B880" s="33"/>
      <c r="C880" s="32"/>
      <c r="D880" s="32"/>
      <c r="E880" s="37"/>
      <c r="F880" s="42"/>
      <c r="G880" s="32"/>
      <c r="H880" s="36">
        <f>IF(D880="",0,IF(AND(B880&gt;=ThongTin!$C$9,B880&lt;=ThongTin!$C$10,COUNTIFS(ThongTin!$B$19:$B$48,C880,ThongTin!$A$19:$A$48,ThongTin!$C$8,ThongTin!$C$19:$C$48,"XUAT_SP")&gt;0),1,0))</f>
        <v>0</v>
      </c>
    </row>
    <row r="881" spans="1:8" x14ac:dyDescent="0.25">
      <c r="A881" s="41"/>
      <c r="B881" s="33"/>
      <c r="C881" s="32"/>
      <c r="D881" s="32"/>
      <c r="E881" s="37"/>
      <c r="F881" s="42"/>
      <c r="G881" s="32"/>
      <c r="H881" s="36">
        <f>IF(D881="",0,IF(AND(B881&gt;=ThongTin!$C$9,B881&lt;=ThongTin!$C$10,COUNTIFS(ThongTin!$B$19:$B$48,C881,ThongTin!$A$19:$A$48,ThongTin!$C$8,ThongTin!$C$19:$C$48,"XUAT_SP")&gt;0),1,0))</f>
        <v>0</v>
      </c>
    </row>
    <row r="882" spans="1:8" x14ac:dyDescent="0.25">
      <c r="A882" s="41"/>
      <c r="B882" s="33"/>
      <c r="C882" s="32"/>
      <c r="D882" s="32"/>
      <c r="E882" s="37"/>
      <c r="F882" s="42"/>
      <c r="G882" s="32"/>
      <c r="H882" s="36">
        <f>IF(D882="",0,IF(AND(B882&gt;=ThongTin!$C$9,B882&lt;=ThongTin!$C$10,COUNTIFS(ThongTin!$B$19:$B$48,C882,ThongTin!$A$19:$A$48,ThongTin!$C$8,ThongTin!$C$19:$C$48,"XUAT_SP")&gt;0),1,0))</f>
        <v>0</v>
      </c>
    </row>
    <row r="883" spans="1:8" x14ac:dyDescent="0.25">
      <c r="A883" s="41"/>
      <c r="B883" s="33"/>
      <c r="C883" s="32"/>
      <c r="D883" s="32"/>
      <c r="E883" s="37"/>
      <c r="F883" s="42"/>
      <c r="G883" s="32"/>
      <c r="H883" s="36">
        <f>IF(D883="",0,IF(AND(B883&gt;=ThongTin!$C$9,B883&lt;=ThongTin!$C$10,COUNTIFS(ThongTin!$B$19:$B$48,C883,ThongTin!$A$19:$A$48,ThongTin!$C$8,ThongTin!$C$19:$C$48,"XUAT_SP")&gt;0),1,0))</f>
        <v>0</v>
      </c>
    </row>
    <row r="884" spans="1:8" x14ac:dyDescent="0.25">
      <c r="A884" s="41"/>
      <c r="B884" s="33"/>
      <c r="C884" s="32"/>
      <c r="D884" s="32"/>
      <c r="E884" s="37"/>
      <c r="F884" s="42"/>
      <c r="G884" s="32"/>
      <c r="H884" s="36">
        <f>IF(D884="",0,IF(AND(B884&gt;=ThongTin!$C$9,B884&lt;=ThongTin!$C$10,COUNTIFS(ThongTin!$B$19:$B$48,C884,ThongTin!$A$19:$A$48,ThongTin!$C$8,ThongTin!$C$19:$C$48,"XUAT_SP")&gt;0),1,0))</f>
        <v>0</v>
      </c>
    </row>
    <row r="885" spans="1:8" x14ac:dyDescent="0.25">
      <c r="A885" s="41"/>
      <c r="B885" s="33"/>
      <c r="C885" s="32"/>
      <c r="D885" s="32"/>
      <c r="E885" s="37"/>
      <c r="F885" s="42"/>
      <c r="G885" s="32"/>
      <c r="H885" s="36">
        <f>IF(D885="",0,IF(AND(B885&gt;=ThongTin!$C$9,B885&lt;=ThongTin!$C$10,COUNTIFS(ThongTin!$B$19:$B$48,C885,ThongTin!$A$19:$A$48,ThongTin!$C$8,ThongTin!$C$19:$C$48,"XUAT_SP")&gt;0),1,0))</f>
        <v>0</v>
      </c>
    </row>
    <row r="886" spans="1:8" x14ac:dyDescent="0.25">
      <c r="A886" s="41"/>
      <c r="B886" s="33"/>
      <c r="C886" s="32"/>
      <c r="D886" s="32"/>
      <c r="E886" s="37"/>
      <c r="F886" s="42"/>
      <c r="G886" s="32"/>
      <c r="H886" s="36">
        <f>IF(D886="",0,IF(AND(B886&gt;=ThongTin!$C$9,B886&lt;=ThongTin!$C$10,COUNTIFS(ThongTin!$B$19:$B$48,C886,ThongTin!$A$19:$A$48,ThongTin!$C$8,ThongTin!$C$19:$C$48,"XUAT_SP")&gt;0),1,0))</f>
        <v>0</v>
      </c>
    </row>
    <row r="887" spans="1:8" x14ac:dyDescent="0.25">
      <c r="A887" s="41"/>
      <c r="B887" s="33"/>
      <c r="C887" s="32"/>
      <c r="D887" s="32"/>
      <c r="E887" s="37"/>
      <c r="F887" s="42"/>
      <c r="G887" s="32"/>
      <c r="H887" s="36">
        <f>IF(D887="",0,IF(AND(B887&gt;=ThongTin!$C$9,B887&lt;=ThongTin!$C$10,COUNTIFS(ThongTin!$B$19:$B$48,C887,ThongTin!$A$19:$A$48,ThongTin!$C$8,ThongTin!$C$19:$C$48,"XUAT_SP")&gt;0),1,0))</f>
        <v>0</v>
      </c>
    </row>
    <row r="888" spans="1:8" x14ac:dyDescent="0.25">
      <c r="A888" s="41"/>
      <c r="B888" s="33"/>
      <c r="C888" s="32"/>
      <c r="D888" s="32"/>
      <c r="E888" s="37"/>
      <c r="F888" s="42"/>
      <c r="G888" s="32"/>
      <c r="H888" s="36">
        <f>IF(D888="",0,IF(AND(B888&gt;=ThongTin!$C$9,B888&lt;=ThongTin!$C$10,COUNTIFS(ThongTin!$B$19:$B$48,C888,ThongTin!$A$19:$A$48,ThongTin!$C$8,ThongTin!$C$19:$C$48,"XUAT_SP")&gt;0),1,0))</f>
        <v>0</v>
      </c>
    </row>
    <row r="889" spans="1:8" x14ac:dyDescent="0.25">
      <c r="A889" s="41"/>
      <c r="B889" s="33"/>
      <c r="C889" s="32"/>
      <c r="D889" s="32"/>
      <c r="E889" s="37"/>
      <c r="F889" s="42"/>
      <c r="G889" s="32"/>
      <c r="H889" s="36">
        <f>IF(D889="",0,IF(AND(B889&gt;=ThongTin!$C$9,B889&lt;=ThongTin!$C$10,COUNTIFS(ThongTin!$B$19:$B$48,C889,ThongTin!$A$19:$A$48,ThongTin!$C$8,ThongTin!$C$19:$C$48,"XUAT_SP")&gt;0),1,0))</f>
        <v>0</v>
      </c>
    </row>
    <row r="890" spans="1:8" x14ac:dyDescent="0.25">
      <c r="A890" s="41"/>
      <c r="B890" s="33"/>
      <c r="C890" s="32"/>
      <c r="D890" s="32"/>
      <c r="E890" s="37"/>
      <c r="F890" s="42"/>
      <c r="G890" s="32"/>
      <c r="H890" s="36">
        <f>IF(D890="",0,IF(AND(B890&gt;=ThongTin!$C$9,B890&lt;=ThongTin!$C$10,COUNTIFS(ThongTin!$B$19:$B$48,C890,ThongTin!$A$19:$A$48,ThongTin!$C$8,ThongTin!$C$19:$C$48,"XUAT_SP")&gt;0),1,0))</f>
        <v>0</v>
      </c>
    </row>
    <row r="891" spans="1:8" x14ac:dyDescent="0.25">
      <c r="A891" s="41"/>
      <c r="B891" s="33"/>
      <c r="C891" s="32"/>
      <c r="D891" s="32"/>
      <c r="E891" s="37"/>
      <c r="F891" s="42"/>
      <c r="G891" s="32"/>
      <c r="H891" s="36">
        <f>IF(D891="",0,IF(AND(B891&gt;=ThongTin!$C$9,B891&lt;=ThongTin!$C$10,COUNTIFS(ThongTin!$B$19:$B$48,C891,ThongTin!$A$19:$A$48,ThongTin!$C$8,ThongTin!$C$19:$C$48,"XUAT_SP")&gt;0),1,0))</f>
        <v>0</v>
      </c>
    </row>
    <row r="892" spans="1:8" x14ac:dyDescent="0.25">
      <c r="A892" s="41"/>
      <c r="B892" s="33"/>
      <c r="C892" s="32"/>
      <c r="D892" s="32"/>
      <c r="E892" s="37"/>
      <c r="F892" s="42"/>
      <c r="G892" s="32"/>
      <c r="H892" s="36">
        <f>IF(D892="",0,IF(AND(B892&gt;=ThongTin!$C$9,B892&lt;=ThongTin!$C$10,COUNTIFS(ThongTin!$B$19:$B$48,C892,ThongTin!$A$19:$A$48,ThongTin!$C$8,ThongTin!$C$19:$C$48,"XUAT_SP")&gt;0),1,0))</f>
        <v>0</v>
      </c>
    </row>
    <row r="893" spans="1:8" x14ac:dyDescent="0.25">
      <c r="A893" s="41"/>
      <c r="B893" s="33"/>
      <c r="C893" s="32"/>
      <c r="D893" s="32"/>
      <c r="E893" s="37"/>
      <c r="F893" s="42"/>
      <c r="G893" s="32"/>
      <c r="H893" s="36">
        <f>IF(D893="",0,IF(AND(B893&gt;=ThongTin!$C$9,B893&lt;=ThongTin!$C$10,COUNTIFS(ThongTin!$B$19:$B$48,C893,ThongTin!$A$19:$A$48,ThongTin!$C$8,ThongTin!$C$19:$C$48,"XUAT_SP")&gt;0),1,0))</f>
        <v>0</v>
      </c>
    </row>
    <row r="894" spans="1:8" x14ac:dyDescent="0.25">
      <c r="A894" s="41"/>
      <c r="B894" s="33"/>
      <c r="C894" s="32"/>
      <c r="D894" s="32"/>
      <c r="E894" s="37"/>
      <c r="F894" s="42"/>
      <c r="G894" s="32"/>
      <c r="H894" s="36">
        <f>IF(D894="",0,IF(AND(B894&gt;=ThongTin!$C$9,B894&lt;=ThongTin!$C$10,COUNTIFS(ThongTin!$B$19:$B$48,C894,ThongTin!$A$19:$A$48,ThongTin!$C$8,ThongTin!$C$19:$C$48,"XUAT_SP")&gt;0),1,0))</f>
        <v>0</v>
      </c>
    </row>
    <row r="895" spans="1:8" x14ac:dyDescent="0.25">
      <c r="A895" s="41"/>
      <c r="B895" s="33"/>
      <c r="C895" s="32"/>
      <c r="D895" s="32"/>
      <c r="E895" s="37"/>
      <c r="F895" s="42"/>
      <c r="G895" s="32"/>
      <c r="H895" s="36">
        <f>IF(D895="",0,IF(AND(B895&gt;=ThongTin!$C$9,B895&lt;=ThongTin!$C$10,COUNTIFS(ThongTin!$B$19:$B$48,C895,ThongTin!$A$19:$A$48,ThongTin!$C$8,ThongTin!$C$19:$C$48,"XUAT_SP")&gt;0),1,0))</f>
        <v>0</v>
      </c>
    </row>
    <row r="896" spans="1:8" x14ac:dyDescent="0.25">
      <c r="A896" s="41"/>
      <c r="B896" s="33"/>
      <c r="C896" s="32"/>
      <c r="D896" s="32"/>
      <c r="E896" s="37"/>
      <c r="F896" s="42"/>
      <c r="G896" s="32"/>
      <c r="H896" s="36">
        <f>IF(D896="",0,IF(AND(B896&gt;=ThongTin!$C$9,B896&lt;=ThongTin!$C$10,COUNTIFS(ThongTin!$B$19:$B$48,C896,ThongTin!$A$19:$A$48,ThongTin!$C$8,ThongTin!$C$19:$C$48,"XUAT_SP")&gt;0),1,0))</f>
        <v>0</v>
      </c>
    </row>
    <row r="897" spans="1:8" x14ac:dyDescent="0.25">
      <c r="A897" s="41"/>
      <c r="B897" s="33"/>
      <c r="C897" s="32"/>
      <c r="D897" s="32"/>
      <c r="E897" s="37"/>
      <c r="F897" s="42"/>
      <c r="G897" s="32"/>
      <c r="H897" s="36">
        <f>IF(D897="",0,IF(AND(B897&gt;=ThongTin!$C$9,B897&lt;=ThongTin!$C$10,COUNTIFS(ThongTin!$B$19:$B$48,C897,ThongTin!$A$19:$A$48,ThongTin!$C$8,ThongTin!$C$19:$C$48,"XUAT_SP")&gt;0),1,0))</f>
        <v>0</v>
      </c>
    </row>
    <row r="898" spans="1:8" x14ac:dyDescent="0.25">
      <c r="A898" s="41"/>
      <c r="B898" s="33"/>
      <c r="C898" s="32"/>
      <c r="D898" s="32"/>
      <c r="E898" s="37"/>
      <c r="F898" s="42"/>
      <c r="G898" s="32"/>
      <c r="H898" s="36">
        <f>IF(D898="",0,IF(AND(B898&gt;=ThongTin!$C$9,B898&lt;=ThongTin!$C$10,COUNTIFS(ThongTin!$B$19:$B$48,C898,ThongTin!$A$19:$A$48,ThongTin!$C$8,ThongTin!$C$19:$C$48,"XUAT_SP")&gt;0),1,0))</f>
        <v>0</v>
      </c>
    </row>
    <row r="899" spans="1:8" x14ac:dyDescent="0.25">
      <c r="A899" s="41"/>
      <c r="B899" s="33"/>
      <c r="C899" s="32"/>
      <c r="D899" s="32"/>
      <c r="E899" s="37"/>
      <c r="F899" s="42"/>
      <c r="G899" s="32"/>
      <c r="H899" s="36">
        <f>IF(D899="",0,IF(AND(B899&gt;=ThongTin!$C$9,B899&lt;=ThongTin!$C$10,COUNTIFS(ThongTin!$B$19:$B$48,C899,ThongTin!$A$19:$A$48,ThongTin!$C$8,ThongTin!$C$19:$C$48,"XUAT_SP")&gt;0),1,0))</f>
        <v>0</v>
      </c>
    </row>
    <row r="900" spans="1:8" x14ac:dyDescent="0.25">
      <c r="A900" s="41"/>
      <c r="B900" s="33"/>
      <c r="C900" s="32"/>
      <c r="D900" s="32"/>
      <c r="E900" s="37"/>
      <c r="F900" s="42"/>
      <c r="G900" s="32"/>
      <c r="H900" s="36">
        <f>IF(D900="",0,IF(AND(B900&gt;=ThongTin!$C$9,B900&lt;=ThongTin!$C$10,COUNTIFS(ThongTin!$B$19:$B$48,C900,ThongTin!$A$19:$A$48,ThongTin!$C$8,ThongTin!$C$19:$C$48,"XUAT_SP")&gt;0),1,0))</f>
        <v>0</v>
      </c>
    </row>
    <row r="901" spans="1:8" x14ac:dyDescent="0.25">
      <c r="A901" s="41"/>
      <c r="B901" s="33"/>
      <c r="C901" s="32"/>
      <c r="D901" s="32"/>
      <c r="E901" s="37"/>
      <c r="F901" s="42"/>
      <c r="G901" s="32"/>
      <c r="H901" s="36">
        <f>IF(D901="",0,IF(AND(B901&gt;=ThongTin!$C$9,B901&lt;=ThongTin!$C$10,COUNTIFS(ThongTin!$B$19:$B$48,C901,ThongTin!$A$19:$A$48,ThongTin!$C$8,ThongTin!$C$19:$C$48,"XUAT_SP")&gt;0),1,0))</f>
        <v>0</v>
      </c>
    </row>
    <row r="902" spans="1:8" x14ac:dyDescent="0.25">
      <c r="A902" s="41"/>
      <c r="B902" s="33"/>
      <c r="C902" s="32"/>
      <c r="D902" s="32"/>
      <c r="E902" s="37"/>
      <c r="F902" s="42"/>
      <c r="G902" s="32"/>
      <c r="H902" s="36">
        <f>IF(D902="",0,IF(AND(B902&gt;=ThongTin!$C$9,B902&lt;=ThongTin!$C$10,COUNTIFS(ThongTin!$B$19:$B$48,C902,ThongTin!$A$19:$A$48,ThongTin!$C$8,ThongTin!$C$19:$C$48,"XUAT_SP")&gt;0),1,0))</f>
        <v>0</v>
      </c>
    </row>
    <row r="903" spans="1:8" x14ac:dyDescent="0.25">
      <c r="A903" s="41"/>
      <c r="B903" s="33"/>
      <c r="C903" s="32"/>
      <c r="D903" s="32"/>
      <c r="E903" s="37"/>
      <c r="F903" s="42"/>
      <c r="G903" s="32"/>
      <c r="H903" s="36">
        <f>IF(D903="",0,IF(AND(B903&gt;=ThongTin!$C$9,B903&lt;=ThongTin!$C$10,COUNTIFS(ThongTin!$B$19:$B$48,C903,ThongTin!$A$19:$A$48,ThongTin!$C$8,ThongTin!$C$19:$C$48,"XUAT_SP")&gt;0),1,0))</f>
        <v>0</v>
      </c>
    </row>
    <row r="904" spans="1:8" x14ac:dyDescent="0.25">
      <c r="A904" s="41"/>
      <c r="B904" s="33"/>
      <c r="C904" s="32"/>
      <c r="D904" s="32"/>
      <c r="E904" s="37"/>
      <c r="F904" s="42"/>
      <c r="G904" s="32"/>
      <c r="H904" s="36">
        <f>IF(D904="",0,IF(AND(B904&gt;=ThongTin!$C$9,B904&lt;=ThongTin!$C$10,COUNTIFS(ThongTin!$B$19:$B$48,C904,ThongTin!$A$19:$A$48,ThongTin!$C$8,ThongTin!$C$19:$C$48,"XUAT_SP")&gt;0),1,0))</f>
        <v>0</v>
      </c>
    </row>
    <row r="905" spans="1:8" x14ac:dyDescent="0.25">
      <c r="A905" s="41"/>
      <c r="B905" s="33"/>
      <c r="C905" s="32"/>
      <c r="D905" s="32"/>
      <c r="E905" s="37"/>
      <c r="F905" s="42"/>
      <c r="G905" s="32"/>
      <c r="H905" s="36">
        <f>IF(D905="",0,IF(AND(B905&gt;=ThongTin!$C$9,B905&lt;=ThongTin!$C$10,COUNTIFS(ThongTin!$B$19:$B$48,C905,ThongTin!$A$19:$A$48,ThongTin!$C$8,ThongTin!$C$19:$C$48,"XUAT_SP")&gt;0),1,0))</f>
        <v>0</v>
      </c>
    </row>
    <row r="906" spans="1:8" x14ac:dyDescent="0.25">
      <c r="A906" s="41"/>
      <c r="B906" s="33"/>
      <c r="C906" s="32"/>
      <c r="D906" s="32"/>
      <c r="E906" s="37"/>
      <c r="F906" s="42"/>
      <c r="G906" s="32"/>
      <c r="H906" s="36">
        <f>IF(D906="",0,IF(AND(B906&gt;=ThongTin!$C$9,B906&lt;=ThongTin!$C$10,COUNTIFS(ThongTin!$B$19:$B$48,C906,ThongTin!$A$19:$A$48,ThongTin!$C$8,ThongTin!$C$19:$C$48,"XUAT_SP")&gt;0),1,0))</f>
        <v>0</v>
      </c>
    </row>
    <row r="907" spans="1:8" x14ac:dyDescent="0.25">
      <c r="A907" s="41"/>
      <c r="B907" s="33"/>
      <c r="C907" s="32"/>
      <c r="D907" s="32"/>
      <c r="E907" s="37"/>
      <c r="F907" s="42"/>
      <c r="G907" s="32"/>
      <c r="H907" s="36">
        <f>IF(D907="",0,IF(AND(B907&gt;=ThongTin!$C$9,B907&lt;=ThongTin!$C$10,COUNTIFS(ThongTin!$B$19:$B$48,C907,ThongTin!$A$19:$A$48,ThongTin!$C$8,ThongTin!$C$19:$C$48,"XUAT_SP")&gt;0),1,0))</f>
        <v>0</v>
      </c>
    </row>
    <row r="908" spans="1:8" x14ac:dyDescent="0.25">
      <c r="A908" s="41"/>
      <c r="B908" s="33"/>
      <c r="C908" s="32"/>
      <c r="D908" s="32"/>
      <c r="E908" s="37"/>
      <c r="F908" s="42"/>
      <c r="G908" s="32"/>
      <c r="H908" s="36">
        <f>IF(D908="",0,IF(AND(B908&gt;=ThongTin!$C$9,B908&lt;=ThongTin!$C$10,COUNTIFS(ThongTin!$B$19:$B$48,C908,ThongTin!$A$19:$A$48,ThongTin!$C$8,ThongTin!$C$19:$C$48,"XUAT_SP")&gt;0),1,0))</f>
        <v>0</v>
      </c>
    </row>
    <row r="909" spans="1:8" x14ac:dyDescent="0.25">
      <c r="A909" s="41"/>
      <c r="B909" s="33"/>
      <c r="C909" s="32"/>
      <c r="D909" s="32"/>
      <c r="E909" s="37"/>
      <c r="F909" s="42"/>
      <c r="G909" s="32"/>
      <c r="H909" s="36">
        <f>IF(D909="",0,IF(AND(B909&gt;=ThongTin!$C$9,B909&lt;=ThongTin!$C$10,COUNTIFS(ThongTin!$B$19:$B$48,C909,ThongTin!$A$19:$A$48,ThongTin!$C$8,ThongTin!$C$19:$C$48,"XUAT_SP")&gt;0),1,0))</f>
        <v>0</v>
      </c>
    </row>
    <row r="910" spans="1:8" x14ac:dyDescent="0.25">
      <c r="A910" s="41"/>
      <c r="B910" s="33"/>
      <c r="C910" s="32"/>
      <c r="D910" s="32"/>
      <c r="E910" s="37"/>
      <c r="F910" s="42"/>
      <c r="G910" s="32"/>
      <c r="H910" s="36">
        <f>IF(D910="",0,IF(AND(B910&gt;=ThongTin!$C$9,B910&lt;=ThongTin!$C$10,COUNTIFS(ThongTin!$B$19:$B$48,C910,ThongTin!$A$19:$A$48,ThongTin!$C$8,ThongTin!$C$19:$C$48,"XUAT_SP")&gt;0),1,0))</f>
        <v>0</v>
      </c>
    </row>
    <row r="911" spans="1:8" x14ac:dyDescent="0.25">
      <c r="A911" s="41"/>
      <c r="B911" s="33"/>
      <c r="C911" s="32"/>
      <c r="D911" s="32"/>
      <c r="E911" s="37"/>
      <c r="F911" s="42"/>
      <c r="G911" s="32"/>
      <c r="H911" s="36">
        <f>IF(D911="",0,IF(AND(B911&gt;=ThongTin!$C$9,B911&lt;=ThongTin!$C$10,COUNTIFS(ThongTin!$B$19:$B$48,C911,ThongTin!$A$19:$A$48,ThongTin!$C$8,ThongTin!$C$19:$C$48,"XUAT_SP")&gt;0),1,0))</f>
        <v>0</v>
      </c>
    </row>
    <row r="912" spans="1:8" x14ac:dyDescent="0.25">
      <c r="A912" s="41"/>
      <c r="B912" s="33"/>
      <c r="C912" s="32"/>
      <c r="D912" s="32"/>
      <c r="E912" s="37"/>
      <c r="F912" s="42"/>
      <c r="G912" s="32"/>
      <c r="H912" s="36">
        <f>IF(D912="",0,IF(AND(B912&gt;=ThongTin!$C$9,B912&lt;=ThongTin!$C$10,COUNTIFS(ThongTin!$B$19:$B$48,C912,ThongTin!$A$19:$A$48,ThongTin!$C$8,ThongTin!$C$19:$C$48,"XUAT_SP")&gt;0),1,0))</f>
        <v>0</v>
      </c>
    </row>
    <row r="913" spans="1:8" x14ac:dyDescent="0.25">
      <c r="A913" s="41"/>
      <c r="B913" s="33"/>
      <c r="C913" s="32"/>
      <c r="D913" s="32"/>
      <c r="E913" s="37"/>
      <c r="F913" s="42"/>
      <c r="G913" s="32"/>
      <c r="H913" s="36">
        <f>IF(D913="",0,IF(AND(B913&gt;=ThongTin!$C$9,B913&lt;=ThongTin!$C$10,COUNTIFS(ThongTin!$B$19:$B$48,C913,ThongTin!$A$19:$A$48,ThongTin!$C$8,ThongTin!$C$19:$C$48,"XUAT_SP")&gt;0),1,0))</f>
        <v>0</v>
      </c>
    </row>
    <row r="914" spans="1:8" x14ac:dyDescent="0.25">
      <c r="A914" s="41"/>
      <c r="B914" s="33"/>
      <c r="C914" s="32"/>
      <c r="D914" s="32"/>
      <c r="E914" s="37"/>
      <c r="F914" s="42"/>
      <c r="G914" s="32"/>
      <c r="H914" s="36">
        <f>IF(D914="",0,IF(AND(B914&gt;=ThongTin!$C$9,B914&lt;=ThongTin!$C$10,COUNTIFS(ThongTin!$B$19:$B$48,C914,ThongTin!$A$19:$A$48,ThongTin!$C$8,ThongTin!$C$19:$C$48,"XUAT_SP")&gt;0),1,0))</f>
        <v>0</v>
      </c>
    </row>
    <row r="915" spans="1:8" x14ac:dyDescent="0.25">
      <c r="A915" s="41"/>
      <c r="B915" s="33"/>
      <c r="C915" s="32"/>
      <c r="D915" s="32"/>
      <c r="E915" s="37"/>
      <c r="F915" s="42"/>
      <c r="G915" s="32"/>
      <c r="H915" s="36">
        <f>IF(D915="",0,IF(AND(B915&gt;=ThongTin!$C$9,B915&lt;=ThongTin!$C$10,COUNTIFS(ThongTin!$B$19:$B$48,C915,ThongTin!$A$19:$A$48,ThongTin!$C$8,ThongTin!$C$19:$C$48,"XUAT_SP")&gt;0),1,0))</f>
        <v>0</v>
      </c>
    </row>
    <row r="916" spans="1:8" x14ac:dyDescent="0.25">
      <c r="A916" s="41"/>
      <c r="B916" s="33"/>
      <c r="C916" s="32"/>
      <c r="D916" s="32"/>
      <c r="E916" s="37"/>
      <c r="F916" s="42"/>
      <c r="G916" s="32"/>
      <c r="H916" s="36">
        <f>IF(D916="",0,IF(AND(B916&gt;=ThongTin!$C$9,B916&lt;=ThongTin!$C$10,COUNTIFS(ThongTin!$B$19:$B$48,C916,ThongTin!$A$19:$A$48,ThongTin!$C$8,ThongTin!$C$19:$C$48,"XUAT_SP")&gt;0),1,0))</f>
        <v>0</v>
      </c>
    </row>
    <row r="917" spans="1:8" x14ac:dyDescent="0.25">
      <c r="A917" s="41"/>
      <c r="B917" s="33"/>
      <c r="C917" s="32"/>
      <c r="D917" s="32"/>
      <c r="E917" s="37"/>
      <c r="F917" s="42"/>
      <c r="G917" s="32"/>
      <c r="H917" s="36">
        <f>IF(D917="",0,IF(AND(B917&gt;=ThongTin!$C$9,B917&lt;=ThongTin!$C$10,COUNTIFS(ThongTin!$B$19:$B$48,C917,ThongTin!$A$19:$A$48,ThongTin!$C$8,ThongTin!$C$19:$C$48,"XUAT_SP")&gt;0),1,0))</f>
        <v>0</v>
      </c>
    </row>
    <row r="918" spans="1:8" x14ac:dyDescent="0.25">
      <c r="A918" s="41"/>
      <c r="B918" s="33"/>
      <c r="C918" s="32"/>
      <c r="D918" s="32"/>
      <c r="E918" s="37"/>
      <c r="F918" s="42"/>
      <c r="G918" s="32"/>
      <c r="H918" s="36">
        <f>IF(D918="",0,IF(AND(B918&gt;=ThongTin!$C$9,B918&lt;=ThongTin!$C$10,COUNTIFS(ThongTin!$B$19:$B$48,C918,ThongTin!$A$19:$A$48,ThongTin!$C$8,ThongTin!$C$19:$C$48,"XUAT_SP")&gt;0),1,0))</f>
        <v>0</v>
      </c>
    </row>
    <row r="919" spans="1:8" x14ac:dyDescent="0.25">
      <c r="A919" s="41"/>
      <c r="B919" s="33"/>
      <c r="C919" s="32"/>
      <c r="D919" s="32"/>
      <c r="E919" s="37"/>
      <c r="F919" s="42"/>
      <c r="G919" s="32"/>
      <c r="H919" s="36">
        <f>IF(D919="",0,IF(AND(B919&gt;=ThongTin!$C$9,B919&lt;=ThongTin!$C$10,COUNTIFS(ThongTin!$B$19:$B$48,C919,ThongTin!$A$19:$A$48,ThongTin!$C$8,ThongTin!$C$19:$C$48,"XUAT_SP")&gt;0),1,0))</f>
        <v>0</v>
      </c>
    </row>
    <row r="920" spans="1:8" x14ac:dyDescent="0.25">
      <c r="A920" s="41"/>
      <c r="B920" s="33"/>
      <c r="C920" s="32"/>
      <c r="D920" s="32"/>
      <c r="E920" s="37"/>
      <c r="F920" s="42"/>
      <c r="G920" s="32"/>
      <c r="H920" s="36">
        <f>IF(D920="",0,IF(AND(B920&gt;=ThongTin!$C$9,B920&lt;=ThongTin!$C$10,COUNTIFS(ThongTin!$B$19:$B$48,C920,ThongTin!$A$19:$A$48,ThongTin!$C$8,ThongTin!$C$19:$C$48,"XUAT_SP")&gt;0),1,0))</f>
        <v>0</v>
      </c>
    </row>
    <row r="921" spans="1:8" x14ac:dyDescent="0.25">
      <c r="A921" s="41"/>
      <c r="B921" s="33"/>
      <c r="C921" s="32"/>
      <c r="D921" s="32"/>
      <c r="E921" s="37"/>
      <c r="F921" s="42"/>
      <c r="G921" s="32"/>
      <c r="H921" s="36">
        <f>IF(D921="",0,IF(AND(B921&gt;=ThongTin!$C$9,B921&lt;=ThongTin!$C$10,COUNTIFS(ThongTin!$B$19:$B$48,C921,ThongTin!$A$19:$A$48,ThongTin!$C$8,ThongTin!$C$19:$C$48,"XUAT_SP")&gt;0),1,0))</f>
        <v>0</v>
      </c>
    </row>
    <row r="922" spans="1:8" x14ac:dyDescent="0.25">
      <c r="A922" s="41"/>
      <c r="B922" s="33"/>
      <c r="C922" s="32"/>
      <c r="D922" s="32"/>
      <c r="E922" s="37"/>
      <c r="F922" s="42"/>
      <c r="G922" s="32"/>
      <c r="H922" s="36">
        <f>IF(D922="",0,IF(AND(B922&gt;=ThongTin!$C$9,B922&lt;=ThongTin!$C$10,COUNTIFS(ThongTin!$B$19:$B$48,C922,ThongTin!$A$19:$A$48,ThongTin!$C$8,ThongTin!$C$19:$C$48,"XUAT_SP")&gt;0),1,0))</f>
        <v>0</v>
      </c>
    </row>
    <row r="923" spans="1:8" x14ac:dyDescent="0.25">
      <c r="A923" s="41"/>
      <c r="B923" s="33"/>
      <c r="C923" s="32"/>
      <c r="D923" s="32"/>
      <c r="E923" s="37"/>
      <c r="F923" s="42"/>
      <c r="G923" s="32"/>
      <c r="H923" s="36">
        <f>IF(D923="",0,IF(AND(B923&gt;=ThongTin!$C$9,B923&lt;=ThongTin!$C$10,COUNTIFS(ThongTin!$B$19:$B$48,C923,ThongTin!$A$19:$A$48,ThongTin!$C$8,ThongTin!$C$19:$C$48,"XUAT_SP")&gt;0),1,0))</f>
        <v>0</v>
      </c>
    </row>
    <row r="924" spans="1:8" x14ac:dyDescent="0.25">
      <c r="A924" s="41"/>
      <c r="B924" s="33"/>
      <c r="C924" s="32"/>
      <c r="D924" s="32"/>
      <c r="E924" s="37"/>
      <c r="F924" s="42"/>
      <c r="G924" s="32"/>
      <c r="H924" s="36">
        <f>IF(D924="",0,IF(AND(B924&gt;=ThongTin!$C$9,B924&lt;=ThongTin!$C$10,COUNTIFS(ThongTin!$B$19:$B$48,C924,ThongTin!$A$19:$A$48,ThongTin!$C$8,ThongTin!$C$19:$C$48,"XUAT_SP")&gt;0),1,0))</f>
        <v>0</v>
      </c>
    </row>
    <row r="925" spans="1:8" x14ac:dyDescent="0.25">
      <c r="A925" s="41"/>
      <c r="B925" s="33"/>
      <c r="C925" s="32"/>
      <c r="D925" s="32"/>
      <c r="E925" s="37"/>
      <c r="F925" s="42"/>
      <c r="G925" s="32"/>
      <c r="H925" s="36">
        <f>IF(D925="",0,IF(AND(B925&gt;=ThongTin!$C$9,B925&lt;=ThongTin!$C$10,COUNTIFS(ThongTin!$B$19:$B$48,C925,ThongTin!$A$19:$A$48,ThongTin!$C$8,ThongTin!$C$19:$C$48,"XUAT_SP")&gt;0),1,0))</f>
        <v>0</v>
      </c>
    </row>
    <row r="926" spans="1:8" x14ac:dyDescent="0.25">
      <c r="A926" s="41"/>
      <c r="B926" s="33"/>
      <c r="C926" s="32"/>
      <c r="D926" s="32"/>
      <c r="E926" s="37"/>
      <c r="F926" s="42"/>
      <c r="G926" s="32"/>
      <c r="H926" s="36">
        <f>IF(D926="",0,IF(AND(B926&gt;=ThongTin!$C$9,B926&lt;=ThongTin!$C$10,COUNTIFS(ThongTin!$B$19:$B$48,C926,ThongTin!$A$19:$A$48,ThongTin!$C$8,ThongTin!$C$19:$C$48,"XUAT_SP")&gt;0),1,0))</f>
        <v>0</v>
      </c>
    </row>
    <row r="927" spans="1:8" x14ac:dyDescent="0.25">
      <c r="A927" s="41"/>
      <c r="B927" s="33"/>
      <c r="C927" s="32"/>
      <c r="D927" s="32"/>
      <c r="E927" s="37"/>
      <c r="F927" s="42"/>
      <c r="G927" s="32"/>
      <c r="H927" s="36">
        <f>IF(D927="",0,IF(AND(B927&gt;=ThongTin!$C$9,B927&lt;=ThongTin!$C$10,COUNTIFS(ThongTin!$B$19:$B$48,C927,ThongTin!$A$19:$A$48,ThongTin!$C$8,ThongTin!$C$19:$C$48,"XUAT_SP")&gt;0),1,0))</f>
        <v>0</v>
      </c>
    </row>
    <row r="928" spans="1:8" x14ac:dyDescent="0.25">
      <c r="A928" s="41"/>
      <c r="B928" s="33"/>
      <c r="C928" s="32"/>
      <c r="D928" s="32"/>
      <c r="E928" s="37"/>
      <c r="F928" s="42"/>
      <c r="G928" s="32"/>
      <c r="H928" s="36">
        <f>IF(D928="",0,IF(AND(B928&gt;=ThongTin!$C$9,B928&lt;=ThongTin!$C$10,COUNTIFS(ThongTin!$B$19:$B$48,C928,ThongTin!$A$19:$A$48,ThongTin!$C$8,ThongTin!$C$19:$C$48,"XUAT_SP")&gt;0),1,0))</f>
        <v>0</v>
      </c>
    </row>
    <row r="929" spans="1:8" x14ac:dyDescent="0.25">
      <c r="A929" s="41"/>
      <c r="B929" s="33"/>
      <c r="C929" s="32"/>
      <c r="D929" s="32"/>
      <c r="E929" s="37"/>
      <c r="F929" s="42"/>
      <c r="G929" s="32"/>
      <c r="H929" s="36">
        <f>IF(D929="",0,IF(AND(B929&gt;=ThongTin!$C$9,B929&lt;=ThongTin!$C$10,COUNTIFS(ThongTin!$B$19:$B$48,C929,ThongTin!$A$19:$A$48,ThongTin!$C$8,ThongTin!$C$19:$C$48,"XUAT_SP")&gt;0),1,0))</f>
        <v>0</v>
      </c>
    </row>
    <row r="930" spans="1:8" x14ac:dyDescent="0.25">
      <c r="A930" s="41"/>
      <c r="B930" s="33"/>
      <c r="C930" s="32"/>
      <c r="D930" s="32"/>
      <c r="E930" s="37"/>
      <c r="F930" s="42"/>
      <c r="G930" s="32"/>
      <c r="H930" s="36">
        <f>IF(D930="",0,IF(AND(B930&gt;=ThongTin!$C$9,B930&lt;=ThongTin!$C$10,COUNTIFS(ThongTin!$B$19:$B$48,C930,ThongTin!$A$19:$A$48,ThongTin!$C$8,ThongTin!$C$19:$C$48,"XUAT_SP")&gt;0),1,0))</f>
        <v>0</v>
      </c>
    </row>
    <row r="931" spans="1:8" x14ac:dyDescent="0.25">
      <c r="A931" s="41"/>
      <c r="B931" s="33"/>
      <c r="C931" s="32"/>
      <c r="D931" s="32"/>
      <c r="E931" s="37"/>
      <c r="F931" s="42"/>
      <c r="G931" s="32"/>
      <c r="H931" s="36">
        <f>IF(D931="",0,IF(AND(B931&gt;=ThongTin!$C$9,B931&lt;=ThongTin!$C$10,COUNTIFS(ThongTin!$B$19:$B$48,C931,ThongTin!$A$19:$A$48,ThongTin!$C$8,ThongTin!$C$19:$C$48,"XUAT_SP")&gt;0),1,0))</f>
        <v>0</v>
      </c>
    </row>
    <row r="932" spans="1:8" x14ac:dyDescent="0.25">
      <c r="A932" s="41"/>
      <c r="B932" s="33"/>
      <c r="C932" s="32"/>
      <c r="D932" s="32"/>
      <c r="E932" s="37"/>
      <c r="F932" s="42"/>
      <c r="G932" s="32"/>
      <c r="H932" s="36">
        <f>IF(D932="",0,IF(AND(B932&gt;=ThongTin!$C$9,B932&lt;=ThongTin!$C$10,COUNTIFS(ThongTin!$B$19:$B$48,C932,ThongTin!$A$19:$A$48,ThongTin!$C$8,ThongTin!$C$19:$C$48,"XUAT_SP")&gt;0),1,0))</f>
        <v>0</v>
      </c>
    </row>
    <row r="933" spans="1:8" x14ac:dyDescent="0.25">
      <c r="A933" s="41"/>
      <c r="B933" s="33"/>
      <c r="C933" s="32"/>
      <c r="D933" s="32"/>
      <c r="E933" s="37"/>
      <c r="F933" s="42"/>
      <c r="G933" s="32"/>
      <c r="H933" s="36">
        <f>IF(D933="",0,IF(AND(B933&gt;=ThongTin!$C$9,B933&lt;=ThongTin!$C$10,COUNTIFS(ThongTin!$B$19:$B$48,C933,ThongTin!$A$19:$A$48,ThongTin!$C$8,ThongTin!$C$19:$C$48,"XUAT_SP")&gt;0),1,0))</f>
        <v>0</v>
      </c>
    </row>
    <row r="934" spans="1:8" x14ac:dyDescent="0.25">
      <c r="A934" s="41"/>
      <c r="B934" s="33"/>
      <c r="C934" s="32"/>
      <c r="D934" s="32"/>
      <c r="E934" s="37"/>
      <c r="F934" s="42"/>
      <c r="G934" s="32"/>
      <c r="H934" s="36">
        <f>IF(D934="",0,IF(AND(B934&gt;=ThongTin!$C$9,B934&lt;=ThongTin!$C$10,COUNTIFS(ThongTin!$B$19:$B$48,C934,ThongTin!$A$19:$A$48,ThongTin!$C$8,ThongTin!$C$19:$C$48,"XUAT_SP")&gt;0),1,0))</f>
        <v>0</v>
      </c>
    </row>
    <row r="935" spans="1:8" x14ac:dyDescent="0.25">
      <c r="A935" s="41"/>
      <c r="B935" s="33"/>
      <c r="C935" s="32"/>
      <c r="D935" s="32"/>
      <c r="E935" s="37"/>
      <c r="F935" s="42"/>
      <c r="G935" s="32"/>
      <c r="H935" s="36">
        <f>IF(D935="",0,IF(AND(B935&gt;=ThongTin!$C$9,B935&lt;=ThongTin!$C$10,COUNTIFS(ThongTin!$B$19:$B$48,C935,ThongTin!$A$19:$A$48,ThongTin!$C$8,ThongTin!$C$19:$C$48,"XUAT_SP")&gt;0),1,0))</f>
        <v>0</v>
      </c>
    </row>
    <row r="936" spans="1:8" x14ac:dyDescent="0.25">
      <c r="A936" s="41"/>
      <c r="B936" s="33"/>
      <c r="C936" s="32"/>
      <c r="D936" s="32"/>
      <c r="E936" s="37"/>
      <c r="F936" s="42"/>
      <c r="G936" s="32"/>
      <c r="H936" s="36">
        <f>IF(D936="",0,IF(AND(B936&gt;=ThongTin!$C$9,B936&lt;=ThongTin!$C$10,COUNTIFS(ThongTin!$B$19:$B$48,C936,ThongTin!$A$19:$A$48,ThongTin!$C$8,ThongTin!$C$19:$C$48,"XUAT_SP")&gt;0),1,0))</f>
        <v>0</v>
      </c>
    </row>
    <row r="937" spans="1:8" x14ac:dyDescent="0.25">
      <c r="A937" s="41"/>
      <c r="B937" s="33"/>
      <c r="C937" s="32"/>
      <c r="D937" s="32"/>
      <c r="E937" s="37"/>
      <c r="F937" s="42"/>
      <c r="G937" s="32"/>
      <c r="H937" s="36">
        <f>IF(D937="",0,IF(AND(B937&gt;=ThongTin!$C$9,B937&lt;=ThongTin!$C$10,COUNTIFS(ThongTin!$B$19:$B$48,C937,ThongTin!$A$19:$A$48,ThongTin!$C$8,ThongTin!$C$19:$C$48,"XUAT_SP")&gt;0),1,0))</f>
        <v>0</v>
      </c>
    </row>
    <row r="938" spans="1:8" x14ac:dyDescent="0.25">
      <c r="A938" s="41"/>
      <c r="B938" s="33"/>
      <c r="C938" s="32"/>
      <c r="D938" s="32"/>
      <c r="E938" s="37"/>
      <c r="F938" s="42"/>
      <c r="G938" s="32"/>
      <c r="H938" s="36">
        <f>IF(D938="",0,IF(AND(B938&gt;=ThongTin!$C$9,B938&lt;=ThongTin!$C$10,COUNTIFS(ThongTin!$B$19:$B$48,C938,ThongTin!$A$19:$A$48,ThongTin!$C$8,ThongTin!$C$19:$C$48,"XUAT_SP")&gt;0),1,0))</f>
        <v>0</v>
      </c>
    </row>
    <row r="939" spans="1:8" x14ac:dyDescent="0.25">
      <c r="A939" s="41"/>
      <c r="B939" s="33"/>
      <c r="C939" s="32"/>
      <c r="D939" s="32"/>
      <c r="E939" s="37"/>
      <c r="F939" s="42"/>
      <c r="G939" s="32"/>
      <c r="H939" s="36">
        <f>IF(D939="",0,IF(AND(B939&gt;=ThongTin!$C$9,B939&lt;=ThongTin!$C$10,COUNTIFS(ThongTin!$B$19:$B$48,C939,ThongTin!$A$19:$A$48,ThongTin!$C$8,ThongTin!$C$19:$C$48,"XUAT_SP")&gt;0),1,0))</f>
        <v>0</v>
      </c>
    </row>
    <row r="940" spans="1:8" x14ac:dyDescent="0.25">
      <c r="A940" s="41"/>
      <c r="B940" s="33"/>
      <c r="C940" s="32"/>
      <c r="D940" s="32"/>
      <c r="E940" s="37"/>
      <c r="F940" s="42"/>
      <c r="G940" s="32"/>
      <c r="H940" s="36">
        <f>IF(D940="",0,IF(AND(B940&gt;=ThongTin!$C$9,B940&lt;=ThongTin!$C$10,COUNTIFS(ThongTin!$B$19:$B$48,C940,ThongTin!$A$19:$A$48,ThongTin!$C$8,ThongTin!$C$19:$C$48,"XUAT_SP")&gt;0),1,0))</f>
        <v>0</v>
      </c>
    </row>
    <row r="941" spans="1:8" x14ac:dyDescent="0.25">
      <c r="A941" s="41"/>
      <c r="B941" s="33"/>
      <c r="C941" s="32"/>
      <c r="D941" s="32"/>
      <c r="E941" s="37"/>
      <c r="F941" s="42"/>
      <c r="G941" s="32"/>
      <c r="H941" s="36">
        <f>IF(D941="",0,IF(AND(B941&gt;=ThongTin!$C$9,B941&lt;=ThongTin!$C$10,COUNTIFS(ThongTin!$B$19:$B$48,C941,ThongTin!$A$19:$A$48,ThongTin!$C$8,ThongTin!$C$19:$C$48,"XUAT_SP")&gt;0),1,0))</f>
        <v>0</v>
      </c>
    </row>
    <row r="942" spans="1:8" x14ac:dyDescent="0.25">
      <c r="A942" s="41"/>
      <c r="B942" s="33"/>
      <c r="C942" s="32"/>
      <c r="D942" s="32"/>
      <c r="E942" s="37"/>
      <c r="F942" s="42"/>
      <c r="G942" s="32"/>
      <c r="H942" s="36">
        <f>IF(D942="",0,IF(AND(B942&gt;=ThongTin!$C$9,B942&lt;=ThongTin!$C$10,COUNTIFS(ThongTin!$B$19:$B$48,C942,ThongTin!$A$19:$A$48,ThongTin!$C$8,ThongTin!$C$19:$C$48,"XUAT_SP")&gt;0),1,0))</f>
        <v>0</v>
      </c>
    </row>
    <row r="943" spans="1:8" x14ac:dyDescent="0.25">
      <c r="A943" s="41"/>
      <c r="B943" s="33"/>
      <c r="C943" s="32"/>
      <c r="D943" s="32"/>
      <c r="E943" s="37"/>
      <c r="F943" s="42"/>
      <c r="G943" s="32"/>
      <c r="H943" s="36">
        <f>IF(D943="",0,IF(AND(B943&gt;=ThongTin!$C$9,B943&lt;=ThongTin!$C$10,COUNTIFS(ThongTin!$B$19:$B$48,C943,ThongTin!$A$19:$A$48,ThongTin!$C$8,ThongTin!$C$19:$C$48,"XUAT_SP")&gt;0),1,0))</f>
        <v>0</v>
      </c>
    </row>
    <row r="944" spans="1:8" x14ac:dyDescent="0.25">
      <c r="A944" s="41"/>
      <c r="B944" s="33"/>
      <c r="C944" s="32"/>
      <c r="D944" s="32"/>
      <c r="E944" s="37"/>
      <c r="F944" s="42"/>
      <c r="G944" s="32"/>
      <c r="H944" s="36">
        <f>IF(D944="",0,IF(AND(B944&gt;=ThongTin!$C$9,B944&lt;=ThongTin!$C$10,COUNTIFS(ThongTin!$B$19:$B$48,C944,ThongTin!$A$19:$A$48,ThongTin!$C$8,ThongTin!$C$19:$C$48,"XUAT_SP")&gt;0),1,0))</f>
        <v>0</v>
      </c>
    </row>
    <row r="945" spans="1:8" x14ac:dyDescent="0.25">
      <c r="A945" s="41"/>
      <c r="B945" s="33"/>
      <c r="C945" s="32"/>
      <c r="D945" s="32"/>
      <c r="E945" s="37"/>
      <c r="F945" s="42"/>
      <c r="G945" s="32"/>
      <c r="H945" s="36">
        <f>IF(D945="",0,IF(AND(B945&gt;=ThongTin!$C$9,B945&lt;=ThongTin!$C$10,COUNTIFS(ThongTin!$B$19:$B$48,C945,ThongTin!$A$19:$A$48,ThongTin!$C$8,ThongTin!$C$19:$C$48,"XUAT_SP")&gt;0),1,0))</f>
        <v>0</v>
      </c>
    </row>
    <row r="946" spans="1:8" x14ac:dyDescent="0.25">
      <c r="A946" s="41"/>
      <c r="B946" s="33"/>
      <c r="C946" s="32"/>
      <c r="D946" s="32"/>
      <c r="E946" s="37"/>
      <c r="F946" s="42"/>
      <c r="G946" s="32"/>
      <c r="H946" s="36">
        <f>IF(D946="",0,IF(AND(B946&gt;=ThongTin!$C$9,B946&lt;=ThongTin!$C$10,COUNTIFS(ThongTin!$B$19:$B$48,C946,ThongTin!$A$19:$A$48,ThongTin!$C$8,ThongTin!$C$19:$C$48,"XUAT_SP")&gt;0),1,0))</f>
        <v>0</v>
      </c>
    </row>
    <row r="947" spans="1:8" x14ac:dyDescent="0.25">
      <c r="A947" s="41"/>
      <c r="B947" s="33"/>
      <c r="C947" s="32"/>
      <c r="D947" s="32"/>
      <c r="E947" s="37"/>
      <c r="F947" s="42"/>
      <c r="G947" s="32"/>
      <c r="H947" s="36">
        <f>IF(D947="",0,IF(AND(B947&gt;=ThongTin!$C$9,B947&lt;=ThongTin!$C$10,COUNTIFS(ThongTin!$B$19:$B$48,C947,ThongTin!$A$19:$A$48,ThongTin!$C$8,ThongTin!$C$19:$C$48,"XUAT_SP")&gt;0),1,0))</f>
        <v>0</v>
      </c>
    </row>
    <row r="948" spans="1:8" x14ac:dyDescent="0.25">
      <c r="A948" s="41"/>
      <c r="B948" s="33"/>
      <c r="C948" s="32"/>
      <c r="D948" s="32"/>
      <c r="E948" s="37"/>
      <c r="F948" s="42"/>
      <c r="G948" s="32"/>
      <c r="H948" s="36">
        <f>IF(D948="",0,IF(AND(B948&gt;=ThongTin!$C$9,B948&lt;=ThongTin!$C$10,COUNTIFS(ThongTin!$B$19:$B$48,C948,ThongTin!$A$19:$A$48,ThongTin!$C$8,ThongTin!$C$19:$C$48,"XUAT_SP")&gt;0),1,0))</f>
        <v>0</v>
      </c>
    </row>
    <row r="949" spans="1:8" x14ac:dyDescent="0.25">
      <c r="A949" s="41"/>
      <c r="B949" s="33"/>
      <c r="C949" s="32"/>
      <c r="D949" s="32"/>
      <c r="E949" s="37"/>
      <c r="F949" s="42"/>
      <c r="G949" s="32"/>
      <c r="H949" s="36">
        <f>IF(D949="",0,IF(AND(B949&gt;=ThongTin!$C$9,B949&lt;=ThongTin!$C$10,COUNTIFS(ThongTin!$B$19:$B$48,C949,ThongTin!$A$19:$A$48,ThongTin!$C$8,ThongTin!$C$19:$C$48,"XUAT_SP")&gt;0),1,0))</f>
        <v>0</v>
      </c>
    </row>
    <row r="950" spans="1:8" x14ac:dyDescent="0.25">
      <c r="A950" s="41"/>
      <c r="B950" s="33"/>
      <c r="C950" s="32"/>
      <c r="D950" s="32"/>
      <c r="E950" s="37"/>
      <c r="F950" s="42"/>
      <c r="G950" s="32"/>
      <c r="H950" s="36">
        <f>IF(D950="",0,IF(AND(B950&gt;=ThongTin!$C$9,B950&lt;=ThongTin!$C$10,COUNTIFS(ThongTin!$B$19:$B$48,C950,ThongTin!$A$19:$A$48,ThongTin!$C$8,ThongTin!$C$19:$C$48,"XUAT_SP")&gt;0),1,0))</f>
        <v>0</v>
      </c>
    </row>
    <row r="951" spans="1:8" x14ac:dyDescent="0.25">
      <c r="A951" s="41"/>
      <c r="B951" s="33"/>
      <c r="C951" s="32"/>
      <c r="D951" s="32"/>
      <c r="E951" s="37"/>
      <c r="F951" s="42"/>
      <c r="G951" s="32"/>
      <c r="H951" s="36">
        <f>IF(D951="",0,IF(AND(B951&gt;=ThongTin!$C$9,B951&lt;=ThongTin!$C$10,COUNTIFS(ThongTin!$B$19:$B$48,C951,ThongTin!$A$19:$A$48,ThongTin!$C$8,ThongTin!$C$19:$C$48,"XUAT_SP")&gt;0),1,0))</f>
        <v>0</v>
      </c>
    </row>
    <row r="952" spans="1:8" x14ac:dyDescent="0.25">
      <c r="A952" s="41"/>
      <c r="B952" s="33"/>
      <c r="C952" s="32"/>
      <c r="D952" s="32"/>
      <c r="E952" s="37"/>
      <c r="F952" s="42"/>
      <c r="G952" s="32"/>
      <c r="H952" s="36">
        <f>IF(D952="",0,IF(AND(B952&gt;=ThongTin!$C$9,B952&lt;=ThongTin!$C$10,COUNTIFS(ThongTin!$B$19:$B$48,C952,ThongTin!$A$19:$A$48,ThongTin!$C$8,ThongTin!$C$19:$C$48,"XUAT_SP")&gt;0),1,0))</f>
        <v>0</v>
      </c>
    </row>
    <row r="953" spans="1:8" x14ac:dyDescent="0.25">
      <c r="A953" s="41"/>
      <c r="B953" s="33"/>
      <c r="C953" s="32"/>
      <c r="D953" s="32"/>
      <c r="E953" s="37"/>
      <c r="F953" s="42"/>
      <c r="G953" s="32"/>
      <c r="H953" s="36">
        <f>IF(D953="",0,IF(AND(B953&gt;=ThongTin!$C$9,B953&lt;=ThongTin!$C$10,COUNTIFS(ThongTin!$B$19:$B$48,C953,ThongTin!$A$19:$A$48,ThongTin!$C$8,ThongTin!$C$19:$C$48,"XUAT_SP")&gt;0),1,0))</f>
        <v>0</v>
      </c>
    </row>
    <row r="954" spans="1:8" x14ac:dyDescent="0.25">
      <c r="A954" s="41"/>
      <c r="B954" s="33"/>
      <c r="C954" s="32"/>
      <c r="D954" s="32"/>
      <c r="E954" s="37"/>
      <c r="F954" s="42"/>
      <c r="G954" s="32"/>
      <c r="H954" s="36">
        <f>IF(D954="",0,IF(AND(B954&gt;=ThongTin!$C$9,B954&lt;=ThongTin!$C$10,COUNTIFS(ThongTin!$B$19:$B$48,C954,ThongTin!$A$19:$A$48,ThongTin!$C$8,ThongTin!$C$19:$C$48,"XUAT_SP")&gt;0),1,0))</f>
        <v>0</v>
      </c>
    </row>
    <row r="955" spans="1:8" x14ac:dyDescent="0.25">
      <c r="A955" s="41"/>
      <c r="B955" s="33"/>
      <c r="C955" s="32"/>
      <c r="D955" s="32"/>
      <c r="E955" s="37"/>
      <c r="F955" s="42"/>
      <c r="G955" s="32"/>
      <c r="H955" s="36">
        <f>IF(D955="",0,IF(AND(B955&gt;=ThongTin!$C$9,B955&lt;=ThongTin!$C$10,COUNTIFS(ThongTin!$B$19:$B$48,C955,ThongTin!$A$19:$A$48,ThongTin!$C$8,ThongTin!$C$19:$C$48,"XUAT_SP")&gt;0),1,0))</f>
        <v>0</v>
      </c>
    </row>
    <row r="956" spans="1:8" x14ac:dyDescent="0.25">
      <c r="A956" s="41"/>
      <c r="B956" s="33"/>
      <c r="C956" s="32"/>
      <c r="D956" s="32"/>
      <c r="E956" s="37"/>
      <c r="F956" s="42"/>
      <c r="G956" s="32"/>
      <c r="H956" s="36">
        <f>IF(D956="",0,IF(AND(B956&gt;=ThongTin!$C$9,B956&lt;=ThongTin!$C$10,COUNTIFS(ThongTin!$B$19:$B$48,C956,ThongTin!$A$19:$A$48,ThongTin!$C$8,ThongTin!$C$19:$C$48,"XUAT_SP")&gt;0),1,0))</f>
        <v>0</v>
      </c>
    </row>
    <row r="957" spans="1:8" x14ac:dyDescent="0.25">
      <c r="A957" s="41"/>
      <c r="B957" s="33"/>
      <c r="C957" s="32"/>
      <c r="D957" s="32"/>
      <c r="E957" s="37"/>
      <c r="F957" s="42"/>
      <c r="G957" s="32"/>
      <c r="H957" s="36">
        <f>IF(D957="",0,IF(AND(B957&gt;=ThongTin!$C$9,B957&lt;=ThongTin!$C$10,COUNTIFS(ThongTin!$B$19:$B$48,C957,ThongTin!$A$19:$A$48,ThongTin!$C$8,ThongTin!$C$19:$C$48,"XUAT_SP")&gt;0),1,0))</f>
        <v>0</v>
      </c>
    </row>
    <row r="958" spans="1:8" x14ac:dyDescent="0.25">
      <c r="A958" s="41"/>
      <c r="B958" s="33"/>
      <c r="C958" s="32"/>
      <c r="D958" s="32"/>
      <c r="E958" s="37"/>
      <c r="F958" s="42"/>
      <c r="G958" s="32"/>
      <c r="H958" s="36">
        <f>IF(D958="",0,IF(AND(B958&gt;=ThongTin!$C$9,B958&lt;=ThongTin!$C$10,COUNTIFS(ThongTin!$B$19:$B$48,C958,ThongTin!$A$19:$A$48,ThongTin!$C$8,ThongTin!$C$19:$C$48,"XUAT_SP")&gt;0),1,0))</f>
        <v>0</v>
      </c>
    </row>
    <row r="959" spans="1:8" x14ac:dyDescent="0.25">
      <c r="A959" s="41"/>
      <c r="B959" s="33"/>
      <c r="C959" s="32"/>
      <c r="D959" s="32"/>
      <c r="E959" s="37"/>
      <c r="F959" s="42"/>
      <c r="G959" s="32"/>
      <c r="H959" s="36">
        <f>IF(D959="",0,IF(AND(B959&gt;=ThongTin!$C$9,B959&lt;=ThongTin!$C$10,COUNTIFS(ThongTin!$B$19:$B$48,C959,ThongTin!$A$19:$A$48,ThongTin!$C$8,ThongTin!$C$19:$C$48,"XUAT_SP")&gt;0),1,0))</f>
        <v>0</v>
      </c>
    </row>
    <row r="960" spans="1:8" x14ac:dyDescent="0.25">
      <c r="A960" s="41"/>
      <c r="B960" s="33"/>
      <c r="C960" s="32"/>
      <c r="D960" s="32"/>
      <c r="E960" s="37"/>
      <c r="F960" s="42"/>
      <c r="G960" s="32"/>
      <c r="H960" s="36">
        <f>IF(D960="",0,IF(AND(B960&gt;=ThongTin!$C$9,B960&lt;=ThongTin!$C$10,COUNTIFS(ThongTin!$B$19:$B$48,C960,ThongTin!$A$19:$A$48,ThongTin!$C$8,ThongTin!$C$19:$C$48,"XUAT_SP")&gt;0),1,0))</f>
        <v>0</v>
      </c>
    </row>
    <row r="961" spans="1:8" x14ac:dyDescent="0.25">
      <c r="A961" s="41"/>
      <c r="B961" s="33"/>
      <c r="C961" s="32"/>
      <c r="D961" s="32"/>
      <c r="E961" s="37"/>
      <c r="F961" s="42"/>
      <c r="G961" s="32"/>
      <c r="H961" s="36">
        <f>IF(D961="",0,IF(AND(B961&gt;=ThongTin!$C$9,B961&lt;=ThongTin!$C$10,COUNTIFS(ThongTin!$B$19:$B$48,C961,ThongTin!$A$19:$A$48,ThongTin!$C$8,ThongTin!$C$19:$C$48,"XUAT_SP")&gt;0),1,0))</f>
        <v>0</v>
      </c>
    </row>
    <row r="962" spans="1:8" x14ac:dyDescent="0.25">
      <c r="A962" s="41"/>
      <c r="B962" s="33"/>
      <c r="C962" s="32"/>
      <c r="D962" s="32"/>
      <c r="E962" s="37"/>
      <c r="F962" s="42"/>
      <c r="G962" s="32"/>
      <c r="H962" s="36">
        <f>IF(D962="",0,IF(AND(B962&gt;=ThongTin!$C$9,B962&lt;=ThongTin!$C$10,COUNTIFS(ThongTin!$B$19:$B$48,C962,ThongTin!$A$19:$A$48,ThongTin!$C$8,ThongTin!$C$19:$C$48,"XUAT_SP")&gt;0),1,0))</f>
        <v>0</v>
      </c>
    </row>
    <row r="963" spans="1:8" x14ac:dyDescent="0.25">
      <c r="A963" s="41"/>
      <c r="B963" s="33"/>
      <c r="C963" s="32"/>
      <c r="D963" s="32"/>
      <c r="E963" s="37"/>
      <c r="F963" s="42"/>
      <c r="G963" s="32"/>
      <c r="H963" s="36">
        <f>IF(D963="",0,IF(AND(B963&gt;=ThongTin!$C$9,B963&lt;=ThongTin!$C$10,COUNTIFS(ThongTin!$B$19:$B$48,C963,ThongTin!$A$19:$A$48,ThongTin!$C$8,ThongTin!$C$19:$C$48,"XUAT_SP")&gt;0),1,0))</f>
        <v>0</v>
      </c>
    </row>
    <row r="964" spans="1:8" x14ac:dyDescent="0.25">
      <c r="A964" s="41"/>
      <c r="B964" s="33"/>
      <c r="C964" s="32"/>
      <c r="D964" s="32"/>
      <c r="E964" s="37"/>
      <c r="F964" s="42"/>
      <c r="G964" s="32"/>
      <c r="H964" s="36">
        <f>IF(D964="",0,IF(AND(B964&gt;=ThongTin!$C$9,B964&lt;=ThongTin!$C$10,COUNTIFS(ThongTin!$B$19:$B$48,C964,ThongTin!$A$19:$A$48,ThongTin!$C$8,ThongTin!$C$19:$C$48,"XUAT_SP")&gt;0),1,0))</f>
        <v>0</v>
      </c>
    </row>
    <row r="965" spans="1:8" x14ac:dyDescent="0.25">
      <c r="A965" s="41"/>
      <c r="B965" s="33"/>
      <c r="C965" s="32"/>
      <c r="D965" s="32"/>
      <c r="E965" s="37"/>
      <c r="F965" s="42"/>
      <c r="G965" s="32"/>
      <c r="H965" s="36">
        <f>IF(D965="",0,IF(AND(B965&gt;=ThongTin!$C$9,B965&lt;=ThongTin!$C$10,COUNTIFS(ThongTin!$B$19:$B$48,C965,ThongTin!$A$19:$A$48,ThongTin!$C$8,ThongTin!$C$19:$C$48,"XUAT_SP")&gt;0),1,0))</f>
        <v>0</v>
      </c>
    </row>
    <row r="966" spans="1:8" x14ac:dyDescent="0.25">
      <c r="A966" s="41"/>
      <c r="B966" s="33"/>
      <c r="C966" s="32"/>
      <c r="D966" s="32"/>
      <c r="E966" s="37"/>
      <c r="F966" s="42"/>
      <c r="G966" s="32"/>
      <c r="H966" s="36">
        <f>IF(D966="",0,IF(AND(B966&gt;=ThongTin!$C$9,B966&lt;=ThongTin!$C$10,COUNTIFS(ThongTin!$B$19:$B$48,C966,ThongTin!$A$19:$A$48,ThongTin!$C$8,ThongTin!$C$19:$C$48,"XUAT_SP")&gt;0),1,0))</f>
        <v>0</v>
      </c>
    </row>
    <row r="967" spans="1:8" x14ac:dyDescent="0.25">
      <c r="A967" s="41"/>
      <c r="B967" s="33"/>
      <c r="C967" s="32"/>
      <c r="D967" s="32"/>
      <c r="E967" s="37"/>
      <c r="F967" s="42"/>
      <c r="G967" s="32"/>
      <c r="H967" s="36">
        <f>IF(D967="",0,IF(AND(B967&gt;=ThongTin!$C$9,B967&lt;=ThongTin!$C$10,COUNTIFS(ThongTin!$B$19:$B$48,C967,ThongTin!$A$19:$A$48,ThongTin!$C$8,ThongTin!$C$19:$C$48,"XUAT_SP")&gt;0),1,0))</f>
        <v>0</v>
      </c>
    </row>
    <row r="968" spans="1:8" x14ac:dyDescent="0.25">
      <c r="A968" s="41"/>
      <c r="B968" s="33"/>
      <c r="C968" s="32"/>
      <c r="D968" s="32"/>
      <c r="E968" s="37"/>
      <c r="F968" s="42"/>
      <c r="G968" s="32"/>
      <c r="H968" s="36">
        <f>IF(D968="",0,IF(AND(B968&gt;=ThongTin!$C$9,B968&lt;=ThongTin!$C$10,COUNTIFS(ThongTin!$B$19:$B$48,C968,ThongTin!$A$19:$A$48,ThongTin!$C$8,ThongTin!$C$19:$C$48,"XUAT_SP")&gt;0),1,0))</f>
        <v>0</v>
      </c>
    </row>
    <row r="969" spans="1:8" x14ac:dyDescent="0.25">
      <c r="A969" s="41"/>
      <c r="B969" s="33"/>
      <c r="C969" s="32"/>
      <c r="D969" s="32"/>
      <c r="E969" s="37"/>
      <c r="F969" s="42"/>
      <c r="G969" s="32"/>
      <c r="H969" s="36">
        <f>IF(D969="",0,IF(AND(B969&gt;=ThongTin!$C$9,B969&lt;=ThongTin!$C$10,COUNTIFS(ThongTin!$B$19:$B$48,C969,ThongTin!$A$19:$A$48,ThongTin!$C$8,ThongTin!$C$19:$C$48,"XUAT_SP")&gt;0),1,0))</f>
        <v>0</v>
      </c>
    </row>
    <row r="970" spans="1:8" x14ac:dyDescent="0.25">
      <c r="A970" s="41"/>
      <c r="B970" s="33"/>
      <c r="C970" s="32"/>
      <c r="D970" s="32"/>
      <c r="E970" s="37"/>
      <c r="F970" s="42"/>
      <c r="G970" s="32"/>
      <c r="H970" s="36">
        <f>IF(D970="",0,IF(AND(B970&gt;=ThongTin!$C$9,B970&lt;=ThongTin!$C$10,COUNTIFS(ThongTin!$B$19:$B$48,C970,ThongTin!$A$19:$A$48,ThongTin!$C$8,ThongTin!$C$19:$C$48,"XUAT_SP")&gt;0),1,0))</f>
        <v>0</v>
      </c>
    </row>
    <row r="971" spans="1:8" x14ac:dyDescent="0.25">
      <c r="A971" s="41"/>
      <c r="B971" s="33"/>
      <c r="C971" s="32"/>
      <c r="D971" s="32"/>
      <c r="E971" s="37"/>
      <c r="F971" s="42"/>
      <c r="G971" s="32"/>
      <c r="H971" s="36">
        <f>IF(D971="",0,IF(AND(B971&gt;=ThongTin!$C$9,B971&lt;=ThongTin!$C$10,COUNTIFS(ThongTin!$B$19:$B$48,C971,ThongTin!$A$19:$A$48,ThongTin!$C$8,ThongTin!$C$19:$C$48,"XUAT_SP")&gt;0),1,0))</f>
        <v>0</v>
      </c>
    </row>
    <row r="972" spans="1:8" x14ac:dyDescent="0.25">
      <c r="A972" s="41"/>
      <c r="B972" s="33"/>
      <c r="C972" s="32"/>
      <c r="D972" s="32"/>
      <c r="E972" s="37"/>
      <c r="F972" s="42"/>
      <c r="G972" s="32"/>
      <c r="H972" s="36">
        <f>IF(D972="",0,IF(AND(B972&gt;=ThongTin!$C$9,B972&lt;=ThongTin!$C$10,COUNTIFS(ThongTin!$B$19:$B$48,C972,ThongTin!$A$19:$A$48,ThongTin!$C$8,ThongTin!$C$19:$C$48,"XUAT_SP")&gt;0),1,0))</f>
        <v>0</v>
      </c>
    </row>
    <row r="973" spans="1:8" x14ac:dyDescent="0.25">
      <c r="A973" s="41"/>
      <c r="B973" s="33"/>
      <c r="C973" s="32"/>
      <c r="D973" s="32"/>
      <c r="E973" s="37"/>
      <c r="F973" s="42"/>
      <c r="G973" s="32"/>
      <c r="H973" s="36">
        <f>IF(D973="",0,IF(AND(B973&gt;=ThongTin!$C$9,B973&lt;=ThongTin!$C$10,COUNTIFS(ThongTin!$B$19:$B$48,C973,ThongTin!$A$19:$A$48,ThongTin!$C$8,ThongTin!$C$19:$C$48,"XUAT_SP")&gt;0),1,0))</f>
        <v>0</v>
      </c>
    </row>
    <row r="974" spans="1:8" x14ac:dyDescent="0.25">
      <c r="A974" s="41"/>
      <c r="B974" s="33"/>
      <c r="C974" s="32"/>
      <c r="D974" s="32"/>
      <c r="E974" s="37"/>
      <c r="F974" s="42"/>
      <c r="G974" s="32"/>
      <c r="H974" s="36">
        <f>IF(D974="",0,IF(AND(B974&gt;=ThongTin!$C$9,B974&lt;=ThongTin!$C$10,COUNTIFS(ThongTin!$B$19:$B$48,C974,ThongTin!$A$19:$A$48,ThongTin!$C$8,ThongTin!$C$19:$C$48,"XUAT_SP")&gt;0),1,0))</f>
        <v>0</v>
      </c>
    </row>
    <row r="975" spans="1:8" x14ac:dyDescent="0.25">
      <c r="A975" s="41"/>
      <c r="B975" s="33"/>
      <c r="C975" s="32"/>
      <c r="D975" s="32"/>
      <c r="E975" s="37"/>
      <c r="F975" s="42"/>
      <c r="G975" s="32"/>
      <c r="H975" s="36">
        <f>IF(D975="",0,IF(AND(B975&gt;=ThongTin!$C$9,B975&lt;=ThongTin!$C$10,COUNTIFS(ThongTin!$B$19:$B$48,C975,ThongTin!$A$19:$A$48,ThongTin!$C$8,ThongTin!$C$19:$C$48,"XUAT_SP")&gt;0),1,0))</f>
        <v>0</v>
      </c>
    </row>
    <row r="976" spans="1:8" x14ac:dyDescent="0.25">
      <c r="A976" s="41"/>
      <c r="B976" s="33"/>
      <c r="C976" s="32"/>
      <c r="D976" s="32"/>
      <c r="E976" s="37"/>
      <c r="F976" s="42"/>
      <c r="G976" s="32"/>
      <c r="H976" s="36">
        <f>IF(D976="",0,IF(AND(B976&gt;=ThongTin!$C$9,B976&lt;=ThongTin!$C$10,COUNTIFS(ThongTin!$B$19:$B$48,C976,ThongTin!$A$19:$A$48,ThongTin!$C$8,ThongTin!$C$19:$C$48,"XUAT_SP")&gt;0),1,0))</f>
        <v>0</v>
      </c>
    </row>
    <row r="977" spans="1:8" x14ac:dyDescent="0.25">
      <c r="A977" s="41"/>
      <c r="B977" s="33"/>
      <c r="C977" s="32"/>
      <c r="D977" s="32"/>
      <c r="E977" s="37"/>
      <c r="F977" s="42"/>
      <c r="G977" s="32"/>
      <c r="H977" s="36">
        <f>IF(D977="",0,IF(AND(B977&gt;=ThongTin!$C$9,B977&lt;=ThongTin!$C$10,COUNTIFS(ThongTin!$B$19:$B$48,C977,ThongTin!$A$19:$A$48,ThongTin!$C$8,ThongTin!$C$19:$C$48,"XUAT_SP")&gt;0),1,0))</f>
        <v>0</v>
      </c>
    </row>
    <row r="978" spans="1:8" x14ac:dyDescent="0.25">
      <c r="A978" s="41"/>
      <c r="B978" s="33"/>
      <c r="C978" s="32"/>
      <c r="D978" s="32"/>
      <c r="E978" s="37"/>
      <c r="F978" s="42"/>
      <c r="G978" s="32"/>
      <c r="H978" s="36">
        <f>IF(D978="",0,IF(AND(B978&gt;=ThongTin!$C$9,B978&lt;=ThongTin!$C$10,COUNTIFS(ThongTin!$B$19:$B$48,C978,ThongTin!$A$19:$A$48,ThongTin!$C$8,ThongTin!$C$19:$C$48,"XUAT_SP")&gt;0),1,0))</f>
        <v>0</v>
      </c>
    </row>
    <row r="979" spans="1:8" x14ac:dyDescent="0.25">
      <c r="A979" s="41"/>
      <c r="B979" s="33"/>
      <c r="C979" s="32"/>
      <c r="D979" s="32"/>
      <c r="E979" s="37"/>
      <c r="F979" s="42"/>
      <c r="G979" s="32"/>
      <c r="H979" s="36">
        <f>IF(D979="",0,IF(AND(B979&gt;=ThongTin!$C$9,B979&lt;=ThongTin!$C$10,COUNTIFS(ThongTin!$B$19:$B$48,C979,ThongTin!$A$19:$A$48,ThongTin!$C$8,ThongTin!$C$19:$C$48,"XUAT_SP")&gt;0),1,0))</f>
        <v>0</v>
      </c>
    </row>
    <row r="980" spans="1:8" x14ac:dyDescent="0.25">
      <c r="A980" s="41"/>
      <c r="B980" s="33"/>
      <c r="C980" s="32"/>
      <c r="D980" s="32"/>
      <c r="E980" s="37"/>
      <c r="F980" s="42"/>
      <c r="G980" s="32"/>
      <c r="H980" s="36">
        <f>IF(D980="",0,IF(AND(B980&gt;=ThongTin!$C$9,B980&lt;=ThongTin!$C$10,COUNTIFS(ThongTin!$B$19:$B$48,C980,ThongTin!$A$19:$A$48,ThongTin!$C$8,ThongTin!$C$19:$C$48,"XUAT_SP")&gt;0),1,0))</f>
        <v>0</v>
      </c>
    </row>
    <row r="981" spans="1:8" x14ac:dyDescent="0.25">
      <c r="A981" s="41"/>
      <c r="B981" s="33"/>
      <c r="C981" s="32"/>
      <c r="D981" s="32"/>
      <c r="E981" s="37"/>
      <c r="F981" s="42"/>
      <c r="G981" s="32"/>
      <c r="H981" s="36">
        <f>IF(D981="",0,IF(AND(B981&gt;=ThongTin!$C$9,B981&lt;=ThongTin!$C$10,COUNTIFS(ThongTin!$B$19:$B$48,C981,ThongTin!$A$19:$A$48,ThongTin!$C$8,ThongTin!$C$19:$C$48,"XUAT_SP")&gt;0),1,0))</f>
        <v>0</v>
      </c>
    </row>
    <row r="982" spans="1:8" x14ac:dyDescent="0.25">
      <c r="A982" s="41"/>
      <c r="B982" s="33"/>
      <c r="C982" s="32"/>
      <c r="D982" s="32"/>
      <c r="E982" s="37"/>
      <c r="F982" s="42"/>
      <c r="G982" s="32"/>
      <c r="H982" s="36">
        <f>IF(D982="",0,IF(AND(B982&gt;=ThongTin!$C$9,B982&lt;=ThongTin!$C$10,COUNTIFS(ThongTin!$B$19:$B$48,C982,ThongTin!$A$19:$A$48,ThongTin!$C$8,ThongTin!$C$19:$C$48,"XUAT_SP")&gt;0),1,0))</f>
        <v>0</v>
      </c>
    </row>
    <row r="983" spans="1:8" x14ac:dyDescent="0.25">
      <c r="A983" s="41"/>
      <c r="B983" s="33"/>
      <c r="C983" s="32"/>
      <c r="D983" s="32"/>
      <c r="E983" s="37"/>
      <c r="F983" s="42"/>
      <c r="G983" s="32"/>
      <c r="H983" s="36">
        <f>IF(D983="",0,IF(AND(B983&gt;=ThongTin!$C$9,B983&lt;=ThongTin!$C$10,COUNTIFS(ThongTin!$B$19:$B$48,C983,ThongTin!$A$19:$A$48,ThongTin!$C$8,ThongTin!$C$19:$C$48,"XUAT_SP")&gt;0),1,0))</f>
        <v>0</v>
      </c>
    </row>
    <row r="984" spans="1:8" x14ac:dyDescent="0.25">
      <c r="A984" s="41"/>
      <c r="B984" s="33"/>
      <c r="C984" s="32"/>
      <c r="D984" s="32"/>
      <c r="E984" s="37"/>
      <c r="F984" s="42"/>
      <c r="G984" s="32"/>
      <c r="H984" s="36">
        <f>IF(D984="",0,IF(AND(B984&gt;=ThongTin!$C$9,B984&lt;=ThongTin!$C$10,COUNTIFS(ThongTin!$B$19:$B$48,C984,ThongTin!$A$19:$A$48,ThongTin!$C$8,ThongTin!$C$19:$C$48,"XUAT_SP")&gt;0),1,0))</f>
        <v>0</v>
      </c>
    </row>
    <row r="985" spans="1:8" x14ac:dyDescent="0.25">
      <c r="A985" s="41"/>
      <c r="B985" s="33"/>
      <c r="C985" s="32"/>
      <c r="D985" s="32"/>
      <c r="E985" s="37"/>
      <c r="F985" s="42"/>
      <c r="G985" s="32"/>
      <c r="H985" s="36">
        <f>IF(D985="",0,IF(AND(B985&gt;=ThongTin!$C$9,B985&lt;=ThongTin!$C$10,COUNTIFS(ThongTin!$B$19:$B$48,C985,ThongTin!$A$19:$A$48,ThongTin!$C$8,ThongTin!$C$19:$C$48,"XUAT_SP")&gt;0),1,0))</f>
        <v>0</v>
      </c>
    </row>
    <row r="986" spans="1:8" x14ac:dyDescent="0.25">
      <c r="A986" s="41"/>
      <c r="B986" s="33"/>
      <c r="C986" s="32"/>
      <c r="D986" s="32"/>
      <c r="E986" s="37"/>
      <c r="F986" s="42"/>
      <c r="G986" s="32"/>
      <c r="H986" s="36">
        <f>IF(D986="",0,IF(AND(B986&gt;=ThongTin!$C$9,B986&lt;=ThongTin!$C$10,COUNTIFS(ThongTin!$B$19:$B$48,C986,ThongTin!$A$19:$A$48,ThongTin!$C$8,ThongTin!$C$19:$C$48,"XUAT_SP")&gt;0),1,0))</f>
        <v>0</v>
      </c>
    </row>
    <row r="987" spans="1:8" x14ac:dyDescent="0.25">
      <c r="A987" s="41"/>
      <c r="B987" s="33"/>
      <c r="C987" s="32"/>
      <c r="D987" s="32"/>
      <c r="E987" s="37"/>
      <c r="F987" s="42"/>
      <c r="G987" s="32"/>
      <c r="H987" s="36">
        <f>IF(D987="",0,IF(AND(B987&gt;=ThongTin!$C$9,B987&lt;=ThongTin!$C$10,COUNTIFS(ThongTin!$B$19:$B$48,C987,ThongTin!$A$19:$A$48,ThongTin!$C$8,ThongTin!$C$19:$C$48,"XUAT_SP")&gt;0),1,0))</f>
        <v>0</v>
      </c>
    </row>
    <row r="988" spans="1:8" x14ac:dyDescent="0.25">
      <c r="A988" s="41"/>
      <c r="B988" s="33"/>
      <c r="C988" s="32"/>
      <c r="D988" s="32"/>
      <c r="E988" s="37"/>
      <c r="F988" s="42"/>
      <c r="G988" s="32"/>
      <c r="H988" s="36">
        <f>IF(D988="",0,IF(AND(B988&gt;=ThongTin!$C$9,B988&lt;=ThongTin!$C$10,COUNTIFS(ThongTin!$B$19:$B$48,C988,ThongTin!$A$19:$A$48,ThongTin!$C$8,ThongTin!$C$19:$C$48,"XUAT_SP")&gt;0),1,0))</f>
        <v>0</v>
      </c>
    </row>
    <row r="989" spans="1:8" x14ac:dyDescent="0.25">
      <c r="A989" s="41"/>
      <c r="B989" s="33"/>
      <c r="C989" s="32"/>
      <c r="D989" s="32"/>
      <c r="E989" s="37"/>
      <c r="F989" s="42"/>
      <c r="G989" s="32"/>
      <c r="H989" s="36">
        <f>IF(D989="",0,IF(AND(B989&gt;=ThongTin!$C$9,B989&lt;=ThongTin!$C$10,COUNTIFS(ThongTin!$B$19:$B$48,C989,ThongTin!$A$19:$A$48,ThongTin!$C$8,ThongTin!$C$19:$C$48,"XUAT_SP")&gt;0),1,0))</f>
        <v>0</v>
      </c>
    </row>
    <row r="990" spans="1:8" x14ac:dyDescent="0.25">
      <c r="A990" s="41"/>
      <c r="B990" s="33"/>
      <c r="C990" s="32"/>
      <c r="D990" s="32"/>
      <c r="E990" s="37"/>
      <c r="F990" s="42"/>
      <c r="G990" s="32"/>
      <c r="H990" s="36">
        <f>IF(D990="",0,IF(AND(B990&gt;=ThongTin!$C$9,B990&lt;=ThongTin!$C$10,COUNTIFS(ThongTin!$B$19:$B$48,C990,ThongTin!$A$19:$A$48,ThongTin!$C$8,ThongTin!$C$19:$C$48,"XUAT_SP")&gt;0),1,0))</f>
        <v>0</v>
      </c>
    </row>
    <row r="991" spans="1:8" x14ac:dyDescent="0.25">
      <c r="A991" s="41"/>
      <c r="B991" s="33"/>
      <c r="C991" s="32"/>
      <c r="D991" s="32"/>
      <c r="E991" s="37"/>
      <c r="F991" s="42"/>
      <c r="G991" s="32"/>
      <c r="H991" s="36">
        <f>IF(D991="",0,IF(AND(B991&gt;=ThongTin!$C$9,B991&lt;=ThongTin!$C$10,COUNTIFS(ThongTin!$B$19:$B$48,C991,ThongTin!$A$19:$A$48,ThongTin!$C$8,ThongTin!$C$19:$C$48,"XUAT_SP")&gt;0),1,0))</f>
        <v>0</v>
      </c>
    </row>
    <row r="992" spans="1:8" x14ac:dyDescent="0.25">
      <c r="A992" s="41"/>
      <c r="B992" s="33"/>
      <c r="C992" s="32"/>
      <c r="D992" s="32"/>
      <c r="E992" s="37"/>
      <c r="F992" s="42"/>
      <c r="G992" s="32"/>
      <c r="H992" s="36">
        <f>IF(D992="",0,IF(AND(B992&gt;=ThongTin!$C$9,B992&lt;=ThongTin!$C$10,COUNTIFS(ThongTin!$B$19:$B$48,C992,ThongTin!$A$19:$A$48,ThongTin!$C$8,ThongTin!$C$19:$C$48,"XUAT_SP")&gt;0),1,0))</f>
        <v>0</v>
      </c>
    </row>
    <row r="993" spans="1:8" x14ac:dyDescent="0.25">
      <c r="A993" s="41"/>
      <c r="B993" s="33"/>
      <c r="C993" s="32"/>
      <c r="D993" s="32"/>
      <c r="E993" s="37"/>
      <c r="F993" s="42"/>
      <c r="G993" s="32"/>
      <c r="H993" s="36">
        <f>IF(D993="",0,IF(AND(B993&gt;=ThongTin!$C$9,B993&lt;=ThongTin!$C$10,COUNTIFS(ThongTin!$B$19:$B$48,C993,ThongTin!$A$19:$A$48,ThongTin!$C$8,ThongTin!$C$19:$C$48,"XUAT_SP")&gt;0),1,0))</f>
        <v>0</v>
      </c>
    </row>
    <row r="994" spans="1:8" x14ac:dyDescent="0.25">
      <c r="A994" s="41"/>
      <c r="B994" s="33"/>
      <c r="C994" s="32"/>
      <c r="D994" s="32"/>
      <c r="E994" s="37"/>
      <c r="F994" s="42"/>
      <c r="G994" s="32"/>
      <c r="H994" s="36">
        <f>IF(D994="",0,IF(AND(B994&gt;=ThongTin!$C$9,B994&lt;=ThongTin!$C$10,COUNTIFS(ThongTin!$B$19:$B$48,C994,ThongTin!$A$19:$A$48,ThongTin!$C$8,ThongTin!$C$19:$C$48,"XUAT_SP")&gt;0),1,0))</f>
        <v>0</v>
      </c>
    </row>
    <row r="995" spans="1:8" x14ac:dyDescent="0.25">
      <c r="A995" s="41"/>
      <c r="B995" s="33"/>
      <c r="C995" s="32"/>
      <c r="D995" s="32"/>
      <c r="E995" s="37"/>
      <c r="F995" s="42"/>
      <c r="G995" s="32"/>
      <c r="H995" s="36">
        <f>IF(D995="",0,IF(AND(B995&gt;=ThongTin!$C$9,B995&lt;=ThongTin!$C$10,COUNTIFS(ThongTin!$B$19:$B$48,C995,ThongTin!$A$19:$A$48,ThongTin!$C$8,ThongTin!$C$19:$C$48,"XUAT_SP")&gt;0),1,0))</f>
        <v>0</v>
      </c>
    </row>
    <row r="996" spans="1:8" x14ac:dyDescent="0.25">
      <c r="A996" s="41"/>
      <c r="B996" s="33"/>
      <c r="C996" s="32"/>
      <c r="D996" s="32"/>
      <c r="E996" s="37"/>
      <c r="F996" s="42"/>
      <c r="G996" s="32"/>
      <c r="H996" s="36">
        <f>IF(D996="",0,IF(AND(B996&gt;=ThongTin!$C$9,B996&lt;=ThongTin!$C$10,COUNTIFS(ThongTin!$B$19:$B$48,C996,ThongTin!$A$19:$A$48,ThongTin!$C$8,ThongTin!$C$19:$C$48,"XUAT_SP")&gt;0),1,0))</f>
        <v>0</v>
      </c>
    </row>
    <row r="997" spans="1:8" x14ac:dyDescent="0.25">
      <c r="A997" s="41"/>
      <c r="B997" s="33"/>
      <c r="C997" s="32"/>
      <c r="D997" s="32"/>
      <c r="E997" s="37"/>
      <c r="F997" s="42"/>
      <c r="G997" s="32"/>
      <c r="H997" s="36">
        <f>IF(D997="",0,IF(AND(B997&gt;=ThongTin!$C$9,B997&lt;=ThongTin!$C$10,COUNTIFS(ThongTin!$B$19:$B$48,C997,ThongTin!$A$19:$A$48,ThongTin!$C$8,ThongTin!$C$19:$C$48,"XUAT_SP")&gt;0),1,0))</f>
        <v>0</v>
      </c>
    </row>
    <row r="998" spans="1:8" x14ac:dyDescent="0.25">
      <c r="A998" s="41"/>
      <c r="B998" s="33"/>
      <c r="C998" s="32"/>
      <c r="D998" s="32"/>
      <c r="E998" s="37"/>
      <c r="F998" s="42"/>
      <c r="G998" s="32"/>
      <c r="H998" s="36">
        <f>IF(D998="",0,IF(AND(B998&gt;=ThongTin!$C$9,B998&lt;=ThongTin!$C$10,COUNTIFS(ThongTin!$B$19:$B$48,C998,ThongTin!$A$19:$A$48,ThongTin!$C$8,ThongTin!$C$19:$C$48,"XUAT_SP")&gt;0),1,0))</f>
        <v>0</v>
      </c>
    </row>
    <row r="999" spans="1:8" x14ac:dyDescent="0.25">
      <c r="A999" s="41"/>
      <c r="B999" s="33"/>
      <c r="C999" s="32"/>
      <c r="D999" s="32"/>
      <c r="E999" s="37"/>
      <c r="F999" s="42"/>
      <c r="G999" s="32"/>
      <c r="H999" s="36">
        <f>IF(D999="",0,IF(AND(B999&gt;=ThongTin!$C$9,B999&lt;=ThongTin!$C$10,COUNTIFS(ThongTin!$B$19:$B$48,C999,ThongTin!$A$19:$A$48,ThongTin!$C$8,ThongTin!$C$19:$C$48,"XUAT_SP")&gt;0),1,0))</f>
        <v>0</v>
      </c>
    </row>
    <row r="1000" spans="1:8" x14ac:dyDescent="0.25">
      <c r="A1000" s="41"/>
      <c r="B1000" s="33"/>
      <c r="C1000" s="32"/>
      <c r="D1000" s="32"/>
      <c r="E1000" s="37"/>
      <c r="F1000" s="42"/>
      <c r="G1000" s="32"/>
      <c r="H1000" s="36">
        <f>IF(D1000="",0,IF(AND(B1000&gt;=ThongTin!$C$9,B1000&lt;=ThongTin!$C$10,COUNTIFS(ThongTin!$B$19:$B$48,C1000,ThongTin!$A$19:$A$48,ThongTin!$C$8,ThongTin!$C$19:$C$48,"XUAT_SP")&gt;0),1,0))</f>
        <v>0</v>
      </c>
    </row>
    <row r="1001" spans="1:8" x14ac:dyDescent="0.25">
      <c r="A1001" s="41"/>
      <c r="B1001" s="33"/>
      <c r="C1001" s="32"/>
      <c r="D1001" s="32"/>
      <c r="E1001" s="37"/>
      <c r="F1001" s="42"/>
      <c r="G1001" s="32"/>
      <c r="H1001" s="36">
        <f>IF(D1001="",0,IF(AND(B1001&gt;=ThongTin!$C$9,B1001&lt;=ThongTin!$C$10,COUNTIFS(ThongTin!$B$19:$B$48,C1001,ThongTin!$A$19:$A$48,ThongTin!$C$8,ThongTin!$C$19:$C$48,"XUAT_SP")&gt;0),1,0))</f>
        <v>0</v>
      </c>
    </row>
    <row r="1002" spans="1:8" x14ac:dyDescent="0.25">
      <c r="A1002" s="41"/>
      <c r="B1002" s="33"/>
      <c r="C1002" s="32"/>
      <c r="D1002" s="32"/>
      <c r="E1002" s="37"/>
      <c r="F1002" s="42"/>
      <c r="G1002" s="32"/>
      <c r="H1002" s="36">
        <f>IF(D1002="",0,IF(AND(B1002&gt;=ThongTin!$C$9,B1002&lt;=ThongTin!$C$10,COUNTIFS(ThongTin!$B$19:$B$48,C1002,ThongTin!$A$19:$A$48,ThongTin!$C$8,ThongTin!$C$19:$C$48,"XUAT_SP")&gt;0),1,0))</f>
        <v>0</v>
      </c>
    </row>
    <row r="1003" spans="1:8" x14ac:dyDescent="0.25">
      <c r="A1003" s="41"/>
      <c r="B1003" s="33"/>
      <c r="C1003" s="32"/>
      <c r="D1003" s="32"/>
      <c r="E1003" s="37"/>
      <c r="F1003" s="42"/>
      <c r="G1003" s="32"/>
      <c r="H1003" s="36">
        <f>IF(D1003="",0,IF(AND(B1003&gt;=ThongTin!$C$9,B1003&lt;=ThongTin!$C$10,COUNTIFS(ThongTin!$B$19:$B$48,C1003,ThongTin!$A$19:$A$48,ThongTin!$C$8,ThongTin!$C$19:$C$48,"XUAT_SP")&gt;0),1,0))</f>
        <v>0</v>
      </c>
    </row>
    <row r="1004" spans="1:8" x14ac:dyDescent="0.25">
      <c r="A1004" s="41"/>
      <c r="B1004" s="33"/>
      <c r="C1004" s="32"/>
      <c r="D1004" s="32"/>
      <c r="E1004" s="37"/>
      <c r="F1004" s="42"/>
      <c r="G1004" s="32"/>
      <c r="H1004" s="36">
        <f>IF(D1004="",0,IF(AND(B1004&gt;=ThongTin!$C$9,B1004&lt;=ThongTin!$C$10,COUNTIFS(ThongTin!$B$19:$B$48,C1004,ThongTin!$A$19:$A$48,ThongTin!$C$8,ThongTin!$C$19:$C$48,"XUAT_SP")&gt;0),1,0))</f>
        <v>0</v>
      </c>
    </row>
  </sheetData>
  <sheetProtection password="D0B3" sheet="1" objects="1" scenarios="1" formatColumns="0" formatRows="0" autoFilter="0"/>
  <hyperlinks>
    <hyperlink ref="A3" r:id="rId1" xr:uid="{00000000-0004-0000-08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I304"/>
  <sheetViews>
    <sheetView showGridLines="0" workbookViewId="0">
      <pane xSplit="1" ySplit="4" topLeftCell="B5" activePane="bottomRight" state="frozen"/>
      <selection pane="topRight"/>
      <selection pane="bottomLeft"/>
      <selection pane="bottomRight"/>
    </sheetView>
  </sheetViews>
  <sheetFormatPr defaultRowHeight="14.4" x14ac:dyDescent="0.25"/>
  <cols>
    <col min="1" max="1" width="14" customWidth="1"/>
    <col min="2" max="3" width="16" customWidth="1"/>
    <col min="4" max="4" width="14" customWidth="1"/>
    <col min="5" max="5" width="22" customWidth="1"/>
    <col min="6" max="6" width="18" customWidth="1"/>
    <col min="7" max="7" width="16" customWidth="1"/>
    <col min="8" max="8" width="18" customWidth="1"/>
    <col min="9" max="9" width="50" customWidth="1"/>
  </cols>
  <sheetData>
    <row r="1" spans="1:9" ht="17.55" x14ac:dyDescent="0.3">
      <c r="A1" s="1" t="s">
        <v>263</v>
      </c>
    </row>
    <row r="2" spans="1:9" x14ac:dyDescent="0.25">
      <c r="A2" s="2" t="s">
        <v>264</v>
      </c>
    </row>
    <row r="3" spans="1:9" x14ac:dyDescent="0.25">
      <c r="A3" s="28" t="s">
        <v>4</v>
      </c>
    </row>
    <row r="4" spans="1:9" ht="48.05" customHeight="1" x14ac:dyDescent="0.25">
      <c r="A4" s="11" t="s">
        <v>177</v>
      </c>
      <c r="B4" s="11" t="s">
        <v>265</v>
      </c>
      <c r="C4" s="11" t="s">
        <v>266</v>
      </c>
      <c r="D4" s="11" t="s">
        <v>267</v>
      </c>
      <c r="E4" s="11" t="s">
        <v>268</v>
      </c>
      <c r="F4" s="11" t="s">
        <v>269</v>
      </c>
      <c r="G4" s="11" t="s">
        <v>270</v>
      </c>
      <c r="H4" s="11" t="s">
        <v>271</v>
      </c>
      <c r="I4" s="11" t="s">
        <v>272</v>
      </c>
    </row>
    <row r="5" spans="1:9" x14ac:dyDescent="0.25">
      <c r="A5" s="32" t="s">
        <v>184</v>
      </c>
      <c r="B5" s="37">
        <v>5000</v>
      </c>
      <c r="C5" s="37">
        <v>35000</v>
      </c>
      <c r="D5" s="37">
        <v>0</v>
      </c>
      <c r="E5" s="37">
        <v>0</v>
      </c>
      <c r="F5" s="37">
        <v>34400</v>
      </c>
      <c r="G5" s="37">
        <v>0</v>
      </c>
      <c r="H5" s="37">
        <v>5600</v>
      </c>
      <c r="I5" s="32"/>
    </row>
    <row r="6" spans="1:9" x14ac:dyDescent="0.25">
      <c r="A6" s="32" t="s">
        <v>190</v>
      </c>
      <c r="B6" s="37">
        <v>300000</v>
      </c>
      <c r="C6" s="37">
        <v>2200000</v>
      </c>
      <c r="D6" s="37">
        <v>0</v>
      </c>
      <c r="E6" s="37">
        <v>0</v>
      </c>
      <c r="F6" s="37">
        <v>2410000</v>
      </c>
      <c r="G6" s="37">
        <v>0</v>
      </c>
      <c r="H6" s="37">
        <v>90000</v>
      </c>
      <c r="I6" s="32"/>
    </row>
    <row r="7" spans="1:9" x14ac:dyDescent="0.25">
      <c r="A7" s="32" t="s">
        <v>193</v>
      </c>
      <c r="B7" s="37">
        <v>10000</v>
      </c>
      <c r="C7" s="37">
        <v>75000</v>
      </c>
      <c r="D7" s="37">
        <v>500</v>
      </c>
      <c r="E7" s="37">
        <v>0</v>
      </c>
      <c r="F7" s="37">
        <v>79000</v>
      </c>
      <c r="G7" s="37">
        <v>0</v>
      </c>
      <c r="H7" s="37">
        <v>5500</v>
      </c>
      <c r="I7" s="32" t="s">
        <v>273</v>
      </c>
    </row>
    <row r="8" spans="1:9" x14ac:dyDescent="0.25">
      <c r="A8" s="32" t="s">
        <v>197</v>
      </c>
      <c r="B8" s="37">
        <v>3000</v>
      </c>
      <c r="C8" s="37">
        <v>22000</v>
      </c>
      <c r="D8" s="37">
        <v>0</v>
      </c>
      <c r="E8" s="37">
        <v>100</v>
      </c>
      <c r="F8" s="37">
        <v>23230</v>
      </c>
      <c r="G8" s="37">
        <v>0</v>
      </c>
      <c r="H8" s="37">
        <v>1670</v>
      </c>
      <c r="I8" s="32" t="s">
        <v>274</v>
      </c>
    </row>
    <row r="9" spans="1:9" x14ac:dyDescent="0.25">
      <c r="A9" s="32" t="s">
        <v>200</v>
      </c>
      <c r="B9" s="37">
        <v>4000</v>
      </c>
      <c r="C9" s="37">
        <v>30000</v>
      </c>
      <c r="D9" s="37">
        <v>0</v>
      </c>
      <c r="E9" s="37">
        <v>0</v>
      </c>
      <c r="F9" s="37">
        <v>33350</v>
      </c>
      <c r="G9" s="37">
        <v>0</v>
      </c>
      <c r="H9" s="37">
        <v>650</v>
      </c>
      <c r="I9" s="32" t="s">
        <v>275</v>
      </c>
    </row>
    <row r="10" spans="1:9" x14ac:dyDescent="0.25">
      <c r="A10" s="32" t="s">
        <v>203</v>
      </c>
      <c r="B10" s="37">
        <v>200</v>
      </c>
      <c r="C10" s="37">
        <v>1000</v>
      </c>
      <c r="D10" s="37">
        <v>0</v>
      </c>
      <c r="E10" s="37">
        <v>0</v>
      </c>
      <c r="F10" s="37">
        <v>900</v>
      </c>
      <c r="G10" s="37">
        <v>0</v>
      </c>
      <c r="H10" s="37">
        <v>300</v>
      </c>
      <c r="I10" s="32" t="s">
        <v>276</v>
      </c>
    </row>
    <row r="11" spans="1:9" x14ac:dyDescent="0.25">
      <c r="A11" s="32"/>
      <c r="B11" s="37"/>
      <c r="C11" s="37"/>
      <c r="D11" s="37"/>
      <c r="E11" s="37"/>
      <c r="F11" s="37"/>
      <c r="G11" s="37"/>
      <c r="H11" s="37"/>
      <c r="I11" s="32"/>
    </row>
    <row r="12" spans="1:9" x14ac:dyDescent="0.25">
      <c r="A12" s="32"/>
      <c r="B12" s="37"/>
      <c r="C12" s="37"/>
      <c r="D12" s="37"/>
      <c r="E12" s="37"/>
      <c r="F12" s="37"/>
      <c r="G12" s="37"/>
      <c r="H12" s="37"/>
      <c r="I12" s="32"/>
    </row>
    <row r="13" spans="1:9" x14ac:dyDescent="0.25">
      <c r="A13" s="32"/>
      <c r="B13" s="37"/>
      <c r="C13" s="37"/>
      <c r="D13" s="37"/>
      <c r="E13" s="37"/>
      <c r="F13" s="37"/>
      <c r="G13" s="37"/>
      <c r="H13" s="37"/>
      <c r="I13" s="32"/>
    </row>
    <row r="14" spans="1:9" x14ac:dyDescent="0.25">
      <c r="A14" s="32"/>
      <c r="B14" s="37"/>
      <c r="C14" s="37"/>
      <c r="D14" s="37"/>
      <c r="E14" s="37"/>
      <c r="F14" s="37"/>
      <c r="G14" s="37"/>
      <c r="H14" s="37"/>
      <c r="I14" s="32"/>
    </row>
    <row r="15" spans="1:9" x14ac:dyDescent="0.25">
      <c r="A15" s="32"/>
      <c r="B15" s="37"/>
      <c r="C15" s="37"/>
      <c r="D15" s="37"/>
      <c r="E15" s="37"/>
      <c r="F15" s="37"/>
      <c r="G15" s="37"/>
      <c r="H15" s="37"/>
      <c r="I15" s="32"/>
    </row>
    <row r="16" spans="1:9" x14ac:dyDescent="0.25">
      <c r="A16" s="32"/>
      <c r="B16" s="37"/>
      <c r="C16" s="37"/>
      <c r="D16" s="37"/>
      <c r="E16" s="37"/>
      <c r="F16" s="37"/>
      <c r="G16" s="37"/>
      <c r="H16" s="37"/>
      <c r="I16" s="32"/>
    </row>
    <row r="17" spans="1:9" x14ac:dyDescent="0.25">
      <c r="A17" s="32"/>
      <c r="B17" s="37"/>
      <c r="C17" s="37"/>
      <c r="D17" s="37"/>
      <c r="E17" s="37"/>
      <c r="F17" s="37"/>
      <c r="G17" s="37"/>
      <c r="H17" s="37"/>
      <c r="I17" s="32"/>
    </row>
    <row r="18" spans="1:9" x14ac:dyDescent="0.25">
      <c r="A18" s="32"/>
      <c r="B18" s="37"/>
      <c r="C18" s="37"/>
      <c r="D18" s="37"/>
      <c r="E18" s="37"/>
      <c r="F18" s="37"/>
      <c r="G18" s="37"/>
      <c r="H18" s="37"/>
      <c r="I18" s="32"/>
    </row>
    <row r="19" spans="1:9" x14ac:dyDescent="0.25">
      <c r="A19" s="32"/>
      <c r="B19" s="37"/>
      <c r="C19" s="37"/>
      <c r="D19" s="37"/>
      <c r="E19" s="37"/>
      <c r="F19" s="37"/>
      <c r="G19" s="37"/>
      <c r="H19" s="37"/>
      <c r="I19" s="32"/>
    </row>
    <row r="20" spans="1:9" x14ac:dyDescent="0.25">
      <c r="A20" s="32"/>
      <c r="B20" s="37"/>
      <c r="C20" s="37"/>
      <c r="D20" s="37"/>
      <c r="E20" s="37"/>
      <c r="F20" s="37"/>
      <c r="G20" s="37"/>
      <c r="H20" s="37"/>
      <c r="I20" s="32"/>
    </row>
    <row r="21" spans="1:9" x14ac:dyDescent="0.25">
      <c r="A21" s="32"/>
      <c r="B21" s="37"/>
      <c r="C21" s="37"/>
      <c r="D21" s="37"/>
      <c r="E21" s="37"/>
      <c r="F21" s="37"/>
      <c r="G21" s="37"/>
      <c r="H21" s="37"/>
      <c r="I21" s="32"/>
    </row>
    <row r="22" spans="1:9" x14ac:dyDescent="0.25">
      <c r="A22" s="32"/>
      <c r="B22" s="37"/>
      <c r="C22" s="37"/>
      <c r="D22" s="37"/>
      <c r="E22" s="37"/>
      <c r="F22" s="37"/>
      <c r="G22" s="37"/>
      <c r="H22" s="37"/>
      <c r="I22" s="32"/>
    </row>
    <row r="23" spans="1:9" x14ac:dyDescent="0.25">
      <c r="A23" s="32"/>
      <c r="B23" s="37"/>
      <c r="C23" s="37"/>
      <c r="D23" s="37"/>
      <c r="E23" s="37"/>
      <c r="F23" s="37"/>
      <c r="G23" s="37"/>
      <c r="H23" s="37"/>
      <c r="I23" s="32"/>
    </row>
    <row r="24" spans="1:9" x14ac:dyDescent="0.25">
      <c r="A24" s="32"/>
      <c r="B24" s="37"/>
      <c r="C24" s="37"/>
      <c r="D24" s="37"/>
      <c r="E24" s="37"/>
      <c r="F24" s="37"/>
      <c r="G24" s="37"/>
      <c r="H24" s="37"/>
      <c r="I24" s="32"/>
    </row>
    <row r="25" spans="1:9" x14ac:dyDescent="0.25">
      <c r="A25" s="32"/>
      <c r="B25" s="37"/>
      <c r="C25" s="37"/>
      <c r="D25" s="37"/>
      <c r="E25" s="37"/>
      <c r="F25" s="37"/>
      <c r="G25" s="37"/>
      <c r="H25" s="37"/>
      <c r="I25" s="32"/>
    </row>
    <row r="26" spans="1:9" x14ac:dyDescent="0.25">
      <c r="A26" s="32"/>
      <c r="B26" s="37"/>
      <c r="C26" s="37"/>
      <c r="D26" s="37"/>
      <c r="E26" s="37"/>
      <c r="F26" s="37"/>
      <c r="G26" s="37"/>
      <c r="H26" s="37"/>
      <c r="I26" s="32"/>
    </row>
    <row r="27" spans="1:9" x14ac:dyDescent="0.25">
      <c r="A27" s="32"/>
      <c r="B27" s="37"/>
      <c r="C27" s="37"/>
      <c r="D27" s="37"/>
      <c r="E27" s="37"/>
      <c r="F27" s="37"/>
      <c r="G27" s="37"/>
      <c r="H27" s="37"/>
      <c r="I27" s="32"/>
    </row>
    <row r="28" spans="1:9" x14ac:dyDescent="0.25">
      <c r="A28" s="32"/>
      <c r="B28" s="37"/>
      <c r="C28" s="37"/>
      <c r="D28" s="37"/>
      <c r="E28" s="37"/>
      <c r="F28" s="37"/>
      <c r="G28" s="37"/>
      <c r="H28" s="37"/>
      <c r="I28" s="32"/>
    </row>
    <row r="29" spans="1:9" x14ac:dyDescent="0.25">
      <c r="A29" s="32"/>
      <c r="B29" s="37"/>
      <c r="C29" s="37"/>
      <c r="D29" s="37"/>
      <c r="E29" s="37"/>
      <c r="F29" s="37"/>
      <c r="G29" s="37"/>
      <c r="H29" s="37"/>
      <c r="I29" s="32"/>
    </row>
    <row r="30" spans="1:9" x14ac:dyDescent="0.25">
      <c r="A30" s="32"/>
      <c r="B30" s="37"/>
      <c r="C30" s="37"/>
      <c r="D30" s="37"/>
      <c r="E30" s="37"/>
      <c r="F30" s="37"/>
      <c r="G30" s="37"/>
      <c r="H30" s="37"/>
      <c r="I30" s="32"/>
    </row>
    <row r="31" spans="1:9" x14ac:dyDescent="0.25">
      <c r="A31" s="32"/>
      <c r="B31" s="37"/>
      <c r="C31" s="37"/>
      <c r="D31" s="37"/>
      <c r="E31" s="37"/>
      <c r="F31" s="37"/>
      <c r="G31" s="37"/>
      <c r="H31" s="37"/>
      <c r="I31" s="32"/>
    </row>
    <row r="32" spans="1:9" x14ac:dyDescent="0.25">
      <c r="A32" s="32"/>
      <c r="B32" s="37"/>
      <c r="C32" s="37"/>
      <c r="D32" s="37"/>
      <c r="E32" s="37"/>
      <c r="F32" s="37"/>
      <c r="G32" s="37"/>
      <c r="H32" s="37"/>
      <c r="I32" s="32"/>
    </row>
    <row r="33" spans="1:9" x14ac:dyDescent="0.25">
      <c r="A33" s="32"/>
      <c r="B33" s="37"/>
      <c r="C33" s="37"/>
      <c r="D33" s="37"/>
      <c r="E33" s="37"/>
      <c r="F33" s="37"/>
      <c r="G33" s="37"/>
      <c r="H33" s="37"/>
      <c r="I33" s="32"/>
    </row>
    <row r="34" spans="1:9" x14ac:dyDescent="0.25">
      <c r="A34" s="32"/>
      <c r="B34" s="37"/>
      <c r="C34" s="37"/>
      <c r="D34" s="37"/>
      <c r="E34" s="37"/>
      <c r="F34" s="37"/>
      <c r="G34" s="37"/>
      <c r="H34" s="37"/>
      <c r="I34" s="32"/>
    </row>
    <row r="35" spans="1:9" x14ac:dyDescent="0.25">
      <c r="A35" s="32"/>
      <c r="B35" s="37"/>
      <c r="C35" s="37"/>
      <c r="D35" s="37"/>
      <c r="E35" s="37"/>
      <c r="F35" s="37"/>
      <c r="G35" s="37"/>
      <c r="H35" s="37"/>
      <c r="I35" s="32"/>
    </row>
    <row r="36" spans="1:9" x14ac:dyDescent="0.25">
      <c r="A36" s="32"/>
      <c r="B36" s="37"/>
      <c r="C36" s="37"/>
      <c r="D36" s="37"/>
      <c r="E36" s="37"/>
      <c r="F36" s="37"/>
      <c r="G36" s="37"/>
      <c r="H36" s="37"/>
      <c r="I36" s="32"/>
    </row>
    <row r="37" spans="1:9" x14ac:dyDescent="0.25">
      <c r="A37" s="32"/>
      <c r="B37" s="37"/>
      <c r="C37" s="37"/>
      <c r="D37" s="37"/>
      <c r="E37" s="37"/>
      <c r="F37" s="37"/>
      <c r="G37" s="37"/>
      <c r="H37" s="37"/>
      <c r="I37" s="32"/>
    </row>
    <row r="38" spans="1:9" x14ac:dyDescent="0.25">
      <c r="A38" s="32"/>
      <c r="B38" s="37"/>
      <c r="C38" s="37"/>
      <c r="D38" s="37"/>
      <c r="E38" s="37"/>
      <c r="F38" s="37"/>
      <c r="G38" s="37"/>
      <c r="H38" s="37"/>
      <c r="I38" s="32"/>
    </row>
    <row r="39" spans="1:9" x14ac:dyDescent="0.25">
      <c r="A39" s="32"/>
      <c r="B39" s="37"/>
      <c r="C39" s="37"/>
      <c r="D39" s="37"/>
      <c r="E39" s="37"/>
      <c r="F39" s="37"/>
      <c r="G39" s="37"/>
      <c r="H39" s="37"/>
      <c r="I39" s="32"/>
    </row>
    <row r="40" spans="1:9" x14ac:dyDescent="0.25">
      <c r="A40" s="32"/>
      <c r="B40" s="37"/>
      <c r="C40" s="37"/>
      <c r="D40" s="37"/>
      <c r="E40" s="37"/>
      <c r="F40" s="37"/>
      <c r="G40" s="37"/>
      <c r="H40" s="37"/>
      <c r="I40" s="32"/>
    </row>
    <row r="41" spans="1:9" x14ac:dyDescent="0.25">
      <c r="A41" s="32"/>
      <c r="B41" s="37"/>
      <c r="C41" s="37"/>
      <c r="D41" s="37"/>
      <c r="E41" s="37"/>
      <c r="F41" s="37"/>
      <c r="G41" s="37"/>
      <c r="H41" s="37"/>
      <c r="I41" s="32"/>
    </row>
    <row r="42" spans="1:9" x14ac:dyDescent="0.25">
      <c r="A42" s="32"/>
      <c r="B42" s="37"/>
      <c r="C42" s="37"/>
      <c r="D42" s="37"/>
      <c r="E42" s="37"/>
      <c r="F42" s="37"/>
      <c r="G42" s="37"/>
      <c r="H42" s="37"/>
      <c r="I42" s="32"/>
    </row>
    <row r="43" spans="1:9" x14ac:dyDescent="0.25">
      <c r="A43" s="32"/>
      <c r="B43" s="37"/>
      <c r="C43" s="37"/>
      <c r="D43" s="37"/>
      <c r="E43" s="37"/>
      <c r="F43" s="37"/>
      <c r="G43" s="37"/>
      <c r="H43" s="37"/>
      <c r="I43" s="32"/>
    </row>
    <row r="44" spans="1:9" x14ac:dyDescent="0.25">
      <c r="A44" s="32"/>
      <c r="B44" s="37"/>
      <c r="C44" s="37"/>
      <c r="D44" s="37"/>
      <c r="E44" s="37"/>
      <c r="F44" s="37"/>
      <c r="G44" s="37"/>
      <c r="H44" s="37"/>
      <c r="I44" s="32"/>
    </row>
    <row r="45" spans="1:9" x14ac:dyDescent="0.25">
      <c r="A45" s="32"/>
      <c r="B45" s="37"/>
      <c r="C45" s="37"/>
      <c r="D45" s="37"/>
      <c r="E45" s="37"/>
      <c r="F45" s="37"/>
      <c r="G45" s="37"/>
      <c r="H45" s="37"/>
      <c r="I45" s="32"/>
    </row>
    <row r="46" spans="1:9" x14ac:dyDescent="0.25">
      <c r="A46" s="32"/>
      <c r="B46" s="37"/>
      <c r="C46" s="37"/>
      <c r="D46" s="37"/>
      <c r="E46" s="37"/>
      <c r="F46" s="37"/>
      <c r="G46" s="37"/>
      <c r="H46" s="37"/>
      <c r="I46" s="32"/>
    </row>
    <row r="47" spans="1:9" x14ac:dyDescent="0.25">
      <c r="A47" s="32"/>
      <c r="B47" s="37"/>
      <c r="C47" s="37"/>
      <c r="D47" s="37"/>
      <c r="E47" s="37"/>
      <c r="F47" s="37"/>
      <c r="G47" s="37"/>
      <c r="H47" s="37"/>
      <c r="I47" s="32"/>
    </row>
    <row r="48" spans="1:9" x14ac:dyDescent="0.25">
      <c r="A48" s="32"/>
      <c r="B48" s="37"/>
      <c r="C48" s="37"/>
      <c r="D48" s="37"/>
      <c r="E48" s="37"/>
      <c r="F48" s="37"/>
      <c r="G48" s="37"/>
      <c r="H48" s="37"/>
      <c r="I48" s="32"/>
    </row>
    <row r="49" spans="1:9" x14ac:dyDescent="0.25">
      <c r="A49" s="32"/>
      <c r="B49" s="37"/>
      <c r="C49" s="37"/>
      <c r="D49" s="37"/>
      <c r="E49" s="37"/>
      <c r="F49" s="37"/>
      <c r="G49" s="37"/>
      <c r="H49" s="37"/>
      <c r="I49" s="32"/>
    </row>
    <row r="50" spans="1:9" x14ac:dyDescent="0.25">
      <c r="A50" s="32"/>
      <c r="B50" s="37"/>
      <c r="C50" s="37"/>
      <c r="D50" s="37"/>
      <c r="E50" s="37"/>
      <c r="F50" s="37"/>
      <c r="G50" s="37"/>
      <c r="H50" s="37"/>
      <c r="I50" s="32"/>
    </row>
    <row r="51" spans="1:9" x14ac:dyDescent="0.25">
      <c r="A51" s="32"/>
      <c r="B51" s="37"/>
      <c r="C51" s="37"/>
      <c r="D51" s="37"/>
      <c r="E51" s="37"/>
      <c r="F51" s="37"/>
      <c r="G51" s="37"/>
      <c r="H51" s="37"/>
      <c r="I51" s="32"/>
    </row>
    <row r="52" spans="1:9" x14ac:dyDescent="0.25">
      <c r="A52" s="32"/>
      <c r="B52" s="37"/>
      <c r="C52" s="37"/>
      <c r="D52" s="37"/>
      <c r="E52" s="37"/>
      <c r="F52" s="37"/>
      <c r="G52" s="37"/>
      <c r="H52" s="37"/>
      <c r="I52" s="32"/>
    </row>
    <row r="53" spans="1:9" x14ac:dyDescent="0.25">
      <c r="A53" s="32"/>
      <c r="B53" s="37"/>
      <c r="C53" s="37"/>
      <c r="D53" s="37"/>
      <c r="E53" s="37"/>
      <c r="F53" s="37"/>
      <c r="G53" s="37"/>
      <c r="H53" s="37"/>
      <c r="I53" s="32"/>
    </row>
    <row r="54" spans="1:9" x14ac:dyDescent="0.25">
      <c r="A54" s="32"/>
      <c r="B54" s="37"/>
      <c r="C54" s="37"/>
      <c r="D54" s="37"/>
      <c r="E54" s="37"/>
      <c r="F54" s="37"/>
      <c r="G54" s="37"/>
      <c r="H54" s="37"/>
      <c r="I54" s="32"/>
    </row>
    <row r="55" spans="1:9" x14ac:dyDescent="0.25">
      <c r="A55" s="32"/>
      <c r="B55" s="37"/>
      <c r="C55" s="37"/>
      <c r="D55" s="37"/>
      <c r="E55" s="37"/>
      <c r="F55" s="37"/>
      <c r="G55" s="37"/>
      <c r="H55" s="37"/>
      <c r="I55" s="32"/>
    </row>
    <row r="56" spans="1:9" x14ac:dyDescent="0.25">
      <c r="A56" s="32"/>
      <c r="B56" s="37"/>
      <c r="C56" s="37"/>
      <c r="D56" s="37"/>
      <c r="E56" s="37"/>
      <c r="F56" s="37"/>
      <c r="G56" s="37"/>
      <c r="H56" s="37"/>
      <c r="I56" s="32"/>
    </row>
    <row r="57" spans="1:9" x14ac:dyDescent="0.25">
      <c r="A57" s="32"/>
      <c r="B57" s="37"/>
      <c r="C57" s="37"/>
      <c r="D57" s="37"/>
      <c r="E57" s="37"/>
      <c r="F57" s="37"/>
      <c r="G57" s="37"/>
      <c r="H57" s="37"/>
      <c r="I57" s="32"/>
    </row>
    <row r="58" spans="1:9" x14ac:dyDescent="0.25">
      <c r="A58" s="32"/>
      <c r="B58" s="37"/>
      <c r="C58" s="37"/>
      <c r="D58" s="37"/>
      <c r="E58" s="37"/>
      <c r="F58" s="37"/>
      <c r="G58" s="37"/>
      <c r="H58" s="37"/>
      <c r="I58" s="32"/>
    </row>
    <row r="59" spans="1:9" x14ac:dyDescent="0.25">
      <c r="A59" s="32"/>
      <c r="B59" s="37"/>
      <c r="C59" s="37"/>
      <c r="D59" s="37"/>
      <c r="E59" s="37"/>
      <c r="F59" s="37"/>
      <c r="G59" s="37"/>
      <c r="H59" s="37"/>
      <c r="I59" s="32"/>
    </row>
    <row r="60" spans="1:9" x14ac:dyDescent="0.25">
      <c r="A60" s="32"/>
      <c r="B60" s="37"/>
      <c r="C60" s="37"/>
      <c r="D60" s="37"/>
      <c r="E60" s="37"/>
      <c r="F60" s="37"/>
      <c r="G60" s="37"/>
      <c r="H60" s="37"/>
      <c r="I60" s="32"/>
    </row>
    <row r="61" spans="1:9" x14ac:dyDescent="0.25">
      <c r="A61" s="32"/>
      <c r="B61" s="37"/>
      <c r="C61" s="37"/>
      <c r="D61" s="37"/>
      <c r="E61" s="37"/>
      <c r="F61" s="37"/>
      <c r="G61" s="37"/>
      <c r="H61" s="37"/>
      <c r="I61" s="32"/>
    </row>
    <row r="62" spans="1:9" x14ac:dyDescent="0.25">
      <c r="A62" s="32"/>
      <c r="B62" s="37"/>
      <c r="C62" s="37"/>
      <c r="D62" s="37"/>
      <c r="E62" s="37"/>
      <c r="F62" s="37"/>
      <c r="G62" s="37"/>
      <c r="H62" s="37"/>
      <c r="I62" s="32"/>
    </row>
    <row r="63" spans="1:9" x14ac:dyDescent="0.25">
      <c r="A63" s="32"/>
      <c r="B63" s="37"/>
      <c r="C63" s="37"/>
      <c r="D63" s="37"/>
      <c r="E63" s="37"/>
      <c r="F63" s="37"/>
      <c r="G63" s="37"/>
      <c r="H63" s="37"/>
      <c r="I63" s="32"/>
    </row>
    <row r="64" spans="1:9" x14ac:dyDescent="0.25">
      <c r="A64" s="32"/>
      <c r="B64" s="37"/>
      <c r="C64" s="37"/>
      <c r="D64" s="37"/>
      <c r="E64" s="37"/>
      <c r="F64" s="37"/>
      <c r="G64" s="37"/>
      <c r="H64" s="37"/>
      <c r="I64" s="32"/>
    </row>
    <row r="65" spans="1:9" x14ac:dyDescent="0.25">
      <c r="A65" s="32"/>
      <c r="B65" s="37"/>
      <c r="C65" s="37"/>
      <c r="D65" s="37"/>
      <c r="E65" s="37"/>
      <c r="F65" s="37"/>
      <c r="G65" s="37"/>
      <c r="H65" s="37"/>
      <c r="I65" s="32"/>
    </row>
    <row r="66" spans="1:9" x14ac:dyDescent="0.25">
      <c r="A66" s="32"/>
      <c r="B66" s="37"/>
      <c r="C66" s="37"/>
      <c r="D66" s="37"/>
      <c r="E66" s="37"/>
      <c r="F66" s="37"/>
      <c r="G66" s="37"/>
      <c r="H66" s="37"/>
      <c r="I66" s="32"/>
    </row>
    <row r="67" spans="1:9" x14ac:dyDescent="0.25">
      <c r="A67" s="32"/>
      <c r="B67" s="37"/>
      <c r="C67" s="37"/>
      <c r="D67" s="37"/>
      <c r="E67" s="37"/>
      <c r="F67" s="37"/>
      <c r="G67" s="37"/>
      <c r="H67" s="37"/>
      <c r="I67" s="32"/>
    </row>
    <row r="68" spans="1:9" x14ac:dyDescent="0.25">
      <c r="A68" s="32"/>
      <c r="B68" s="37"/>
      <c r="C68" s="37"/>
      <c r="D68" s="37"/>
      <c r="E68" s="37"/>
      <c r="F68" s="37"/>
      <c r="G68" s="37"/>
      <c r="H68" s="37"/>
      <c r="I68" s="32"/>
    </row>
    <row r="69" spans="1:9" x14ac:dyDescent="0.25">
      <c r="A69" s="32"/>
      <c r="B69" s="37"/>
      <c r="C69" s="37"/>
      <c r="D69" s="37"/>
      <c r="E69" s="37"/>
      <c r="F69" s="37"/>
      <c r="G69" s="37"/>
      <c r="H69" s="37"/>
      <c r="I69" s="32"/>
    </row>
    <row r="70" spans="1:9" x14ac:dyDescent="0.25">
      <c r="A70" s="32"/>
      <c r="B70" s="37"/>
      <c r="C70" s="37"/>
      <c r="D70" s="37"/>
      <c r="E70" s="37"/>
      <c r="F70" s="37"/>
      <c r="G70" s="37"/>
      <c r="H70" s="37"/>
      <c r="I70" s="32"/>
    </row>
    <row r="71" spans="1:9" x14ac:dyDescent="0.25">
      <c r="A71" s="32"/>
      <c r="B71" s="37"/>
      <c r="C71" s="37"/>
      <c r="D71" s="37"/>
      <c r="E71" s="37"/>
      <c r="F71" s="37"/>
      <c r="G71" s="37"/>
      <c r="H71" s="37"/>
      <c r="I71" s="32"/>
    </row>
    <row r="72" spans="1:9" x14ac:dyDescent="0.25">
      <c r="A72" s="32"/>
      <c r="B72" s="37"/>
      <c r="C72" s="37"/>
      <c r="D72" s="37"/>
      <c r="E72" s="37"/>
      <c r="F72" s="37"/>
      <c r="G72" s="37"/>
      <c r="H72" s="37"/>
      <c r="I72" s="32"/>
    </row>
    <row r="73" spans="1:9" x14ac:dyDescent="0.25">
      <c r="A73" s="32"/>
      <c r="B73" s="37"/>
      <c r="C73" s="37"/>
      <c r="D73" s="37"/>
      <c r="E73" s="37"/>
      <c r="F73" s="37"/>
      <c r="G73" s="37"/>
      <c r="H73" s="37"/>
      <c r="I73" s="32"/>
    </row>
    <row r="74" spans="1:9" x14ac:dyDescent="0.25">
      <c r="A74" s="32"/>
      <c r="B74" s="37"/>
      <c r="C74" s="37"/>
      <c r="D74" s="37"/>
      <c r="E74" s="37"/>
      <c r="F74" s="37"/>
      <c r="G74" s="37"/>
      <c r="H74" s="37"/>
      <c r="I74" s="32"/>
    </row>
    <row r="75" spans="1:9" x14ac:dyDescent="0.25">
      <c r="A75" s="32"/>
      <c r="B75" s="37"/>
      <c r="C75" s="37"/>
      <c r="D75" s="37"/>
      <c r="E75" s="37"/>
      <c r="F75" s="37"/>
      <c r="G75" s="37"/>
      <c r="H75" s="37"/>
      <c r="I75" s="32"/>
    </row>
    <row r="76" spans="1:9" x14ac:dyDescent="0.25">
      <c r="A76" s="32"/>
      <c r="B76" s="37"/>
      <c r="C76" s="37"/>
      <c r="D76" s="37"/>
      <c r="E76" s="37"/>
      <c r="F76" s="37"/>
      <c r="G76" s="37"/>
      <c r="H76" s="37"/>
      <c r="I76" s="32"/>
    </row>
    <row r="77" spans="1:9" x14ac:dyDescent="0.25">
      <c r="A77" s="32"/>
      <c r="B77" s="37"/>
      <c r="C77" s="37"/>
      <c r="D77" s="37"/>
      <c r="E77" s="37"/>
      <c r="F77" s="37"/>
      <c r="G77" s="37"/>
      <c r="H77" s="37"/>
      <c r="I77" s="32"/>
    </row>
    <row r="78" spans="1:9" x14ac:dyDescent="0.25">
      <c r="A78" s="32"/>
      <c r="B78" s="37"/>
      <c r="C78" s="37"/>
      <c r="D78" s="37"/>
      <c r="E78" s="37"/>
      <c r="F78" s="37"/>
      <c r="G78" s="37"/>
      <c r="H78" s="37"/>
      <c r="I78" s="32"/>
    </row>
    <row r="79" spans="1:9" x14ac:dyDescent="0.25">
      <c r="A79" s="32"/>
      <c r="B79" s="37"/>
      <c r="C79" s="37"/>
      <c r="D79" s="37"/>
      <c r="E79" s="37"/>
      <c r="F79" s="37"/>
      <c r="G79" s="37"/>
      <c r="H79" s="37"/>
      <c r="I79" s="32"/>
    </row>
    <row r="80" spans="1:9" x14ac:dyDescent="0.25">
      <c r="A80" s="32"/>
      <c r="B80" s="37"/>
      <c r="C80" s="37"/>
      <c r="D80" s="37"/>
      <c r="E80" s="37"/>
      <c r="F80" s="37"/>
      <c r="G80" s="37"/>
      <c r="H80" s="37"/>
      <c r="I80" s="32"/>
    </row>
    <row r="81" spans="1:9" x14ac:dyDescent="0.25">
      <c r="A81" s="32"/>
      <c r="B81" s="37"/>
      <c r="C81" s="37"/>
      <c r="D81" s="37"/>
      <c r="E81" s="37"/>
      <c r="F81" s="37"/>
      <c r="G81" s="37"/>
      <c r="H81" s="37"/>
      <c r="I81" s="32"/>
    </row>
    <row r="82" spans="1:9" x14ac:dyDescent="0.25">
      <c r="A82" s="32"/>
      <c r="B82" s="37"/>
      <c r="C82" s="37"/>
      <c r="D82" s="37"/>
      <c r="E82" s="37"/>
      <c r="F82" s="37"/>
      <c r="G82" s="37"/>
      <c r="H82" s="37"/>
      <c r="I82" s="32"/>
    </row>
    <row r="83" spans="1:9" x14ac:dyDescent="0.25">
      <c r="A83" s="32"/>
      <c r="B83" s="37"/>
      <c r="C83" s="37"/>
      <c r="D83" s="37"/>
      <c r="E83" s="37"/>
      <c r="F83" s="37"/>
      <c r="G83" s="37"/>
      <c r="H83" s="37"/>
      <c r="I83" s="32"/>
    </row>
    <row r="84" spans="1:9" x14ac:dyDescent="0.25">
      <c r="A84" s="32"/>
      <c r="B84" s="37"/>
      <c r="C84" s="37"/>
      <c r="D84" s="37"/>
      <c r="E84" s="37"/>
      <c r="F84" s="37"/>
      <c r="G84" s="37"/>
      <c r="H84" s="37"/>
      <c r="I84" s="32"/>
    </row>
    <row r="85" spans="1:9" x14ac:dyDescent="0.25">
      <c r="A85" s="32"/>
      <c r="B85" s="37"/>
      <c r="C85" s="37"/>
      <c r="D85" s="37"/>
      <c r="E85" s="37"/>
      <c r="F85" s="37"/>
      <c r="G85" s="37"/>
      <c r="H85" s="37"/>
      <c r="I85" s="32"/>
    </row>
    <row r="86" spans="1:9" x14ac:dyDescent="0.25">
      <c r="A86" s="32"/>
      <c r="B86" s="37"/>
      <c r="C86" s="37"/>
      <c r="D86" s="37"/>
      <c r="E86" s="37"/>
      <c r="F86" s="37"/>
      <c r="G86" s="37"/>
      <c r="H86" s="37"/>
      <c r="I86" s="32"/>
    </row>
    <row r="87" spans="1:9" x14ac:dyDescent="0.25">
      <c r="A87" s="32"/>
      <c r="B87" s="37"/>
      <c r="C87" s="37"/>
      <c r="D87" s="37"/>
      <c r="E87" s="37"/>
      <c r="F87" s="37"/>
      <c r="G87" s="37"/>
      <c r="H87" s="37"/>
      <c r="I87" s="32"/>
    </row>
    <row r="88" spans="1:9" x14ac:dyDescent="0.25">
      <c r="A88" s="32"/>
      <c r="B88" s="37"/>
      <c r="C88" s="37"/>
      <c r="D88" s="37"/>
      <c r="E88" s="37"/>
      <c r="F88" s="37"/>
      <c r="G88" s="37"/>
      <c r="H88" s="37"/>
      <c r="I88" s="32"/>
    </row>
    <row r="89" spans="1:9" x14ac:dyDescent="0.25">
      <c r="A89" s="32"/>
      <c r="B89" s="37"/>
      <c r="C89" s="37"/>
      <c r="D89" s="37"/>
      <c r="E89" s="37"/>
      <c r="F89" s="37"/>
      <c r="G89" s="37"/>
      <c r="H89" s="37"/>
      <c r="I89" s="32"/>
    </row>
    <row r="90" spans="1:9" x14ac:dyDescent="0.25">
      <c r="A90" s="32"/>
      <c r="B90" s="37"/>
      <c r="C90" s="37"/>
      <c r="D90" s="37"/>
      <c r="E90" s="37"/>
      <c r="F90" s="37"/>
      <c r="G90" s="37"/>
      <c r="H90" s="37"/>
      <c r="I90" s="32"/>
    </row>
    <row r="91" spans="1:9" x14ac:dyDescent="0.25">
      <c r="A91" s="32"/>
      <c r="B91" s="37"/>
      <c r="C91" s="37"/>
      <c r="D91" s="37"/>
      <c r="E91" s="37"/>
      <c r="F91" s="37"/>
      <c r="G91" s="37"/>
      <c r="H91" s="37"/>
      <c r="I91" s="32"/>
    </row>
    <row r="92" spans="1:9" x14ac:dyDescent="0.25">
      <c r="A92" s="32"/>
      <c r="B92" s="37"/>
      <c r="C92" s="37"/>
      <c r="D92" s="37"/>
      <c r="E92" s="37"/>
      <c r="F92" s="37"/>
      <c r="G92" s="37"/>
      <c r="H92" s="37"/>
      <c r="I92" s="32"/>
    </row>
    <row r="93" spans="1:9" x14ac:dyDescent="0.25">
      <c r="A93" s="32"/>
      <c r="B93" s="37"/>
      <c r="C93" s="37"/>
      <c r="D93" s="37"/>
      <c r="E93" s="37"/>
      <c r="F93" s="37"/>
      <c r="G93" s="37"/>
      <c r="H93" s="37"/>
      <c r="I93" s="32"/>
    </row>
    <row r="94" spans="1:9" x14ac:dyDescent="0.25">
      <c r="A94" s="32"/>
      <c r="B94" s="37"/>
      <c r="C94" s="37"/>
      <c r="D94" s="37"/>
      <c r="E94" s="37"/>
      <c r="F94" s="37"/>
      <c r="G94" s="37"/>
      <c r="H94" s="37"/>
      <c r="I94" s="32"/>
    </row>
    <row r="95" spans="1:9" x14ac:dyDescent="0.25">
      <c r="A95" s="32"/>
      <c r="B95" s="37"/>
      <c r="C95" s="37"/>
      <c r="D95" s="37"/>
      <c r="E95" s="37"/>
      <c r="F95" s="37"/>
      <c r="G95" s="37"/>
      <c r="H95" s="37"/>
      <c r="I95" s="32"/>
    </row>
    <row r="96" spans="1:9" x14ac:dyDescent="0.25">
      <c r="A96" s="32"/>
      <c r="B96" s="37"/>
      <c r="C96" s="37"/>
      <c r="D96" s="37"/>
      <c r="E96" s="37"/>
      <c r="F96" s="37"/>
      <c r="G96" s="37"/>
      <c r="H96" s="37"/>
      <c r="I96" s="32"/>
    </row>
    <row r="97" spans="1:9" x14ac:dyDescent="0.25">
      <c r="A97" s="32"/>
      <c r="B97" s="37"/>
      <c r="C97" s="37"/>
      <c r="D97" s="37"/>
      <c r="E97" s="37"/>
      <c r="F97" s="37"/>
      <c r="G97" s="37"/>
      <c r="H97" s="37"/>
      <c r="I97" s="32"/>
    </row>
    <row r="98" spans="1:9" x14ac:dyDescent="0.25">
      <c r="A98" s="32"/>
      <c r="B98" s="37"/>
      <c r="C98" s="37"/>
      <c r="D98" s="37"/>
      <c r="E98" s="37"/>
      <c r="F98" s="37"/>
      <c r="G98" s="37"/>
      <c r="H98" s="37"/>
      <c r="I98" s="32"/>
    </row>
    <row r="99" spans="1:9" x14ac:dyDescent="0.25">
      <c r="A99" s="32"/>
      <c r="B99" s="37"/>
      <c r="C99" s="37"/>
      <c r="D99" s="37"/>
      <c r="E99" s="37"/>
      <c r="F99" s="37"/>
      <c r="G99" s="37"/>
      <c r="H99" s="37"/>
      <c r="I99" s="32"/>
    </row>
    <row r="100" spans="1:9" x14ac:dyDescent="0.25">
      <c r="A100" s="32"/>
      <c r="B100" s="37"/>
      <c r="C100" s="37"/>
      <c r="D100" s="37"/>
      <c r="E100" s="37"/>
      <c r="F100" s="37"/>
      <c r="G100" s="37"/>
      <c r="H100" s="37"/>
      <c r="I100" s="32"/>
    </row>
    <row r="101" spans="1:9" x14ac:dyDescent="0.25">
      <c r="A101" s="32"/>
      <c r="B101" s="37"/>
      <c r="C101" s="37"/>
      <c r="D101" s="37"/>
      <c r="E101" s="37"/>
      <c r="F101" s="37"/>
      <c r="G101" s="37"/>
      <c r="H101" s="37"/>
      <c r="I101" s="32"/>
    </row>
    <row r="102" spans="1:9" x14ac:dyDescent="0.25">
      <c r="A102" s="32"/>
      <c r="B102" s="37"/>
      <c r="C102" s="37"/>
      <c r="D102" s="37"/>
      <c r="E102" s="37"/>
      <c r="F102" s="37"/>
      <c r="G102" s="37"/>
      <c r="H102" s="37"/>
      <c r="I102" s="32"/>
    </row>
    <row r="103" spans="1:9" x14ac:dyDescent="0.25">
      <c r="A103" s="32"/>
      <c r="B103" s="37"/>
      <c r="C103" s="37"/>
      <c r="D103" s="37"/>
      <c r="E103" s="37"/>
      <c r="F103" s="37"/>
      <c r="G103" s="37"/>
      <c r="H103" s="37"/>
      <c r="I103" s="32"/>
    </row>
    <row r="104" spans="1:9" x14ac:dyDescent="0.25">
      <c r="A104" s="32"/>
      <c r="B104" s="37"/>
      <c r="C104" s="37"/>
      <c r="D104" s="37"/>
      <c r="E104" s="37"/>
      <c r="F104" s="37"/>
      <c r="G104" s="37"/>
      <c r="H104" s="37"/>
      <c r="I104" s="32"/>
    </row>
    <row r="105" spans="1:9" x14ac:dyDescent="0.25">
      <c r="A105" s="32"/>
      <c r="B105" s="37"/>
      <c r="C105" s="37"/>
      <c r="D105" s="37"/>
      <c r="E105" s="37"/>
      <c r="F105" s="37"/>
      <c r="G105" s="37"/>
      <c r="H105" s="37"/>
      <c r="I105" s="32"/>
    </row>
    <row r="106" spans="1:9" x14ac:dyDescent="0.25">
      <c r="A106" s="32"/>
      <c r="B106" s="37"/>
      <c r="C106" s="37"/>
      <c r="D106" s="37"/>
      <c r="E106" s="37"/>
      <c r="F106" s="37"/>
      <c r="G106" s="37"/>
      <c r="H106" s="37"/>
      <c r="I106" s="32"/>
    </row>
    <row r="107" spans="1:9" x14ac:dyDescent="0.25">
      <c r="A107" s="32"/>
      <c r="B107" s="37"/>
      <c r="C107" s="37"/>
      <c r="D107" s="37"/>
      <c r="E107" s="37"/>
      <c r="F107" s="37"/>
      <c r="G107" s="37"/>
      <c r="H107" s="37"/>
      <c r="I107" s="32"/>
    </row>
    <row r="108" spans="1:9" x14ac:dyDescent="0.25">
      <c r="A108" s="32"/>
      <c r="B108" s="37"/>
      <c r="C108" s="37"/>
      <c r="D108" s="37"/>
      <c r="E108" s="37"/>
      <c r="F108" s="37"/>
      <c r="G108" s="37"/>
      <c r="H108" s="37"/>
      <c r="I108" s="32"/>
    </row>
    <row r="109" spans="1:9" x14ac:dyDescent="0.25">
      <c r="A109" s="32"/>
      <c r="B109" s="37"/>
      <c r="C109" s="37"/>
      <c r="D109" s="37"/>
      <c r="E109" s="37"/>
      <c r="F109" s="37"/>
      <c r="G109" s="37"/>
      <c r="H109" s="37"/>
      <c r="I109" s="32"/>
    </row>
    <row r="110" spans="1:9" x14ac:dyDescent="0.25">
      <c r="A110" s="32"/>
      <c r="B110" s="37"/>
      <c r="C110" s="37"/>
      <c r="D110" s="37"/>
      <c r="E110" s="37"/>
      <c r="F110" s="37"/>
      <c r="G110" s="37"/>
      <c r="H110" s="37"/>
      <c r="I110" s="32"/>
    </row>
    <row r="111" spans="1:9" x14ac:dyDescent="0.25">
      <c r="A111" s="32"/>
      <c r="B111" s="37"/>
      <c r="C111" s="37"/>
      <c r="D111" s="37"/>
      <c r="E111" s="37"/>
      <c r="F111" s="37"/>
      <c r="G111" s="37"/>
      <c r="H111" s="37"/>
      <c r="I111" s="32"/>
    </row>
    <row r="112" spans="1:9" x14ac:dyDescent="0.25">
      <c r="A112" s="32"/>
      <c r="B112" s="37"/>
      <c r="C112" s="37"/>
      <c r="D112" s="37"/>
      <c r="E112" s="37"/>
      <c r="F112" s="37"/>
      <c r="G112" s="37"/>
      <c r="H112" s="37"/>
      <c r="I112" s="32"/>
    </row>
    <row r="113" spans="1:9" x14ac:dyDescent="0.25">
      <c r="A113" s="32"/>
      <c r="B113" s="37"/>
      <c r="C113" s="37"/>
      <c r="D113" s="37"/>
      <c r="E113" s="37"/>
      <c r="F113" s="37"/>
      <c r="G113" s="37"/>
      <c r="H113" s="37"/>
      <c r="I113" s="32"/>
    </row>
    <row r="114" spans="1:9" x14ac:dyDescent="0.25">
      <c r="A114" s="32"/>
      <c r="B114" s="37"/>
      <c r="C114" s="37"/>
      <c r="D114" s="37"/>
      <c r="E114" s="37"/>
      <c r="F114" s="37"/>
      <c r="G114" s="37"/>
      <c r="H114" s="37"/>
      <c r="I114" s="32"/>
    </row>
    <row r="115" spans="1:9" x14ac:dyDescent="0.25">
      <c r="A115" s="32"/>
      <c r="B115" s="37"/>
      <c r="C115" s="37"/>
      <c r="D115" s="37"/>
      <c r="E115" s="37"/>
      <c r="F115" s="37"/>
      <c r="G115" s="37"/>
      <c r="H115" s="37"/>
      <c r="I115" s="32"/>
    </row>
    <row r="116" spans="1:9" x14ac:dyDescent="0.25">
      <c r="A116" s="32"/>
      <c r="B116" s="37"/>
      <c r="C116" s="37"/>
      <c r="D116" s="37"/>
      <c r="E116" s="37"/>
      <c r="F116" s="37"/>
      <c r="G116" s="37"/>
      <c r="H116" s="37"/>
      <c r="I116" s="32"/>
    </row>
    <row r="117" spans="1:9" x14ac:dyDescent="0.25">
      <c r="A117" s="32"/>
      <c r="B117" s="37"/>
      <c r="C117" s="37"/>
      <c r="D117" s="37"/>
      <c r="E117" s="37"/>
      <c r="F117" s="37"/>
      <c r="G117" s="37"/>
      <c r="H117" s="37"/>
      <c r="I117" s="32"/>
    </row>
    <row r="118" spans="1:9" x14ac:dyDescent="0.25">
      <c r="A118" s="32"/>
      <c r="B118" s="37"/>
      <c r="C118" s="37"/>
      <c r="D118" s="37"/>
      <c r="E118" s="37"/>
      <c r="F118" s="37"/>
      <c r="G118" s="37"/>
      <c r="H118" s="37"/>
      <c r="I118" s="32"/>
    </row>
    <row r="119" spans="1:9" x14ac:dyDescent="0.25">
      <c r="A119" s="32"/>
      <c r="B119" s="37"/>
      <c r="C119" s="37"/>
      <c r="D119" s="37"/>
      <c r="E119" s="37"/>
      <c r="F119" s="37"/>
      <c r="G119" s="37"/>
      <c r="H119" s="37"/>
      <c r="I119" s="32"/>
    </row>
    <row r="120" spans="1:9" x14ac:dyDescent="0.25">
      <c r="A120" s="32"/>
      <c r="B120" s="37"/>
      <c r="C120" s="37"/>
      <c r="D120" s="37"/>
      <c r="E120" s="37"/>
      <c r="F120" s="37"/>
      <c r="G120" s="37"/>
      <c r="H120" s="37"/>
      <c r="I120" s="32"/>
    </row>
    <row r="121" spans="1:9" x14ac:dyDescent="0.25">
      <c r="A121" s="32"/>
      <c r="B121" s="37"/>
      <c r="C121" s="37"/>
      <c r="D121" s="37"/>
      <c r="E121" s="37"/>
      <c r="F121" s="37"/>
      <c r="G121" s="37"/>
      <c r="H121" s="37"/>
      <c r="I121" s="32"/>
    </row>
    <row r="122" spans="1:9" x14ac:dyDescent="0.25">
      <c r="A122" s="32"/>
      <c r="B122" s="37"/>
      <c r="C122" s="37"/>
      <c r="D122" s="37"/>
      <c r="E122" s="37"/>
      <c r="F122" s="37"/>
      <c r="G122" s="37"/>
      <c r="H122" s="37"/>
      <c r="I122" s="32"/>
    </row>
    <row r="123" spans="1:9" x14ac:dyDescent="0.25">
      <c r="A123" s="32"/>
      <c r="B123" s="37"/>
      <c r="C123" s="37"/>
      <c r="D123" s="37"/>
      <c r="E123" s="37"/>
      <c r="F123" s="37"/>
      <c r="G123" s="37"/>
      <c r="H123" s="37"/>
      <c r="I123" s="32"/>
    </row>
    <row r="124" spans="1:9" x14ac:dyDescent="0.25">
      <c r="A124" s="32"/>
      <c r="B124" s="37"/>
      <c r="C124" s="37"/>
      <c r="D124" s="37"/>
      <c r="E124" s="37"/>
      <c r="F124" s="37"/>
      <c r="G124" s="37"/>
      <c r="H124" s="37"/>
      <c r="I124" s="32"/>
    </row>
    <row r="125" spans="1:9" x14ac:dyDescent="0.25">
      <c r="A125" s="32"/>
      <c r="B125" s="37"/>
      <c r="C125" s="37"/>
      <c r="D125" s="37"/>
      <c r="E125" s="37"/>
      <c r="F125" s="37"/>
      <c r="G125" s="37"/>
      <c r="H125" s="37"/>
      <c r="I125" s="32"/>
    </row>
    <row r="126" spans="1:9" x14ac:dyDescent="0.25">
      <c r="A126" s="32"/>
      <c r="B126" s="37"/>
      <c r="C126" s="37"/>
      <c r="D126" s="37"/>
      <c r="E126" s="37"/>
      <c r="F126" s="37"/>
      <c r="G126" s="37"/>
      <c r="H126" s="37"/>
      <c r="I126" s="32"/>
    </row>
    <row r="127" spans="1:9" x14ac:dyDescent="0.25">
      <c r="A127" s="32"/>
      <c r="B127" s="37"/>
      <c r="C127" s="37"/>
      <c r="D127" s="37"/>
      <c r="E127" s="37"/>
      <c r="F127" s="37"/>
      <c r="G127" s="37"/>
      <c r="H127" s="37"/>
      <c r="I127" s="32"/>
    </row>
    <row r="128" spans="1:9" x14ac:dyDescent="0.25">
      <c r="A128" s="32"/>
      <c r="B128" s="37"/>
      <c r="C128" s="37"/>
      <c r="D128" s="37"/>
      <c r="E128" s="37"/>
      <c r="F128" s="37"/>
      <c r="G128" s="37"/>
      <c r="H128" s="37"/>
      <c r="I128" s="32"/>
    </row>
    <row r="129" spans="1:9" x14ac:dyDescent="0.25">
      <c r="A129" s="32"/>
      <c r="B129" s="37"/>
      <c r="C129" s="37"/>
      <c r="D129" s="37"/>
      <c r="E129" s="37"/>
      <c r="F129" s="37"/>
      <c r="G129" s="37"/>
      <c r="H129" s="37"/>
      <c r="I129" s="32"/>
    </row>
    <row r="130" spans="1:9" x14ac:dyDescent="0.25">
      <c r="A130" s="32"/>
      <c r="B130" s="37"/>
      <c r="C130" s="37"/>
      <c r="D130" s="37"/>
      <c r="E130" s="37"/>
      <c r="F130" s="37"/>
      <c r="G130" s="37"/>
      <c r="H130" s="37"/>
      <c r="I130" s="32"/>
    </row>
    <row r="131" spans="1:9" x14ac:dyDescent="0.25">
      <c r="A131" s="32"/>
      <c r="B131" s="37"/>
      <c r="C131" s="37"/>
      <c r="D131" s="37"/>
      <c r="E131" s="37"/>
      <c r="F131" s="37"/>
      <c r="G131" s="37"/>
      <c r="H131" s="37"/>
      <c r="I131" s="32"/>
    </row>
    <row r="132" spans="1:9" x14ac:dyDescent="0.25">
      <c r="A132" s="32"/>
      <c r="B132" s="37"/>
      <c r="C132" s="37"/>
      <c r="D132" s="37"/>
      <c r="E132" s="37"/>
      <c r="F132" s="37"/>
      <c r="G132" s="37"/>
      <c r="H132" s="37"/>
      <c r="I132" s="32"/>
    </row>
    <row r="133" spans="1:9" x14ac:dyDescent="0.25">
      <c r="A133" s="32"/>
      <c r="B133" s="37"/>
      <c r="C133" s="37"/>
      <c r="D133" s="37"/>
      <c r="E133" s="37"/>
      <c r="F133" s="37"/>
      <c r="G133" s="37"/>
      <c r="H133" s="37"/>
      <c r="I133" s="32"/>
    </row>
    <row r="134" spans="1:9" x14ac:dyDescent="0.25">
      <c r="A134" s="32"/>
      <c r="B134" s="37"/>
      <c r="C134" s="37"/>
      <c r="D134" s="37"/>
      <c r="E134" s="37"/>
      <c r="F134" s="37"/>
      <c r="G134" s="37"/>
      <c r="H134" s="37"/>
      <c r="I134" s="32"/>
    </row>
    <row r="135" spans="1:9" x14ac:dyDescent="0.25">
      <c r="A135" s="32"/>
      <c r="B135" s="37"/>
      <c r="C135" s="37"/>
      <c r="D135" s="37"/>
      <c r="E135" s="37"/>
      <c r="F135" s="37"/>
      <c r="G135" s="37"/>
      <c r="H135" s="37"/>
      <c r="I135" s="32"/>
    </row>
    <row r="136" spans="1:9" x14ac:dyDescent="0.25">
      <c r="A136" s="32"/>
      <c r="B136" s="37"/>
      <c r="C136" s="37"/>
      <c r="D136" s="37"/>
      <c r="E136" s="37"/>
      <c r="F136" s="37"/>
      <c r="G136" s="37"/>
      <c r="H136" s="37"/>
      <c r="I136" s="32"/>
    </row>
    <row r="137" spans="1:9" x14ac:dyDescent="0.25">
      <c r="A137" s="32"/>
      <c r="B137" s="37"/>
      <c r="C137" s="37"/>
      <c r="D137" s="37"/>
      <c r="E137" s="37"/>
      <c r="F137" s="37"/>
      <c r="G137" s="37"/>
      <c r="H137" s="37"/>
      <c r="I137" s="32"/>
    </row>
    <row r="138" spans="1:9" x14ac:dyDescent="0.25">
      <c r="A138" s="32"/>
      <c r="B138" s="37"/>
      <c r="C138" s="37"/>
      <c r="D138" s="37"/>
      <c r="E138" s="37"/>
      <c r="F138" s="37"/>
      <c r="G138" s="37"/>
      <c r="H138" s="37"/>
      <c r="I138" s="32"/>
    </row>
    <row r="139" spans="1:9" x14ac:dyDescent="0.25">
      <c r="A139" s="32"/>
      <c r="B139" s="37"/>
      <c r="C139" s="37"/>
      <c r="D139" s="37"/>
      <c r="E139" s="37"/>
      <c r="F139" s="37"/>
      <c r="G139" s="37"/>
      <c r="H139" s="37"/>
      <c r="I139" s="32"/>
    </row>
    <row r="140" spans="1:9" x14ac:dyDescent="0.25">
      <c r="A140" s="32"/>
      <c r="B140" s="37"/>
      <c r="C140" s="37"/>
      <c r="D140" s="37"/>
      <c r="E140" s="37"/>
      <c r="F140" s="37"/>
      <c r="G140" s="37"/>
      <c r="H140" s="37"/>
      <c r="I140" s="32"/>
    </row>
    <row r="141" spans="1:9" x14ac:dyDescent="0.25">
      <c r="A141" s="32"/>
      <c r="B141" s="37"/>
      <c r="C141" s="37"/>
      <c r="D141" s="37"/>
      <c r="E141" s="37"/>
      <c r="F141" s="37"/>
      <c r="G141" s="37"/>
      <c r="H141" s="37"/>
      <c r="I141" s="32"/>
    </row>
    <row r="142" spans="1:9" x14ac:dyDescent="0.25">
      <c r="A142" s="32"/>
      <c r="B142" s="37"/>
      <c r="C142" s="37"/>
      <c r="D142" s="37"/>
      <c r="E142" s="37"/>
      <c r="F142" s="37"/>
      <c r="G142" s="37"/>
      <c r="H142" s="37"/>
      <c r="I142" s="32"/>
    </row>
    <row r="143" spans="1:9" x14ac:dyDescent="0.25">
      <c r="A143" s="32"/>
      <c r="B143" s="37"/>
      <c r="C143" s="37"/>
      <c r="D143" s="37"/>
      <c r="E143" s="37"/>
      <c r="F143" s="37"/>
      <c r="G143" s="37"/>
      <c r="H143" s="37"/>
      <c r="I143" s="32"/>
    </row>
    <row r="144" spans="1:9" x14ac:dyDescent="0.25">
      <c r="A144" s="32"/>
      <c r="B144" s="37"/>
      <c r="C144" s="37"/>
      <c r="D144" s="37"/>
      <c r="E144" s="37"/>
      <c r="F144" s="37"/>
      <c r="G144" s="37"/>
      <c r="H144" s="37"/>
      <c r="I144" s="32"/>
    </row>
    <row r="145" spans="1:9" x14ac:dyDescent="0.25">
      <c r="A145" s="32"/>
      <c r="B145" s="37"/>
      <c r="C145" s="37"/>
      <c r="D145" s="37"/>
      <c r="E145" s="37"/>
      <c r="F145" s="37"/>
      <c r="G145" s="37"/>
      <c r="H145" s="37"/>
      <c r="I145" s="32"/>
    </row>
    <row r="146" spans="1:9" x14ac:dyDescent="0.25">
      <c r="A146" s="32"/>
      <c r="B146" s="37"/>
      <c r="C146" s="37"/>
      <c r="D146" s="37"/>
      <c r="E146" s="37"/>
      <c r="F146" s="37"/>
      <c r="G146" s="37"/>
      <c r="H146" s="37"/>
      <c r="I146" s="32"/>
    </row>
    <row r="147" spans="1:9" x14ac:dyDescent="0.25">
      <c r="A147" s="32"/>
      <c r="B147" s="37"/>
      <c r="C147" s="37"/>
      <c r="D147" s="37"/>
      <c r="E147" s="37"/>
      <c r="F147" s="37"/>
      <c r="G147" s="37"/>
      <c r="H147" s="37"/>
      <c r="I147" s="32"/>
    </row>
    <row r="148" spans="1:9" x14ac:dyDescent="0.25">
      <c r="A148" s="32"/>
      <c r="B148" s="37"/>
      <c r="C148" s="37"/>
      <c r="D148" s="37"/>
      <c r="E148" s="37"/>
      <c r="F148" s="37"/>
      <c r="G148" s="37"/>
      <c r="H148" s="37"/>
      <c r="I148" s="32"/>
    </row>
    <row r="149" spans="1:9" x14ac:dyDescent="0.25">
      <c r="A149" s="32"/>
      <c r="B149" s="37"/>
      <c r="C149" s="37"/>
      <c r="D149" s="37"/>
      <c r="E149" s="37"/>
      <c r="F149" s="37"/>
      <c r="G149" s="37"/>
      <c r="H149" s="37"/>
      <c r="I149" s="32"/>
    </row>
    <row r="150" spans="1:9" x14ac:dyDescent="0.25">
      <c r="A150" s="32"/>
      <c r="B150" s="37"/>
      <c r="C150" s="37"/>
      <c r="D150" s="37"/>
      <c r="E150" s="37"/>
      <c r="F150" s="37"/>
      <c r="G150" s="37"/>
      <c r="H150" s="37"/>
      <c r="I150" s="32"/>
    </row>
    <row r="151" spans="1:9" x14ac:dyDescent="0.25">
      <c r="A151" s="32"/>
      <c r="B151" s="37"/>
      <c r="C151" s="37"/>
      <c r="D151" s="37"/>
      <c r="E151" s="37"/>
      <c r="F151" s="37"/>
      <c r="G151" s="37"/>
      <c r="H151" s="37"/>
      <c r="I151" s="32"/>
    </row>
    <row r="152" spans="1:9" x14ac:dyDescent="0.25">
      <c r="A152" s="32"/>
      <c r="B152" s="37"/>
      <c r="C152" s="37"/>
      <c r="D152" s="37"/>
      <c r="E152" s="37"/>
      <c r="F152" s="37"/>
      <c r="G152" s="37"/>
      <c r="H152" s="37"/>
      <c r="I152" s="32"/>
    </row>
    <row r="153" spans="1:9" x14ac:dyDescent="0.25">
      <c r="A153" s="32"/>
      <c r="B153" s="37"/>
      <c r="C153" s="37"/>
      <c r="D153" s="37"/>
      <c r="E153" s="37"/>
      <c r="F153" s="37"/>
      <c r="G153" s="37"/>
      <c r="H153" s="37"/>
      <c r="I153" s="32"/>
    </row>
    <row r="154" spans="1:9" x14ac:dyDescent="0.25">
      <c r="A154" s="32"/>
      <c r="B154" s="37"/>
      <c r="C154" s="37"/>
      <c r="D154" s="37"/>
      <c r="E154" s="37"/>
      <c r="F154" s="37"/>
      <c r="G154" s="37"/>
      <c r="H154" s="37"/>
      <c r="I154" s="32"/>
    </row>
    <row r="155" spans="1:9" x14ac:dyDescent="0.25">
      <c r="A155" s="32"/>
      <c r="B155" s="37"/>
      <c r="C155" s="37"/>
      <c r="D155" s="37"/>
      <c r="E155" s="37"/>
      <c r="F155" s="37"/>
      <c r="G155" s="37"/>
      <c r="H155" s="37"/>
      <c r="I155" s="32"/>
    </row>
    <row r="156" spans="1:9" x14ac:dyDescent="0.25">
      <c r="A156" s="32"/>
      <c r="B156" s="37"/>
      <c r="C156" s="37"/>
      <c r="D156" s="37"/>
      <c r="E156" s="37"/>
      <c r="F156" s="37"/>
      <c r="G156" s="37"/>
      <c r="H156" s="37"/>
      <c r="I156" s="32"/>
    </row>
    <row r="157" spans="1:9" x14ac:dyDescent="0.25">
      <c r="A157" s="32"/>
      <c r="B157" s="37"/>
      <c r="C157" s="37"/>
      <c r="D157" s="37"/>
      <c r="E157" s="37"/>
      <c r="F157" s="37"/>
      <c r="G157" s="37"/>
      <c r="H157" s="37"/>
      <c r="I157" s="32"/>
    </row>
    <row r="158" spans="1:9" x14ac:dyDescent="0.25">
      <c r="A158" s="32"/>
      <c r="B158" s="37"/>
      <c r="C158" s="37"/>
      <c r="D158" s="37"/>
      <c r="E158" s="37"/>
      <c r="F158" s="37"/>
      <c r="G158" s="37"/>
      <c r="H158" s="37"/>
      <c r="I158" s="32"/>
    </row>
    <row r="159" spans="1:9" x14ac:dyDescent="0.25">
      <c r="A159" s="32"/>
      <c r="B159" s="37"/>
      <c r="C159" s="37"/>
      <c r="D159" s="37"/>
      <c r="E159" s="37"/>
      <c r="F159" s="37"/>
      <c r="G159" s="37"/>
      <c r="H159" s="37"/>
      <c r="I159" s="32"/>
    </row>
    <row r="160" spans="1:9" x14ac:dyDescent="0.25">
      <c r="A160" s="32"/>
      <c r="B160" s="37"/>
      <c r="C160" s="37"/>
      <c r="D160" s="37"/>
      <c r="E160" s="37"/>
      <c r="F160" s="37"/>
      <c r="G160" s="37"/>
      <c r="H160" s="37"/>
      <c r="I160" s="32"/>
    </row>
    <row r="161" spans="1:9" x14ac:dyDescent="0.25">
      <c r="A161" s="32"/>
      <c r="B161" s="37"/>
      <c r="C161" s="37"/>
      <c r="D161" s="37"/>
      <c r="E161" s="37"/>
      <c r="F161" s="37"/>
      <c r="G161" s="37"/>
      <c r="H161" s="37"/>
      <c r="I161" s="32"/>
    </row>
    <row r="162" spans="1:9" x14ac:dyDescent="0.25">
      <c r="A162" s="32"/>
      <c r="B162" s="37"/>
      <c r="C162" s="37"/>
      <c r="D162" s="37"/>
      <c r="E162" s="37"/>
      <c r="F162" s="37"/>
      <c r="G162" s="37"/>
      <c r="H162" s="37"/>
      <c r="I162" s="32"/>
    </row>
    <row r="163" spans="1:9" x14ac:dyDescent="0.25">
      <c r="A163" s="32"/>
      <c r="B163" s="37"/>
      <c r="C163" s="37"/>
      <c r="D163" s="37"/>
      <c r="E163" s="37"/>
      <c r="F163" s="37"/>
      <c r="G163" s="37"/>
      <c r="H163" s="37"/>
      <c r="I163" s="32"/>
    </row>
    <row r="164" spans="1:9" x14ac:dyDescent="0.25">
      <c r="A164" s="32"/>
      <c r="B164" s="37"/>
      <c r="C164" s="37"/>
      <c r="D164" s="37"/>
      <c r="E164" s="37"/>
      <c r="F164" s="37"/>
      <c r="G164" s="37"/>
      <c r="H164" s="37"/>
      <c r="I164" s="32"/>
    </row>
    <row r="165" spans="1:9" x14ac:dyDescent="0.25">
      <c r="A165" s="32"/>
      <c r="B165" s="37"/>
      <c r="C165" s="37"/>
      <c r="D165" s="37"/>
      <c r="E165" s="37"/>
      <c r="F165" s="37"/>
      <c r="G165" s="37"/>
      <c r="H165" s="37"/>
      <c r="I165" s="32"/>
    </row>
    <row r="166" spans="1:9" x14ac:dyDescent="0.25">
      <c r="A166" s="32"/>
      <c r="B166" s="37"/>
      <c r="C166" s="37"/>
      <c r="D166" s="37"/>
      <c r="E166" s="37"/>
      <c r="F166" s="37"/>
      <c r="G166" s="37"/>
      <c r="H166" s="37"/>
      <c r="I166" s="32"/>
    </row>
    <row r="167" spans="1:9" x14ac:dyDescent="0.25">
      <c r="A167" s="32"/>
      <c r="B167" s="37"/>
      <c r="C167" s="37"/>
      <c r="D167" s="37"/>
      <c r="E167" s="37"/>
      <c r="F167" s="37"/>
      <c r="G167" s="37"/>
      <c r="H167" s="37"/>
      <c r="I167" s="32"/>
    </row>
    <row r="168" spans="1:9" x14ac:dyDescent="0.25">
      <c r="A168" s="32"/>
      <c r="B168" s="37"/>
      <c r="C168" s="37"/>
      <c r="D168" s="37"/>
      <c r="E168" s="37"/>
      <c r="F168" s="37"/>
      <c r="G168" s="37"/>
      <c r="H168" s="37"/>
      <c r="I168" s="32"/>
    </row>
    <row r="169" spans="1:9" x14ac:dyDescent="0.25">
      <c r="A169" s="32"/>
      <c r="B169" s="37"/>
      <c r="C169" s="37"/>
      <c r="D169" s="37"/>
      <c r="E169" s="37"/>
      <c r="F169" s="37"/>
      <c r="G169" s="37"/>
      <c r="H169" s="37"/>
      <c r="I169" s="32"/>
    </row>
    <row r="170" spans="1:9" x14ac:dyDescent="0.25">
      <c r="A170" s="32"/>
      <c r="B170" s="37"/>
      <c r="C170" s="37"/>
      <c r="D170" s="37"/>
      <c r="E170" s="37"/>
      <c r="F170" s="37"/>
      <c r="G170" s="37"/>
      <c r="H170" s="37"/>
      <c r="I170" s="32"/>
    </row>
    <row r="171" spans="1:9" x14ac:dyDescent="0.25">
      <c r="A171" s="32"/>
      <c r="B171" s="37"/>
      <c r="C171" s="37"/>
      <c r="D171" s="37"/>
      <c r="E171" s="37"/>
      <c r="F171" s="37"/>
      <c r="G171" s="37"/>
      <c r="H171" s="37"/>
      <c r="I171" s="32"/>
    </row>
    <row r="172" spans="1:9" x14ac:dyDescent="0.25">
      <c r="A172" s="32"/>
      <c r="B172" s="37"/>
      <c r="C172" s="37"/>
      <c r="D172" s="37"/>
      <c r="E172" s="37"/>
      <c r="F172" s="37"/>
      <c r="G172" s="37"/>
      <c r="H172" s="37"/>
      <c r="I172" s="32"/>
    </row>
    <row r="173" spans="1:9" x14ac:dyDescent="0.25">
      <c r="A173" s="32"/>
      <c r="B173" s="37"/>
      <c r="C173" s="37"/>
      <c r="D173" s="37"/>
      <c r="E173" s="37"/>
      <c r="F173" s="37"/>
      <c r="G173" s="37"/>
      <c r="H173" s="37"/>
      <c r="I173" s="32"/>
    </row>
    <row r="174" spans="1:9" x14ac:dyDescent="0.25">
      <c r="A174" s="32"/>
      <c r="B174" s="37"/>
      <c r="C174" s="37"/>
      <c r="D174" s="37"/>
      <c r="E174" s="37"/>
      <c r="F174" s="37"/>
      <c r="G174" s="37"/>
      <c r="H174" s="37"/>
      <c r="I174" s="32"/>
    </row>
    <row r="175" spans="1:9" x14ac:dyDescent="0.25">
      <c r="A175" s="32"/>
      <c r="B175" s="37"/>
      <c r="C175" s="37"/>
      <c r="D175" s="37"/>
      <c r="E175" s="37"/>
      <c r="F175" s="37"/>
      <c r="G175" s="37"/>
      <c r="H175" s="37"/>
      <c r="I175" s="32"/>
    </row>
    <row r="176" spans="1:9" x14ac:dyDescent="0.25">
      <c r="A176" s="32"/>
      <c r="B176" s="37"/>
      <c r="C176" s="37"/>
      <c r="D176" s="37"/>
      <c r="E176" s="37"/>
      <c r="F176" s="37"/>
      <c r="G176" s="37"/>
      <c r="H176" s="37"/>
      <c r="I176" s="32"/>
    </row>
    <row r="177" spans="1:9" x14ac:dyDescent="0.25">
      <c r="A177" s="32"/>
      <c r="B177" s="37"/>
      <c r="C177" s="37"/>
      <c r="D177" s="37"/>
      <c r="E177" s="37"/>
      <c r="F177" s="37"/>
      <c r="G177" s="37"/>
      <c r="H177" s="37"/>
      <c r="I177" s="32"/>
    </row>
    <row r="178" spans="1:9" x14ac:dyDescent="0.25">
      <c r="A178" s="32"/>
      <c r="B178" s="37"/>
      <c r="C178" s="37"/>
      <c r="D178" s="37"/>
      <c r="E178" s="37"/>
      <c r="F178" s="37"/>
      <c r="G178" s="37"/>
      <c r="H178" s="37"/>
      <c r="I178" s="32"/>
    </row>
    <row r="179" spans="1:9" x14ac:dyDescent="0.25">
      <c r="A179" s="32"/>
      <c r="B179" s="37"/>
      <c r="C179" s="37"/>
      <c r="D179" s="37"/>
      <c r="E179" s="37"/>
      <c r="F179" s="37"/>
      <c r="G179" s="37"/>
      <c r="H179" s="37"/>
      <c r="I179" s="32"/>
    </row>
    <row r="180" spans="1:9" x14ac:dyDescent="0.25">
      <c r="A180" s="32"/>
      <c r="B180" s="37"/>
      <c r="C180" s="37"/>
      <c r="D180" s="37"/>
      <c r="E180" s="37"/>
      <c r="F180" s="37"/>
      <c r="G180" s="37"/>
      <c r="H180" s="37"/>
      <c r="I180" s="32"/>
    </row>
    <row r="181" spans="1:9" x14ac:dyDescent="0.25">
      <c r="A181" s="32"/>
      <c r="B181" s="37"/>
      <c r="C181" s="37"/>
      <c r="D181" s="37"/>
      <c r="E181" s="37"/>
      <c r="F181" s="37"/>
      <c r="G181" s="37"/>
      <c r="H181" s="37"/>
      <c r="I181" s="32"/>
    </row>
    <row r="182" spans="1:9" x14ac:dyDescent="0.25">
      <c r="A182" s="32"/>
      <c r="B182" s="37"/>
      <c r="C182" s="37"/>
      <c r="D182" s="37"/>
      <c r="E182" s="37"/>
      <c r="F182" s="37"/>
      <c r="G182" s="37"/>
      <c r="H182" s="37"/>
      <c r="I182" s="32"/>
    </row>
    <row r="183" spans="1:9" x14ac:dyDescent="0.25">
      <c r="A183" s="32"/>
      <c r="B183" s="37"/>
      <c r="C183" s="37"/>
      <c r="D183" s="37"/>
      <c r="E183" s="37"/>
      <c r="F183" s="37"/>
      <c r="G183" s="37"/>
      <c r="H183" s="37"/>
      <c r="I183" s="32"/>
    </row>
    <row r="184" spans="1:9" x14ac:dyDescent="0.25">
      <c r="A184" s="32"/>
      <c r="B184" s="37"/>
      <c r="C184" s="37"/>
      <c r="D184" s="37"/>
      <c r="E184" s="37"/>
      <c r="F184" s="37"/>
      <c r="G184" s="37"/>
      <c r="H184" s="37"/>
      <c r="I184" s="32"/>
    </row>
    <row r="185" spans="1:9" x14ac:dyDescent="0.25">
      <c r="A185" s="32"/>
      <c r="B185" s="37"/>
      <c r="C185" s="37"/>
      <c r="D185" s="37"/>
      <c r="E185" s="37"/>
      <c r="F185" s="37"/>
      <c r="G185" s="37"/>
      <c r="H185" s="37"/>
      <c r="I185" s="32"/>
    </row>
    <row r="186" spans="1:9" x14ac:dyDescent="0.25">
      <c r="A186" s="32"/>
      <c r="B186" s="37"/>
      <c r="C186" s="37"/>
      <c r="D186" s="37"/>
      <c r="E186" s="37"/>
      <c r="F186" s="37"/>
      <c r="G186" s="37"/>
      <c r="H186" s="37"/>
      <c r="I186" s="32"/>
    </row>
    <row r="187" spans="1:9" x14ac:dyDescent="0.25">
      <c r="A187" s="32"/>
      <c r="B187" s="37"/>
      <c r="C187" s="37"/>
      <c r="D187" s="37"/>
      <c r="E187" s="37"/>
      <c r="F187" s="37"/>
      <c r="G187" s="37"/>
      <c r="H187" s="37"/>
      <c r="I187" s="32"/>
    </row>
    <row r="188" spans="1:9" x14ac:dyDescent="0.25">
      <c r="A188" s="32"/>
      <c r="B188" s="37"/>
      <c r="C188" s="37"/>
      <c r="D188" s="37"/>
      <c r="E188" s="37"/>
      <c r="F188" s="37"/>
      <c r="G188" s="37"/>
      <c r="H188" s="37"/>
      <c r="I188" s="32"/>
    </row>
    <row r="189" spans="1:9" x14ac:dyDescent="0.25">
      <c r="A189" s="32"/>
      <c r="B189" s="37"/>
      <c r="C189" s="37"/>
      <c r="D189" s="37"/>
      <c r="E189" s="37"/>
      <c r="F189" s="37"/>
      <c r="G189" s="37"/>
      <c r="H189" s="37"/>
      <c r="I189" s="32"/>
    </row>
    <row r="190" spans="1:9" x14ac:dyDescent="0.25">
      <c r="A190" s="32"/>
      <c r="B190" s="37"/>
      <c r="C190" s="37"/>
      <c r="D190" s="37"/>
      <c r="E190" s="37"/>
      <c r="F190" s="37"/>
      <c r="G190" s="37"/>
      <c r="H190" s="37"/>
      <c r="I190" s="32"/>
    </row>
    <row r="191" spans="1:9" x14ac:dyDescent="0.25">
      <c r="A191" s="32"/>
      <c r="B191" s="37"/>
      <c r="C191" s="37"/>
      <c r="D191" s="37"/>
      <c r="E191" s="37"/>
      <c r="F191" s="37"/>
      <c r="G191" s="37"/>
      <c r="H191" s="37"/>
      <c r="I191" s="32"/>
    </row>
    <row r="192" spans="1:9" x14ac:dyDescent="0.25">
      <c r="A192" s="32"/>
      <c r="B192" s="37"/>
      <c r="C192" s="37"/>
      <c r="D192" s="37"/>
      <c r="E192" s="37"/>
      <c r="F192" s="37"/>
      <c r="G192" s="37"/>
      <c r="H192" s="37"/>
      <c r="I192" s="32"/>
    </row>
    <row r="193" spans="1:9" x14ac:dyDescent="0.25">
      <c r="A193" s="32"/>
      <c r="B193" s="37"/>
      <c r="C193" s="37"/>
      <c r="D193" s="37"/>
      <c r="E193" s="37"/>
      <c r="F193" s="37"/>
      <c r="G193" s="37"/>
      <c r="H193" s="37"/>
      <c r="I193" s="32"/>
    </row>
    <row r="194" spans="1:9" x14ac:dyDescent="0.25">
      <c r="A194" s="32"/>
      <c r="B194" s="37"/>
      <c r="C194" s="37"/>
      <c r="D194" s="37"/>
      <c r="E194" s="37"/>
      <c r="F194" s="37"/>
      <c r="G194" s="37"/>
      <c r="H194" s="37"/>
      <c r="I194" s="32"/>
    </row>
    <row r="195" spans="1:9" x14ac:dyDescent="0.25">
      <c r="A195" s="32"/>
      <c r="B195" s="37"/>
      <c r="C195" s="37"/>
      <c r="D195" s="37"/>
      <c r="E195" s="37"/>
      <c r="F195" s="37"/>
      <c r="G195" s="37"/>
      <c r="H195" s="37"/>
      <c r="I195" s="32"/>
    </row>
    <row r="196" spans="1:9" x14ac:dyDescent="0.25">
      <c r="A196" s="32"/>
      <c r="B196" s="37"/>
      <c r="C196" s="37"/>
      <c r="D196" s="37"/>
      <c r="E196" s="37"/>
      <c r="F196" s="37"/>
      <c r="G196" s="37"/>
      <c r="H196" s="37"/>
      <c r="I196" s="32"/>
    </row>
    <row r="197" spans="1:9" x14ac:dyDescent="0.25">
      <c r="A197" s="32"/>
      <c r="B197" s="37"/>
      <c r="C197" s="37"/>
      <c r="D197" s="37"/>
      <c r="E197" s="37"/>
      <c r="F197" s="37"/>
      <c r="G197" s="37"/>
      <c r="H197" s="37"/>
      <c r="I197" s="32"/>
    </row>
    <row r="198" spans="1:9" x14ac:dyDescent="0.25">
      <c r="A198" s="32"/>
      <c r="B198" s="37"/>
      <c r="C198" s="37"/>
      <c r="D198" s="37"/>
      <c r="E198" s="37"/>
      <c r="F198" s="37"/>
      <c r="G198" s="37"/>
      <c r="H198" s="37"/>
      <c r="I198" s="32"/>
    </row>
    <row r="199" spans="1:9" x14ac:dyDescent="0.25">
      <c r="A199" s="32"/>
      <c r="B199" s="37"/>
      <c r="C199" s="37"/>
      <c r="D199" s="37"/>
      <c r="E199" s="37"/>
      <c r="F199" s="37"/>
      <c r="G199" s="37"/>
      <c r="H199" s="37"/>
      <c r="I199" s="32"/>
    </row>
    <row r="200" spans="1:9" x14ac:dyDescent="0.25">
      <c r="A200" s="32"/>
      <c r="B200" s="37"/>
      <c r="C200" s="37"/>
      <c r="D200" s="37"/>
      <c r="E200" s="37"/>
      <c r="F200" s="37"/>
      <c r="G200" s="37"/>
      <c r="H200" s="37"/>
      <c r="I200" s="32"/>
    </row>
    <row r="201" spans="1:9" x14ac:dyDescent="0.25">
      <c r="A201" s="32"/>
      <c r="B201" s="37"/>
      <c r="C201" s="37"/>
      <c r="D201" s="37"/>
      <c r="E201" s="37"/>
      <c r="F201" s="37"/>
      <c r="G201" s="37"/>
      <c r="H201" s="37"/>
      <c r="I201" s="32"/>
    </row>
    <row r="202" spans="1:9" x14ac:dyDescent="0.25">
      <c r="A202" s="32"/>
      <c r="B202" s="37"/>
      <c r="C202" s="37"/>
      <c r="D202" s="37"/>
      <c r="E202" s="37"/>
      <c r="F202" s="37"/>
      <c r="G202" s="37"/>
      <c r="H202" s="37"/>
      <c r="I202" s="32"/>
    </row>
    <row r="203" spans="1:9" x14ac:dyDescent="0.25">
      <c r="A203" s="32"/>
      <c r="B203" s="37"/>
      <c r="C203" s="37"/>
      <c r="D203" s="37"/>
      <c r="E203" s="37"/>
      <c r="F203" s="37"/>
      <c r="G203" s="37"/>
      <c r="H203" s="37"/>
      <c r="I203" s="32"/>
    </row>
    <row r="204" spans="1:9" x14ac:dyDescent="0.25">
      <c r="A204" s="32"/>
      <c r="B204" s="37"/>
      <c r="C204" s="37"/>
      <c r="D204" s="37"/>
      <c r="E204" s="37"/>
      <c r="F204" s="37"/>
      <c r="G204" s="37"/>
      <c r="H204" s="37"/>
      <c r="I204" s="32"/>
    </row>
    <row r="205" spans="1:9" x14ac:dyDescent="0.25">
      <c r="A205" s="32"/>
      <c r="B205" s="37"/>
      <c r="C205" s="37"/>
      <c r="D205" s="37"/>
      <c r="E205" s="37"/>
      <c r="F205" s="37"/>
      <c r="G205" s="37"/>
      <c r="H205" s="37"/>
      <c r="I205" s="32"/>
    </row>
    <row r="206" spans="1:9" x14ac:dyDescent="0.25">
      <c r="A206" s="32"/>
      <c r="B206" s="37"/>
      <c r="C206" s="37"/>
      <c r="D206" s="37"/>
      <c r="E206" s="37"/>
      <c r="F206" s="37"/>
      <c r="G206" s="37"/>
      <c r="H206" s="37"/>
      <c r="I206" s="32"/>
    </row>
    <row r="207" spans="1:9" x14ac:dyDescent="0.25">
      <c r="A207" s="32"/>
      <c r="B207" s="37"/>
      <c r="C207" s="37"/>
      <c r="D207" s="37"/>
      <c r="E207" s="37"/>
      <c r="F207" s="37"/>
      <c r="G207" s="37"/>
      <c r="H207" s="37"/>
      <c r="I207" s="32"/>
    </row>
    <row r="208" spans="1:9" x14ac:dyDescent="0.25">
      <c r="A208" s="32"/>
      <c r="B208" s="37"/>
      <c r="C208" s="37"/>
      <c r="D208" s="37"/>
      <c r="E208" s="37"/>
      <c r="F208" s="37"/>
      <c r="G208" s="37"/>
      <c r="H208" s="37"/>
      <c r="I208" s="32"/>
    </row>
    <row r="209" spans="1:9" x14ac:dyDescent="0.25">
      <c r="A209" s="32"/>
      <c r="B209" s="37"/>
      <c r="C209" s="37"/>
      <c r="D209" s="37"/>
      <c r="E209" s="37"/>
      <c r="F209" s="37"/>
      <c r="G209" s="37"/>
      <c r="H209" s="37"/>
      <c r="I209" s="32"/>
    </row>
    <row r="210" spans="1:9" x14ac:dyDescent="0.25">
      <c r="A210" s="32"/>
      <c r="B210" s="37"/>
      <c r="C210" s="37"/>
      <c r="D210" s="37"/>
      <c r="E210" s="37"/>
      <c r="F210" s="37"/>
      <c r="G210" s="37"/>
      <c r="H210" s="37"/>
      <c r="I210" s="32"/>
    </row>
    <row r="211" spans="1:9" x14ac:dyDescent="0.25">
      <c r="A211" s="32"/>
      <c r="B211" s="37"/>
      <c r="C211" s="37"/>
      <c r="D211" s="37"/>
      <c r="E211" s="37"/>
      <c r="F211" s="37"/>
      <c r="G211" s="37"/>
      <c r="H211" s="37"/>
      <c r="I211" s="32"/>
    </row>
    <row r="212" spans="1:9" x14ac:dyDescent="0.25">
      <c r="A212" s="32"/>
      <c r="B212" s="37"/>
      <c r="C212" s="37"/>
      <c r="D212" s="37"/>
      <c r="E212" s="37"/>
      <c r="F212" s="37"/>
      <c r="G212" s="37"/>
      <c r="H212" s="37"/>
      <c r="I212" s="32"/>
    </row>
    <row r="213" spans="1:9" x14ac:dyDescent="0.25">
      <c r="A213" s="32"/>
      <c r="B213" s="37"/>
      <c r="C213" s="37"/>
      <c r="D213" s="37"/>
      <c r="E213" s="37"/>
      <c r="F213" s="37"/>
      <c r="G213" s="37"/>
      <c r="H213" s="37"/>
      <c r="I213" s="32"/>
    </row>
    <row r="214" spans="1:9" x14ac:dyDescent="0.25">
      <c r="A214" s="32"/>
      <c r="B214" s="37"/>
      <c r="C214" s="37"/>
      <c r="D214" s="37"/>
      <c r="E214" s="37"/>
      <c r="F214" s="37"/>
      <c r="G214" s="37"/>
      <c r="H214" s="37"/>
      <c r="I214" s="32"/>
    </row>
    <row r="215" spans="1:9" x14ac:dyDescent="0.25">
      <c r="A215" s="32"/>
      <c r="B215" s="37"/>
      <c r="C215" s="37"/>
      <c r="D215" s="37"/>
      <c r="E215" s="37"/>
      <c r="F215" s="37"/>
      <c r="G215" s="37"/>
      <c r="H215" s="37"/>
      <c r="I215" s="32"/>
    </row>
    <row r="216" spans="1:9" x14ac:dyDescent="0.25">
      <c r="A216" s="32"/>
      <c r="B216" s="37"/>
      <c r="C216" s="37"/>
      <c r="D216" s="37"/>
      <c r="E216" s="37"/>
      <c r="F216" s="37"/>
      <c r="G216" s="37"/>
      <c r="H216" s="37"/>
      <c r="I216" s="32"/>
    </row>
    <row r="217" spans="1:9" x14ac:dyDescent="0.25">
      <c r="A217" s="32"/>
      <c r="B217" s="37"/>
      <c r="C217" s="37"/>
      <c r="D217" s="37"/>
      <c r="E217" s="37"/>
      <c r="F217" s="37"/>
      <c r="G217" s="37"/>
      <c r="H217" s="37"/>
      <c r="I217" s="32"/>
    </row>
    <row r="218" spans="1:9" x14ac:dyDescent="0.25">
      <c r="A218" s="32"/>
      <c r="B218" s="37"/>
      <c r="C218" s="37"/>
      <c r="D218" s="37"/>
      <c r="E218" s="37"/>
      <c r="F218" s="37"/>
      <c r="G218" s="37"/>
      <c r="H218" s="37"/>
      <c r="I218" s="32"/>
    </row>
    <row r="219" spans="1:9" x14ac:dyDescent="0.25">
      <c r="A219" s="32"/>
      <c r="B219" s="37"/>
      <c r="C219" s="37"/>
      <c r="D219" s="37"/>
      <c r="E219" s="37"/>
      <c r="F219" s="37"/>
      <c r="G219" s="37"/>
      <c r="H219" s="37"/>
      <c r="I219" s="32"/>
    </row>
    <row r="220" spans="1:9" x14ac:dyDescent="0.25">
      <c r="A220" s="32"/>
      <c r="B220" s="37"/>
      <c r="C220" s="37"/>
      <c r="D220" s="37"/>
      <c r="E220" s="37"/>
      <c r="F220" s="37"/>
      <c r="G220" s="37"/>
      <c r="H220" s="37"/>
      <c r="I220" s="32"/>
    </row>
    <row r="221" spans="1:9" x14ac:dyDescent="0.25">
      <c r="A221" s="32"/>
      <c r="B221" s="37"/>
      <c r="C221" s="37"/>
      <c r="D221" s="37"/>
      <c r="E221" s="37"/>
      <c r="F221" s="37"/>
      <c r="G221" s="37"/>
      <c r="H221" s="37"/>
      <c r="I221" s="32"/>
    </row>
    <row r="222" spans="1:9" x14ac:dyDescent="0.25">
      <c r="A222" s="32"/>
      <c r="B222" s="37"/>
      <c r="C222" s="37"/>
      <c r="D222" s="37"/>
      <c r="E222" s="37"/>
      <c r="F222" s="37"/>
      <c r="G222" s="37"/>
      <c r="H222" s="37"/>
      <c r="I222" s="32"/>
    </row>
    <row r="223" spans="1:9" x14ac:dyDescent="0.25">
      <c r="A223" s="32"/>
      <c r="B223" s="37"/>
      <c r="C223" s="37"/>
      <c r="D223" s="37"/>
      <c r="E223" s="37"/>
      <c r="F223" s="37"/>
      <c r="G223" s="37"/>
      <c r="H223" s="37"/>
      <c r="I223" s="32"/>
    </row>
    <row r="224" spans="1:9" x14ac:dyDescent="0.25">
      <c r="A224" s="32"/>
      <c r="B224" s="37"/>
      <c r="C224" s="37"/>
      <c r="D224" s="37"/>
      <c r="E224" s="37"/>
      <c r="F224" s="37"/>
      <c r="G224" s="37"/>
      <c r="H224" s="37"/>
      <c r="I224" s="32"/>
    </row>
    <row r="225" spans="1:9" x14ac:dyDescent="0.25">
      <c r="A225" s="32"/>
      <c r="B225" s="37"/>
      <c r="C225" s="37"/>
      <c r="D225" s="37"/>
      <c r="E225" s="37"/>
      <c r="F225" s="37"/>
      <c r="G225" s="37"/>
      <c r="H225" s="37"/>
      <c r="I225" s="32"/>
    </row>
    <row r="226" spans="1:9" x14ac:dyDescent="0.25">
      <c r="A226" s="32"/>
      <c r="B226" s="37"/>
      <c r="C226" s="37"/>
      <c r="D226" s="37"/>
      <c r="E226" s="37"/>
      <c r="F226" s="37"/>
      <c r="G226" s="37"/>
      <c r="H226" s="37"/>
      <c r="I226" s="32"/>
    </row>
    <row r="227" spans="1:9" x14ac:dyDescent="0.25">
      <c r="A227" s="32"/>
      <c r="B227" s="37"/>
      <c r="C227" s="37"/>
      <c r="D227" s="37"/>
      <c r="E227" s="37"/>
      <c r="F227" s="37"/>
      <c r="G227" s="37"/>
      <c r="H227" s="37"/>
      <c r="I227" s="32"/>
    </row>
    <row r="228" spans="1:9" x14ac:dyDescent="0.25">
      <c r="A228" s="32"/>
      <c r="B228" s="37"/>
      <c r="C228" s="37"/>
      <c r="D228" s="37"/>
      <c r="E228" s="37"/>
      <c r="F228" s="37"/>
      <c r="G228" s="37"/>
      <c r="H228" s="37"/>
      <c r="I228" s="32"/>
    </row>
    <row r="229" spans="1:9" x14ac:dyDescent="0.25">
      <c r="A229" s="32"/>
      <c r="B229" s="37"/>
      <c r="C229" s="37"/>
      <c r="D229" s="37"/>
      <c r="E229" s="37"/>
      <c r="F229" s="37"/>
      <c r="G229" s="37"/>
      <c r="H229" s="37"/>
      <c r="I229" s="32"/>
    </row>
    <row r="230" spans="1:9" x14ac:dyDescent="0.25">
      <c r="A230" s="32"/>
      <c r="B230" s="37"/>
      <c r="C230" s="37"/>
      <c r="D230" s="37"/>
      <c r="E230" s="37"/>
      <c r="F230" s="37"/>
      <c r="G230" s="37"/>
      <c r="H230" s="37"/>
      <c r="I230" s="32"/>
    </row>
    <row r="231" spans="1:9" x14ac:dyDescent="0.25">
      <c r="A231" s="32"/>
      <c r="B231" s="37"/>
      <c r="C231" s="37"/>
      <c r="D231" s="37"/>
      <c r="E231" s="37"/>
      <c r="F231" s="37"/>
      <c r="G231" s="37"/>
      <c r="H231" s="37"/>
      <c r="I231" s="32"/>
    </row>
    <row r="232" spans="1:9" x14ac:dyDescent="0.25">
      <c r="A232" s="32"/>
      <c r="B232" s="37"/>
      <c r="C232" s="37"/>
      <c r="D232" s="37"/>
      <c r="E232" s="37"/>
      <c r="F232" s="37"/>
      <c r="G232" s="37"/>
      <c r="H232" s="37"/>
      <c r="I232" s="32"/>
    </row>
    <row r="233" spans="1:9" x14ac:dyDescent="0.25">
      <c r="A233" s="32"/>
      <c r="B233" s="37"/>
      <c r="C233" s="37"/>
      <c r="D233" s="37"/>
      <c r="E233" s="37"/>
      <c r="F233" s="37"/>
      <c r="G233" s="37"/>
      <c r="H233" s="37"/>
      <c r="I233" s="32"/>
    </row>
    <row r="234" spans="1:9" x14ac:dyDescent="0.25">
      <c r="A234" s="32"/>
      <c r="B234" s="37"/>
      <c r="C234" s="37"/>
      <c r="D234" s="37"/>
      <c r="E234" s="37"/>
      <c r="F234" s="37"/>
      <c r="G234" s="37"/>
      <c r="H234" s="37"/>
      <c r="I234" s="32"/>
    </row>
    <row r="235" spans="1:9" x14ac:dyDescent="0.25">
      <c r="A235" s="32"/>
      <c r="B235" s="37"/>
      <c r="C235" s="37"/>
      <c r="D235" s="37"/>
      <c r="E235" s="37"/>
      <c r="F235" s="37"/>
      <c r="G235" s="37"/>
      <c r="H235" s="37"/>
      <c r="I235" s="32"/>
    </row>
    <row r="236" spans="1:9" x14ac:dyDescent="0.25">
      <c r="A236" s="32"/>
      <c r="B236" s="37"/>
      <c r="C236" s="37"/>
      <c r="D236" s="37"/>
      <c r="E236" s="37"/>
      <c r="F236" s="37"/>
      <c r="G236" s="37"/>
      <c r="H236" s="37"/>
      <c r="I236" s="32"/>
    </row>
    <row r="237" spans="1:9" x14ac:dyDescent="0.25">
      <c r="A237" s="32"/>
      <c r="B237" s="37"/>
      <c r="C237" s="37"/>
      <c r="D237" s="37"/>
      <c r="E237" s="37"/>
      <c r="F237" s="37"/>
      <c r="G237" s="37"/>
      <c r="H237" s="37"/>
      <c r="I237" s="32"/>
    </row>
    <row r="238" spans="1:9" x14ac:dyDescent="0.25">
      <c r="A238" s="32"/>
      <c r="B238" s="37"/>
      <c r="C238" s="37"/>
      <c r="D238" s="37"/>
      <c r="E238" s="37"/>
      <c r="F238" s="37"/>
      <c r="G238" s="37"/>
      <c r="H238" s="37"/>
      <c r="I238" s="32"/>
    </row>
    <row r="239" spans="1:9" x14ac:dyDescent="0.25">
      <c r="A239" s="32"/>
      <c r="B239" s="37"/>
      <c r="C239" s="37"/>
      <c r="D239" s="37"/>
      <c r="E239" s="37"/>
      <c r="F239" s="37"/>
      <c r="G239" s="37"/>
      <c r="H239" s="37"/>
      <c r="I239" s="32"/>
    </row>
    <row r="240" spans="1:9" x14ac:dyDescent="0.25">
      <c r="A240" s="32"/>
      <c r="B240" s="37"/>
      <c r="C240" s="37"/>
      <c r="D240" s="37"/>
      <c r="E240" s="37"/>
      <c r="F240" s="37"/>
      <c r="G240" s="37"/>
      <c r="H240" s="37"/>
      <c r="I240" s="32"/>
    </row>
    <row r="241" spans="1:9" x14ac:dyDescent="0.25">
      <c r="A241" s="32"/>
      <c r="B241" s="37"/>
      <c r="C241" s="37"/>
      <c r="D241" s="37"/>
      <c r="E241" s="37"/>
      <c r="F241" s="37"/>
      <c r="G241" s="37"/>
      <c r="H241" s="37"/>
      <c r="I241" s="32"/>
    </row>
    <row r="242" spans="1:9" x14ac:dyDescent="0.25">
      <c r="A242" s="32"/>
      <c r="B242" s="37"/>
      <c r="C242" s="37"/>
      <c r="D242" s="37"/>
      <c r="E242" s="37"/>
      <c r="F242" s="37"/>
      <c r="G242" s="37"/>
      <c r="H242" s="37"/>
      <c r="I242" s="32"/>
    </row>
    <row r="243" spans="1:9" x14ac:dyDescent="0.25">
      <c r="A243" s="32"/>
      <c r="B243" s="37"/>
      <c r="C243" s="37"/>
      <c r="D243" s="37"/>
      <c r="E243" s="37"/>
      <c r="F243" s="37"/>
      <c r="G243" s="37"/>
      <c r="H243" s="37"/>
      <c r="I243" s="32"/>
    </row>
    <row r="244" spans="1:9" x14ac:dyDescent="0.25">
      <c r="A244" s="32"/>
      <c r="B244" s="37"/>
      <c r="C244" s="37"/>
      <c r="D244" s="37"/>
      <c r="E244" s="37"/>
      <c r="F244" s="37"/>
      <c r="G244" s="37"/>
      <c r="H244" s="37"/>
      <c r="I244" s="32"/>
    </row>
    <row r="245" spans="1:9" x14ac:dyDescent="0.25">
      <c r="A245" s="32"/>
      <c r="B245" s="37"/>
      <c r="C245" s="37"/>
      <c r="D245" s="37"/>
      <c r="E245" s="37"/>
      <c r="F245" s="37"/>
      <c r="G245" s="37"/>
      <c r="H245" s="37"/>
      <c r="I245" s="32"/>
    </row>
    <row r="246" spans="1:9" x14ac:dyDescent="0.25">
      <c r="A246" s="32"/>
      <c r="B246" s="37"/>
      <c r="C246" s="37"/>
      <c r="D246" s="37"/>
      <c r="E246" s="37"/>
      <c r="F246" s="37"/>
      <c r="G246" s="37"/>
      <c r="H246" s="37"/>
      <c r="I246" s="32"/>
    </row>
    <row r="247" spans="1:9" x14ac:dyDescent="0.25">
      <c r="A247" s="32"/>
      <c r="B247" s="37"/>
      <c r="C247" s="37"/>
      <c r="D247" s="37"/>
      <c r="E247" s="37"/>
      <c r="F247" s="37"/>
      <c r="G247" s="37"/>
      <c r="H247" s="37"/>
      <c r="I247" s="32"/>
    </row>
    <row r="248" spans="1:9" x14ac:dyDescent="0.25">
      <c r="A248" s="32"/>
      <c r="B248" s="37"/>
      <c r="C248" s="37"/>
      <c r="D248" s="37"/>
      <c r="E248" s="37"/>
      <c r="F248" s="37"/>
      <c r="G248" s="37"/>
      <c r="H248" s="37"/>
      <c r="I248" s="32"/>
    </row>
    <row r="249" spans="1:9" x14ac:dyDescent="0.25">
      <c r="A249" s="32"/>
      <c r="B249" s="37"/>
      <c r="C249" s="37"/>
      <c r="D249" s="37"/>
      <c r="E249" s="37"/>
      <c r="F249" s="37"/>
      <c r="G249" s="37"/>
      <c r="H249" s="37"/>
      <c r="I249" s="32"/>
    </row>
    <row r="250" spans="1:9" x14ac:dyDescent="0.25">
      <c r="A250" s="32"/>
      <c r="B250" s="37"/>
      <c r="C250" s="37"/>
      <c r="D250" s="37"/>
      <c r="E250" s="37"/>
      <c r="F250" s="37"/>
      <c r="G250" s="37"/>
      <c r="H250" s="37"/>
      <c r="I250" s="32"/>
    </row>
    <row r="251" spans="1:9" x14ac:dyDescent="0.25">
      <c r="A251" s="32"/>
      <c r="B251" s="37"/>
      <c r="C251" s="37"/>
      <c r="D251" s="37"/>
      <c r="E251" s="37"/>
      <c r="F251" s="37"/>
      <c r="G251" s="37"/>
      <c r="H251" s="37"/>
      <c r="I251" s="32"/>
    </row>
    <row r="252" spans="1:9" x14ac:dyDescent="0.25">
      <c r="A252" s="32"/>
      <c r="B252" s="37"/>
      <c r="C252" s="37"/>
      <c r="D252" s="37"/>
      <c r="E252" s="37"/>
      <c r="F252" s="37"/>
      <c r="G252" s="37"/>
      <c r="H252" s="37"/>
      <c r="I252" s="32"/>
    </row>
    <row r="253" spans="1:9" x14ac:dyDescent="0.25">
      <c r="A253" s="32"/>
      <c r="B253" s="37"/>
      <c r="C253" s="37"/>
      <c r="D253" s="37"/>
      <c r="E253" s="37"/>
      <c r="F253" s="37"/>
      <c r="G253" s="37"/>
      <c r="H253" s="37"/>
      <c r="I253" s="32"/>
    </row>
    <row r="254" spans="1:9" x14ac:dyDescent="0.25">
      <c r="A254" s="32"/>
      <c r="B254" s="37"/>
      <c r="C254" s="37"/>
      <c r="D254" s="37"/>
      <c r="E254" s="37"/>
      <c r="F254" s="37"/>
      <c r="G254" s="37"/>
      <c r="H254" s="37"/>
      <c r="I254" s="32"/>
    </row>
    <row r="255" spans="1:9" x14ac:dyDescent="0.25">
      <c r="A255" s="32"/>
      <c r="B255" s="37"/>
      <c r="C255" s="37"/>
      <c r="D255" s="37"/>
      <c r="E255" s="37"/>
      <c r="F255" s="37"/>
      <c r="G255" s="37"/>
      <c r="H255" s="37"/>
      <c r="I255" s="32"/>
    </row>
    <row r="256" spans="1:9" x14ac:dyDescent="0.25">
      <c r="A256" s="32"/>
      <c r="B256" s="37"/>
      <c r="C256" s="37"/>
      <c r="D256" s="37"/>
      <c r="E256" s="37"/>
      <c r="F256" s="37"/>
      <c r="G256" s="37"/>
      <c r="H256" s="37"/>
      <c r="I256" s="32"/>
    </row>
    <row r="257" spans="1:9" x14ac:dyDescent="0.25">
      <c r="A257" s="32"/>
      <c r="B257" s="37"/>
      <c r="C257" s="37"/>
      <c r="D257" s="37"/>
      <c r="E257" s="37"/>
      <c r="F257" s="37"/>
      <c r="G257" s="37"/>
      <c r="H257" s="37"/>
      <c r="I257" s="32"/>
    </row>
    <row r="258" spans="1:9" x14ac:dyDescent="0.25">
      <c r="A258" s="32"/>
      <c r="B258" s="37"/>
      <c r="C258" s="37"/>
      <c r="D258" s="37"/>
      <c r="E258" s="37"/>
      <c r="F258" s="37"/>
      <c r="G258" s="37"/>
      <c r="H258" s="37"/>
      <c r="I258" s="32"/>
    </row>
    <row r="259" spans="1:9" x14ac:dyDescent="0.25">
      <c r="A259" s="32"/>
      <c r="B259" s="37"/>
      <c r="C259" s="37"/>
      <c r="D259" s="37"/>
      <c r="E259" s="37"/>
      <c r="F259" s="37"/>
      <c r="G259" s="37"/>
      <c r="H259" s="37"/>
      <c r="I259" s="32"/>
    </row>
    <row r="260" spans="1:9" x14ac:dyDescent="0.25">
      <c r="A260" s="32"/>
      <c r="B260" s="37"/>
      <c r="C260" s="37"/>
      <c r="D260" s="37"/>
      <c r="E260" s="37"/>
      <c r="F260" s="37"/>
      <c r="G260" s="37"/>
      <c r="H260" s="37"/>
      <c r="I260" s="32"/>
    </row>
    <row r="261" spans="1:9" x14ac:dyDescent="0.25">
      <c r="A261" s="32"/>
      <c r="B261" s="37"/>
      <c r="C261" s="37"/>
      <c r="D261" s="37"/>
      <c r="E261" s="37"/>
      <c r="F261" s="37"/>
      <c r="G261" s="37"/>
      <c r="H261" s="37"/>
      <c r="I261" s="32"/>
    </row>
    <row r="262" spans="1:9" x14ac:dyDescent="0.25">
      <c r="A262" s="32"/>
      <c r="B262" s="37"/>
      <c r="C262" s="37"/>
      <c r="D262" s="37"/>
      <c r="E262" s="37"/>
      <c r="F262" s="37"/>
      <c r="G262" s="37"/>
      <c r="H262" s="37"/>
      <c r="I262" s="32"/>
    </row>
    <row r="263" spans="1:9" x14ac:dyDescent="0.25">
      <c r="A263" s="32"/>
      <c r="B263" s="37"/>
      <c r="C263" s="37"/>
      <c r="D263" s="37"/>
      <c r="E263" s="37"/>
      <c r="F263" s="37"/>
      <c r="G263" s="37"/>
      <c r="H263" s="37"/>
      <c r="I263" s="32"/>
    </row>
    <row r="264" spans="1:9" x14ac:dyDescent="0.25">
      <c r="A264" s="32"/>
      <c r="B264" s="37"/>
      <c r="C264" s="37"/>
      <c r="D264" s="37"/>
      <c r="E264" s="37"/>
      <c r="F264" s="37"/>
      <c r="G264" s="37"/>
      <c r="H264" s="37"/>
      <c r="I264" s="32"/>
    </row>
    <row r="265" spans="1:9" x14ac:dyDescent="0.25">
      <c r="A265" s="32"/>
      <c r="B265" s="37"/>
      <c r="C265" s="37"/>
      <c r="D265" s="37"/>
      <c r="E265" s="37"/>
      <c r="F265" s="37"/>
      <c r="G265" s="37"/>
      <c r="H265" s="37"/>
      <c r="I265" s="32"/>
    </row>
    <row r="266" spans="1:9" x14ac:dyDescent="0.25">
      <c r="A266" s="32"/>
      <c r="B266" s="37"/>
      <c r="C266" s="37"/>
      <c r="D266" s="37"/>
      <c r="E266" s="37"/>
      <c r="F266" s="37"/>
      <c r="G266" s="37"/>
      <c r="H266" s="37"/>
      <c r="I266" s="32"/>
    </row>
    <row r="267" spans="1:9" x14ac:dyDescent="0.25">
      <c r="A267" s="32"/>
      <c r="B267" s="37"/>
      <c r="C267" s="37"/>
      <c r="D267" s="37"/>
      <c r="E267" s="37"/>
      <c r="F267" s="37"/>
      <c r="G267" s="37"/>
      <c r="H267" s="37"/>
      <c r="I267" s="32"/>
    </row>
    <row r="268" spans="1:9" x14ac:dyDescent="0.25">
      <c r="A268" s="32"/>
      <c r="B268" s="37"/>
      <c r="C268" s="37"/>
      <c r="D268" s="37"/>
      <c r="E268" s="37"/>
      <c r="F268" s="37"/>
      <c r="G268" s="37"/>
      <c r="H268" s="37"/>
      <c r="I268" s="32"/>
    </row>
    <row r="269" spans="1:9" x14ac:dyDescent="0.25">
      <c r="A269" s="32"/>
      <c r="B269" s="37"/>
      <c r="C269" s="37"/>
      <c r="D269" s="37"/>
      <c r="E269" s="37"/>
      <c r="F269" s="37"/>
      <c r="G269" s="37"/>
      <c r="H269" s="37"/>
      <c r="I269" s="32"/>
    </row>
    <row r="270" spans="1:9" x14ac:dyDescent="0.25">
      <c r="A270" s="32"/>
      <c r="B270" s="37"/>
      <c r="C270" s="37"/>
      <c r="D270" s="37"/>
      <c r="E270" s="37"/>
      <c r="F270" s="37"/>
      <c r="G270" s="37"/>
      <c r="H270" s="37"/>
      <c r="I270" s="32"/>
    </row>
    <row r="271" spans="1:9" x14ac:dyDescent="0.25">
      <c r="A271" s="32"/>
      <c r="B271" s="37"/>
      <c r="C271" s="37"/>
      <c r="D271" s="37"/>
      <c r="E271" s="37"/>
      <c r="F271" s="37"/>
      <c r="G271" s="37"/>
      <c r="H271" s="37"/>
      <c r="I271" s="32"/>
    </row>
    <row r="272" spans="1:9" x14ac:dyDescent="0.25">
      <c r="A272" s="32"/>
      <c r="B272" s="37"/>
      <c r="C272" s="37"/>
      <c r="D272" s="37"/>
      <c r="E272" s="37"/>
      <c r="F272" s="37"/>
      <c r="G272" s="37"/>
      <c r="H272" s="37"/>
      <c r="I272" s="32"/>
    </row>
    <row r="273" spans="1:9" x14ac:dyDescent="0.25">
      <c r="A273" s="32"/>
      <c r="B273" s="37"/>
      <c r="C273" s="37"/>
      <c r="D273" s="37"/>
      <c r="E273" s="37"/>
      <c r="F273" s="37"/>
      <c r="G273" s="37"/>
      <c r="H273" s="37"/>
      <c r="I273" s="32"/>
    </row>
    <row r="274" spans="1:9" x14ac:dyDescent="0.25">
      <c r="A274" s="32"/>
      <c r="B274" s="37"/>
      <c r="C274" s="37"/>
      <c r="D274" s="37"/>
      <c r="E274" s="37"/>
      <c r="F274" s="37"/>
      <c r="G274" s="37"/>
      <c r="H274" s="37"/>
      <c r="I274" s="32"/>
    </row>
    <row r="275" spans="1:9" x14ac:dyDescent="0.25">
      <c r="A275" s="32"/>
      <c r="B275" s="37"/>
      <c r="C275" s="37"/>
      <c r="D275" s="37"/>
      <c r="E275" s="37"/>
      <c r="F275" s="37"/>
      <c r="G275" s="37"/>
      <c r="H275" s="37"/>
      <c r="I275" s="32"/>
    </row>
    <row r="276" spans="1:9" x14ac:dyDescent="0.25">
      <c r="A276" s="32"/>
      <c r="B276" s="37"/>
      <c r="C276" s="37"/>
      <c r="D276" s="37"/>
      <c r="E276" s="37"/>
      <c r="F276" s="37"/>
      <c r="G276" s="37"/>
      <c r="H276" s="37"/>
      <c r="I276" s="32"/>
    </row>
    <row r="277" spans="1:9" x14ac:dyDescent="0.25">
      <c r="A277" s="32"/>
      <c r="B277" s="37"/>
      <c r="C277" s="37"/>
      <c r="D277" s="37"/>
      <c r="E277" s="37"/>
      <c r="F277" s="37"/>
      <c r="G277" s="37"/>
      <c r="H277" s="37"/>
      <c r="I277" s="32"/>
    </row>
    <row r="278" spans="1:9" x14ac:dyDescent="0.25">
      <c r="A278" s="32"/>
      <c r="B278" s="37"/>
      <c r="C278" s="37"/>
      <c r="D278" s="37"/>
      <c r="E278" s="37"/>
      <c r="F278" s="37"/>
      <c r="G278" s="37"/>
      <c r="H278" s="37"/>
      <c r="I278" s="32"/>
    </row>
    <row r="279" spans="1:9" x14ac:dyDescent="0.25">
      <c r="A279" s="32"/>
      <c r="B279" s="37"/>
      <c r="C279" s="37"/>
      <c r="D279" s="37"/>
      <c r="E279" s="37"/>
      <c r="F279" s="37"/>
      <c r="G279" s="37"/>
      <c r="H279" s="37"/>
      <c r="I279" s="32"/>
    </row>
    <row r="280" spans="1:9" x14ac:dyDescent="0.25">
      <c r="A280" s="32"/>
      <c r="B280" s="37"/>
      <c r="C280" s="37"/>
      <c r="D280" s="37"/>
      <c r="E280" s="37"/>
      <c r="F280" s="37"/>
      <c r="G280" s="37"/>
      <c r="H280" s="37"/>
      <c r="I280" s="32"/>
    </row>
    <row r="281" spans="1:9" x14ac:dyDescent="0.25">
      <c r="A281" s="32"/>
      <c r="B281" s="37"/>
      <c r="C281" s="37"/>
      <c r="D281" s="37"/>
      <c r="E281" s="37"/>
      <c r="F281" s="37"/>
      <c r="G281" s="37"/>
      <c r="H281" s="37"/>
      <c r="I281" s="32"/>
    </row>
    <row r="282" spans="1:9" x14ac:dyDescent="0.25">
      <c r="A282" s="32"/>
      <c r="B282" s="37"/>
      <c r="C282" s="37"/>
      <c r="D282" s="37"/>
      <c r="E282" s="37"/>
      <c r="F282" s="37"/>
      <c r="G282" s="37"/>
      <c r="H282" s="37"/>
      <c r="I282" s="32"/>
    </row>
    <row r="283" spans="1:9" x14ac:dyDescent="0.25">
      <c r="A283" s="32"/>
      <c r="B283" s="37"/>
      <c r="C283" s="37"/>
      <c r="D283" s="37"/>
      <c r="E283" s="37"/>
      <c r="F283" s="37"/>
      <c r="G283" s="37"/>
      <c r="H283" s="37"/>
      <c r="I283" s="32"/>
    </row>
    <row r="284" spans="1:9" x14ac:dyDescent="0.25">
      <c r="A284" s="32"/>
      <c r="B284" s="37"/>
      <c r="C284" s="37"/>
      <c r="D284" s="37"/>
      <c r="E284" s="37"/>
      <c r="F284" s="37"/>
      <c r="G284" s="37"/>
      <c r="H284" s="37"/>
      <c r="I284" s="32"/>
    </row>
    <row r="285" spans="1:9" x14ac:dyDescent="0.25">
      <c r="A285" s="32"/>
      <c r="B285" s="37"/>
      <c r="C285" s="37"/>
      <c r="D285" s="37"/>
      <c r="E285" s="37"/>
      <c r="F285" s="37"/>
      <c r="G285" s="37"/>
      <c r="H285" s="37"/>
      <c r="I285" s="32"/>
    </row>
    <row r="286" spans="1:9" x14ac:dyDescent="0.25">
      <c r="A286" s="32"/>
      <c r="B286" s="37"/>
      <c r="C286" s="37"/>
      <c r="D286" s="37"/>
      <c r="E286" s="37"/>
      <c r="F286" s="37"/>
      <c r="G286" s="37"/>
      <c r="H286" s="37"/>
      <c r="I286" s="32"/>
    </row>
    <row r="287" spans="1:9" x14ac:dyDescent="0.25">
      <c r="A287" s="32"/>
      <c r="B287" s="37"/>
      <c r="C287" s="37"/>
      <c r="D287" s="37"/>
      <c r="E287" s="37"/>
      <c r="F287" s="37"/>
      <c r="G287" s="37"/>
      <c r="H287" s="37"/>
      <c r="I287" s="32"/>
    </row>
    <row r="288" spans="1:9" x14ac:dyDescent="0.25">
      <c r="A288" s="32"/>
      <c r="B288" s="37"/>
      <c r="C288" s="37"/>
      <c r="D288" s="37"/>
      <c r="E288" s="37"/>
      <c r="F288" s="37"/>
      <c r="G288" s="37"/>
      <c r="H288" s="37"/>
      <c r="I288" s="32"/>
    </row>
    <row r="289" spans="1:9" x14ac:dyDescent="0.25">
      <c r="A289" s="32"/>
      <c r="B289" s="37"/>
      <c r="C289" s="37"/>
      <c r="D289" s="37"/>
      <c r="E289" s="37"/>
      <c r="F289" s="37"/>
      <c r="G289" s="37"/>
      <c r="H289" s="37"/>
      <c r="I289" s="32"/>
    </row>
    <row r="290" spans="1:9" x14ac:dyDescent="0.25">
      <c r="A290" s="32"/>
      <c r="B290" s="37"/>
      <c r="C290" s="37"/>
      <c r="D290" s="37"/>
      <c r="E290" s="37"/>
      <c r="F290" s="37"/>
      <c r="G290" s="37"/>
      <c r="H290" s="37"/>
      <c r="I290" s="32"/>
    </row>
    <row r="291" spans="1:9" x14ac:dyDescent="0.25">
      <c r="A291" s="32"/>
      <c r="B291" s="37"/>
      <c r="C291" s="37"/>
      <c r="D291" s="37"/>
      <c r="E291" s="37"/>
      <c r="F291" s="37"/>
      <c r="G291" s="37"/>
      <c r="H291" s="37"/>
      <c r="I291" s="32"/>
    </row>
    <row r="292" spans="1:9" x14ac:dyDescent="0.25">
      <c r="A292" s="32"/>
      <c r="B292" s="37"/>
      <c r="C292" s="37"/>
      <c r="D292" s="37"/>
      <c r="E292" s="37"/>
      <c r="F292" s="37"/>
      <c r="G292" s="37"/>
      <c r="H292" s="37"/>
      <c r="I292" s="32"/>
    </row>
    <row r="293" spans="1:9" x14ac:dyDescent="0.25">
      <c r="A293" s="32"/>
      <c r="B293" s="37"/>
      <c r="C293" s="37"/>
      <c r="D293" s="37"/>
      <c r="E293" s="37"/>
      <c r="F293" s="37"/>
      <c r="G293" s="37"/>
      <c r="H293" s="37"/>
      <c r="I293" s="32"/>
    </row>
    <row r="294" spans="1:9" x14ac:dyDescent="0.25">
      <c r="A294" s="32"/>
      <c r="B294" s="37"/>
      <c r="C294" s="37"/>
      <c r="D294" s="37"/>
      <c r="E294" s="37"/>
      <c r="F294" s="37"/>
      <c r="G294" s="37"/>
      <c r="H294" s="37"/>
      <c r="I294" s="32"/>
    </row>
    <row r="295" spans="1:9" x14ac:dyDescent="0.25">
      <c r="A295" s="32"/>
      <c r="B295" s="37"/>
      <c r="C295" s="37"/>
      <c r="D295" s="37"/>
      <c r="E295" s="37"/>
      <c r="F295" s="37"/>
      <c r="G295" s="37"/>
      <c r="H295" s="37"/>
      <c r="I295" s="32"/>
    </row>
    <row r="296" spans="1:9" x14ac:dyDescent="0.25">
      <c r="A296" s="32"/>
      <c r="B296" s="37"/>
      <c r="C296" s="37"/>
      <c r="D296" s="37"/>
      <c r="E296" s="37"/>
      <c r="F296" s="37"/>
      <c r="G296" s="37"/>
      <c r="H296" s="37"/>
      <c r="I296" s="32"/>
    </row>
    <row r="297" spans="1:9" x14ac:dyDescent="0.25">
      <c r="A297" s="32"/>
      <c r="B297" s="37"/>
      <c r="C297" s="37"/>
      <c r="D297" s="37"/>
      <c r="E297" s="37"/>
      <c r="F297" s="37"/>
      <c r="G297" s="37"/>
      <c r="H297" s="37"/>
      <c r="I297" s="32"/>
    </row>
    <row r="298" spans="1:9" x14ac:dyDescent="0.25">
      <c r="A298" s="32"/>
      <c r="B298" s="37"/>
      <c r="C298" s="37"/>
      <c r="D298" s="37"/>
      <c r="E298" s="37"/>
      <c r="F298" s="37"/>
      <c r="G298" s="37"/>
      <c r="H298" s="37"/>
      <c r="I298" s="32"/>
    </row>
    <row r="299" spans="1:9" x14ac:dyDescent="0.25">
      <c r="A299" s="32"/>
      <c r="B299" s="37"/>
      <c r="C299" s="37"/>
      <c r="D299" s="37"/>
      <c r="E299" s="37"/>
      <c r="F299" s="37"/>
      <c r="G299" s="37"/>
      <c r="H299" s="37"/>
      <c r="I299" s="32"/>
    </row>
    <row r="300" spans="1:9" x14ac:dyDescent="0.25">
      <c r="A300" s="32"/>
      <c r="B300" s="37"/>
      <c r="C300" s="37"/>
      <c r="D300" s="37"/>
      <c r="E300" s="37"/>
      <c r="F300" s="37"/>
      <c r="G300" s="37"/>
      <c r="H300" s="37"/>
      <c r="I300" s="32"/>
    </row>
    <row r="301" spans="1:9" x14ac:dyDescent="0.25">
      <c r="A301" s="32"/>
      <c r="B301" s="37"/>
      <c r="C301" s="37"/>
      <c r="D301" s="37"/>
      <c r="E301" s="37"/>
      <c r="F301" s="37"/>
      <c r="G301" s="37"/>
      <c r="H301" s="37"/>
      <c r="I301" s="32"/>
    </row>
    <row r="302" spans="1:9" x14ac:dyDescent="0.25">
      <c r="A302" s="32"/>
      <c r="B302" s="37"/>
      <c r="C302" s="37"/>
      <c r="D302" s="37"/>
      <c r="E302" s="37"/>
      <c r="F302" s="37"/>
      <c r="G302" s="37"/>
      <c r="H302" s="37"/>
      <c r="I302" s="32"/>
    </row>
    <row r="303" spans="1:9" x14ac:dyDescent="0.25">
      <c r="A303" s="32"/>
      <c r="B303" s="37"/>
      <c r="C303" s="37"/>
      <c r="D303" s="37"/>
      <c r="E303" s="37"/>
      <c r="F303" s="37"/>
      <c r="G303" s="37"/>
      <c r="H303" s="37"/>
      <c r="I303" s="32"/>
    </row>
    <row r="304" spans="1:9" x14ac:dyDescent="0.25">
      <c r="A304" s="32"/>
      <c r="B304" s="37"/>
      <c r="C304" s="37"/>
      <c r="D304" s="37"/>
      <c r="E304" s="37"/>
      <c r="F304" s="37"/>
      <c r="G304" s="37"/>
      <c r="H304" s="37"/>
      <c r="I304" s="32"/>
    </row>
  </sheetData>
  <sheetProtection password="D0B3" sheet="1" objects="1" scenarios="1" formatColumns="0" formatRows="0" autoFilter="0"/>
  <hyperlinks>
    <hyperlink ref="A3" r:id="rId1" xr:uid="{00000000-0004-0000-09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legacyDrawing r:id="rId2"/>
  <picture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I304"/>
  <sheetViews>
    <sheetView showGridLines="0" workbookViewId="0">
      <pane xSplit="1" ySplit="4" topLeftCell="B5" activePane="bottomRight" state="frozen"/>
      <selection pane="topRight"/>
      <selection pane="bottomLeft"/>
      <selection pane="bottomRight"/>
    </sheetView>
  </sheetViews>
  <sheetFormatPr defaultRowHeight="14.4" x14ac:dyDescent="0.25"/>
  <cols>
    <col min="1" max="1" width="14" customWidth="1"/>
    <col min="2" max="2" width="16" customWidth="1"/>
    <col min="3" max="4" width="18" customWidth="1"/>
    <col min="5" max="5" width="22" customWidth="1"/>
    <col min="6" max="6" width="18" customWidth="1"/>
    <col min="7" max="7" width="16" customWidth="1"/>
    <col min="8" max="8" width="18" customWidth="1"/>
    <col min="9" max="9" width="50" customWidth="1"/>
  </cols>
  <sheetData>
    <row r="1" spans="1:9" ht="17.55" x14ac:dyDescent="0.3">
      <c r="A1" s="1" t="s">
        <v>277</v>
      </c>
    </row>
    <row r="2" spans="1:9" x14ac:dyDescent="0.25">
      <c r="A2" s="2" t="s">
        <v>278</v>
      </c>
    </row>
    <row r="3" spans="1:9" x14ac:dyDescent="0.25">
      <c r="A3" s="28" t="s">
        <v>4</v>
      </c>
    </row>
    <row r="4" spans="1:9" ht="48.05" customHeight="1" x14ac:dyDescent="0.25">
      <c r="A4" s="11" t="s">
        <v>213</v>
      </c>
      <c r="B4" s="11" t="s">
        <v>265</v>
      </c>
      <c r="C4" s="11" t="s">
        <v>279</v>
      </c>
      <c r="D4" s="11" t="s">
        <v>280</v>
      </c>
      <c r="E4" s="11" t="s">
        <v>281</v>
      </c>
      <c r="F4" s="11" t="s">
        <v>282</v>
      </c>
      <c r="G4" s="11" t="s">
        <v>270</v>
      </c>
      <c r="H4" s="11" t="s">
        <v>283</v>
      </c>
      <c r="I4" s="11" t="s">
        <v>272</v>
      </c>
    </row>
    <row r="5" spans="1:9" x14ac:dyDescent="0.25">
      <c r="A5" s="32" t="s">
        <v>215</v>
      </c>
      <c r="B5" s="37">
        <v>500</v>
      </c>
      <c r="C5" s="37">
        <v>10000</v>
      </c>
      <c r="D5" s="37">
        <v>30</v>
      </c>
      <c r="E5" s="37">
        <v>50</v>
      </c>
      <c r="F5" s="37">
        <v>9800</v>
      </c>
      <c r="G5" s="37">
        <v>0</v>
      </c>
      <c r="H5" s="37">
        <v>680</v>
      </c>
      <c r="I5" s="32" t="s">
        <v>284</v>
      </c>
    </row>
    <row r="6" spans="1:9" x14ac:dyDescent="0.25">
      <c r="A6" s="32" t="s">
        <v>218</v>
      </c>
      <c r="B6" s="37">
        <v>300</v>
      </c>
      <c r="C6" s="37">
        <v>8000</v>
      </c>
      <c r="D6" s="37">
        <v>0</v>
      </c>
      <c r="E6" s="37">
        <v>0</v>
      </c>
      <c r="F6" s="37">
        <v>7900</v>
      </c>
      <c r="G6" s="37">
        <v>0</v>
      </c>
      <c r="H6" s="37">
        <v>400</v>
      </c>
      <c r="I6" s="32"/>
    </row>
    <row r="7" spans="1:9" x14ac:dyDescent="0.25">
      <c r="A7" s="32" t="s">
        <v>221</v>
      </c>
      <c r="B7" s="37">
        <v>0</v>
      </c>
      <c r="C7" s="37">
        <v>5000</v>
      </c>
      <c r="D7" s="37">
        <v>0</v>
      </c>
      <c r="E7" s="37">
        <v>0</v>
      </c>
      <c r="F7" s="37">
        <v>4800</v>
      </c>
      <c r="G7" s="37">
        <v>5</v>
      </c>
      <c r="H7" s="37">
        <v>195</v>
      </c>
      <c r="I7" s="32" t="s">
        <v>285</v>
      </c>
    </row>
    <row r="8" spans="1:9" x14ac:dyDescent="0.25">
      <c r="A8" s="32"/>
      <c r="B8" s="37"/>
      <c r="C8" s="37"/>
      <c r="D8" s="37"/>
      <c r="E8" s="37"/>
      <c r="F8" s="37"/>
      <c r="G8" s="37"/>
      <c r="H8" s="37"/>
      <c r="I8" s="32"/>
    </row>
    <row r="9" spans="1:9" x14ac:dyDescent="0.25">
      <c r="A9" s="32"/>
      <c r="B9" s="37"/>
      <c r="C9" s="37"/>
      <c r="D9" s="37"/>
      <c r="E9" s="37"/>
      <c r="F9" s="37"/>
      <c r="G9" s="37"/>
      <c r="H9" s="37"/>
      <c r="I9" s="32"/>
    </row>
    <row r="10" spans="1:9" x14ac:dyDescent="0.25">
      <c r="A10" s="32"/>
      <c r="B10" s="37"/>
      <c r="C10" s="37"/>
      <c r="D10" s="37"/>
      <c r="E10" s="37"/>
      <c r="F10" s="37"/>
      <c r="G10" s="37"/>
      <c r="H10" s="37"/>
      <c r="I10" s="32"/>
    </row>
    <row r="11" spans="1:9" x14ac:dyDescent="0.25">
      <c r="A11" s="32"/>
      <c r="B11" s="37"/>
      <c r="C11" s="37"/>
      <c r="D11" s="37"/>
      <c r="E11" s="37"/>
      <c r="F11" s="37"/>
      <c r="G11" s="37"/>
      <c r="H11" s="37"/>
      <c r="I11" s="32"/>
    </row>
    <row r="12" spans="1:9" x14ac:dyDescent="0.25">
      <c r="A12" s="32"/>
      <c r="B12" s="37"/>
      <c r="C12" s="37"/>
      <c r="D12" s="37"/>
      <c r="E12" s="37"/>
      <c r="F12" s="37"/>
      <c r="G12" s="37"/>
      <c r="H12" s="37"/>
      <c r="I12" s="32"/>
    </row>
    <row r="13" spans="1:9" x14ac:dyDescent="0.25">
      <c r="A13" s="32"/>
      <c r="B13" s="37"/>
      <c r="C13" s="37"/>
      <c r="D13" s="37"/>
      <c r="E13" s="37"/>
      <c r="F13" s="37"/>
      <c r="G13" s="37"/>
      <c r="H13" s="37"/>
      <c r="I13" s="32"/>
    </row>
    <row r="14" spans="1:9" x14ac:dyDescent="0.25">
      <c r="A14" s="32"/>
      <c r="B14" s="37"/>
      <c r="C14" s="37"/>
      <c r="D14" s="37"/>
      <c r="E14" s="37"/>
      <c r="F14" s="37"/>
      <c r="G14" s="37"/>
      <c r="H14" s="37"/>
      <c r="I14" s="32"/>
    </row>
    <row r="15" spans="1:9" x14ac:dyDescent="0.25">
      <c r="A15" s="32"/>
      <c r="B15" s="37"/>
      <c r="C15" s="37"/>
      <c r="D15" s="37"/>
      <c r="E15" s="37"/>
      <c r="F15" s="37"/>
      <c r="G15" s="37"/>
      <c r="H15" s="37"/>
      <c r="I15" s="32"/>
    </row>
    <row r="16" spans="1:9" x14ac:dyDescent="0.25">
      <c r="A16" s="32"/>
      <c r="B16" s="37"/>
      <c r="C16" s="37"/>
      <c r="D16" s="37"/>
      <c r="E16" s="37"/>
      <c r="F16" s="37"/>
      <c r="G16" s="37"/>
      <c r="H16" s="37"/>
      <c r="I16" s="32"/>
    </row>
    <row r="17" spans="1:9" x14ac:dyDescent="0.25">
      <c r="A17" s="32"/>
      <c r="B17" s="37"/>
      <c r="C17" s="37"/>
      <c r="D17" s="37"/>
      <c r="E17" s="37"/>
      <c r="F17" s="37"/>
      <c r="G17" s="37"/>
      <c r="H17" s="37"/>
      <c r="I17" s="32"/>
    </row>
    <row r="18" spans="1:9" x14ac:dyDescent="0.25">
      <c r="A18" s="32"/>
      <c r="B18" s="37"/>
      <c r="C18" s="37"/>
      <c r="D18" s="37"/>
      <c r="E18" s="37"/>
      <c r="F18" s="37"/>
      <c r="G18" s="37"/>
      <c r="H18" s="37"/>
      <c r="I18" s="32"/>
    </row>
    <row r="19" spans="1:9" x14ac:dyDescent="0.25">
      <c r="A19" s="32"/>
      <c r="B19" s="37"/>
      <c r="C19" s="37"/>
      <c r="D19" s="37"/>
      <c r="E19" s="37"/>
      <c r="F19" s="37"/>
      <c r="G19" s="37"/>
      <c r="H19" s="37"/>
      <c r="I19" s="32"/>
    </row>
    <row r="20" spans="1:9" x14ac:dyDescent="0.25">
      <c r="A20" s="32"/>
      <c r="B20" s="37"/>
      <c r="C20" s="37"/>
      <c r="D20" s="37"/>
      <c r="E20" s="37"/>
      <c r="F20" s="37"/>
      <c r="G20" s="37"/>
      <c r="H20" s="37"/>
      <c r="I20" s="32"/>
    </row>
    <row r="21" spans="1:9" x14ac:dyDescent="0.25">
      <c r="A21" s="32"/>
      <c r="B21" s="37"/>
      <c r="C21" s="37"/>
      <c r="D21" s="37"/>
      <c r="E21" s="37"/>
      <c r="F21" s="37"/>
      <c r="G21" s="37"/>
      <c r="H21" s="37"/>
      <c r="I21" s="32"/>
    </row>
    <row r="22" spans="1:9" x14ac:dyDescent="0.25">
      <c r="A22" s="32"/>
      <c r="B22" s="37"/>
      <c r="C22" s="37"/>
      <c r="D22" s="37"/>
      <c r="E22" s="37"/>
      <c r="F22" s="37"/>
      <c r="G22" s="37"/>
      <c r="H22" s="37"/>
      <c r="I22" s="32"/>
    </row>
    <row r="23" spans="1:9" x14ac:dyDescent="0.25">
      <c r="A23" s="32"/>
      <c r="B23" s="37"/>
      <c r="C23" s="37"/>
      <c r="D23" s="37"/>
      <c r="E23" s="37"/>
      <c r="F23" s="37"/>
      <c r="G23" s="37"/>
      <c r="H23" s="37"/>
      <c r="I23" s="32"/>
    </row>
    <row r="24" spans="1:9" x14ac:dyDescent="0.25">
      <c r="A24" s="32"/>
      <c r="B24" s="37"/>
      <c r="C24" s="37"/>
      <c r="D24" s="37"/>
      <c r="E24" s="37"/>
      <c r="F24" s="37"/>
      <c r="G24" s="37"/>
      <c r="H24" s="37"/>
      <c r="I24" s="32"/>
    </row>
    <row r="25" spans="1:9" x14ac:dyDescent="0.25">
      <c r="A25" s="32"/>
      <c r="B25" s="37"/>
      <c r="C25" s="37"/>
      <c r="D25" s="37"/>
      <c r="E25" s="37"/>
      <c r="F25" s="37"/>
      <c r="G25" s="37"/>
      <c r="H25" s="37"/>
      <c r="I25" s="32"/>
    </row>
    <row r="26" spans="1:9" x14ac:dyDescent="0.25">
      <c r="A26" s="32"/>
      <c r="B26" s="37"/>
      <c r="C26" s="37"/>
      <c r="D26" s="37"/>
      <c r="E26" s="37"/>
      <c r="F26" s="37"/>
      <c r="G26" s="37"/>
      <c r="H26" s="37"/>
      <c r="I26" s="32"/>
    </row>
    <row r="27" spans="1:9" x14ac:dyDescent="0.25">
      <c r="A27" s="32"/>
      <c r="B27" s="37"/>
      <c r="C27" s="37"/>
      <c r="D27" s="37"/>
      <c r="E27" s="37"/>
      <c r="F27" s="37"/>
      <c r="G27" s="37"/>
      <c r="H27" s="37"/>
      <c r="I27" s="32"/>
    </row>
    <row r="28" spans="1:9" x14ac:dyDescent="0.25">
      <c r="A28" s="32"/>
      <c r="B28" s="37"/>
      <c r="C28" s="37"/>
      <c r="D28" s="37"/>
      <c r="E28" s="37"/>
      <c r="F28" s="37"/>
      <c r="G28" s="37"/>
      <c r="H28" s="37"/>
      <c r="I28" s="32"/>
    </row>
    <row r="29" spans="1:9" x14ac:dyDescent="0.25">
      <c r="A29" s="32"/>
      <c r="B29" s="37"/>
      <c r="C29" s="37"/>
      <c r="D29" s="37"/>
      <c r="E29" s="37"/>
      <c r="F29" s="37"/>
      <c r="G29" s="37"/>
      <c r="H29" s="37"/>
      <c r="I29" s="32"/>
    </row>
    <row r="30" spans="1:9" x14ac:dyDescent="0.25">
      <c r="A30" s="32"/>
      <c r="B30" s="37"/>
      <c r="C30" s="37"/>
      <c r="D30" s="37"/>
      <c r="E30" s="37"/>
      <c r="F30" s="37"/>
      <c r="G30" s="37"/>
      <c r="H30" s="37"/>
      <c r="I30" s="32"/>
    </row>
    <row r="31" spans="1:9" x14ac:dyDescent="0.25">
      <c r="A31" s="32"/>
      <c r="B31" s="37"/>
      <c r="C31" s="37"/>
      <c r="D31" s="37"/>
      <c r="E31" s="37"/>
      <c r="F31" s="37"/>
      <c r="G31" s="37"/>
      <c r="H31" s="37"/>
      <c r="I31" s="32"/>
    </row>
    <row r="32" spans="1:9" x14ac:dyDescent="0.25">
      <c r="A32" s="32"/>
      <c r="B32" s="37"/>
      <c r="C32" s="37"/>
      <c r="D32" s="37"/>
      <c r="E32" s="37"/>
      <c r="F32" s="37"/>
      <c r="G32" s="37"/>
      <c r="H32" s="37"/>
      <c r="I32" s="32"/>
    </row>
    <row r="33" spans="1:9" x14ac:dyDescent="0.25">
      <c r="A33" s="32"/>
      <c r="B33" s="37"/>
      <c r="C33" s="37"/>
      <c r="D33" s="37"/>
      <c r="E33" s="37"/>
      <c r="F33" s="37"/>
      <c r="G33" s="37"/>
      <c r="H33" s="37"/>
      <c r="I33" s="32"/>
    </row>
    <row r="34" spans="1:9" x14ac:dyDescent="0.25">
      <c r="A34" s="32"/>
      <c r="B34" s="37"/>
      <c r="C34" s="37"/>
      <c r="D34" s="37"/>
      <c r="E34" s="37"/>
      <c r="F34" s="37"/>
      <c r="G34" s="37"/>
      <c r="H34" s="37"/>
      <c r="I34" s="32"/>
    </row>
    <row r="35" spans="1:9" x14ac:dyDescent="0.25">
      <c r="A35" s="32"/>
      <c r="B35" s="37"/>
      <c r="C35" s="37"/>
      <c r="D35" s="37"/>
      <c r="E35" s="37"/>
      <c r="F35" s="37"/>
      <c r="G35" s="37"/>
      <c r="H35" s="37"/>
      <c r="I35" s="32"/>
    </row>
    <row r="36" spans="1:9" x14ac:dyDescent="0.25">
      <c r="A36" s="32"/>
      <c r="B36" s="37"/>
      <c r="C36" s="37"/>
      <c r="D36" s="37"/>
      <c r="E36" s="37"/>
      <c r="F36" s="37"/>
      <c r="G36" s="37"/>
      <c r="H36" s="37"/>
      <c r="I36" s="32"/>
    </row>
    <row r="37" spans="1:9" x14ac:dyDescent="0.25">
      <c r="A37" s="32"/>
      <c r="B37" s="37"/>
      <c r="C37" s="37"/>
      <c r="D37" s="37"/>
      <c r="E37" s="37"/>
      <c r="F37" s="37"/>
      <c r="G37" s="37"/>
      <c r="H37" s="37"/>
      <c r="I37" s="32"/>
    </row>
    <row r="38" spans="1:9" x14ac:dyDescent="0.25">
      <c r="A38" s="32"/>
      <c r="B38" s="37"/>
      <c r="C38" s="37"/>
      <c r="D38" s="37"/>
      <c r="E38" s="37"/>
      <c r="F38" s="37"/>
      <c r="G38" s="37"/>
      <c r="H38" s="37"/>
      <c r="I38" s="32"/>
    </row>
    <row r="39" spans="1:9" x14ac:dyDescent="0.25">
      <c r="A39" s="32"/>
      <c r="B39" s="37"/>
      <c r="C39" s="37"/>
      <c r="D39" s="37"/>
      <c r="E39" s="37"/>
      <c r="F39" s="37"/>
      <c r="G39" s="37"/>
      <c r="H39" s="37"/>
      <c r="I39" s="32"/>
    </row>
    <row r="40" spans="1:9" x14ac:dyDescent="0.25">
      <c r="A40" s="32"/>
      <c r="B40" s="37"/>
      <c r="C40" s="37"/>
      <c r="D40" s="37"/>
      <c r="E40" s="37"/>
      <c r="F40" s="37"/>
      <c r="G40" s="37"/>
      <c r="H40" s="37"/>
      <c r="I40" s="32"/>
    </row>
    <row r="41" spans="1:9" x14ac:dyDescent="0.25">
      <c r="A41" s="32"/>
      <c r="B41" s="37"/>
      <c r="C41" s="37"/>
      <c r="D41" s="37"/>
      <c r="E41" s="37"/>
      <c r="F41" s="37"/>
      <c r="G41" s="37"/>
      <c r="H41" s="37"/>
      <c r="I41" s="32"/>
    </row>
    <row r="42" spans="1:9" x14ac:dyDescent="0.25">
      <c r="A42" s="32"/>
      <c r="B42" s="37"/>
      <c r="C42" s="37"/>
      <c r="D42" s="37"/>
      <c r="E42" s="37"/>
      <c r="F42" s="37"/>
      <c r="G42" s="37"/>
      <c r="H42" s="37"/>
      <c r="I42" s="32"/>
    </row>
    <row r="43" spans="1:9" x14ac:dyDescent="0.25">
      <c r="A43" s="32"/>
      <c r="B43" s="37"/>
      <c r="C43" s="37"/>
      <c r="D43" s="37"/>
      <c r="E43" s="37"/>
      <c r="F43" s="37"/>
      <c r="G43" s="37"/>
      <c r="H43" s="37"/>
      <c r="I43" s="32"/>
    </row>
    <row r="44" spans="1:9" x14ac:dyDescent="0.25">
      <c r="A44" s="32"/>
      <c r="B44" s="37"/>
      <c r="C44" s="37"/>
      <c r="D44" s="37"/>
      <c r="E44" s="37"/>
      <c r="F44" s="37"/>
      <c r="G44" s="37"/>
      <c r="H44" s="37"/>
      <c r="I44" s="32"/>
    </row>
    <row r="45" spans="1:9" x14ac:dyDescent="0.25">
      <c r="A45" s="32"/>
      <c r="B45" s="37"/>
      <c r="C45" s="37"/>
      <c r="D45" s="37"/>
      <c r="E45" s="37"/>
      <c r="F45" s="37"/>
      <c r="G45" s="37"/>
      <c r="H45" s="37"/>
      <c r="I45" s="32"/>
    </row>
    <row r="46" spans="1:9" x14ac:dyDescent="0.25">
      <c r="A46" s="32"/>
      <c r="B46" s="37"/>
      <c r="C46" s="37"/>
      <c r="D46" s="37"/>
      <c r="E46" s="37"/>
      <c r="F46" s="37"/>
      <c r="G46" s="37"/>
      <c r="H46" s="37"/>
      <c r="I46" s="32"/>
    </row>
    <row r="47" spans="1:9" x14ac:dyDescent="0.25">
      <c r="A47" s="32"/>
      <c r="B47" s="37"/>
      <c r="C47" s="37"/>
      <c r="D47" s="37"/>
      <c r="E47" s="37"/>
      <c r="F47" s="37"/>
      <c r="G47" s="37"/>
      <c r="H47" s="37"/>
      <c r="I47" s="32"/>
    </row>
    <row r="48" spans="1:9" x14ac:dyDescent="0.25">
      <c r="A48" s="32"/>
      <c r="B48" s="37"/>
      <c r="C48" s="37"/>
      <c r="D48" s="37"/>
      <c r="E48" s="37"/>
      <c r="F48" s="37"/>
      <c r="G48" s="37"/>
      <c r="H48" s="37"/>
      <c r="I48" s="32"/>
    </row>
    <row r="49" spans="1:9" x14ac:dyDescent="0.25">
      <c r="A49" s="32"/>
      <c r="B49" s="37"/>
      <c r="C49" s="37"/>
      <c r="D49" s="37"/>
      <c r="E49" s="37"/>
      <c r="F49" s="37"/>
      <c r="G49" s="37"/>
      <c r="H49" s="37"/>
      <c r="I49" s="32"/>
    </row>
    <row r="50" spans="1:9" x14ac:dyDescent="0.25">
      <c r="A50" s="32"/>
      <c r="B50" s="37"/>
      <c r="C50" s="37"/>
      <c r="D50" s="37"/>
      <c r="E50" s="37"/>
      <c r="F50" s="37"/>
      <c r="G50" s="37"/>
      <c r="H50" s="37"/>
      <c r="I50" s="32"/>
    </row>
    <row r="51" spans="1:9" x14ac:dyDescent="0.25">
      <c r="A51" s="32"/>
      <c r="B51" s="37"/>
      <c r="C51" s="37"/>
      <c r="D51" s="37"/>
      <c r="E51" s="37"/>
      <c r="F51" s="37"/>
      <c r="G51" s="37"/>
      <c r="H51" s="37"/>
      <c r="I51" s="32"/>
    </row>
    <row r="52" spans="1:9" x14ac:dyDescent="0.25">
      <c r="A52" s="32"/>
      <c r="B52" s="37"/>
      <c r="C52" s="37"/>
      <c r="D52" s="37"/>
      <c r="E52" s="37"/>
      <c r="F52" s="37"/>
      <c r="G52" s="37"/>
      <c r="H52" s="37"/>
      <c r="I52" s="32"/>
    </row>
    <row r="53" spans="1:9" x14ac:dyDescent="0.25">
      <c r="A53" s="32"/>
      <c r="B53" s="37"/>
      <c r="C53" s="37"/>
      <c r="D53" s="37"/>
      <c r="E53" s="37"/>
      <c r="F53" s="37"/>
      <c r="G53" s="37"/>
      <c r="H53" s="37"/>
      <c r="I53" s="32"/>
    </row>
    <row r="54" spans="1:9" x14ac:dyDescent="0.25">
      <c r="A54" s="32"/>
      <c r="B54" s="37"/>
      <c r="C54" s="37"/>
      <c r="D54" s="37"/>
      <c r="E54" s="37"/>
      <c r="F54" s="37"/>
      <c r="G54" s="37"/>
      <c r="H54" s="37"/>
      <c r="I54" s="32"/>
    </row>
    <row r="55" spans="1:9" x14ac:dyDescent="0.25">
      <c r="A55" s="32"/>
      <c r="B55" s="37"/>
      <c r="C55" s="37"/>
      <c r="D55" s="37"/>
      <c r="E55" s="37"/>
      <c r="F55" s="37"/>
      <c r="G55" s="37"/>
      <c r="H55" s="37"/>
      <c r="I55" s="32"/>
    </row>
    <row r="56" spans="1:9" x14ac:dyDescent="0.25">
      <c r="A56" s="32"/>
      <c r="B56" s="37"/>
      <c r="C56" s="37"/>
      <c r="D56" s="37"/>
      <c r="E56" s="37"/>
      <c r="F56" s="37"/>
      <c r="G56" s="37"/>
      <c r="H56" s="37"/>
      <c r="I56" s="32"/>
    </row>
    <row r="57" spans="1:9" x14ac:dyDescent="0.25">
      <c r="A57" s="32"/>
      <c r="B57" s="37"/>
      <c r="C57" s="37"/>
      <c r="D57" s="37"/>
      <c r="E57" s="37"/>
      <c r="F57" s="37"/>
      <c r="G57" s="37"/>
      <c r="H57" s="37"/>
      <c r="I57" s="32"/>
    </row>
    <row r="58" spans="1:9" x14ac:dyDescent="0.25">
      <c r="A58" s="32"/>
      <c r="B58" s="37"/>
      <c r="C58" s="37"/>
      <c r="D58" s="37"/>
      <c r="E58" s="37"/>
      <c r="F58" s="37"/>
      <c r="G58" s="37"/>
      <c r="H58" s="37"/>
      <c r="I58" s="32"/>
    </row>
    <row r="59" spans="1:9" x14ac:dyDescent="0.25">
      <c r="A59" s="32"/>
      <c r="B59" s="37"/>
      <c r="C59" s="37"/>
      <c r="D59" s="37"/>
      <c r="E59" s="37"/>
      <c r="F59" s="37"/>
      <c r="G59" s="37"/>
      <c r="H59" s="37"/>
      <c r="I59" s="32"/>
    </row>
    <row r="60" spans="1:9" x14ac:dyDescent="0.25">
      <c r="A60" s="32"/>
      <c r="B60" s="37"/>
      <c r="C60" s="37"/>
      <c r="D60" s="37"/>
      <c r="E60" s="37"/>
      <c r="F60" s="37"/>
      <c r="G60" s="37"/>
      <c r="H60" s="37"/>
      <c r="I60" s="32"/>
    </row>
    <row r="61" spans="1:9" x14ac:dyDescent="0.25">
      <c r="A61" s="32"/>
      <c r="B61" s="37"/>
      <c r="C61" s="37"/>
      <c r="D61" s="37"/>
      <c r="E61" s="37"/>
      <c r="F61" s="37"/>
      <c r="G61" s="37"/>
      <c r="H61" s="37"/>
      <c r="I61" s="32"/>
    </row>
    <row r="62" spans="1:9" x14ac:dyDescent="0.25">
      <c r="A62" s="32"/>
      <c r="B62" s="37"/>
      <c r="C62" s="37"/>
      <c r="D62" s="37"/>
      <c r="E62" s="37"/>
      <c r="F62" s="37"/>
      <c r="G62" s="37"/>
      <c r="H62" s="37"/>
      <c r="I62" s="32"/>
    </row>
    <row r="63" spans="1:9" x14ac:dyDescent="0.25">
      <c r="A63" s="32"/>
      <c r="B63" s="37"/>
      <c r="C63" s="37"/>
      <c r="D63" s="37"/>
      <c r="E63" s="37"/>
      <c r="F63" s="37"/>
      <c r="G63" s="37"/>
      <c r="H63" s="37"/>
      <c r="I63" s="32"/>
    </row>
    <row r="64" spans="1:9" x14ac:dyDescent="0.25">
      <c r="A64" s="32"/>
      <c r="B64" s="37"/>
      <c r="C64" s="37"/>
      <c r="D64" s="37"/>
      <c r="E64" s="37"/>
      <c r="F64" s="37"/>
      <c r="G64" s="37"/>
      <c r="H64" s="37"/>
      <c r="I64" s="32"/>
    </row>
    <row r="65" spans="1:9" x14ac:dyDescent="0.25">
      <c r="A65" s="32"/>
      <c r="B65" s="37"/>
      <c r="C65" s="37"/>
      <c r="D65" s="37"/>
      <c r="E65" s="37"/>
      <c r="F65" s="37"/>
      <c r="G65" s="37"/>
      <c r="H65" s="37"/>
      <c r="I65" s="32"/>
    </row>
    <row r="66" spans="1:9" x14ac:dyDescent="0.25">
      <c r="A66" s="32"/>
      <c r="B66" s="37"/>
      <c r="C66" s="37"/>
      <c r="D66" s="37"/>
      <c r="E66" s="37"/>
      <c r="F66" s="37"/>
      <c r="G66" s="37"/>
      <c r="H66" s="37"/>
      <c r="I66" s="32"/>
    </row>
    <row r="67" spans="1:9" x14ac:dyDescent="0.25">
      <c r="A67" s="32"/>
      <c r="B67" s="37"/>
      <c r="C67" s="37"/>
      <c r="D67" s="37"/>
      <c r="E67" s="37"/>
      <c r="F67" s="37"/>
      <c r="G67" s="37"/>
      <c r="H67" s="37"/>
      <c r="I67" s="32"/>
    </row>
    <row r="68" spans="1:9" x14ac:dyDescent="0.25">
      <c r="A68" s="32"/>
      <c r="B68" s="37"/>
      <c r="C68" s="37"/>
      <c r="D68" s="37"/>
      <c r="E68" s="37"/>
      <c r="F68" s="37"/>
      <c r="G68" s="37"/>
      <c r="H68" s="37"/>
      <c r="I68" s="32"/>
    </row>
    <row r="69" spans="1:9" x14ac:dyDescent="0.25">
      <c r="A69" s="32"/>
      <c r="B69" s="37"/>
      <c r="C69" s="37"/>
      <c r="D69" s="37"/>
      <c r="E69" s="37"/>
      <c r="F69" s="37"/>
      <c r="G69" s="37"/>
      <c r="H69" s="37"/>
      <c r="I69" s="32"/>
    </row>
    <row r="70" spans="1:9" x14ac:dyDescent="0.25">
      <c r="A70" s="32"/>
      <c r="B70" s="37"/>
      <c r="C70" s="37"/>
      <c r="D70" s="37"/>
      <c r="E70" s="37"/>
      <c r="F70" s="37"/>
      <c r="G70" s="37"/>
      <c r="H70" s="37"/>
      <c r="I70" s="32"/>
    </row>
    <row r="71" spans="1:9" x14ac:dyDescent="0.25">
      <c r="A71" s="32"/>
      <c r="B71" s="37"/>
      <c r="C71" s="37"/>
      <c r="D71" s="37"/>
      <c r="E71" s="37"/>
      <c r="F71" s="37"/>
      <c r="G71" s="37"/>
      <c r="H71" s="37"/>
      <c r="I71" s="32"/>
    </row>
    <row r="72" spans="1:9" x14ac:dyDescent="0.25">
      <c r="A72" s="32"/>
      <c r="B72" s="37"/>
      <c r="C72" s="37"/>
      <c r="D72" s="37"/>
      <c r="E72" s="37"/>
      <c r="F72" s="37"/>
      <c r="G72" s="37"/>
      <c r="H72" s="37"/>
      <c r="I72" s="32"/>
    </row>
    <row r="73" spans="1:9" x14ac:dyDescent="0.25">
      <c r="A73" s="32"/>
      <c r="B73" s="37"/>
      <c r="C73" s="37"/>
      <c r="D73" s="37"/>
      <c r="E73" s="37"/>
      <c r="F73" s="37"/>
      <c r="G73" s="37"/>
      <c r="H73" s="37"/>
      <c r="I73" s="32"/>
    </row>
    <row r="74" spans="1:9" x14ac:dyDescent="0.25">
      <c r="A74" s="32"/>
      <c r="B74" s="37"/>
      <c r="C74" s="37"/>
      <c r="D74" s="37"/>
      <c r="E74" s="37"/>
      <c r="F74" s="37"/>
      <c r="G74" s="37"/>
      <c r="H74" s="37"/>
      <c r="I74" s="32"/>
    </row>
    <row r="75" spans="1:9" x14ac:dyDescent="0.25">
      <c r="A75" s="32"/>
      <c r="B75" s="37"/>
      <c r="C75" s="37"/>
      <c r="D75" s="37"/>
      <c r="E75" s="37"/>
      <c r="F75" s="37"/>
      <c r="G75" s="37"/>
      <c r="H75" s="37"/>
      <c r="I75" s="32"/>
    </row>
    <row r="76" spans="1:9" x14ac:dyDescent="0.25">
      <c r="A76" s="32"/>
      <c r="B76" s="37"/>
      <c r="C76" s="37"/>
      <c r="D76" s="37"/>
      <c r="E76" s="37"/>
      <c r="F76" s="37"/>
      <c r="G76" s="37"/>
      <c r="H76" s="37"/>
      <c r="I76" s="32"/>
    </row>
    <row r="77" spans="1:9" x14ac:dyDescent="0.25">
      <c r="A77" s="32"/>
      <c r="B77" s="37"/>
      <c r="C77" s="37"/>
      <c r="D77" s="37"/>
      <c r="E77" s="37"/>
      <c r="F77" s="37"/>
      <c r="G77" s="37"/>
      <c r="H77" s="37"/>
      <c r="I77" s="32"/>
    </row>
    <row r="78" spans="1:9" x14ac:dyDescent="0.25">
      <c r="A78" s="32"/>
      <c r="B78" s="37"/>
      <c r="C78" s="37"/>
      <c r="D78" s="37"/>
      <c r="E78" s="37"/>
      <c r="F78" s="37"/>
      <c r="G78" s="37"/>
      <c r="H78" s="37"/>
      <c r="I78" s="32"/>
    </row>
    <row r="79" spans="1:9" x14ac:dyDescent="0.25">
      <c r="A79" s="32"/>
      <c r="B79" s="37"/>
      <c r="C79" s="37"/>
      <c r="D79" s="37"/>
      <c r="E79" s="37"/>
      <c r="F79" s="37"/>
      <c r="G79" s="37"/>
      <c r="H79" s="37"/>
      <c r="I79" s="32"/>
    </row>
    <row r="80" spans="1:9" x14ac:dyDescent="0.25">
      <c r="A80" s="32"/>
      <c r="B80" s="37"/>
      <c r="C80" s="37"/>
      <c r="D80" s="37"/>
      <c r="E80" s="37"/>
      <c r="F80" s="37"/>
      <c r="G80" s="37"/>
      <c r="H80" s="37"/>
      <c r="I80" s="32"/>
    </row>
    <row r="81" spans="1:9" x14ac:dyDescent="0.25">
      <c r="A81" s="32"/>
      <c r="B81" s="37"/>
      <c r="C81" s="37"/>
      <c r="D81" s="37"/>
      <c r="E81" s="37"/>
      <c r="F81" s="37"/>
      <c r="G81" s="37"/>
      <c r="H81" s="37"/>
      <c r="I81" s="32"/>
    </row>
    <row r="82" spans="1:9" x14ac:dyDescent="0.25">
      <c r="A82" s="32"/>
      <c r="B82" s="37"/>
      <c r="C82" s="37"/>
      <c r="D82" s="37"/>
      <c r="E82" s="37"/>
      <c r="F82" s="37"/>
      <c r="G82" s="37"/>
      <c r="H82" s="37"/>
      <c r="I82" s="32"/>
    </row>
    <row r="83" spans="1:9" x14ac:dyDescent="0.25">
      <c r="A83" s="32"/>
      <c r="B83" s="37"/>
      <c r="C83" s="37"/>
      <c r="D83" s="37"/>
      <c r="E83" s="37"/>
      <c r="F83" s="37"/>
      <c r="G83" s="37"/>
      <c r="H83" s="37"/>
      <c r="I83" s="32"/>
    </row>
    <row r="84" spans="1:9" x14ac:dyDescent="0.25">
      <c r="A84" s="32"/>
      <c r="B84" s="37"/>
      <c r="C84" s="37"/>
      <c r="D84" s="37"/>
      <c r="E84" s="37"/>
      <c r="F84" s="37"/>
      <c r="G84" s="37"/>
      <c r="H84" s="37"/>
      <c r="I84" s="32"/>
    </row>
    <row r="85" spans="1:9" x14ac:dyDescent="0.25">
      <c r="A85" s="32"/>
      <c r="B85" s="37"/>
      <c r="C85" s="37"/>
      <c r="D85" s="37"/>
      <c r="E85" s="37"/>
      <c r="F85" s="37"/>
      <c r="G85" s="37"/>
      <c r="H85" s="37"/>
      <c r="I85" s="32"/>
    </row>
    <row r="86" spans="1:9" x14ac:dyDescent="0.25">
      <c r="A86" s="32"/>
      <c r="B86" s="37"/>
      <c r="C86" s="37"/>
      <c r="D86" s="37"/>
      <c r="E86" s="37"/>
      <c r="F86" s="37"/>
      <c r="G86" s="37"/>
      <c r="H86" s="37"/>
      <c r="I86" s="32"/>
    </row>
    <row r="87" spans="1:9" x14ac:dyDescent="0.25">
      <c r="A87" s="32"/>
      <c r="B87" s="37"/>
      <c r="C87" s="37"/>
      <c r="D87" s="37"/>
      <c r="E87" s="37"/>
      <c r="F87" s="37"/>
      <c r="G87" s="37"/>
      <c r="H87" s="37"/>
      <c r="I87" s="32"/>
    </row>
    <row r="88" spans="1:9" x14ac:dyDescent="0.25">
      <c r="A88" s="32"/>
      <c r="B88" s="37"/>
      <c r="C88" s="37"/>
      <c r="D88" s="37"/>
      <c r="E88" s="37"/>
      <c r="F88" s="37"/>
      <c r="G88" s="37"/>
      <c r="H88" s="37"/>
      <c r="I88" s="32"/>
    </row>
    <row r="89" spans="1:9" x14ac:dyDescent="0.25">
      <c r="A89" s="32"/>
      <c r="B89" s="37"/>
      <c r="C89" s="37"/>
      <c r="D89" s="37"/>
      <c r="E89" s="37"/>
      <c r="F89" s="37"/>
      <c r="G89" s="37"/>
      <c r="H89" s="37"/>
      <c r="I89" s="32"/>
    </row>
    <row r="90" spans="1:9" x14ac:dyDescent="0.25">
      <c r="A90" s="32"/>
      <c r="B90" s="37"/>
      <c r="C90" s="37"/>
      <c r="D90" s="37"/>
      <c r="E90" s="37"/>
      <c r="F90" s="37"/>
      <c r="G90" s="37"/>
      <c r="H90" s="37"/>
      <c r="I90" s="32"/>
    </row>
    <row r="91" spans="1:9" x14ac:dyDescent="0.25">
      <c r="A91" s="32"/>
      <c r="B91" s="37"/>
      <c r="C91" s="37"/>
      <c r="D91" s="37"/>
      <c r="E91" s="37"/>
      <c r="F91" s="37"/>
      <c r="G91" s="37"/>
      <c r="H91" s="37"/>
      <c r="I91" s="32"/>
    </row>
    <row r="92" spans="1:9" x14ac:dyDescent="0.25">
      <c r="A92" s="32"/>
      <c r="B92" s="37"/>
      <c r="C92" s="37"/>
      <c r="D92" s="37"/>
      <c r="E92" s="37"/>
      <c r="F92" s="37"/>
      <c r="G92" s="37"/>
      <c r="H92" s="37"/>
      <c r="I92" s="32"/>
    </row>
    <row r="93" spans="1:9" x14ac:dyDescent="0.25">
      <c r="A93" s="32"/>
      <c r="B93" s="37"/>
      <c r="C93" s="37"/>
      <c r="D93" s="37"/>
      <c r="E93" s="37"/>
      <c r="F93" s="37"/>
      <c r="G93" s="37"/>
      <c r="H93" s="37"/>
      <c r="I93" s="32"/>
    </row>
    <row r="94" spans="1:9" x14ac:dyDescent="0.25">
      <c r="A94" s="32"/>
      <c r="B94" s="37"/>
      <c r="C94" s="37"/>
      <c r="D94" s="37"/>
      <c r="E94" s="37"/>
      <c r="F94" s="37"/>
      <c r="G94" s="37"/>
      <c r="H94" s="37"/>
      <c r="I94" s="32"/>
    </row>
    <row r="95" spans="1:9" x14ac:dyDescent="0.25">
      <c r="A95" s="32"/>
      <c r="B95" s="37"/>
      <c r="C95" s="37"/>
      <c r="D95" s="37"/>
      <c r="E95" s="37"/>
      <c r="F95" s="37"/>
      <c r="G95" s="37"/>
      <c r="H95" s="37"/>
      <c r="I95" s="32"/>
    </row>
    <row r="96" spans="1:9" x14ac:dyDescent="0.25">
      <c r="A96" s="32"/>
      <c r="B96" s="37"/>
      <c r="C96" s="37"/>
      <c r="D96" s="37"/>
      <c r="E96" s="37"/>
      <c r="F96" s="37"/>
      <c r="G96" s="37"/>
      <c r="H96" s="37"/>
      <c r="I96" s="32"/>
    </row>
    <row r="97" spans="1:9" x14ac:dyDescent="0.25">
      <c r="A97" s="32"/>
      <c r="B97" s="37"/>
      <c r="C97" s="37"/>
      <c r="D97" s="37"/>
      <c r="E97" s="37"/>
      <c r="F97" s="37"/>
      <c r="G97" s="37"/>
      <c r="H97" s="37"/>
      <c r="I97" s="32"/>
    </row>
    <row r="98" spans="1:9" x14ac:dyDescent="0.25">
      <c r="A98" s="32"/>
      <c r="B98" s="37"/>
      <c r="C98" s="37"/>
      <c r="D98" s="37"/>
      <c r="E98" s="37"/>
      <c r="F98" s="37"/>
      <c r="G98" s="37"/>
      <c r="H98" s="37"/>
      <c r="I98" s="32"/>
    </row>
    <row r="99" spans="1:9" x14ac:dyDescent="0.25">
      <c r="A99" s="32"/>
      <c r="B99" s="37"/>
      <c r="C99" s="37"/>
      <c r="D99" s="37"/>
      <c r="E99" s="37"/>
      <c r="F99" s="37"/>
      <c r="G99" s="37"/>
      <c r="H99" s="37"/>
      <c r="I99" s="32"/>
    </row>
    <row r="100" spans="1:9" x14ac:dyDescent="0.25">
      <c r="A100" s="32"/>
      <c r="B100" s="37"/>
      <c r="C100" s="37"/>
      <c r="D100" s="37"/>
      <c r="E100" s="37"/>
      <c r="F100" s="37"/>
      <c r="G100" s="37"/>
      <c r="H100" s="37"/>
      <c r="I100" s="32"/>
    </row>
    <row r="101" spans="1:9" x14ac:dyDescent="0.25">
      <c r="A101" s="32"/>
      <c r="B101" s="37"/>
      <c r="C101" s="37"/>
      <c r="D101" s="37"/>
      <c r="E101" s="37"/>
      <c r="F101" s="37"/>
      <c r="G101" s="37"/>
      <c r="H101" s="37"/>
      <c r="I101" s="32"/>
    </row>
    <row r="102" spans="1:9" x14ac:dyDescent="0.25">
      <c r="A102" s="32"/>
      <c r="B102" s="37"/>
      <c r="C102" s="37"/>
      <c r="D102" s="37"/>
      <c r="E102" s="37"/>
      <c r="F102" s="37"/>
      <c r="G102" s="37"/>
      <c r="H102" s="37"/>
      <c r="I102" s="32"/>
    </row>
    <row r="103" spans="1:9" x14ac:dyDescent="0.25">
      <c r="A103" s="32"/>
      <c r="B103" s="37"/>
      <c r="C103" s="37"/>
      <c r="D103" s="37"/>
      <c r="E103" s="37"/>
      <c r="F103" s="37"/>
      <c r="G103" s="37"/>
      <c r="H103" s="37"/>
      <c r="I103" s="32"/>
    </row>
    <row r="104" spans="1:9" x14ac:dyDescent="0.25">
      <c r="A104" s="32"/>
      <c r="B104" s="37"/>
      <c r="C104" s="37"/>
      <c r="D104" s="37"/>
      <c r="E104" s="37"/>
      <c r="F104" s="37"/>
      <c r="G104" s="37"/>
      <c r="H104" s="37"/>
      <c r="I104" s="32"/>
    </row>
    <row r="105" spans="1:9" x14ac:dyDescent="0.25">
      <c r="A105" s="32"/>
      <c r="B105" s="37"/>
      <c r="C105" s="37"/>
      <c r="D105" s="37"/>
      <c r="E105" s="37"/>
      <c r="F105" s="37"/>
      <c r="G105" s="37"/>
      <c r="H105" s="37"/>
      <c r="I105" s="32"/>
    </row>
    <row r="106" spans="1:9" x14ac:dyDescent="0.25">
      <c r="A106" s="32"/>
      <c r="B106" s="37"/>
      <c r="C106" s="37"/>
      <c r="D106" s="37"/>
      <c r="E106" s="37"/>
      <c r="F106" s="37"/>
      <c r="G106" s="37"/>
      <c r="H106" s="37"/>
      <c r="I106" s="32"/>
    </row>
    <row r="107" spans="1:9" x14ac:dyDescent="0.25">
      <c r="A107" s="32"/>
      <c r="B107" s="37"/>
      <c r="C107" s="37"/>
      <c r="D107" s="37"/>
      <c r="E107" s="37"/>
      <c r="F107" s="37"/>
      <c r="G107" s="37"/>
      <c r="H107" s="37"/>
      <c r="I107" s="32"/>
    </row>
    <row r="108" spans="1:9" x14ac:dyDescent="0.25">
      <c r="A108" s="32"/>
      <c r="B108" s="37"/>
      <c r="C108" s="37"/>
      <c r="D108" s="37"/>
      <c r="E108" s="37"/>
      <c r="F108" s="37"/>
      <c r="G108" s="37"/>
      <c r="H108" s="37"/>
      <c r="I108" s="32"/>
    </row>
    <row r="109" spans="1:9" x14ac:dyDescent="0.25">
      <c r="A109" s="32"/>
      <c r="B109" s="37"/>
      <c r="C109" s="37"/>
      <c r="D109" s="37"/>
      <c r="E109" s="37"/>
      <c r="F109" s="37"/>
      <c r="G109" s="37"/>
      <c r="H109" s="37"/>
      <c r="I109" s="32"/>
    </row>
    <row r="110" spans="1:9" x14ac:dyDescent="0.25">
      <c r="A110" s="32"/>
      <c r="B110" s="37"/>
      <c r="C110" s="37"/>
      <c r="D110" s="37"/>
      <c r="E110" s="37"/>
      <c r="F110" s="37"/>
      <c r="G110" s="37"/>
      <c r="H110" s="37"/>
      <c r="I110" s="32"/>
    </row>
    <row r="111" spans="1:9" x14ac:dyDescent="0.25">
      <c r="A111" s="32"/>
      <c r="B111" s="37"/>
      <c r="C111" s="37"/>
      <c r="D111" s="37"/>
      <c r="E111" s="37"/>
      <c r="F111" s="37"/>
      <c r="G111" s="37"/>
      <c r="H111" s="37"/>
      <c r="I111" s="32"/>
    </row>
    <row r="112" spans="1:9" x14ac:dyDescent="0.25">
      <c r="A112" s="32"/>
      <c r="B112" s="37"/>
      <c r="C112" s="37"/>
      <c r="D112" s="37"/>
      <c r="E112" s="37"/>
      <c r="F112" s="37"/>
      <c r="G112" s="37"/>
      <c r="H112" s="37"/>
      <c r="I112" s="32"/>
    </row>
    <row r="113" spans="1:9" x14ac:dyDescent="0.25">
      <c r="A113" s="32"/>
      <c r="B113" s="37"/>
      <c r="C113" s="37"/>
      <c r="D113" s="37"/>
      <c r="E113" s="37"/>
      <c r="F113" s="37"/>
      <c r="G113" s="37"/>
      <c r="H113" s="37"/>
      <c r="I113" s="32"/>
    </row>
    <row r="114" spans="1:9" x14ac:dyDescent="0.25">
      <c r="A114" s="32"/>
      <c r="B114" s="37"/>
      <c r="C114" s="37"/>
      <c r="D114" s="37"/>
      <c r="E114" s="37"/>
      <c r="F114" s="37"/>
      <c r="G114" s="37"/>
      <c r="H114" s="37"/>
      <c r="I114" s="32"/>
    </row>
    <row r="115" spans="1:9" x14ac:dyDescent="0.25">
      <c r="A115" s="32"/>
      <c r="B115" s="37"/>
      <c r="C115" s="37"/>
      <c r="D115" s="37"/>
      <c r="E115" s="37"/>
      <c r="F115" s="37"/>
      <c r="G115" s="37"/>
      <c r="H115" s="37"/>
      <c r="I115" s="32"/>
    </row>
    <row r="116" spans="1:9" x14ac:dyDescent="0.25">
      <c r="A116" s="32"/>
      <c r="B116" s="37"/>
      <c r="C116" s="37"/>
      <c r="D116" s="37"/>
      <c r="E116" s="37"/>
      <c r="F116" s="37"/>
      <c r="G116" s="37"/>
      <c r="H116" s="37"/>
      <c r="I116" s="32"/>
    </row>
    <row r="117" spans="1:9" x14ac:dyDescent="0.25">
      <c r="A117" s="32"/>
      <c r="B117" s="37"/>
      <c r="C117" s="37"/>
      <c r="D117" s="37"/>
      <c r="E117" s="37"/>
      <c r="F117" s="37"/>
      <c r="G117" s="37"/>
      <c r="H117" s="37"/>
      <c r="I117" s="32"/>
    </row>
    <row r="118" spans="1:9" x14ac:dyDescent="0.25">
      <c r="A118" s="32"/>
      <c r="B118" s="37"/>
      <c r="C118" s="37"/>
      <c r="D118" s="37"/>
      <c r="E118" s="37"/>
      <c r="F118" s="37"/>
      <c r="G118" s="37"/>
      <c r="H118" s="37"/>
      <c r="I118" s="32"/>
    </row>
    <row r="119" spans="1:9" x14ac:dyDescent="0.25">
      <c r="A119" s="32"/>
      <c r="B119" s="37"/>
      <c r="C119" s="37"/>
      <c r="D119" s="37"/>
      <c r="E119" s="37"/>
      <c r="F119" s="37"/>
      <c r="G119" s="37"/>
      <c r="H119" s="37"/>
      <c r="I119" s="32"/>
    </row>
    <row r="120" spans="1:9" x14ac:dyDescent="0.25">
      <c r="A120" s="32"/>
      <c r="B120" s="37"/>
      <c r="C120" s="37"/>
      <c r="D120" s="37"/>
      <c r="E120" s="37"/>
      <c r="F120" s="37"/>
      <c r="G120" s="37"/>
      <c r="H120" s="37"/>
      <c r="I120" s="32"/>
    </row>
    <row r="121" spans="1:9" x14ac:dyDescent="0.25">
      <c r="A121" s="32"/>
      <c r="B121" s="37"/>
      <c r="C121" s="37"/>
      <c r="D121" s="37"/>
      <c r="E121" s="37"/>
      <c r="F121" s="37"/>
      <c r="G121" s="37"/>
      <c r="H121" s="37"/>
      <c r="I121" s="32"/>
    </row>
    <row r="122" spans="1:9" x14ac:dyDescent="0.25">
      <c r="A122" s="32"/>
      <c r="B122" s="37"/>
      <c r="C122" s="37"/>
      <c r="D122" s="37"/>
      <c r="E122" s="37"/>
      <c r="F122" s="37"/>
      <c r="G122" s="37"/>
      <c r="H122" s="37"/>
      <c r="I122" s="32"/>
    </row>
    <row r="123" spans="1:9" x14ac:dyDescent="0.25">
      <c r="A123" s="32"/>
      <c r="B123" s="37"/>
      <c r="C123" s="37"/>
      <c r="D123" s="37"/>
      <c r="E123" s="37"/>
      <c r="F123" s="37"/>
      <c r="G123" s="37"/>
      <c r="H123" s="37"/>
      <c r="I123" s="32"/>
    </row>
    <row r="124" spans="1:9" x14ac:dyDescent="0.25">
      <c r="A124" s="32"/>
      <c r="B124" s="37"/>
      <c r="C124" s="37"/>
      <c r="D124" s="37"/>
      <c r="E124" s="37"/>
      <c r="F124" s="37"/>
      <c r="G124" s="37"/>
      <c r="H124" s="37"/>
      <c r="I124" s="32"/>
    </row>
    <row r="125" spans="1:9" x14ac:dyDescent="0.25">
      <c r="A125" s="32"/>
      <c r="B125" s="37"/>
      <c r="C125" s="37"/>
      <c r="D125" s="37"/>
      <c r="E125" s="37"/>
      <c r="F125" s="37"/>
      <c r="G125" s="37"/>
      <c r="H125" s="37"/>
      <c r="I125" s="32"/>
    </row>
    <row r="126" spans="1:9" x14ac:dyDescent="0.25">
      <c r="A126" s="32"/>
      <c r="B126" s="37"/>
      <c r="C126" s="37"/>
      <c r="D126" s="37"/>
      <c r="E126" s="37"/>
      <c r="F126" s="37"/>
      <c r="G126" s="37"/>
      <c r="H126" s="37"/>
      <c r="I126" s="32"/>
    </row>
    <row r="127" spans="1:9" x14ac:dyDescent="0.25">
      <c r="A127" s="32"/>
      <c r="B127" s="37"/>
      <c r="C127" s="37"/>
      <c r="D127" s="37"/>
      <c r="E127" s="37"/>
      <c r="F127" s="37"/>
      <c r="G127" s="37"/>
      <c r="H127" s="37"/>
      <c r="I127" s="32"/>
    </row>
    <row r="128" spans="1:9" x14ac:dyDescent="0.25">
      <c r="A128" s="32"/>
      <c r="B128" s="37"/>
      <c r="C128" s="37"/>
      <c r="D128" s="37"/>
      <c r="E128" s="37"/>
      <c r="F128" s="37"/>
      <c r="G128" s="37"/>
      <c r="H128" s="37"/>
      <c r="I128" s="32"/>
    </row>
    <row r="129" spans="1:9" x14ac:dyDescent="0.25">
      <c r="A129" s="32"/>
      <c r="B129" s="37"/>
      <c r="C129" s="37"/>
      <c r="D129" s="37"/>
      <c r="E129" s="37"/>
      <c r="F129" s="37"/>
      <c r="G129" s="37"/>
      <c r="H129" s="37"/>
      <c r="I129" s="32"/>
    </row>
    <row r="130" spans="1:9" x14ac:dyDescent="0.25">
      <c r="A130" s="32"/>
      <c r="B130" s="37"/>
      <c r="C130" s="37"/>
      <c r="D130" s="37"/>
      <c r="E130" s="37"/>
      <c r="F130" s="37"/>
      <c r="G130" s="37"/>
      <c r="H130" s="37"/>
      <c r="I130" s="32"/>
    </row>
    <row r="131" spans="1:9" x14ac:dyDescent="0.25">
      <c r="A131" s="32"/>
      <c r="B131" s="37"/>
      <c r="C131" s="37"/>
      <c r="D131" s="37"/>
      <c r="E131" s="37"/>
      <c r="F131" s="37"/>
      <c r="G131" s="37"/>
      <c r="H131" s="37"/>
      <c r="I131" s="32"/>
    </row>
    <row r="132" spans="1:9" x14ac:dyDescent="0.25">
      <c r="A132" s="32"/>
      <c r="B132" s="37"/>
      <c r="C132" s="37"/>
      <c r="D132" s="37"/>
      <c r="E132" s="37"/>
      <c r="F132" s="37"/>
      <c r="G132" s="37"/>
      <c r="H132" s="37"/>
      <c r="I132" s="32"/>
    </row>
    <row r="133" spans="1:9" x14ac:dyDescent="0.25">
      <c r="A133" s="32"/>
      <c r="B133" s="37"/>
      <c r="C133" s="37"/>
      <c r="D133" s="37"/>
      <c r="E133" s="37"/>
      <c r="F133" s="37"/>
      <c r="G133" s="37"/>
      <c r="H133" s="37"/>
      <c r="I133" s="32"/>
    </row>
    <row r="134" spans="1:9" x14ac:dyDescent="0.25">
      <c r="A134" s="32"/>
      <c r="B134" s="37"/>
      <c r="C134" s="37"/>
      <c r="D134" s="37"/>
      <c r="E134" s="37"/>
      <c r="F134" s="37"/>
      <c r="G134" s="37"/>
      <c r="H134" s="37"/>
      <c r="I134" s="32"/>
    </row>
    <row r="135" spans="1:9" x14ac:dyDescent="0.25">
      <c r="A135" s="32"/>
      <c r="B135" s="37"/>
      <c r="C135" s="37"/>
      <c r="D135" s="37"/>
      <c r="E135" s="37"/>
      <c r="F135" s="37"/>
      <c r="G135" s="37"/>
      <c r="H135" s="37"/>
      <c r="I135" s="32"/>
    </row>
    <row r="136" spans="1:9" x14ac:dyDescent="0.25">
      <c r="A136" s="32"/>
      <c r="B136" s="37"/>
      <c r="C136" s="37"/>
      <c r="D136" s="37"/>
      <c r="E136" s="37"/>
      <c r="F136" s="37"/>
      <c r="G136" s="37"/>
      <c r="H136" s="37"/>
      <c r="I136" s="32"/>
    </row>
    <row r="137" spans="1:9" x14ac:dyDescent="0.25">
      <c r="A137" s="32"/>
      <c r="B137" s="37"/>
      <c r="C137" s="37"/>
      <c r="D137" s="37"/>
      <c r="E137" s="37"/>
      <c r="F137" s="37"/>
      <c r="G137" s="37"/>
      <c r="H137" s="37"/>
      <c r="I137" s="32"/>
    </row>
    <row r="138" spans="1:9" x14ac:dyDescent="0.25">
      <c r="A138" s="32"/>
      <c r="B138" s="37"/>
      <c r="C138" s="37"/>
      <c r="D138" s="37"/>
      <c r="E138" s="37"/>
      <c r="F138" s="37"/>
      <c r="G138" s="37"/>
      <c r="H138" s="37"/>
      <c r="I138" s="32"/>
    </row>
    <row r="139" spans="1:9" x14ac:dyDescent="0.25">
      <c r="A139" s="32"/>
      <c r="B139" s="37"/>
      <c r="C139" s="37"/>
      <c r="D139" s="37"/>
      <c r="E139" s="37"/>
      <c r="F139" s="37"/>
      <c r="G139" s="37"/>
      <c r="H139" s="37"/>
      <c r="I139" s="32"/>
    </row>
    <row r="140" spans="1:9" x14ac:dyDescent="0.25">
      <c r="A140" s="32"/>
      <c r="B140" s="37"/>
      <c r="C140" s="37"/>
      <c r="D140" s="37"/>
      <c r="E140" s="37"/>
      <c r="F140" s="37"/>
      <c r="G140" s="37"/>
      <c r="H140" s="37"/>
      <c r="I140" s="32"/>
    </row>
    <row r="141" spans="1:9" x14ac:dyDescent="0.25">
      <c r="A141" s="32"/>
      <c r="B141" s="37"/>
      <c r="C141" s="37"/>
      <c r="D141" s="37"/>
      <c r="E141" s="37"/>
      <c r="F141" s="37"/>
      <c r="G141" s="37"/>
      <c r="H141" s="37"/>
      <c r="I141" s="32"/>
    </row>
    <row r="142" spans="1:9" x14ac:dyDescent="0.25">
      <c r="A142" s="32"/>
      <c r="B142" s="37"/>
      <c r="C142" s="37"/>
      <c r="D142" s="37"/>
      <c r="E142" s="37"/>
      <c r="F142" s="37"/>
      <c r="G142" s="37"/>
      <c r="H142" s="37"/>
      <c r="I142" s="32"/>
    </row>
    <row r="143" spans="1:9" x14ac:dyDescent="0.25">
      <c r="A143" s="32"/>
      <c r="B143" s="37"/>
      <c r="C143" s="37"/>
      <c r="D143" s="37"/>
      <c r="E143" s="37"/>
      <c r="F143" s="37"/>
      <c r="G143" s="37"/>
      <c r="H143" s="37"/>
      <c r="I143" s="32"/>
    </row>
    <row r="144" spans="1:9" x14ac:dyDescent="0.25">
      <c r="A144" s="32"/>
      <c r="B144" s="37"/>
      <c r="C144" s="37"/>
      <c r="D144" s="37"/>
      <c r="E144" s="37"/>
      <c r="F144" s="37"/>
      <c r="G144" s="37"/>
      <c r="H144" s="37"/>
      <c r="I144" s="32"/>
    </row>
    <row r="145" spans="1:9" x14ac:dyDescent="0.25">
      <c r="A145" s="32"/>
      <c r="B145" s="37"/>
      <c r="C145" s="37"/>
      <c r="D145" s="37"/>
      <c r="E145" s="37"/>
      <c r="F145" s="37"/>
      <c r="G145" s="37"/>
      <c r="H145" s="37"/>
      <c r="I145" s="32"/>
    </row>
    <row r="146" spans="1:9" x14ac:dyDescent="0.25">
      <c r="A146" s="32"/>
      <c r="B146" s="37"/>
      <c r="C146" s="37"/>
      <c r="D146" s="37"/>
      <c r="E146" s="37"/>
      <c r="F146" s="37"/>
      <c r="G146" s="37"/>
      <c r="H146" s="37"/>
      <c r="I146" s="32"/>
    </row>
    <row r="147" spans="1:9" x14ac:dyDescent="0.25">
      <c r="A147" s="32"/>
      <c r="B147" s="37"/>
      <c r="C147" s="37"/>
      <c r="D147" s="37"/>
      <c r="E147" s="37"/>
      <c r="F147" s="37"/>
      <c r="G147" s="37"/>
      <c r="H147" s="37"/>
      <c r="I147" s="32"/>
    </row>
    <row r="148" spans="1:9" x14ac:dyDescent="0.25">
      <c r="A148" s="32"/>
      <c r="B148" s="37"/>
      <c r="C148" s="37"/>
      <c r="D148" s="37"/>
      <c r="E148" s="37"/>
      <c r="F148" s="37"/>
      <c r="G148" s="37"/>
      <c r="H148" s="37"/>
      <c r="I148" s="32"/>
    </row>
    <row r="149" spans="1:9" x14ac:dyDescent="0.25">
      <c r="A149" s="32"/>
      <c r="B149" s="37"/>
      <c r="C149" s="37"/>
      <c r="D149" s="37"/>
      <c r="E149" s="37"/>
      <c r="F149" s="37"/>
      <c r="G149" s="37"/>
      <c r="H149" s="37"/>
      <c r="I149" s="32"/>
    </row>
    <row r="150" spans="1:9" x14ac:dyDescent="0.25">
      <c r="A150" s="32"/>
      <c r="B150" s="37"/>
      <c r="C150" s="37"/>
      <c r="D150" s="37"/>
      <c r="E150" s="37"/>
      <c r="F150" s="37"/>
      <c r="G150" s="37"/>
      <c r="H150" s="37"/>
      <c r="I150" s="32"/>
    </row>
    <row r="151" spans="1:9" x14ac:dyDescent="0.25">
      <c r="A151" s="32"/>
      <c r="B151" s="37"/>
      <c r="C151" s="37"/>
      <c r="D151" s="37"/>
      <c r="E151" s="37"/>
      <c r="F151" s="37"/>
      <c r="G151" s="37"/>
      <c r="H151" s="37"/>
      <c r="I151" s="32"/>
    </row>
    <row r="152" spans="1:9" x14ac:dyDescent="0.25">
      <c r="A152" s="32"/>
      <c r="B152" s="37"/>
      <c r="C152" s="37"/>
      <c r="D152" s="37"/>
      <c r="E152" s="37"/>
      <c r="F152" s="37"/>
      <c r="G152" s="37"/>
      <c r="H152" s="37"/>
      <c r="I152" s="32"/>
    </row>
    <row r="153" spans="1:9" x14ac:dyDescent="0.25">
      <c r="A153" s="32"/>
      <c r="B153" s="37"/>
      <c r="C153" s="37"/>
      <c r="D153" s="37"/>
      <c r="E153" s="37"/>
      <c r="F153" s="37"/>
      <c r="G153" s="37"/>
      <c r="H153" s="37"/>
      <c r="I153" s="32"/>
    </row>
    <row r="154" spans="1:9" x14ac:dyDescent="0.25">
      <c r="A154" s="32"/>
      <c r="B154" s="37"/>
      <c r="C154" s="37"/>
      <c r="D154" s="37"/>
      <c r="E154" s="37"/>
      <c r="F154" s="37"/>
      <c r="G154" s="37"/>
      <c r="H154" s="37"/>
      <c r="I154" s="32"/>
    </row>
    <row r="155" spans="1:9" x14ac:dyDescent="0.25">
      <c r="A155" s="32"/>
      <c r="B155" s="37"/>
      <c r="C155" s="37"/>
      <c r="D155" s="37"/>
      <c r="E155" s="37"/>
      <c r="F155" s="37"/>
      <c r="G155" s="37"/>
      <c r="H155" s="37"/>
      <c r="I155" s="32"/>
    </row>
    <row r="156" spans="1:9" x14ac:dyDescent="0.25">
      <c r="A156" s="32"/>
      <c r="B156" s="37"/>
      <c r="C156" s="37"/>
      <c r="D156" s="37"/>
      <c r="E156" s="37"/>
      <c r="F156" s="37"/>
      <c r="G156" s="37"/>
      <c r="H156" s="37"/>
      <c r="I156" s="32"/>
    </row>
    <row r="157" spans="1:9" x14ac:dyDescent="0.25">
      <c r="A157" s="32"/>
      <c r="B157" s="37"/>
      <c r="C157" s="37"/>
      <c r="D157" s="37"/>
      <c r="E157" s="37"/>
      <c r="F157" s="37"/>
      <c r="G157" s="37"/>
      <c r="H157" s="37"/>
      <c r="I157" s="32"/>
    </row>
    <row r="158" spans="1:9" x14ac:dyDescent="0.25">
      <c r="A158" s="32"/>
      <c r="B158" s="37"/>
      <c r="C158" s="37"/>
      <c r="D158" s="37"/>
      <c r="E158" s="37"/>
      <c r="F158" s="37"/>
      <c r="G158" s="37"/>
      <c r="H158" s="37"/>
      <c r="I158" s="32"/>
    </row>
    <row r="159" spans="1:9" x14ac:dyDescent="0.25">
      <c r="A159" s="32"/>
      <c r="B159" s="37"/>
      <c r="C159" s="37"/>
      <c r="D159" s="37"/>
      <c r="E159" s="37"/>
      <c r="F159" s="37"/>
      <c r="G159" s="37"/>
      <c r="H159" s="37"/>
      <c r="I159" s="32"/>
    </row>
    <row r="160" spans="1:9" x14ac:dyDescent="0.25">
      <c r="A160" s="32"/>
      <c r="B160" s="37"/>
      <c r="C160" s="37"/>
      <c r="D160" s="37"/>
      <c r="E160" s="37"/>
      <c r="F160" s="37"/>
      <c r="G160" s="37"/>
      <c r="H160" s="37"/>
      <c r="I160" s="32"/>
    </row>
    <row r="161" spans="1:9" x14ac:dyDescent="0.25">
      <c r="A161" s="32"/>
      <c r="B161" s="37"/>
      <c r="C161" s="37"/>
      <c r="D161" s="37"/>
      <c r="E161" s="37"/>
      <c r="F161" s="37"/>
      <c r="G161" s="37"/>
      <c r="H161" s="37"/>
      <c r="I161" s="32"/>
    </row>
    <row r="162" spans="1:9" x14ac:dyDescent="0.25">
      <c r="A162" s="32"/>
      <c r="B162" s="37"/>
      <c r="C162" s="37"/>
      <c r="D162" s="37"/>
      <c r="E162" s="37"/>
      <c r="F162" s="37"/>
      <c r="G162" s="37"/>
      <c r="H162" s="37"/>
      <c r="I162" s="32"/>
    </row>
    <row r="163" spans="1:9" x14ac:dyDescent="0.25">
      <c r="A163" s="32"/>
      <c r="B163" s="37"/>
      <c r="C163" s="37"/>
      <c r="D163" s="37"/>
      <c r="E163" s="37"/>
      <c r="F163" s="37"/>
      <c r="G163" s="37"/>
      <c r="H163" s="37"/>
      <c r="I163" s="32"/>
    </row>
    <row r="164" spans="1:9" x14ac:dyDescent="0.25">
      <c r="A164" s="32"/>
      <c r="B164" s="37"/>
      <c r="C164" s="37"/>
      <c r="D164" s="37"/>
      <c r="E164" s="37"/>
      <c r="F164" s="37"/>
      <c r="G164" s="37"/>
      <c r="H164" s="37"/>
      <c r="I164" s="32"/>
    </row>
    <row r="165" spans="1:9" x14ac:dyDescent="0.25">
      <c r="A165" s="32"/>
      <c r="B165" s="37"/>
      <c r="C165" s="37"/>
      <c r="D165" s="37"/>
      <c r="E165" s="37"/>
      <c r="F165" s="37"/>
      <c r="G165" s="37"/>
      <c r="H165" s="37"/>
      <c r="I165" s="32"/>
    </row>
    <row r="166" spans="1:9" x14ac:dyDescent="0.25">
      <c r="A166" s="32"/>
      <c r="B166" s="37"/>
      <c r="C166" s="37"/>
      <c r="D166" s="37"/>
      <c r="E166" s="37"/>
      <c r="F166" s="37"/>
      <c r="G166" s="37"/>
      <c r="H166" s="37"/>
      <c r="I166" s="32"/>
    </row>
    <row r="167" spans="1:9" x14ac:dyDescent="0.25">
      <c r="A167" s="32"/>
      <c r="B167" s="37"/>
      <c r="C167" s="37"/>
      <c r="D167" s="37"/>
      <c r="E167" s="37"/>
      <c r="F167" s="37"/>
      <c r="G167" s="37"/>
      <c r="H167" s="37"/>
      <c r="I167" s="32"/>
    </row>
    <row r="168" spans="1:9" x14ac:dyDescent="0.25">
      <c r="A168" s="32"/>
      <c r="B168" s="37"/>
      <c r="C168" s="37"/>
      <c r="D168" s="37"/>
      <c r="E168" s="37"/>
      <c r="F168" s="37"/>
      <c r="G168" s="37"/>
      <c r="H168" s="37"/>
      <c r="I168" s="32"/>
    </row>
    <row r="169" spans="1:9" x14ac:dyDescent="0.25">
      <c r="A169" s="32"/>
      <c r="B169" s="37"/>
      <c r="C169" s="37"/>
      <c r="D169" s="37"/>
      <c r="E169" s="37"/>
      <c r="F169" s="37"/>
      <c r="G169" s="37"/>
      <c r="H169" s="37"/>
      <c r="I169" s="32"/>
    </row>
    <row r="170" spans="1:9" x14ac:dyDescent="0.25">
      <c r="A170" s="32"/>
      <c r="B170" s="37"/>
      <c r="C170" s="37"/>
      <c r="D170" s="37"/>
      <c r="E170" s="37"/>
      <c r="F170" s="37"/>
      <c r="G170" s="37"/>
      <c r="H170" s="37"/>
      <c r="I170" s="32"/>
    </row>
    <row r="171" spans="1:9" x14ac:dyDescent="0.25">
      <c r="A171" s="32"/>
      <c r="B171" s="37"/>
      <c r="C171" s="37"/>
      <c r="D171" s="37"/>
      <c r="E171" s="37"/>
      <c r="F171" s="37"/>
      <c r="G171" s="37"/>
      <c r="H171" s="37"/>
      <c r="I171" s="32"/>
    </row>
    <row r="172" spans="1:9" x14ac:dyDescent="0.25">
      <c r="A172" s="32"/>
      <c r="B172" s="37"/>
      <c r="C172" s="37"/>
      <c r="D172" s="37"/>
      <c r="E172" s="37"/>
      <c r="F172" s="37"/>
      <c r="G172" s="37"/>
      <c r="H172" s="37"/>
      <c r="I172" s="32"/>
    </row>
    <row r="173" spans="1:9" x14ac:dyDescent="0.25">
      <c r="A173" s="32"/>
      <c r="B173" s="37"/>
      <c r="C173" s="37"/>
      <c r="D173" s="37"/>
      <c r="E173" s="37"/>
      <c r="F173" s="37"/>
      <c r="G173" s="37"/>
      <c r="H173" s="37"/>
      <c r="I173" s="32"/>
    </row>
    <row r="174" spans="1:9" x14ac:dyDescent="0.25">
      <c r="A174" s="32"/>
      <c r="B174" s="37"/>
      <c r="C174" s="37"/>
      <c r="D174" s="37"/>
      <c r="E174" s="37"/>
      <c r="F174" s="37"/>
      <c r="G174" s="37"/>
      <c r="H174" s="37"/>
      <c r="I174" s="32"/>
    </row>
    <row r="175" spans="1:9" x14ac:dyDescent="0.25">
      <c r="A175" s="32"/>
      <c r="B175" s="37"/>
      <c r="C175" s="37"/>
      <c r="D175" s="37"/>
      <c r="E175" s="37"/>
      <c r="F175" s="37"/>
      <c r="G175" s="37"/>
      <c r="H175" s="37"/>
      <c r="I175" s="32"/>
    </row>
    <row r="176" spans="1:9" x14ac:dyDescent="0.25">
      <c r="A176" s="32"/>
      <c r="B176" s="37"/>
      <c r="C176" s="37"/>
      <c r="D176" s="37"/>
      <c r="E176" s="37"/>
      <c r="F176" s="37"/>
      <c r="G176" s="37"/>
      <c r="H176" s="37"/>
      <c r="I176" s="32"/>
    </row>
    <row r="177" spans="1:9" x14ac:dyDescent="0.25">
      <c r="A177" s="32"/>
      <c r="B177" s="37"/>
      <c r="C177" s="37"/>
      <c r="D177" s="37"/>
      <c r="E177" s="37"/>
      <c r="F177" s="37"/>
      <c r="G177" s="37"/>
      <c r="H177" s="37"/>
      <c r="I177" s="32"/>
    </row>
    <row r="178" spans="1:9" x14ac:dyDescent="0.25">
      <c r="A178" s="32"/>
      <c r="B178" s="37"/>
      <c r="C178" s="37"/>
      <c r="D178" s="37"/>
      <c r="E178" s="37"/>
      <c r="F178" s="37"/>
      <c r="G178" s="37"/>
      <c r="H178" s="37"/>
      <c r="I178" s="32"/>
    </row>
    <row r="179" spans="1:9" x14ac:dyDescent="0.25">
      <c r="A179" s="32"/>
      <c r="B179" s="37"/>
      <c r="C179" s="37"/>
      <c r="D179" s="37"/>
      <c r="E179" s="37"/>
      <c r="F179" s="37"/>
      <c r="G179" s="37"/>
      <c r="H179" s="37"/>
      <c r="I179" s="32"/>
    </row>
    <row r="180" spans="1:9" x14ac:dyDescent="0.25">
      <c r="A180" s="32"/>
      <c r="B180" s="37"/>
      <c r="C180" s="37"/>
      <c r="D180" s="37"/>
      <c r="E180" s="37"/>
      <c r="F180" s="37"/>
      <c r="G180" s="37"/>
      <c r="H180" s="37"/>
      <c r="I180" s="32"/>
    </row>
    <row r="181" spans="1:9" x14ac:dyDescent="0.25">
      <c r="A181" s="32"/>
      <c r="B181" s="37"/>
      <c r="C181" s="37"/>
      <c r="D181" s="37"/>
      <c r="E181" s="37"/>
      <c r="F181" s="37"/>
      <c r="G181" s="37"/>
      <c r="H181" s="37"/>
      <c r="I181" s="32"/>
    </row>
    <row r="182" spans="1:9" x14ac:dyDescent="0.25">
      <c r="A182" s="32"/>
      <c r="B182" s="37"/>
      <c r="C182" s="37"/>
      <c r="D182" s="37"/>
      <c r="E182" s="37"/>
      <c r="F182" s="37"/>
      <c r="G182" s="37"/>
      <c r="H182" s="37"/>
      <c r="I182" s="32"/>
    </row>
    <row r="183" spans="1:9" x14ac:dyDescent="0.25">
      <c r="A183" s="32"/>
      <c r="B183" s="37"/>
      <c r="C183" s="37"/>
      <c r="D183" s="37"/>
      <c r="E183" s="37"/>
      <c r="F183" s="37"/>
      <c r="G183" s="37"/>
      <c r="H183" s="37"/>
      <c r="I183" s="32"/>
    </row>
    <row r="184" spans="1:9" x14ac:dyDescent="0.25">
      <c r="A184" s="32"/>
      <c r="B184" s="37"/>
      <c r="C184" s="37"/>
      <c r="D184" s="37"/>
      <c r="E184" s="37"/>
      <c r="F184" s="37"/>
      <c r="G184" s="37"/>
      <c r="H184" s="37"/>
      <c r="I184" s="32"/>
    </row>
    <row r="185" spans="1:9" x14ac:dyDescent="0.25">
      <c r="A185" s="32"/>
      <c r="B185" s="37"/>
      <c r="C185" s="37"/>
      <c r="D185" s="37"/>
      <c r="E185" s="37"/>
      <c r="F185" s="37"/>
      <c r="G185" s="37"/>
      <c r="H185" s="37"/>
      <c r="I185" s="32"/>
    </row>
    <row r="186" spans="1:9" x14ac:dyDescent="0.25">
      <c r="A186" s="32"/>
      <c r="B186" s="37"/>
      <c r="C186" s="37"/>
      <c r="D186" s="37"/>
      <c r="E186" s="37"/>
      <c r="F186" s="37"/>
      <c r="G186" s="37"/>
      <c r="H186" s="37"/>
      <c r="I186" s="32"/>
    </row>
    <row r="187" spans="1:9" x14ac:dyDescent="0.25">
      <c r="A187" s="32"/>
      <c r="B187" s="37"/>
      <c r="C187" s="37"/>
      <c r="D187" s="37"/>
      <c r="E187" s="37"/>
      <c r="F187" s="37"/>
      <c r="G187" s="37"/>
      <c r="H187" s="37"/>
      <c r="I187" s="32"/>
    </row>
    <row r="188" spans="1:9" x14ac:dyDescent="0.25">
      <c r="A188" s="32"/>
      <c r="B188" s="37"/>
      <c r="C188" s="37"/>
      <c r="D188" s="37"/>
      <c r="E188" s="37"/>
      <c r="F188" s="37"/>
      <c r="G188" s="37"/>
      <c r="H188" s="37"/>
      <c r="I188" s="32"/>
    </row>
    <row r="189" spans="1:9" x14ac:dyDescent="0.25">
      <c r="A189" s="32"/>
      <c r="B189" s="37"/>
      <c r="C189" s="37"/>
      <c r="D189" s="37"/>
      <c r="E189" s="37"/>
      <c r="F189" s="37"/>
      <c r="G189" s="37"/>
      <c r="H189" s="37"/>
      <c r="I189" s="32"/>
    </row>
    <row r="190" spans="1:9" x14ac:dyDescent="0.25">
      <c r="A190" s="32"/>
      <c r="B190" s="37"/>
      <c r="C190" s="37"/>
      <c r="D190" s="37"/>
      <c r="E190" s="37"/>
      <c r="F190" s="37"/>
      <c r="G190" s="37"/>
      <c r="H190" s="37"/>
      <c r="I190" s="32"/>
    </row>
    <row r="191" spans="1:9" x14ac:dyDescent="0.25">
      <c r="A191" s="32"/>
      <c r="B191" s="37"/>
      <c r="C191" s="37"/>
      <c r="D191" s="37"/>
      <c r="E191" s="37"/>
      <c r="F191" s="37"/>
      <c r="G191" s="37"/>
      <c r="H191" s="37"/>
      <c r="I191" s="32"/>
    </row>
    <row r="192" spans="1:9" x14ac:dyDescent="0.25">
      <c r="A192" s="32"/>
      <c r="B192" s="37"/>
      <c r="C192" s="37"/>
      <c r="D192" s="37"/>
      <c r="E192" s="37"/>
      <c r="F192" s="37"/>
      <c r="G192" s="37"/>
      <c r="H192" s="37"/>
      <c r="I192" s="32"/>
    </row>
    <row r="193" spans="1:9" x14ac:dyDescent="0.25">
      <c r="A193" s="32"/>
      <c r="B193" s="37"/>
      <c r="C193" s="37"/>
      <c r="D193" s="37"/>
      <c r="E193" s="37"/>
      <c r="F193" s="37"/>
      <c r="G193" s="37"/>
      <c r="H193" s="37"/>
      <c r="I193" s="32"/>
    </row>
    <row r="194" spans="1:9" x14ac:dyDescent="0.25">
      <c r="A194" s="32"/>
      <c r="B194" s="37"/>
      <c r="C194" s="37"/>
      <c r="D194" s="37"/>
      <c r="E194" s="37"/>
      <c r="F194" s="37"/>
      <c r="G194" s="37"/>
      <c r="H194" s="37"/>
      <c r="I194" s="32"/>
    </row>
    <row r="195" spans="1:9" x14ac:dyDescent="0.25">
      <c r="A195" s="32"/>
      <c r="B195" s="37"/>
      <c r="C195" s="37"/>
      <c r="D195" s="37"/>
      <c r="E195" s="37"/>
      <c r="F195" s="37"/>
      <c r="G195" s="37"/>
      <c r="H195" s="37"/>
      <c r="I195" s="32"/>
    </row>
    <row r="196" spans="1:9" x14ac:dyDescent="0.25">
      <c r="A196" s="32"/>
      <c r="B196" s="37"/>
      <c r="C196" s="37"/>
      <c r="D196" s="37"/>
      <c r="E196" s="37"/>
      <c r="F196" s="37"/>
      <c r="G196" s="37"/>
      <c r="H196" s="37"/>
      <c r="I196" s="32"/>
    </row>
    <row r="197" spans="1:9" x14ac:dyDescent="0.25">
      <c r="A197" s="32"/>
      <c r="B197" s="37"/>
      <c r="C197" s="37"/>
      <c r="D197" s="37"/>
      <c r="E197" s="37"/>
      <c r="F197" s="37"/>
      <c r="G197" s="37"/>
      <c r="H197" s="37"/>
      <c r="I197" s="32"/>
    </row>
    <row r="198" spans="1:9" x14ac:dyDescent="0.25">
      <c r="A198" s="32"/>
      <c r="B198" s="37"/>
      <c r="C198" s="37"/>
      <c r="D198" s="37"/>
      <c r="E198" s="37"/>
      <c r="F198" s="37"/>
      <c r="G198" s="37"/>
      <c r="H198" s="37"/>
      <c r="I198" s="32"/>
    </row>
    <row r="199" spans="1:9" x14ac:dyDescent="0.25">
      <c r="A199" s="32"/>
      <c r="B199" s="37"/>
      <c r="C199" s="37"/>
      <c r="D199" s="37"/>
      <c r="E199" s="37"/>
      <c r="F199" s="37"/>
      <c r="G199" s="37"/>
      <c r="H199" s="37"/>
      <c r="I199" s="32"/>
    </row>
    <row r="200" spans="1:9" x14ac:dyDescent="0.25">
      <c r="A200" s="32"/>
      <c r="B200" s="37"/>
      <c r="C200" s="37"/>
      <c r="D200" s="37"/>
      <c r="E200" s="37"/>
      <c r="F200" s="37"/>
      <c r="G200" s="37"/>
      <c r="H200" s="37"/>
      <c r="I200" s="32"/>
    </row>
    <row r="201" spans="1:9" x14ac:dyDescent="0.25">
      <c r="A201" s="32"/>
      <c r="B201" s="37"/>
      <c r="C201" s="37"/>
      <c r="D201" s="37"/>
      <c r="E201" s="37"/>
      <c r="F201" s="37"/>
      <c r="G201" s="37"/>
      <c r="H201" s="37"/>
      <c r="I201" s="32"/>
    </row>
    <row r="202" spans="1:9" x14ac:dyDescent="0.25">
      <c r="A202" s="32"/>
      <c r="B202" s="37"/>
      <c r="C202" s="37"/>
      <c r="D202" s="37"/>
      <c r="E202" s="37"/>
      <c r="F202" s="37"/>
      <c r="G202" s="37"/>
      <c r="H202" s="37"/>
      <c r="I202" s="32"/>
    </row>
    <row r="203" spans="1:9" x14ac:dyDescent="0.25">
      <c r="A203" s="32"/>
      <c r="B203" s="37"/>
      <c r="C203" s="37"/>
      <c r="D203" s="37"/>
      <c r="E203" s="37"/>
      <c r="F203" s="37"/>
      <c r="G203" s="37"/>
      <c r="H203" s="37"/>
      <c r="I203" s="32"/>
    </row>
    <row r="204" spans="1:9" x14ac:dyDescent="0.25">
      <c r="A204" s="32"/>
      <c r="B204" s="37"/>
      <c r="C204" s="37"/>
      <c r="D204" s="37"/>
      <c r="E204" s="37"/>
      <c r="F204" s="37"/>
      <c r="G204" s="37"/>
      <c r="H204" s="37"/>
      <c r="I204" s="32"/>
    </row>
    <row r="205" spans="1:9" x14ac:dyDescent="0.25">
      <c r="A205" s="32"/>
      <c r="B205" s="37"/>
      <c r="C205" s="37"/>
      <c r="D205" s="37"/>
      <c r="E205" s="37"/>
      <c r="F205" s="37"/>
      <c r="G205" s="37"/>
      <c r="H205" s="37"/>
      <c r="I205" s="32"/>
    </row>
    <row r="206" spans="1:9" x14ac:dyDescent="0.25">
      <c r="A206" s="32"/>
      <c r="B206" s="37"/>
      <c r="C206" s="37"/>
      <c r="D206" s="37"/>
      <c r="E206" s="37"/>
      <c r="F206" s="37"/>
      <c r="G206" s="37"/>
      <c r="H206" s="37"/>
      <c r="I206" s="32"/>
    </row>
    <row r="207" spans="1:9" x14ac:dyDescent="0.25">
      <c r="A207" s="32"/>
      <c r="B207" s="37"/>
      <c r="C207" s="37"/>
      <c r="D207" s="37"/>
      <c r="E207" s="37"/>
      <c r="F207" s="37"/>
      <c r="G207" s="37"/>
      <c r="H207" s="37"/>
      <c r="I207" s="32"/>
    </row>
    <row r="208" spans="1:9" x14ac:dyDescent="0.25">
      <c r="A208" s="32"/>
      <c r="B208" s="37"/>
      <c r="C208" s="37"/>
      <c r="D208" s="37"/>
      <c r="E208" s="37"/>
      <c r="F208" s="37"/>
      <c r="G208" s="37"/>
      <c r="H208" s="37"/>
      <c r="I208" s="32"/>
    </row>
    <row r="209" spans="1:9" x14ac:dyDescent="0.25">
      <c r="A209" s="32"/>
      <c r="B209" s="37"/>
      <c r="C209" s="37"/>
      <c r="D209" s="37"/>
      <c r="E209" s="37"/>
      <c r="F209" s="37"/>
      <c r="G209" s="37"/>
      <c r="H209" s="37"/>
      <c r="I209" s="32"/>
    </row>
    <row r="210" spans="1:9" x14ac:dyDescent="0.25">
      <c r="A210" s="32"/>
      <c r="B210" s="37"/>
      <c r="C210" s="37"/>
      <c r="D210" s="37"/>
      <c r="E210" s="37"/>
      <c r="F210" s="37"/>
      <c r="G210" s="37"/>
      <c r="H210" s="37"/>
      <c r="I210" s="32"/>
    </row>
    <row r="211" spans="1:9" x14ac:dyDescent="0.25">
      <c r="A211" s="32"/>
      <c r="B211" s="37"/>
      <c r="C211" s="37"/>
      <c r="D211" s="37"/>
      <c r="E211" s="37"/>
      <c r="F211" s="37"/>
      <c r="G211" s="37"/>
      <c r="H211" s="37"/>
      <c r="I211" s="32"/>
    </row>
    <row r="212" spans="1:9" x14ac:dyDescent="0.25">
      <c r="A212" s="32"/>
      <c r="B212" s="37"/>
      <c r="C212" s="37"/>
      <c r="D212" s="37"/>
      <c r="E212" s="37"/>
      <c r="F212" s="37"/>
      <c r="G212" s="37"/>
      <c r="H212" s="37"/>
      <c r="I212" s="32"/>
    </row>
    <row r="213" spans="1:9" x14ac:dyDescent="0.25">
      <c r="A213" s="32"/>
      <c r="B213" s="37"/>
      <c r="C213" s="37"/>
      <c r="D213" s="37"/>
      <c r="E213" s="37"/>
      <c r="F213" s="37"/>
      <c r="G213" s="37"/>
      <c r="H213" s="37"/>
      <c r="I213" s="32"/>
    </row>
    <row r="214" spans="1:9" x14ac:dyDescent="0.25">
      <c r="A214" s="32"/>
      <c r="B214" s="37"/>
      <c r="C214" s="37"/>
      <c r="D214" s="37"/>
      <c r="E214" s="37"/>
      <c r="F214" s="37"/>
      <c r="G214" s="37"/>
      <c r="H214" s="37"/>
      <c r="I214" s="32"/>
    </row>
    <row r="215" spans="1:9" x14ac:dyDescent="0.25">
      <c r="A215" s="32"/>
      <c r="B215" s="37"/>
      <c r="C215" s="37"/>
      <c r="D215" s="37"/>
      <c r="E215" s="37"/>
      <c r="F215" s="37"/>
      <c r="G215" s="37"/>
      <c r="H215" s="37"/>
      <c r="I215" s="32"/>
    </row>
    <row r="216" spans="1:9" x14ac:dyDescent="0.25">
      <c r="A216" s="32"/>
      <c r="B216" s="37"/>
      <c r="C216" s="37"/>
      <c r="D216" s="37"/>
      <c r="E216" s="37"/>
      <c r="F216" s="37"/>
      <c r="G216" s="37"/>
      <c r="H216" s="37"/>
      <c r="I216" s="32"/>
    </row>
    <row r="217" spans="1:9" x14ac:dyDescent="0.25">
      <c r="A217" s="32"/>
      <c r="B217" s="37"/>
      <c r="C217" s="37"/>
      <c r="D217" s="37"/>
      <c r="E217" s="37"/>
      <c r="F217" s="37"/>
      <c r="G217" s="37"/>
      <c r="H217" s="37"/>
      <c r="I217" s="32"/>
    </row>
    <row r="218" spans="1:9" x14ac:dyDescent="0.25">
      <c r="A218" s="32"/>
      <c r="B218" s="37"/>
      <c r="C218" s="37"/>
      <c r="D218" s="37"/>
      <c r="E218" s="37"/>
      <c r="F218" s="37"/>
      <c r="G218" s="37"/>
      <c r="H218" s="37"/>
      <c r="I218" s="32"/>
    </row>
    <row r="219" spans="1:9" x14ac:dyDescent="0.25">
      <c r="A219" s="32"/>
      <c r="B219" s="37"/>
      <c r="C219" s="37"/>
      <c r="D219" s="37"/>
      <c r="E219" s="37"/>
      <c r="F219" s="37"/>
      <c r="G219" s="37"/>
      <c r="H219" s="37"/>
      <c r="I219" s="32"/>
    </row>
    <row r="220" spans="1:9" x14ac:dyDescent="0.25">
      <c r="A220" s="32"/>
      <c r="B220" s="37"/>
      <c r="C220" s="37"/>
      <c r="D220" s="37"/>
      <c r="E220" s="37"/>
      <c r="F220" s="37"/>
      <c r="G220" s="37"/>
      <c r="H220" s="37"/>
      <c r="I220" s="32"/>
    </row>
    <row r="221" spans="1:9" x14ac:dyDescent="0.25">
      <c r="A221" s="32"/>
      <c r="B221" s="37"/>
      <c r="C221" s="37"/>
      <c r="D221" s="37"/>
      <c r="E221" s="37"/>
      <c r="F221" s="37"/>
      <c r="G221" s="37"/>
      <c r="H221" s="37"/>
      <c r="I221" s="32"/>
    </row>
    <row r="222" spans="1:9" x14ac:dyDescent="0.25">
      <c r="A222" s="32"/>
      <c r="B222" s="37"/>
      <c r="C222" s="37"/>
      <c r="D222" s="37"/>
      <c r="E222" s="37"/>
      <c r="F222" s="37"/>
      <c r="G222" s="37"/>
      <c r="H222" s="37"/>
      <c r="I222" s="32"/>
    </row>
    <row r="223" spans="1:9" x14ac:dyDescent="0.25">
      <c r="A223" s="32"/>
      <c r="B223" s="37"/>
      <c r="C223" s="37"/>
      <c r="D223" s="37"/>
      <c r="E223" s="37"/>
      <c r="F223" s="37"/>
      <c r="G223" s="37"/>
      <c r="H223" s="37"/>
      <c r="I223" s="32"/>
    </row>
    <row r="224" spans="1:9" x14ac:dyDescent="0.25">
      <c r="A224" s="32"/>
      <c r="B224" s="37"/>
      <c r="C224" s="37"/>
      <c r="D224" s="37"/>
      <c r="E224" s="37"/>
      <c r="F224" s="37"/>
      <c r="G224" s="37"/>
      <c r="H224" s="37"/>
      <c r="I224" s="32"/>
    </row>
    <row r="225" spans="1:9" x14ac:dyDescent="0.25">
      <c r="A225" s="32"/>
      <c r="B225" s="37"/>
      <c r="C225" s="37"/>
      <c r="D225" s="37"/>
      <c r="E225" s="37"/>
      <c r="F225" s="37"/>
      <c r="G225" s="37"/>
      <c r="H225" s="37"/>
      <c r="I225" s="32"/>
    </row>
    <row r="226" spans="1:9" x14ac:dyDescent="0.25">
      <c r="A226" s="32"/>
      <c r="B226" s="37"/>
      <c r="C226" s="37"/>
      <c r="D226" s="37"/>
      <c r="E226" s="37"/>
      <c r="F226" s="37"/>
      <c r="G226" s="37"/>
      <c r="H226" s="37"/>
      <c r="I226" s="32"/>
    </row>
    <row r="227" spans="1:9" x14ac:dyDescent="0.25">
      <c r="A227" s="32"/>
      <c r="B227" s="37"/>
      <c r="C227" s="37"/>
      <c r="D227" s="37"/>
      <c r="E227" s="37"/>
      <c r="F227" s="37"/>
      <c r="G227" s="37"/>
      <c r="H227" s="37"/>
      <c r="I227" s="32"/>
    </row>
    <row r="228" spans="1:9" x14ac:dyDescent="0.25">
      <c r="A228" s="32"/>
      <c r="B228" s="37"/>
      <c r="C228" s="37"/>
      <c r="D228" s="37"/>
      <c r="E228" s="37"/>
      <c r="F228" s="37"/>
      <c r="G228" s="37"/>
      <c r="H228" s="37"/>
      <c r="I228" s="32"/>
    </row>
    <row r="229" spans="1:9" x14ac:dyDescent="0.25">
      <c r="A229" s="32"/>
      <c r="B229" s="37"/>
      <c r="C229" s="37"/>
      <c r="D229" s="37"/>
      <c r="E229" s="37"/>
      <c r="F229" s="37"/>
      <c r="G229" s="37"/>
      <c r="H229" s="37"/>
      <c r="I229" s="32"/>
    </row>
    <row r="230" spans="1:9" x14ac:dyDescent="0.25">
      <c r="A230" s="32"/>
      <c r="B230" s="37"/>
      <c r="C230" s="37"/>
      <c r="D230" s="37"/>
      <c r="E230" s="37"/>
      <c r="F230" s="37"/>
      <c r="G230" s="37"/>
      <c r="H230" s="37"/>
      <c r="I230" s="32"/>
    </row>
    <row r="231" spans="1:9" x14ac:dyDescent="0.25">
      <c r="A231" s="32"/>
      <c r="B231" s="37"/>
      <c r="C231" s="37"/>
      <c r="D231" s="37"/>
      <c r="E231" s="37"/>
      <c r="F231" s="37"/>
      <c r="G231" s="37"/>
      <c r="H231" s="37"/>
      <c r="I231" s="32"/>
    </row>
    <row r="232" spans="1:9" x14ac:dyDescent="0.25">
      <c r="A232" s="32"/>
      <c r="B232" s="37"/>
      <c r="C232" s="37"/>
      <c r="D232" s="37"/>
      <c r="E232" s="37"/>
      <c r="F232" s="37"/>
      <c r="G232" s="37"/>
      <c r="H232" s="37"/>
      <c r="I232" s="32"/>
    </row>
    <row r="233" spans="1:9" x14ac:dyDescent="0.25">
      <c r="A233" s="32"/>
      <c r="B233" s="37"/>
      <c r="C233" s="37"/>
      <c r="D233" s="37"/>
      <c r="E233" s="37"/>
      <c r="F233" s="37"/>
      <c r="G233" s="37"/>
      <c r="H233" s="37"/>
      <c r="I233" s="32"/>
    </row>
    <row r="234" spans="1:9" x14ac:dyDescent="0.25">
      <c r="A234" s="32"/>
      <c r="B234" s="37"/>
      <c r="C234" s="37"/>
      <c r="D234" s="37"/>
      <c r="E234" s="37"/>
      <c r="F234" s="37"/>
      <c r="G234" s="37"/>
      <c r="H234" s="37"/>
      <c r="I234" s="32"/>
    </row>
    <row r="235" spans="1:9" x14ac:dyDescent="0.25">
      <c r="A235" s="32"/>
      <c r="B235" s="37"/>
      <c r="C235" s="37"/>
      <c r="D235" s="37"/>
      <c r="E235" s="37"/>
      <c r="F235" s="37"/>
      <c r="G235" s="37"/>
      <c r="H235" s="37"/>
      <c r="I235" s="32"/>
    </row>
    <row r="236" spans="1:9" x14ac:dyDescent="0.25">
      <c r="A236" s="32"/>
      <c r="B236" s="37"/>
      <c r="C236" s="37"/>
      <c r="D236" s="37"/>
      <c r="E236" s="37"/>
      <c r="F236" s="37"/>
      <c r="G236" s="37"/>
      <c r="H236" s="37"/>
      <c r="I236" s="32"/>
    </row>
    <row r="237" spans="1:9" x14ac:dyDescent="0.25">
      <c r="A237" s="32"/>
      <c r="B237" s="37"/>
      <c r="C237" s="37"/>
      <c r="D237" s="37"/>
      <c r="E237" s="37"/>
      <c r="F237" s="37"/>
      <c r="G237" s="37"/>
      <c r="H237" s="37"/>
      <c r="I237" s="32"/>
    </row>
    <row r="238" spans="1:9" x14ac:dyDescent="0.25">
      <c r="A238" s="32"/>
      <c r="B238" s="37"/>
      <c r="C238" s="37"/>
      <c r="D238" s="37"/>
      <c r="E238" s="37"/>
      <c r="F238" s="37"/>
      <c r="G238" s="37"/>
      <c r="H238" s="37"/>
      <c r="I238" s="32"/>
    </row>
    <row r="239" spans="1:9" x14ac:dyDescent="0.25">
      <c r="A239" s="32"/>
      <c r="B239" s="37"/>
      <c r="C239" s="37"/>
      <c r="D239" s="37"/>
      <c r="E239" s="37"/>
      <c r="F239" s="37"/>
      <c r="G239" s="37"/>
      <c r="H239" s="37"/>
      <c r="I239" s="32"/>
    </row>
    <row r="240" spans="1:9" x14ac:dyDescent="0.25">
      <c r="A240" s="32"/>
      <c r="B240" s="37"/>
      <c r="C240" s="37"/>
      <c r="D240" s="37"/>
      <c r="E240" s="37"/>
      <c r="F240" s="37"/>
      <c r="G240" s="37"/>
      <c r="H240" s="37"/>
      <c r="I240" s="32"/>
    </row>
    <row r="241" spans="1:9" x14ac:dyDescent="0.25">
      <c r="A241" s="32"/>
      <c r="B241" s="37"/>
      <c r="C241" s="37"/>
      <c r="D241" s="37"/>
      <c r="E241" s="37"/>
      <c r="F241" s="37"/>
      <c r="G241" s="37"/>
      <c r="H241" s="37"/>
      <c r="I241" s="32"/>
    </row>
    <row r="242" spans="1:9" x14ac:dyDescent="0.25">
      <c r="A242" s="32"/>
      <c r="B242" s="37"/>
      <c r="C242" s="37"/>
      <c r="D242" s="37"/>
      <c r="E242" s="37"/>
      <c r="F242" s="37"/>
      <c r="G242" s="37"/>
      <c r="H242" s="37"/>
      <c r="I242" s="32"/>
    </row>
    <row r="243" spans="1:9" x14ac:dyDescent="0.25">
      <c r="A243" s="32"/>
      <c r="B243" s="37"/>
      <c r="C243" s="37"/>
      <c r="D243" s="37"/>
      <c r="E243" s="37"/>
      <c r="F243" s="37"/>
      <c r="G243" s="37"/>
      <c r="H243" s="37"/>
      <c r="I243" s="32"/>
    </row>
    <row r="244" spans="1:9" x14ac:dyDescent="0.25">
      <c r="A244" s="32"/>
      <c r="B244" s="37"/>
      <c r="C244" s="37"/>
      <c r="D244" s="37"/>
      <c r="E244" s="37"/>
      <c r="F244" s="37"/>
      <c r="G244" s="37"/>
      <c r="H244" s="37"/>
      <c r="I244" s="32"/>
    </row>
    <row r="245" spans="1:9" x14ac:dyDescent="0.25">
      <c r="A245" s="32"/>
      <c r="B245" s="37"/>
      <c r="C245" s="37"/>
      <c r="D245" s="37"/>
      <c r="E245" s="37"/>
      <c r="F245" s="37"/>
      <c r="G245" s="37"/>
      <c r="H245" s="37"/>
      <c r="I245" s="32"/>
    </row>
    <row r="246" spans="1:9" x14ac:dyDescent="0.25">
      <c r="A246" s="32"/>
      <c r="B246" s="37"/>
      <c r="C246" s="37"/>
      <c r="D246" s="37"/>
      <c r="E246" s="37"/>
      <c r="F246" s="37"/>
      <c r="G246" s="37"/>
      <c r="H246" s="37"/>
      <c r="I246" s="32"/>
    </row>
    <row r="247" spans="1:9" x14ac:dyDescent="0.25">
      <c r="A247" s="32"/>
      <c r="B247" s="37"/>
      <c r="C247" s="37"/>
      <c r="D247" s="37"/>
      <c r="E247" s="37"/>
      <c r="F247" s="37"/>
      <c r="G247" s="37"/>
      <c r="H247" s="37"/>
      <c r="I247" s="32"/>
    </row>
    <row r="248" spans="1:9" x14ac:dyDescent="0.25">
      <c r="A248" s="32"/>
      <c r="B248" s="37"/>
      <c r="C248" s="37"/>
      <c r="D248" s="37"/>
      <c r="E248" s="37"/>
      <c r="F248" s="37"/>
      <c r="G248" s="37"/>
      <c r="H248" s="37"/>
      <c r="I248" s="32"/>
    </row>
    <row r="249" spans="1:9" x14ac:dyDescent="0.25">
      <c r="A249" s="32"/>
      <c r="B249" s="37"/>
      <c r="C249" s="37"/>
      <c r="D249" s="37"/>
      <c r="E249" s="37"/>
      <c r="F249" s="37"/>
      <c r="G249" s="37"/>
      <c r="H249" s="37"/>
      <c r="I249" s="32"/>
    </row>
    <row r="250" spans="1:9" x14ac:dyDescent="0.25">
      <c r="A250" s="32"/>
      <c r="B250" s="37"/>
      <c r="C250" s="37"/>
      <c r="D250" s="37"/>
      <c r="E250" s="37"/>
      <c r="F250" s="37"/>
      <c r="G250" s="37"/>
      <c r="H250" s="37"/>
      <c r="I250" s="32"/>
    </row>
    <row r="251" spans="1:9" x14ac:dyDescent="0.25">
      <c r="A251" s="32"/>
      <c r="B251" s="37"/>
      <c r="C251" s="37"/>
      <c r="D251" s="37"/>
      <c r="E251" s="37"/>
      <c r="F251" s="37"/>
      <c r="G251" s="37"/>
      <c r="H251" s="37"/>
      <c r="I251" s="32"/>
    </row>
    <row r="252" spans="1:9" x14ac:dyDescent="0.25">
      <c r="A252" s="32"/>
      <c r="B252" s="37"/>
      <c r="C252" s="37"/>
      <c r="D252" s="37"/>
      <c r="E252" s="37"/>
      <c r="F252" s="37"/>
      <c r="G252" s="37"/>
      <c r="H252" s="37"/>
      <c r="I252" s="32"/>
    </row>
    <row r="253" spans="1:9" x14ac:dyDescent="0.25">
      <c r="A253" s="32"/>
      <c r="B253" s="37"/>
      <c r="C253" s="37"/>
      <c r="D253" s="37"/>
      <c r="E253" s="37"/>
      <c r="F253" s="37"/>
      <c r="G253" s="37"/>
      <c r="H253" s="37"/>
      <c r="I253" s="32"/>
    </row>
    <row r="254" spans="1:9" x14ac:dyDescent="0.25">
      <c r="A254" s="32"/>
      <c r="B254" s="37"/>
      <c r="C254" s="37"/>
      <c r="D254" s="37"/>
      <c r="E254" s="37"/>
      <c r="F254" s="37"/>
      <c r="G254" s="37"/>
      <c r="H254" s="37"/>
      <c r="I254" s="32"/>
    </row>
    <row r="255" spans="1:9" x14ac:dyDescent="0.25">
      <c r="A255" s="32"/>
      <c r="B255" s="37"/>
      <c r="C255" s="37"/>
      <c r="D255" s="37"/>
      <c r="E255" s="37"/>
      <c r="F255" s="37"/>
      <c r="G255" s="37"/>
      <c r="H255" s="37"/>
      <c r="I255" s="32"/>
    </row>
    <row r="256" spans="1:9" x14ac:dyDescent="0.25">
      <c r="A256" s="32"/>
      <c r="B256" s="37"/>
      <c r="C256" s="37"/>
      <c r="D256" s="37"/>
      <c r="E256" s="37"/>
      <c r="F256" s="37"/>
      <c r="G256" s="37"/>
      <c r="H256" s="37"/>
      <c r="I256" s="32"/>
    </row>
    <row r="257" spans="1:9" x14ac:dyDescent="0.25">
      <c r="A257" s="32"/>
      <c r="B257" s="37"/>
      <c r="C257" s="37"/>
      <c r="D257" s="37"/>
      <c r="E257" s="37"/>
      <c r="F257" s="37"/>
      <c r="G257" s="37"/>
      <c r="H257" s="37"/>
      <c r="I257" s="32"/>
    </row>
    <row r="258" spans="1:9" x14ac:dyDescent="0.25">
      <c r="A258" s="32"/>
      <c r="B258" s="37"/>
      <c r="C258" s="37"/>
      <c r="D258" s="37"/>
      <c r="E258" s="37"/>
      <c r="F258" s="37"/>
      <c r="G258" s="37"/>
      <c r="H258" s="37"/>
      <c r="I258" s="32"/>
    </row>
    <row r="259" spans="1:9" x14ac:dyDescent="0.25">
      <c r="A259" s="32"/>
      <c r="B259" s="37"/>
      <c r="C259" s="37"/>
      <c r="D259" s="37"/>
      <c r="E259" s="37"/>
      <c r="F259" s="37"/>
      <c r="G259" s="37"/>
      <c r="H259" s="37"/>
      <c r="I259" s="32"/>
    </row>
    <row r="260" spans="1:9" x14ac:dyDescent="0.25">
      <c r="A260" s="32"/>
      <c r="B260" s="37"/>
      <c r="C260" s="37"/>
      <c r="D260" s="37"/>
      <c r="E260" s="37"/>
      <c r="F260" s="37"/>
      <c r="G260" s="37"/>
      <c r="H260" s="37"/>
      <c r="I260" s="32"/>
    </row>
    <row r="261" spans="1:9" x14ac:dyDescent="0.25">
      <c r="A261" s="32"/>
      <c r="B261" s="37"/>
      <c r="C261" s="37"/>
      <c r="D261" s="37"/>
      <c r="E261" s="37"/>
      <c r="F261" s="37"/>
      <c r="G261" s="37"/>
      <c r="H261" s="37"/>
      <c r="I261" s="32"/>
    </row>
    <row r="262" spans="1:9" x14ac:dyDescent="0.25">
      <c r="A262" s="32"/>
      <c r="B262" s="37"/>
      <c r="C262" s="37"/>
      <c r="D262" s="37"/>
      <c r="E262" s="37"/>
      <c r="F262" s="37"/>
      <c r="G262" s="37"/>
      <c r="H262" s="37"/>
      <c r="I262" s="32"/>
    </row>
    <row r="263" spans="1:9" x14ac:dyDescent="0.25">
      <c r="A263" s="32"/>
      <c r="B263" s="37"/>
      <c r="C263" s="37"/>
      <c r="D263" s="37"/>
      <c r="E263" s="37"/>
      <c r="F263" s="37"/>
      <c r="G263" s="37"/>
      <c r="H263" s="37"/>
      <c r="I263" s="32"/>
    </row>
    <row r="264" spans="1:9" x14ac:dyDescent="0.25">
      <c r="A264" s="32"/>
      <c r="B264" s="37"/>
      <c r="C264" s="37"/>
      <c r="D264" s="37"/>
      <c r="E264" s="37"/>
      <c r="F264" s="37"/>
      <c r="G264" s="37"/>
      <c r="H264" s="37"/>
      <c r="I264" s="32"/>
    </row>
    <row r="265" spans="1:9" x14ac:dyDescent="0.25">
      <c r="A265" s="32"/>
      <c r="B265" s="37"/>
      <c r="C265" s="37"/>
      <c r="D265" s="37"/>
      <c r="E265" s="37"/>
      <c r="F265" s="37"/>
      <c r="G265" s="37"/>
      <c r="H265" s="37"/>
      <c r="I265" s="32"/>
    </row>
    <row r="266" spans="1:9" x14ac:dyDescent="0.25">
      <c r="A266" s="32"/>
      <c r="B266" s="37"/>
      <c r="C266" s="37"/>
      <c r="D266" s="37"/>
      <c r="E266" s="37"/>
      <c r="F266" s="37"/>
      <c r="G266" s="37"/>
      <c r="H266" s="37"/>
      <c r="I266" s="32"/>
    </row>
    <row r="267" spans="1:9" x14ac:dyDescent="0.25">
      <c r="A267" s="32"/>
      <c r="B267" s="37"/>
      <c r="C267" s="37"/>
      <c r="D267" s="37"/>
      <c r="E267" s="37"/>
      <c r="F267" s="37"/>
      <c r="G267" s="37"/>
      <c r="H267" s="37"/>
      <c r="I267" s="32"/>
    </row>
    <row r="268" spans="1:9" x14ac:dyDescent="0.25">
      <c r="A268" s="32"/>
      <c r="B268" s="37"/>
      <c r="C268" s="37"/>
      <c r="D268" s="37"/>
      <c r="E268" s="37"/>
      <c r="F268" s="37"/>
      <c r="G268" s="37"/>
      <c r="H268" s="37"/>
      <c r="I268" s="32"/>
    </row>
    <row r="269" spans="1:9" x14ac:dyDescent="0.25">
      <c r="A269" s="32"/>
      <c r="B269" s="37"/>
      <c r="C269" s="37"/>
      <c r="D269" s="37"/>
      <c r="E269" s="37"/>
      <c r="F269" s="37"/>
      <c r="G269" s="37"/>
      <c r="H269" s="37"/>
      <c r="I269" s="32"/>
    </row>
    <row r="270" spans="1:9" x14ac:dyDescent="0.25">
      <c r="A270" s="32"/>
      <c r="B270" s="37"/>
      <c r="C270" s="37"/>
      <c r="D270" s="37"/>
      <c r="E270" s="37"/>
      <c r="F270" s="37"/>
      <c r="G270" s="37"/>
      <c r="H270" s="37"/>
      <c r="I270" s="32"/>
    </row>
    <row r="271" spans="1:9" x14ac:dyDescent="0.25">
      <c r="A271" s="32"/>
      <c r="B271" s="37"/>
      <c r="C271" s="37"/>
      <c r="D271" s="37"/>
      <c r="E271" s="37"/>
      <c r="F271" s="37"/>
      <c r="G271" s="37"/>
      <c r="H271" s="37"/>
      <c r="I271" s="32"/>
    </row>
    <row r="272" spans="1:9" x14ac:dyDescent="0.25">
      <c r="A272" s="32"/>
      <c r="B272" s="37"/>
      <c r="C272" s="37"/>
      <c r="D272" s="37"/>
      <c r="E272" s="37"/>
      <c r="F272" s="37"/>
      <c r="G272" s="37"/>
      <c r="H272" s="37"/>
      <c r="I272" s="32"/>
    </row>
    <row r="273" spans="1:9" x14ac:dyDescent="0.25">
      <c r="A273" s="32"/>
      <c r="B273" s="37"/>
      <c r="C273" s="37"/>
      <c r="D273" s="37"/>
      <c r="E273" s="37"/>
      <c r="F273" s="37"/>
      <c r="G273" s="37"/>
      <c r="H273" s="37"/>
      <c r="I273" s="32"/>
    </row>
    <row r="274" spans="1:9" x14ac:dyDescent="0.25">
      <c r="A274" s="32"/>
      <c r="B274" s="37"/>
      <c r="C274" s="37"/>
      <c r="D274" s="37"/>
      <c r="E274" s="37"/>
      <c r="F274" s="37"/>
      <c r="G274" s="37"/>
      <c r="H274" s="37"/>
      <c r="I274" s="32"/>
    </row>
    <row r="275" spans="1:9" x14ac:dyDescent="0.25">
      <c r="A275" s="32"/>
      <c r="B275" s="37"/>
      <c r="C275" s="37"/>
      <c r="D275" s="37"/>
      <c r="E275" s="37"/>
      <c r="F275" s="37"/>
      <c r="G275" s="37"/>
      <c r="H275" s="37"/>
      <c r="I275" s="32"/>
    </row>
    <row r="276" spans="1:9" x14ac:dyDescent="0.25">
      <c r="A276" s="32"/>
      <c r="B276" s="37"/>
      <c r="C276" s="37"/>
      <c r="D276" s="37"/>
      <c r="E276" s="37"/>
      <c r="F276" s="37"/>
      <c r="G276" s="37"/>
      <c r="H276" s="37"/>
      <c r="I276" s="32"/>
    </row>
    <row r="277" spans="1:9" x14ac:dyDescent="0.25">
      <c r="A277" s="32"/>
      <c r="B277" s="37"/>
      <c r="C277" s="37"/>
      <c r="D277" s="37"/>
      <c r="E277" s="37"/>
      <c r="F277" s="37"/>
      <c r="G277" s="37"/>
      <c r="H277" s="37"/>
      <c r="I277" s="32"/>
    </row>
    <row r="278" spans="1:9" x14ac:dyDescent="0.25">
      <c r="A278" s="32"/>
      <c r="B278" s="37"/>
      <c r="C278" s="37"/>
      <c r="D278" s="37"/>
      <c r="E278" s="37"/>
      <c r="F278" s="37"/>
      <c r="G278" s="37"/>
      <c r="H278" s="37"/>
      <c r="I278" s="32"/>
    </row>
    <row r="279" spans="1:9" x14ac:dyDescent="0.25">
      <c r="A279" s="32"/>
      <c r="B279" s="37"/>
      <c r="C279" s="37"/>
      <c r="D279" s="37"/>
      <c r="E279" s="37"/>
      <c r="F279" s="37"/>
      <c r="G279" s="37"/>
      <c r="H279" s="37"/>
      <c r="I279" s="32"/>
    </row>
    <row r="280" spans="1:9" x14ac:dyDescent="0.25">
      <c r="A280" s="32"/>
      <c r="B280" s="37"/>
      <c r="C280" s="37"/>
      <c r="D280" s="37"/>
      <c r="E280" s="37"/>
      <c r="F280" s="37"/>
      <c r="G280" s="37"/>
      <c r="H280" s="37"/>
      <c r="I280" s="32"/>
    </row>
    <row r="281" spans="1:9" x14ac:dyDescent="0.25">
      <c r="A281" s="32"/>
      <c r="B281" s="37"/>
      <c r="C281" s="37"/>
      <c r="D281" s="37"/>
      <c r="E281" s="37"/>
      <c r="F281" s="37"/>
      <c r="G281" s="37"/>
      <c r="H281" s="37"/>
      <c r="I281" s="32"/>
    </row>
    <row r="282" spans="1:9" x14ac:dyDescent="0.25">
      <c r="A282" s="32"/>
      <c r="B282" s="37"/>
      <c r="C282" s="37"/>
      <c r="D282" s="37"/>
      <c r="E282" s="37"/>
      <c r="F282" s="37"/>
      <c r="G282" s="37"/>
      <c r="H282" s="37"/>
      <c r="I282" s="32"/>
    </row>
    <row r="283" spans="1:9" x14ac:dyDescent="0.25">
      <c r="A283" s="32"/>
      <c r="B283" s="37"/>
      <c r="C283" s="37"/>
      <c r="D283" s="37"/>
      <c r="E283" s="37"/>
      <c r="F283" s="37"/>
      <c r="G283" s="37"/>
      <c r="H283" s="37"/>
      <c r="I283" s="32"/>
    </row>
    <row r="284" spans="1:9" x14ac:dyDescent="0.25">
      <c r="A284" s="32"/>
      <c r="B284" s="37"/>
      <c r="C284" s="37"/>
      <c r="D284" s="37"/>
      <c r="E284" s="37"/>
      <c r="F284" s="37"/>
      <c r="G284" s="37"/>
      <c r="H284" s="37"/>
      <c r="I284" s="32"/>
    </row>
    <row r="285" spans="1:9" x14ac:dyDescent="0.25">
      <c r="A285" s="32"/>
      <c r="B285" s="37"/>
      <c r="C285" s="37"/>
      <c r="D285" s="37"/>
      <c r="E285" s="37"/>
      <c r="F285" s="37"/>
      <c r="G285" s="37"/>
      <c r="H285" s="37"/>
      <c r="I285" s="32"/>
    </row>
    <row r="286" spans="1:9" x14ac:dyDescent="0.25">
      <c r="A286" s="32"/>
      <c r="B286" s="37"/>
      <c r="C286" s="37"/>
      <c r="D286" s="37"/>
      <c r="E286" s="37"/>
      <c r="F286" s="37"/>
      <c r="G286" s="37"/>
      <c r="H286" s="37"/>
      <c r="I286" s="32"/>
    </row>
    <row r="287" spans="1:9" x14ac:dyDescent="0.25">
      <c r="A287" s="32"/>
      <c r="B287" s="37"/>
      <c r="C287" s="37"/>
      <c r="D287" s="37"/>
      <c r="E287" s="37"/>
      <c r="F287" s="37"/>
      <c r="G287" s="37"/>
      <c r="H287" s="37"/>
      <c r="I287" s="32"/>
    </row>
    <row r="288" spans="1:9" x14ac:dyDescent="0.25">
      <c r="A288" s="32"/>
      <c r="B288" s="37"/>
      <c r="C288" s="37"/>
      <c r="D288" s="37"/>
      <c r="E288" s="37"/>
      <c r="F288" s="37"/>
      <c r="G288" s="37"/>
      <c r="H288" s="37"/>
      <c r="I288" s="32"/>
    </row>
    <row r="289" spans="1:9" x14ac:dyDescent="0.25">
      <c r="A289" s="32"/>
      <c r="B289" s="37"/>
      <c r="C289" s="37"/>
      <c r="D289" s="37"/>
      <c r="E289" s="37"/>
      <c r="F289" s="37"/>
      <c r="G289" s="37"/>
      <c r="H289" s="37"/>
      <c r="I289" s="32"/>
    </row>
    <row r="290" spans="1:9" x14ac:dyDescent="0.25">
      <c r="A290" s="32"/>
      <c r="B290" s="37"/>
      <c r="C290" s="37"/>
      <c r="D290" s="37"/>
      <c r="E290" s="37"/>
      <c r="F290" s="37"/>
      <c r="G290" s="37"/>
      <c r="H290" s="37"/>
      <c r="I290" s="32"/>
    </row>
    <row r="291" spans="1:9" x14ac:dyDescent="0.25">
      <c r="A291" s="32"/>
      <c r="B291" s="37"/>
      <c r="C291" s="37"/>
      <c r="D291" s="37"/>
      <c r="E291" s="37"/>
      <c r="F291" s="37"/>
      <c r="G291" s="37"/>
      <c r="H291" s="37"/>
      <c r="I291" s="32"/>
    </row>
    <row r="292" spans="1:9" x14ac:dyDescent="0.25">
      <c r="A292" s="32"/>
      <c r="B292" s="37"/>
      <c r="C292" s="37"/>
      <c r="D292" s="37"/>
      <c r="E292" s="37"/>
      <c r="F292" s="37"/>
      <c r="G292" s="37"/>
      <c r="H292" s="37"/>
      <c r="I292" s="32"/>
    </row>
    <row r="293" spans="1:9" x14ac:dyDescent="0.25">
      <c r="A293" s="32"/>
      <c r="B293" s="37"/>
      <c r="C293" s="37"/>
      <c r="D293" s="37"/>
      <c r="E293" s="37"/>
      <c r="F293" s="37"/>
      <c r="G293" s="37"/>
      <c r="H293" s="37"/>
      <c r="I293" s="32"/>
    </row>
    <row r="294" spans="1:9" x14ac:dyDescent="0.25">
      <c r="A294" s="32"/>
      <c r="B294" s="37"/>
      <c r="C294" s="37"/>
      <c r="D294" s="37"/>
      <c r="E294" s="37"/>
      <c r="F294" s="37"/>
      <c r="G294" s="37"/>
      <c r="H294" s="37"/>
      <c r="I294" s="32"/>
    </row>
    <row r="295" spans="1:9" x14ac:dyDescent="0.25">
      <c r="A295" s="32"/>
      <c r="B295" s="37"/>
      <c r="C295" s="37"/>
      <c r="D295" s="37"/>
      <c r="E295" s="37"/>
      <c r="F295" s="37"/>
      <c r="G295" s="37"/>
      <c r="H295" s="37"/>
      <c r="I295" s="32"/>
    </row>
    <row r="296" spans="1:9" x14ac:dyDescent="0.25">
      <c r="A296" s="32"/>
      <c r="B296" s="37"/>
      <c r="C296" s="37"/>
      <c r="D296" s="37"/>
      <c r="E296" s="37"/>
      <c r="F296" s="37"/>
      <c r="G296" s="37"/>
      <c r="H296" s="37"/>
      <c r="I296" s="32"/>
    </row>
    <row r="297" spans="1:9" x14ac:dyDescent="0.25">
      <c r="A297" s="32"/>
      <c r="B297" s="37"/>
      <c r="C297" s="37"/>
      <c r="D297" s="37"/>
      <c r="E297" s="37"/>
      <c r="F297" s="37"/>
      <c r="G297" s="37"/>
      <c r="H297" s="37"/>
      <c r="I297" s="32"/>
    </row>
    <row r="298" spans="1:9" x14ac:dyDescent="0.25">
      <c r="A298" s="32"/>
      <c r="B298" s="37"/>
      <c r="C298" s="37"/>
      <c r="D298" s="37"/>
      <c r="E298" s="37"/>
      <c r="F298" s="37"/>
      <c r="G298" s="37"/>
      <c r="H298" s="37"/>
      <c r="I298" s="32"/>
    </row>
    <row r="299" spans="1:9" x14ac:dyDescent="0.25">
      <c r="A299" s="32"/>
      <c r="B299" s="37"/>
      <c r="C299" s="37"/>
      <c r="D299" s="37"/>
      <c r="E299" s="37"/>
      <c r="F299" s="37"/>
      <c r="G299" s="37"/>
      <c r="H299" s="37"/>
      <c r="I299" s="32"/>
    </row>
    <row r="300" spans="1:9" x14ac:dyDescent="0.25">
      <c r="A300" s="32"/>
      <c r="B300" s="37"/>
      <c r="C300" s="37"/>
      <c r="D300" s="37"/>
      <c r="E300" s="37"/>
      <c r="F300" s="37"/>
      <c r="G300" s="37"/>
      <c r="H300" s="37"/>
      <c r="I300" s="32"/>
    </row>
    <row r="301" spans="1:9" x14ac:dyDescent="0.25">
      <c r="A301" s="32"/>
      <c r="B301" s="37"/>
      <c r="C301" s="37"/>
      <c r="D301" s="37"/>
      <c r="E301" s="37"/>
      <c r="F301" s="37"/>
      <c r="G301" s="37"/>
      <c r="H301" s="37"/>
      <c r="I301" s="32"/>
    </row>
    <row r="302" spans="1:9" x14ac:dyDescent="0.25">
      <c r="A302" s="32"/>
      <c r="B302" s="37"/>
      <c r="C302" s="37"/>
      <c r="D302" s="37"/>
      <c r="E302" s="37"/>
      <c r="F302" s="37"/>
      <c r="G302" s="37"/>
      <c r="H302" s="37"/>
      <c r="I302" s="32"/>
    </row>
    <row r="303" spans="1:9" x14ac:dyDescent="0.25">
      <c r="A303" s="32"/>
      <c r="B303" s="37"/>
      <c r="C303" s="37"/>
      <c r="D303" s="37"/>
      <c r="E303" s="37"/>
      <c r="F303" s="37"/>
      <c r="G303" s="37"/>
      <c r="H303" s="37"/>
      <c r="I303" s="32"/>
    </row>
    <row r="304" spans="1:9" x14ac:dyDescent="0.25">
      <c r="A304" s="32"/>
      <c r="B304" s="37"/>
      <c r="C304" s="37"/>
      <c r="D304" s="37"/>
      <c r="E304" s="37"/>
      <c r="F304" s="37"/>
      <c r="G304" s="37"/>
      <c r="H304" s="37"/>
      <c r="I304" s="32"/>
    </row>
  </sheetData>
  <sheetProtection password="D0B3" sheet="1" objects="1" scenarios="1" formatColumns="0" formatRows="0" autoFilter="0"/>
  <hyperlinks>
    <hyperlink ref="A3" r:id="rId1" xr:uid="{00000000-0004-0000-0A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legacyDrawing r:id="rId2"/>
  <pictur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F304"/>
  <sheetViews>
    <sheetView showGridLines="0" workbookViewId="0">
      <pane xSplit="1" ySplit="4" topLeftCell="B5" activePane="bottomRight" state="frozen"/>
      <selection pane="topRight"/>
      <selection pane="bottomLeft"/>
      <selection pane="bottomRight"/>
    </sheetView>
  </sheetViews>
  <sheetFormatPr defaultRowHeight="14.4" x14ac:dyDescent="0.25"/>
  <cols>
    <col min="1" max="1" width="14" customWidth="1"/>
    <col min="2" max="2" width="24" customWidth="1"/>
    <col min="3" max="5" width="22" customWidth="1"/>
    <col min="6" max="6" width="55" customWidth="1"/>
  </cols>
  <sheetData>
    <row r="1" spans="1:6" ht="17.55" x14ac:dyDescent="0.3">
      <c r="A1" s="1" t="s">
        <v>286</v>
      </c>
    </row>
    <row r="2" spans="1:6" x14ac:dyDescent="0.25">
      <c r="A2" s="2" t="s">
        <v>287</v>
      </c>
    </row>
    <row r="3" spans="1:6" x14ac:dyDescent="0.25">
      <c r="A3" s="28" t="s">
        <v>4</v>
      </c>
    </row>
    <row r="4" spans="1:6" ht="48.05" customHeight="1" x14ac:dyDescent="0.25">
      <c r="A4" s="11" t="s">
        <v>239</v>
      </c>
      <c r="B4" s="11" t="s">
        <v>288</v>
      </c>
      <c r="C4" s="11" t="s">
        <v>289</v>
      </c>
      <c r="D4" s="11" t="s">
        <v>290</v>
      </c>
      <c r="E4" s="11" t="s">
        <v>291</v>
      </c>
      <c r="F4" s="11" t="s">
        <v>154</v>
      </c>
    </row>
    <row r="5" spans="1:6" x14ac:dyDescent="0.25">
      <c r="A5" s="32" t="s">
        <v>184</v>
      </c>
      <c r="B5" s="37">
        <v>2000</v>
      </c>
      <c r="C5" s="37">
        <v>800</v>
      </c>
      <c r="D5" s="37">
        <v>1000</v>
      </c>
      <c r="E5" s="37">
        <v>0</v>
      </c>
      <c r="F5" s="32" t="s">
        <v>292</v>
      </c>
    </row>
    <row r="6" spans="1:6" x14ac:dyDescent="0.25">
      <c r="A6" s="32" t="s">
        <v>190</v>
      </c>
      <c r="B6" s="37">
        <v>0</v>
      </c>
      <c r="C6" s="37">
        <v>0</v>
      </c>
      <c r="D6" s="37">
        <v>0</v>
      </c>
      <c r="E6" s="37">
        <v>5000</v>
      </c>
      <c r="F6" s="32" t="s">
        <v>293</v>
      </c>
    </row>
    <row r="7" spans="1:6" x14ac:dyDescent="0.25">
      <c r="A7" s="32"/>
      <c r="B7" s="37"/>
      <c r="C7" s="37"/>
      <c r="D7" s="37"/>
      <c r="E7" s="37"/>
      <c r="F7" s="32"/>
    </row>
    <row r="8" spans="1:6" x14ac:dyDescent="0.25">
      <c r="A8" s="32"/>
      <c r="B8" s="37"/>
      <c r="C8" s="37"/>
      <c r="D8" s="37"/>
      <c r="E8" s="37"/>
      <c r="F8" s="32"/>
    </row>
    <row r="9" spans="1:6" x14ac:dyDescent="0.25">
      <c r="A9" s="32"/>
      <c r="B9" s="37"/>
      <c r="C9" s="37"/>
      <c r="D9" s="37"/>
      <c r="E9" s="37"/>
      <c r="F9" s="32"/>
    </row>
    <row r="10" spans="1:6" x14ac:dyDescent="0.25">
      <c r="A10" s="32"/>
      <c r="B10" s="37"/>
      <c r="C10" s="37"/>
      <c r="D10" s="37"/>
      <c r="E10" s="37"/>
      <c r="F10" s="32"/>
    </row>
    <row r="11" spans="1:6" x14ac:dyDescent="0.25">
      <c r="A11" s="32"/>
      <c r="B11" s="37"/>
      <c r="C11" s="37"/>
      <c r="D11" s="37"/>
      <c r="E11" s="37"/>
      <c r="F11" s="32"/>
    </row>
    <row r="12" spans="1:6" x14ac:dyDescent="0.25">
      <c r="A12" s="32"/>
      <c r="B12" s="37"/>
      <c r="C12" s="37"/>
      <c r="D12" s="37"/>
      <c r="E12" s="37"/>
      <c r="F12" s="32"/>
    </row>
    <row r="13" spans="1:6" x14ac:dyDescent="0.25">
      <c r="A13" s="32"/>
      <c r="B13" s="37"/>
      <c r="C13" s="37"/>
      <c r="D13" s="37"/>
      <c r="E13" s="37"/>
      <c r="F13" s="32"/>
    </row>
    <row r="14" spans="1:6" x14ac:dyDescent="0.25">
      <c r="A14" s="32"/>
      <c r="B14" s="37"/>
      <c r="C14" s="37"/>
      <c r="D14" s="37"/>
      <c r="E14" s="37"/>
      <c r="F14" s="32"/>
    </row>
    <row r="15" spans="1:6" x14ac:dyDescent="0.25">
      <c r="A15" s="32"/>
      <c r="B15" s="37"/>
      <c r="C15" s="37"/>
      <c r="D15" s="37"/>
      <c r="E15" s="37"/>
      <c r="F15" s="32"/>
    </row>
    <row r="16" spans="1:6" x14ac:dyDescent="0.25">
      <c r="A16" s="32"/>
      <c r="B16" s="37"/>
      <c r="C16" s="37"/>
      <c r="D16" s="37"/>
      <c r="E16" s="37"/>
      <c r="F16" s="32"/>
    </row>
    <row r="17" spans="1:6" x14ac:dyDescent="0.25">
      <c r="A17" s="32"/>
      <c r="B17" s="37"/>
      <c r="C17" s="37"/>
      <c r="D17" s="37"/>
      <c r="E17" s="37"/>
      <c r="F17" s="32"/>
    </row>
    <row r="18" spans="1:6" x14ac:dyDescent="0.25">
      <c r="A18" s="32"/>
      <c r="B18" s="37"/>
      <c r="C18" s="37"/>
      <c r="D18" s="37"/>
      <c r="E18" s="37"/>
      <c r="F18" s="32"/>
    </row>
    <row r="19" spans="1:6" x14ac:dyDescent="0.25">
      <c r="A19" s="32"/>
      <c r="B19" s="37"/>
      <c r="C19" s="37"/>
      <c r="D19" s="37"/>
      <c r="E19" s="37"/>
      <c r="F19" s="32"/>
    </row>
    <row r="20" spans="1:6" x14ac:dyDescent="0.25">
      <c r="A20" s="32"/>
      <c r="B20" s="37"/>
      <c r="C20" s="37"/>
      <c r="D20" s="37"/>
      <c r="E20" s="37"/>
      <c r="F20" s="32"/>
    </row>
    <row r="21" spans="1:6" x14ac:dyDescent="0.25">
      <c r="A21" s="32"/>
      <c r="B21" s="37"/>
      <c r="C21" s="37"/>
      <c r="D21" s="37"/>
      <c r="E21" s="37"/>
      <c r="F21" s="32"/>
    </row>
    <row r="22" spans="1:6" x14ac:dyDescent="0.25">
      <c r="A22" s="32"/>
      <c r="B22" s="37"/>
      <c r="C22" s="37"/>
      <c r="D22" s="37"/>
      <c r="E22" s="37"/>
      <c r="F22" s="32"/>
    </row>
    <row r="23" spans="1:6" x14ac:dyDescent="0.25">
      <c r="A23" s="32"/>
      <c r="B23" s="37"/>
      <c r="C23" s="37"/>
      <c r="D23" s="37"/>
      <c r="E23" s="37"/>
      <c r="F23" s="32"/>
    </row>
    <row r="24" spans="1:6" x14ac:dyDescent="0.25">
      <c r="A24" s="32"/>
      <c r="B24" s="37"/>
      <c r="C24" s="37"/>
      <c r="D24" s="37"/>
      <c r="E24" s="37"/>
      <c r="F24" s="32"/>
    </row>
    <row r="25" spans="1:6" x14ac:dyDescent="0.25">
      <c r="A25" s="32"/>
      <c r="B25" s="37"/>
      <c r="C25" s="37"/>
      <c r="D25" s="37"/>
      <c r="E25" s="37"/>
      <c r="F25" s="32"/>
    </row>
    <row r="26" spans="1:6" x14ac:dyDescent="0.25">
      <c r="A26" s="32"/>
      <c r="B26" s="37"/>
      <c r="C26" s="37"/>
      <c r="D26" s="37"/>
      <c r="E26" s="37"/>
      <c r="F26" s="32"/>
    </row>
    <row r="27" spans="1:6" x14ac:dyDescent="0.25">
      <c r="A27" s="32"/>
      <c r="B27" s="37"/>
      <c r="C27" s="37"/>
      <c r="D27" s="37"/>
      <c r="E27" s="37"/>
      <c r="F27" s="32"/>
    </row>
    <row r="28" spans="1:6" x14ac:dyDescent="0.25">
      <c r="A28" s="32"/>
      <c r="B28" s="37"/>
      <c r="C28" s="37"/>
      <c r="D28" s="37"/>
      <c r="E28" s="37"/>
      <c r="F28" s="32"/>
    </row>
    <row r="29" spans="1:6" x14ac:dyDescent="0.25">
      <c r="A29" s="32"/>
      <c r="B29" s="37"/>
      <c r="C29" s="37"/>
      <c r="D29" s="37"/>
      <c r="E29" s="37"/>
      <c r="F29" s="32"/>
    </row>
    <row r="30" spans="1:6" x14ac:dyDescent="0.25">
      <c r="A30" s="32"/>
      <c r="B30" s="37"/>
      <c r="C30" s="37"/>
      <c r="D30" s="37"/>
      <c r="E30" s="37"/>
      <c r="F30" s="32"/>
    </row>
    <row r="31" spans="1:6" x14ac:dyDescent="0.25">
      <c r="A31" s="32"/>
      <c r="B31" s="37"/>
      <c r="C31" s="37"/>
      <c r="D31" s="37"/>
      <c r="E31" s="37"/>
      <c r="F31" s="32"/>
    </row>
    <row r="32" spans="1:6" x14ac:dyDescent="0.25">
      <c r="A32" s="32"/>
      <c r="B32" s="37"/>
      <c r="C32" s="37"/>
      <c r="D32" s="37"/>
      <c r="E32" s="37"/>
      <c r="F32" s="32"/>
    </row>
    <row r="33" spans="1:6" x14ac:dyDescent="0.25">
      <c r="A33" s="32"/>
      <c r="B33" s="37"/>
      <c r="C33" s="37"/>
      <c r="D33" s="37"/>
      <c r="E33" s="37"/>
      <c r="F33" s="32"/>
    </row>
    <row r="34" spans="1:6" x14ac:dyDescent="0.25">
      <c r="A34" s="32"/>
      <c r="B34" s="37"/>
      <c r="C34" s="37"/>
      <c r="D34" s="37"/>
      <c r="E34" s="37"/>
      <c r="F34" s="32"/>
    </row>
    <row r="35" spans="1:6" x14ac:dyDescent="0.25">
      <c r="A35" s="32"/>
      <c r="B35" s="37"/>
      <c r="C35" s="37"/>
      <c r="D35" s="37"/>
      <c r="E35" s="37"/>
      <c r="F35" s="32"/>
    </row>
    <row r="36" spans="1:6" x14ac:dyDescent="0.25">
      <c r="A36" s="32"/>
      <c r="B36" s="37"/>
      <c r="C36" s="37"/>
      <c r="D36" s="37"/>
      <c r="E36" s="37"/>
      <c r="F36" s="32"/>
    </row>
    <row r="37" spans="1:6" x14ac:dyDescent="0.25">
      <c r="A37" s="32"/>
      <c r="B37" s="37"/>
      <c r="C37" s="37"/>
      <c r="D37" s="37"/>
      <c r="E37" s="37"/>
      <c r="F37" s="32"/>
    </row>
    <row r="38" spans="1:6" x14ac:dyDescent="0.25">
      <c r="A38" s="32"/>
      <c r="B38" s="37"/>
      <c r="C38" s="37"/>
      <c r="D38" s="37"/>
      <c r="E38" s="37"/>
      <c r="F38" s="32"/>
    </row>
    <row r="39" spans="1:6" x14ac:dyDescent="0.25">
      <c r="A39" s="32"/>
      <c r="B39" s="37"/>
      <c r="C39" s="37"/>
      <c r="D39" s="37"/>
      <c r="E39" s="37"/>
      <c r="F39" s="32"/>
    </row>
    <row r="40" spans="1:6" x14ac:dyDescent="0.25">
      <c r="A40" s="32"/>
      <c r="B40" s="37"/>
      <c r="C40" s="37"/>
      <c r="D40" s="37"/>
      <c r="E40" s="37"/>
      <c r="F40" s="32"/>
    </row>
    <row r="41" spans="1:6" x14ac:dyDescent="0.25">
      <c r="A41" s="32"/>
      <c r="B41" s="37"/>
      <c r="C41" s="37"/>
      <c r="D41" s="37"/>
      <c r="E41" s="37"/>
      <c r="F41" s="32"/>
    </row>
    <row r="42" spans="1:6" x14ac:dyDescent="0.25">
      <c r="A42" s="32"/>
      <c r="B42" s="37"/>
      <c r="C42" s="37"/>
      <c r="D42" s="37"/>
      <c r="E42" s="37"/>
      <c r="F42" s="32"/>
    </row>
    <row r="43" spans="1:6" x14ac:dyDescent="0.25">
      <c r="A43" s="32"/>
      <c r="B43" s="37"/>
      <c r="C43" s="37"/>
      <c r="D43" s="37"/>
      <c r="E43" s="37"/>
      <c r="F43" s="32"/>
    </row>
    <row r="44" spans="1:6" x14ac:dyDescent="0.25">
      <c r="A44" s="32"/>
      <c r="B44" s="37"/>
      <c r="C44" s="37"/>
      <c r="D44" s="37"/>
      <c r="E44" s="37"/>
      <c r="F44" s="32"/>
    </row>
    <row r="45" spans="1:6" x14ac:dyDescent="0.25">
      <c r="A45" s="32"/>
      <c r="B45" s="37"/>
      <c r="C45" s="37"/>
      <c r="D45" s="37"/>
      <c r="E45" s="37"/>
      <c r="F45" s="32"/>
    </row>
    <row r="46" spans="1:6" x14ac:dyDescent="0.25">
      <c r="A46" s="32"/>
      <c r="B46" s="37"/>
      <c r="C46" s="37"/>
      <c r="D46" s="37"/>
      <c r="E46" s="37"/>
      <c r="F46" s="32"/>
    </row>
    <row r="47" spans="1:6" x14ac:dyDescent="0.25">
      <c r="A47" s="32"/>
      <c r="B47" s="37"/>
      <c r="C47" s="37"/>
      <c r="D47" s="37"/>
      <c r="E47" s="37"/>
      <c r="F47" s="32"/>
    </row>
    <row r="48" spans="1:6" x14ac:dyDescent="0.25">
      <c r="A48" s="32"/>
      <c r="B48" s="37"/>
      <c r="C48" s="37"/>
      <c r="D48" s="37"/>
      <c r="E48" s="37"/>
      <c r="F48" s="32"/>
    </row>
    <row r="49" spans="1:6" x14ac:dyDescent="0.25">
      <c r="A49" s="32"/>
      <c r="B49" s="37"/>
      <c r="C49" s="37"/>
      <c r="D49" s="37"/>
      <c r="E49" s="37"/>
      <c r="F49" s="32"/>
    </row>
    <row r="50" spans="1:6" x14ac:dyDescent="0.25">
      <c r="A50" s="32"/>
      <c r="B50" s="37"/>
      <c r="C50" s="37"/>
      <c r="D50" s="37"/>
      <c r="E50" s="37"/>
      <c r="F50" s="32"/>
    </row>
    <row r="51" spans="1:6" x14ac:dyDescent="0.25">
      <c r="A51" s="32"/>
      <c r="B51" s="37"/>
      <c r="C51" s="37"/>
      <c r="D51" s="37"/>
      <c r="E51" s="37"/>
      <c r="F51" s="32"/>
    </row>
    <row r="52" spans="1:6" x14ac:dyDescent="0.25">
      <c r="A52" s="32"/>
      <c r="B52" s="37"/>
      <c r="C52" s="37"/>
      <c r="D52" s="37"/>
      <c r="E52" s="37"/>
      <c r="F52" s="32"/>
    </row>
    <row r="53" spans="1:6" x14ac:dyDescent="0.25">
      <c r="A53" s="32"/>
      <c r="B53" s="37"/>
      <c r="C53" s="37"/>
      <c r="D53" s="37"/>
      <c r="E53" s="37"/>
      <c r="F53" s="32"/>
    </row>
    <row r="54" spans="1:6" x14ac:dyDescent="0.25">
      <c r="A54" s="32"/>
      <c r="B54" s="37"/>
      <c r="C54" s="37"/>
      <c r="D54" s="37"/>
      <c r="E54" s="37"/>
      <c r="F54" s="32"/>
    </row>
    <row r="55" spans="1:6" x14ac:dyDescent="0.25">
      <c r="A55" s="32"/>
      <c r="B55" s="37"/>
      <c r="C55" s="37"/>
      <c r="D55" s="37"/>
      <c r="E55" s="37"/>
      <c r="F55" s="32"/>
    </row>
    <row r="56" spans="1:6" x14ac:dyDescent="0.25">
      <c r="A56" s="32"/>
      <c r="B56" s="37"/>
      <c r="C56" s="37"/>
      <c r="D56" s="37"/>
      <c r="E56" s="37"/>
      <c r="F56" s="32"/>
    </row>
    <row r="57" spans="1:6" x14ac:dyDescent="0.25">
      <c r="A57" s="32"/>
      <c r="B57" s="37"/>
      <c r="C57" s="37"/>
      <c r="D57" s="37"/>
      <c r="E57" s="37"/>
      <c r="F57" s="32"/>
    </row>
    <row r="58" spans="1:6" x14ac:dyDescent="0.25">
      <c r="A58" s="32"/>
      <c r="B58" s="37"/>
      <c r="C58" s="37"/>
      <c r="D58" s="37"/>
      <c r="E58" s="37"/>
      <c r="F58" s="32"/>
    </row>
    <row r="59" spans="1:6" x14ac:dyDescent="0.25">
      <c r="A59" s="32"/>
      <c r="B59" s="37"/>
      <c r="C59" s="37"/>
      <c r="D59" s="37"/>
      <c r="E59" s="37"/>
      <c r="F59" s="32"/>
    </row>
    <row r="60" spans="1:6" x14ac:dyDescent="0.25">
      <c r="A60" s="32"/>
      <c r="B60" s="37"/>
      <c r="C60" s="37"/>
      <c r="D60" s="37"/>
      <c r="E60" s="37"/>
      <c r="F60" s="32"/>
    </row>
    <row r="61" spans="1:6" x14ac:dyDescent="0.25">
      <c r="A61" s="32"/>
      <c r="B61" s="37"/>
      <c r="C61" s="37"/>
      <c r="D61" s="37"/>
      <c r="E61" s="37"/>
      <c r="F61" s="32"/>
    </row>
    <row r="62" spans="1:6" x14ac:dyDescent="0.25">
      <c r="A62" s="32"/>
      <c r="B62" s="37"/>
      <c r="C62" s="37"/>
      <c r="D62" s="37"/>
      <c r="E62" s="37"/>
      <c r="F62" s="32"/>
    </row>
    <row r="63" spans="1:6" x14ac:dyDescent="0.25">
      <c r="A63" s="32"/>
      <c r="B63" s="37"/>
      <c r="C63" s="37"/>
      <c r="D63" s="37"/>
      <c r="E63" s="37"/>
      <c r="F63" s="32"/>
    </row>
    <row r="64" spans="1:6" x14ac:dyDescent="0.25">
      <c r="A64" s="32"/>
      <c r="B64" s="37"/>
      <c r="C64" s="37"/>
      <c r="D64" s="37"/>
      <c r="E64" s="37"/>
      <c r="F64" s="32"/>
    </row>
    <row r="65" spans="1:6" x14ac:dyDescent="0.25">
      <c r="A65" s="32"/>
      <c r="B65" s="37"/>
      <c r="C65" s="37"/>
      <c r="D65" s="37"/>
      <c r="E65" s="37"/>
      <c r="F65" s="32"/>
    </row>
    <row r="66" spans="1:6" x14ac:dyDescent="0.25">
      <c r="A66" s="32"/>
      <c r="B66" s="37"/>
      <c r="C66" s="37"/>
      <c r="D66" s="37"/>
      <c r="E66" s="37"/>
      <c r="F66" s="32"/>
    </row>
    <row r="67" spans="1:6" x14ac:dyDescent="0.25">
      <c r="A67" s="32"/>
      <c r="B67" s="37"/>
      <c r="C67" s="37"/>
      <c r="D67" s="37"/>
      <c r="E67" s="37"/>
      <c r="F67" s="32"/>
    </row>
    <row r="68" spans="1:6" x14ac:dyDescent="0.25">
      <c r="A68" s="32"/>
      <c r="B68" s="37"/>
      <c r="C68" s="37"/>
      <c r="D68" s="37"/>
      <c r="E68" s="37"/>
      <c r="F68" s="32"/>
    </row>
    <row r="69" spans="1:6" x14ac:dyDescent="0.25">
      <c r="A69" s="32"/>
      <c r="B69" s="37"/>
      <c r="C69" s="37"/>
      <c r="D69" s="37"/>
      <c r="E69" s="37"/>
      <c r="F69" s="32"/>
    </row>
    <row r="70" spans="1:6" x14ac:dyDescent="0.25">
      <c r="A70" s="32"/>
      <c r="B70" s="37"/>
      <c r="C70" s="37"/>
      <c r="D70" s="37"/>
      <c r="E70" s="37"/>
      <c r="F70" s="32"/>
    </row>
    <row r="71" spans="1:6" x14ac:dyDescent="0.25">
      <c r="A71" s="32"/>
      <c r="B71" s="37"/>
      <c r="C71" s="37"/>
      <c r="D71" s="37"/>
      <c r="E71" s="37"/>
      <c r="F71" s="32"/>
    </row>
    <row r="72" spans="1:6" x14ac:dyDescent="0.25">
      <c r="A72" s="32"/>
      <c r="B72" s="37"/>
      <c r="C72" s="37"/>
      <c r="D72" s="37"/>
      <c r="E72" s="37"/>
      <c r="F72" s="32"/>
    </row>
    <row r="73" spans="1:6" x14ac:dyDescent="0.25">
      <c r="A73" s="32"/>
      <c r="B73" s="37"/>
      <c r="C73" s="37"/>
      <c r="D73" s="37"/>
      <c r="E73" s="37"/>
      <c r="F73" s="32"/>
    </row>
    <row r="74" spans="1:6" x14ac:dyDescent="0.25">
      <c r="A74" s="32"/>
      <c r="B74" s="37"/>
      <c r="C74" s="37"/>
      <c r="D74" s="37"/>
      <c r="E74" s="37"/>
      <c r="F74" s="32"/>
    </row>
    <row r="75" spans="1:6" x14ac:dyDescent="0.25">
      <c r="A75" s="32"/>
      <c r="B75" s="37"/>
      <c r="C75" s="37"/>
      <c r="D75" s="37"/>
      <c r="E75" s="37"/>
      <c r="F75" s="32"/>
    </row>
    <row r="76" spans="1:6" x14ac:dyDescent="0.25">
      <c r="A76" s="32"/>
      <c r="B76" s="37"/>
      <c r="C76" s="37"/>
      <c r="D76" s="37"/>
      <c r="E76" s="37"/>
      <c r="F76" s="32"/>
    </row>
    <row r="77" spans="1:6" x14ac:dyDescent="0.25">
      <c r="A77" s="32"/>
      <c r="B77" s="37"/>
      <c r="C77" s="37"/>
      <c r="D77" s="37"/>
      <c r="E77" s="37"/>
      <c r="F77" s="32"/>
    </row>
    <row r="78" spans="1:6" x14ac:dyDescent="0.25">
      <c r="A78" s="32"/>
      <c r="B78" s="37"/>
      <c r="C78" s="37"/>
      <c r="D78" s="37"/>
      <c r="E78" s="37"/>
      <c r="F78" s="32"/>
    </row>
    <row r="79" spans="1:6" x14ac:dyDescent="0.25">
      <c r="A79" s="32"/>
      <c r="B79" s="37"/>
      <c r="C79" s="37"/>
      <c r="D79" s="37"/>
      <c r="E79" s="37"/>
      <c r="F79" s="32"/>
    </row>
    <row r="80" spans="1:6" x14ac:dyDescent="0.25">
      <c r="A80" s="32"/>
      <c r="B80" s="37"/>
      <c r="C80" s="37"/>
      <c r="D80" s="37"/>
      <c r="E80" s="37"/>
      <c r="F80" s="32"/>
    </row>
    <row r="81" spans="1:6" x14ac:dyDescent="0.25">
      <c r="A81" s="32"/>
      <c r="B81" s="37"/>
      <c r="C81" s="37"/>
      <c r="D81" s="37"/>
      <c r="E81" s="37"/>
      <c r="F81" s="32"/>
    </row>
    <row r="82" spans="1:6" x14ac:dyDescent="0.25">
      <c r="A82" s="32"/>
      <c r="B82" s="37"/>
      <c r="C82" s="37"/>
      <c r="D82" s="37"/>
      <c r="E82" s="37"/>
      <c r="F82" s="32"/>
    </row>
    <row r="83" spans="1:6" x14ac:dyDescent="0.25">
      <c r="A83" s="32"/>
      <c r="B83" s="37"/>
      <c r="C83" s="37"/>
      <c r="D83" s="37"/>
      <c r="E83" s="37"/>
      <c r="F83" s="32"/>
    </row>
    <row r="84" spans="1:6" x14ac:dyDescent="0.25">
      <c r="A84" s="32"/>
      <c r="B84" s="37"/>
      <c r="C84" s="37"/>
      <c r="D84" s="37"/>
      <c r="E84" s="37"/>
      <c r="F84" s="32"/>
    </row>
    <row r="85" spans="1:6" x14ac:dyDescent="0.25">
      <c r="A85" s="32"/>
      <c r="B85" s="37"/>
      <c r="C85" s="37"/>
      <c r="D85" s="37"/>
      <c r="E85" s="37"/>
      <c r="F85" s="32"/>
    </row>
    <row r="86" spans="1:6" x14ac:dyDescent="0.25">
      <c r="A86" s="32"/>
      <c r="B86" s="37"/>
      <c r="C86" s="37"/>
      <c r="D86" s="37"/>
      <c r="E86" s="37"/>
      <c r="F86" s="32"/>
    </row>
    <row r="87" spans="1:6" x14ac:dyDescent="0.25">
      <c r="A87" s="32"/>
      <c r="B87" s="37"/>
      <c r="C87" s="37"/>
      <c r="D87" s="37"/>
      <c r="E87" s="37"/>
      <c r="F87" s="32"/>
    </row>
    <row r="88" spans="1:6" x14ac:dyDescent="0.25">
      <c r="A88" s="32"/>
      <c r="B88" s="37"/>
      <c r="C88" s="37"/>
      <c r="D88" s="37"/>
      <c r="E88" s="37"/>
      <c r="F88" s="32"/>
    </row>
    <row r="89" spans="1:6" x14ac:dyDescent="0.25">
      <c r="A89" s="32"/>
      <c r="B89" s="37"/>
      <c r="C89" s="37"/>
      <c r="D89" s="37"/>
      <c r="E89" s="37"/>
      <c r="F89" s="32"/>
    </row>
    <row r="90" spans="1:6" x14ac:dyDescent="0.25">
      <c r="A90" s="32"/>
      <c r="B90" s="37"/>
      <c r="C90" s="37"/>
      <c r="D90" s="37"/>
      <c r="E90" s="37"/>
      <c r="F90" s="32"/>
    </row>
    <row r="91" spans="1:6" x14ac:dyDescent="0.25">
      <c r="A91" s="32"/>
      <c r="B91" s="37"/>
      <c r="C91" s="37"/>
      <c r="D91" s="37"/>
      <c r="E91" s="37"/>
      <c r="F91" s="32"/>
    </row>
    <row r="92" spans="1:6" x14ac:dyDescent="0.25">
      <c r="A92" s="32"/>
      <c r="B92" s="37"/>
      <c r="C92" s="37"/>
      <c r="D92" s="37"/>
      <c r="E92" s="37"/>
      <c r="F92" s="32"/>
    </row>
    <row r="93" spans="1:6" x14ac:dyDescent="0.25">
      <c r="A93" s="32"/>
      <c r="B93" s="37"/>
      <c r="C93" s="37"/>
      <c r="D93" s="37"/>
      <c r="E93" s="37"/>
      <c r="F93" s="32"/>
    </row>
    <row r="94" spans="1:6" x14ac:dyDescent="0.25">
      <c r="A94" s="32"/>
      <c r="B94" s="37"/>
      <c r="C94" s="37"/>
      <c r="D94" s="37"/>
      <c r="E94" s="37"/>
      <c r="F94" s="32"/>
    </row>
    <row r="95" spans="1:6" x14ac:dyDescent="0.25">
      <c r="A95" s="32"/>
      <c r="B95" s="37"/>
      <c r="C95" s="37"/>
      <c r="D95" s="37"/>
      <c r="E95" s="37"/>
      <c r="F95" s="32"/>
    </row>
    <row r="96" spans="1:6" x14ac:dyDescent="0.25">
      <c r="A96" s="32"/>
      <c r="B96" s="37"/>
      <c r="C96" s="37"/>
      <c r="D96" s="37"/>
      <c r="E96" s="37"/>
      <c r="F96" s="32"/>
    </row>
    <row r="97" spans="1:6" x14ac:dyDescent="0.25">
      <c r="A97" s="32"/>
      <c r="B97" s="37"/>
      <c r="C97" s="37"/>
      <c r="D97" s="37"/>
      <c r="E97" s="37"/>
      <c r="F97" s="32"/>
    </row>
    <row r="98" spans="1:6" x14ac:dyDescent="0.25">
      <c r="A98" s="32"/>
      <c r="B98" s="37"/>
      <c r="C98" s="37"/>
      <c r="D98" s="37"/>
      <c r="E98" s="37"/>
      <c r="F98" s="32"/>
    </row>
    <row r="99" spans="1:6" x14ac:dyDescent="0.25">
      <c r="A99" s="32"/>
      <c r="B99" s="37"/>
      <c r="C99" s="37"/>
      <c r="D99" s="37"/>
      <c r="E99" s="37"/>
      <c r="F99" s="32"/>
    </row>
    <row r="100" spans="1:6" x14ac:dyDescent="0.25">
      <c r="A100" s="32"/>
      <c r="B100" s="37"/>
      <c r="C100" s="37"/>
      <c r="D100" s="37"/>
      <c r="E100" s="37"/>
      <c r="F100" s="32"/>
    </row>
    <row r="101" spans="1:6" x14ac:dyDescent="0.25">
      <c r="A101" s="32"/>
      <c r="B101" s="37"/>
      <c r="C101" s="37"/>
      <c r="D101" s="37"/>
      <c r="E101" s="37"/>
      <c r="F101" s="32"/>
    </row>
    <row r="102" spans="1:6" x14ac:dyDescent="0.25">
      <c r="A102" s="32"/>
      <c r="B102" s="37"/>
      <c r="C102" s="37"/>
      <c r="D102" s="37"/>
      <c r="E102" s="37"/>
      <c r="F102" s="32"/>
    </row>
    <row r="103" spans="1:6" x14ac:dyDescent="0.25">
      <c r="A103" s="32"/>
      <c r="B103" s="37"/>
      <c r="C103" s="37"/>
      <c r="D103" s="37"/>
      <c r="E103" s="37"/>
      <c r="F103" s="32"/>
    </row>
    <row r="104" spans="1:6" x14ac:dyDescent="0.25">
      <c r="A104" s="32"/>
      <c r="B104" s="37"/>
      <c r="C104" s="37"/>
      <c r="D104" s="37"/>
      <c r="E104" s="37"/>
      <c r="F104" s="32"/>
    </row>
    <row r="105" spans="1:6" x14ac:dyDescent="0.25">
      <c r="A105" s="32"/>
      <c r="B105" s="37"/>
      <c r="C105" s="37"/>
      <c r="D105" s="37"/>
      <c r="E105" s="37"/>
      <c r="F105" s="32"/>
    </row>
    <row r="106" spans="1:6" x14ac:dyDescent="0.25">
      <c r="A106" s="32"/>
      <c r="B106" s="37"/>
      <c r="C106" s="37"/>
      <c r="D106" s="37"/>
      <c r="E106" s="37"/>
      <c r="F106" s="32"/>
    </row>
    <row r="107" spans="1:6" x14ac:dyDescent="0.25">
      <c r="A107" s="32"/>
      <c r="B107" s="37"/>
      <c r="C107" s="37"/>
      <c r="D107" s="37"/>
      <c r="E107" s="37"/>
      <c r="F107" s="32"/>
    </row>
    <row r="108" spans="1:6" x14ac:dyDescent="0.25">
      <c r="A108" s="32"/>
      <c r="B108" s="37"/>
      <c r="C108" s="37"/>
      <c r="D108" s="37"/>
      <c r="E108" s="37"/>
      <c r="F108" s="32"/>
    </row>
    <row r="109" spans="1:6" x14ac:dyDescent="0.25">
      <c r="A109" s="32"/>
      <c r="B109" s="37"/>
      <c r="C109" s="37"/>
      <c r="D109" s="37"/>
      <c r="E109" s="37"/>
      <c r="F109" s="32"/>
    </row>
    <row r="110" spans="1:6" x14ac:dyDescent="0.25">
      <c r="A110" s="32"/>
      <c r="B110" s="37"/>
      <c r="C110" s="37"/>
      <c r="D110" s="37"/>
      <c r="E110" s="37"/>
      <c r="F110" s="32"/>
    </row>
    <row r="111" spans="1:6" x14ac:dyDescent="0.25">
      <c r="A111" s="32"/>
      <c r="B111" s="37"/>
      <c r="C111" s="37"/>
      <c r="D111" s="37"/>
      <c r="E111" s="37"/>
      <c r="F111" s="32"/>
    </row>
    <row r="112" spans="1:6" x14ac:dyDescent="0.25">
      <c r="A112" s="32"/>
      <c r="B112" s="37"/>
      <c r="C112" s="37"/>
      <c r="D112" s="37"/>
      <c r="E112" s="37"/>
      <c r="F112" s="32"/>
    </row>
    <row r="113" spans="1:6" x14ac:dyDescent="0.25">
      <c r="A113" s="32"/>
      <c r="B113" s="37"/>
      <c r="C113" s="37"/>
      <c r="D113" s="37"/>
      <c r="E113" s="37"/>
      <c r="F113" s="32"/>
    </row>
    <row r="114" spans="1:6" x14ac:dyDescent="0.25">
      <c r="A114" s="32"/>
      <c r="B114" s="37"/>
      <c r="C114" s="37"/>
      <c r="D114" s="37"/>
      <c r="E114" s="37"/>
      <c r="F114" s="32"/>
    </row>
    <row r="115" spans="1:6" x14ac:dyDescent="0.25">
      <c r="A115" s="32"/>
      <c r="B115" s="37"/>
      <c r="C115" s="37"/>
      <c r="D115" s="37"/>
      <c r="E115" s="37"/>
      <c r="F115" s="32"/>
    </row>
    <row r="116" spans="1:6" x14ac:dyDescent="0.25">
      <c r="A116" s="32"/>
      <c r="B116" s="37"/>
      <c r="C116" s="37"/>
      <c r="D116" s="37"/>
      <c r="E116" s="37"/>
      <c r="F116" s="32"/>
    </row>
    <row r="117" spans="1:6" x14ac:dyDescent="0.25">
      <c r="A117" s="32"/>
      <c r="B117" s="37"/>
      <c r="C117" s="37"/>
      <c r="D117" s="37"/>
      <c r="E117" s="37"/>
      <c r="F117" s="32"/>
    </row>
    <row r="118" spans="1:6" x14ac:dyDescent="0.25">
      <c r="A118" s="32"/>
      <c r="B118" s="37"/>
      <c r="C118" s="37"/>
      <c r="D118" s="37"/>
      <c r="E118" s="37"/>
      <c r="F118" s="32"/>
    </row>
    <row r="119" spans="1:6" x14ac:dyDescent="0.25">
      <c r="A119" s="32"/>
      <c r="B119" s="37"/>
      <c r="C119" s="37"/>
      <c r="D119" s="37"/>
      <c r="E119" s="37"/>
      <c r="F119" s="32"/>
    </row>
    <row r="120" spans="1:6" x14ac:dyDescent="0.25">
      <c r="A120" s="32"/>
      <c r="B120" s="37"/>
      <c r="C120" s="37"/>
      <c r="D120" s="37"/>
      <c r="E120" s="37"/>
      <c r="F120" s="32"/>
    </row>
    <row r="121" spans="1:6" x14ac:dyDescent="0.25">
      <c r="A121" s="32"/>
      <c r="B121" s="37"/>
      <c r="C121" s="37"/>
      <c r="D121" s="37"/>
      <c r="E121" s="37"/>
      <c r="F121" s="32"/>
    </row>
    <row r="122" spans="1:6" x14ac:dyDescent="0.25">
      <c r="A122" s="32"/>
      <c r="B122" s="37"/>
      <c r="C122" s="37"/>
      <c r="D122" s="37"/>
      <c r="E122" s="37"/>
      <c r="F122" s="32"/>
    </row>
    <row r="123" spans="1:6" x14ac:dyDescent="0.25">
      <c r="A123" s="32"/>
      <c r="B123" s="37"/>
      <c r="C123" s="37"/>
      <c r="D123" s="37"/>
      <c r="E123" s="37"/>
      <c r="F123" s="32"/>
    </row>
    <row r="124" spans="1:6" x14ac:dyDescent="0.25">
      <c r="A124" s="32"/>
      <c r="B124" s="37"/>
      <c r="C124" s="37"/>
      <c r="D124" s="37"/>
      <c r="E124" s="37"/>
      <c r="F124" s="32"/>
    </row>
    <row r="125" spans="1:6" x14ac:dyDescent="0.25">
      <c r="A125" s="32"/>
      <c r="B125" s="37"/>
      <c r="C125" s="37"/>
      <c r="D125" s="37"/>
      <c r="E125" s="37"/>
      <c r="F125" s="32"/>
    </row>
    <row r="126" spans="1:6" x14ac:dyDescent="0.25">
      <c r="A126" s="32"/>
      <c r="B126" s="37"/>
      <c r="C126" s="37"/>
      <c r="D126" s="37"/>
      <c r="E126" s="37"/>
      <c r="F126" s="32"/>
    </row>
    <row r="127" spans="1:6" x14ac:dyDescent="0.25">
      <c r="A127" s="32"/>
      <c r="B127" s="37"/>
      <c r="C127" s="37"/>
      <c r="D127" s="37"/>
      <c r="E127" s="37"/>
      <c r="F127" s="32"/>
    </row>
    <row r="128" spans="1:6" x14ac:dyDescent="0.25">
      <c r="A128" s="32"/>
      <c r="B128" s="37"/>
      <c r="C128" s="37"/>
      <c r="D128" s="37"/>
      <c r="E128" s="37"/>
      <c r="F128" s="32"/>
    </row>
    <row r="129" spans="1:6" x14ac:dyDescent="0.25">
      <c r="A129" s="32"/>
      <c r="B129" s="37"/>
      <c r="C129" s="37"/>
      <c r="D129" s="37"/>
      <c r="E129" s="37"/>
      <c r="F129" s="32"/>
    </row>
    <row r="130" spans="1:6" x14ac:dyDescent="0.25">
      <c r="A130" s="32"/>
      <c r="B130" s="37"/>
      <c r="C130" s="37"/>
      <c r="D130" s="37"/>
      <c r="E130" s="37"/>
      <c r="F130" s="32"/>
    </row>
    <row r="131" spans="1:6" x14ac:dyDescent="0.25">
      <c r="A131" s="32"/>
      <c r="B131" s="37"/>
      <c r="C131" s="37"/>
      <c r="D131" s="37"/>
      <c r="E131" s="37"/>
      <c r="F131" s="32"/>
    </row>
    <row r="132" spans="1:6" x14ac:dyDescent="0.25">
      <c r="A132" s="32"/>
      <c r="B132" s="37"/>
      <c r="C132" s="37"/>
      <c r="D132" s="37"/>
      <c r="E132" s="37"/>
      <c r="F132" s="32"/>
    </row>
    <row r="133" spans="1:6" x14ac:dyDescent="0.25">
      <c r="A133" s="32"/>
      <c r="B133" s="37"/>
      <c r="C133" s="37"/>
      <c r="D133" s="37"/>
      <c r="E133" s="37"/>
      <c r="F133" s="32"/>
    </row>
    <row r="134" spans="1:6" x14ac:dyDescent="0.25">
      <c r="A134" s="32"/>
      <c r="B134" s="37"/>
      <c r="C134" s="37"/>
      <c r="D134" s="37"/>
      <c r="E134" s="37"/>
      <c r="F134" s="32"/>
    </row>
    <row r="135" spans="1:6" x14ac:dyDescent="0.25">
      <c r="A135" s="32"/>
      <c r="B135" s="37"/>
      <c r="C135" s="37"/>
      <c r="D135" s="37"/>
      <c r="E135" s="37"/>
      <c r="F135" s="32"/>
    </row>
    <row r="136" spans="1:6" x14ac:dyDescent="0.25">
      <c r="A136" s="32"/>
      <c r="B136" s="37"/>
      <c r="C136" s="37"/>
      <c r="D136" s="37"/>
      <c r="E136" s="37"/>
      <c r="F136" s="32"/>
    </row>
    <row r="137" spans="1:6" x14ac:dyDescent="0.25">
      <c r="A137" s="32"/>
      <c r="B137" s="37"/>
      <c r="C137" s="37"/>
      <c r="D137" s="37"/>
      <c r="E137" s="37"/>
      <c r="F137" s="32"/>
    </row>
    <row r="138" spans="1:6" x14ac:dyDescent="0.25">
      <c r="A138" s="32"/>
      <c r="B138" s="37"/>
      <c r="C138" s="37"/>
      <c r="D138" s="37"/>
      <c r="E138" s="37"/>
      <c r="F138" s="32"/>
    </row>
    <row r="139" spans="1:6" x14ac:dyDescent="0.25">
      <c r="A139" s="32"/>
      <c r="B139" s="37"/>
      <c r="C139" s="37"/>
      <c r="D139" s="37"/>
      <c r="E139" s="37"/>
      <c r="F139" s="32"/>
    </row>
    <row r="140" spans="1:6" x14ac:dyDescent="0.25">
      <c r="A140" s="32"/>
      <c r="B140" s="37"/>
      <c r="C140" s="37"/>
      <c r="D140" s="37"/>
      <c r="E140" s="37"/>
      <c r="F140" s="32"/>
    </row>
    <row r="141" spans="1:6" x14ac:dyDescent="0.25">
      <c r="A141" s="32"/>
      <c r="B141" s="37"/>
      <c r="C141" s="37"/>
      <c r="D141" s="37"/>
      <c r="E141" s="37"/>
      <c r="F141" s="32"/>
    </row>
    <row r="142" spans="1:6" x14ac:dyDescent="0.25">
      <c r="A142" s="32"/>
      <c r="B142" s="37"/>
      <c r="C142" s="37"/>
      <c r="D142" s="37"/>
      <c r="E142" s="37"/>
      <c r="F142" s="32"/>
    </row>
    <row r="143" spans="1:6" x14ac:dyDescent="0.25">
      <c r="A143" s="32"/>
      <c r="B143" s="37"/>
      <c r="C143" s="37"/>
      <c r="D143" s="37"/>
      <c r="E143" s="37"/>
      <c r="F143" s="32"/>
    </row>
    <row r="144" spans="1:6" x14ac:dyDescent="0.25">
      <c r="A144" s="32"/>
      <c r="B144" s="37"/>
      <c r="C144" s="37"/>
      <c r="D144" s="37"/>
      <c r="E144" s="37"/>
      <c r="F144" s="32"/>
    </row>
    <row r="145" spans="1:6" x14ac:dyDescent="0.25">
      <c r="A145" s="32"/>
      <c r="B145" s="37"/>
      <c r="C145" s="37"/>
      <c r="D145" s="37"/>
      <c r="E145" s="37"/>
      <c r="F145" s="32"/>
    </row>
    <row r="146" spans="1:6" x14ac:dyDescent="0.25">
      <c r="A146" s="32"/>
      <c r="B146" s="37"/>
      <c r="C146" s="37"/>
      <c r="D146" s="37"/>
      <c r="E146" s="37"/>
      <c r="F146" s="32"/>
    </row>
    <row r="147" spans="1:6" x14ac:dyDescent="0.25">
      <c r="A147" s="32"/>
      <c r="B147" s="37"/>
      <c r="C147" s="37"/>
      <c r="D147" s="37"/>
      <c r="E147" s="37"/>
      <c r="F147" s="32"/>
    </row>
    <row r="148" spans="1:6" x14ac:dyDescent="0.25">
      <c r="A148" s="32"/>
      <c r="B148" s="37"/>
      <c r="C148" s="37"/>
      <c r="D148" s="37"/>
      <c r="E148" s="37"/>
      <c r="F148" s="32"/>
    </row>
    <row r="149" spans="1:6" x14ac:dyDescent="0.25">
      <c r="A149" s="32"/>
      <c r="B149" s="37"/>
      <c r="C149" s="37"/>
      <c r="D149" s="37"/>
      <c r="E149" s="37"/>
      <c r="F149" s="32"/>
    </row>
    <row r="150" spans="1:6" x14ac:dyDescent="0.25">
      <c r="A150" s="32"/>
      <c r="B150" s="37"/>
      <c r="C150" s="37"/>
      <c r="D150" s="37"/>
      <c r="E150" s="37"/>
      <c r="F150" s="32"/>
    </row>
    <row r="151" spans="1:6" x14ac:dyDescent="0.25">
      <c r="A151" s="32"/>
      <c r="B151" s="37"/>
      <c r="C151" s="37"/>
      <c r="D151" s="37"/>
      <c r="E151" s="37"/>
      <c r="F151" s="32"/>
    </row>
    <row r="152" spans="1:6" x14ac:dyDescent="0.25">
      <c r="A152" s="32"/>
      <c r="B152" s="37"/>
      <c r="C152" s="37"/>
      <c r="D152" s="37"/>
      <c r="E152" s="37"/>
      <c r="F152" s="32"/>
    </row>
    <row r="153" spans="1:6" x14ac:dyDescent="0.25">
      <c r="A153" s="32"/>
      <c r="B153" s="37"/>
      <c r="C153" s="37"/>
      <c r="D153" s="37"/>
      <c r="E153" s="37"/>
      <c r="F153" s="32"/>
    </row>
    <row r="154" spans="1:6" x14ac:dyDescent="0.25">
      <c r="A154" s="32"/>
      <c r="B154" s="37"/>
      <c r="C154" s="37"/>
      <c r="D154" s="37"/>
      <c r="E154" s="37"/>
      <c r="F154" s="32"/>
    </row>
    <row r="155" spans="1:6" x14ac:dyDescent="0.25">
      <c r="A155" s="32"/>
      <c r="B155" s="37"/>
      <c r="C155" s="37"/>
      <c r="D155" s="37"/>
      <c r="E155" s="37"/>
      <c r="F155" s="32"/>
    </row>
    <row r="156" spans="1:6" x14ac:dyDescent="0.25">
      <c r="A156" s="32"/>
      <c r="B156" s="37"/>
      <c r="C156" s="37"/>
      <c r="D156" s="37"/>
      <c r="E156" s="37"/>
      <c r="F156" s="32"/>
    </row>
    <row r="157" spans="1:6" x14ac:dyDescent="0.25">
      <c r="A157" s="32"/>
      <c r="B157" s="37"/>
      <c r="C157" s="37"/>
      <c r="D157" s="37"/>
      <c r="E157" s="37"/>
      <c r="F157" s="32"/>
    </row>
    <row r="158" spans="1:6" x14ac:dyDescent="0.25">
      <c r="A158" s="32"/>
      <c r="B158" s="37"/>
      <c r="C158" s="37"/>
      <c r="D158" s="37"/>
      <c r="E158" s="37"/>
      <c r="F158" s="32"/>
    </row>
    <row r="159" spans="1:6" x14ac:dyDescent="0.25">
      <c r="A159" s="32"/>
      <c r="B159" s="37"/>
      <c r="C159" s="37"/>
      <c r="D159" s="37"/>
      <c r="E159" s="37"/>
      <c r="F159" s="32"/>
    </row>
    <row r="160" spans="1:6" x14ac:dyDescent="0.25">
      <c r="A160" s="32"/>
      <c r="B160" s="37"/>
      <c r="C160" s="37"/>
      <c r="D160" s="37"/>
      <c r="E160" s="37"/>
      <c r="F160" s="32"/>
    </row>
    <row r="161" spans="1:6" x14ac:dyDescent="0.25">
      <c r="A161" s="32"/>
      <c r="B161" s="37"/>
      <c r="C161" s="37"/>
      <c r="D161" s="37"/>
      <c r="E161" s="37"/>
      <c r="F161" s="32"/>
    </row>
    <row r="162" spans="1:6" x14ac:dyDescent="0.25">
      <c r="A162" s="32"/>
      <c r="B162" s="37"/>
      <c r="C162" s="37"/>
      <c r="D162" s="37"/>
      <c r="E162" s="37"/>
      <c r="F162" s="32"/>
    </row>
    <row r="163" spans="1:6" x14ac:dyDescent="0.25">
      <c r="A163" s="32"/>
      <c r="B163" s="37"/>
      <c r="C163" s="37"/>
      <c r="D163" s="37"/>
      <c r="E163" s="37"/>
      <c r="F163" s="32"/>
    </row>
    <row r="164" spans="1:6" x14ac:dyDescent="0.25">
      <c r="A164" s="32"/>
      <c r="B164" s="37"/>
      <c r="C164" s="37"/>
      <c r="D164" s="37"/>
      <c r="E164" s="37"/>
      <c r="F164" s="32"/>
    </row>
    <row r="165" spans="1:6" x14ac:dyDescent="0.25">
      <c r="A165" s="32"/>
      <c r="B165" s="37"/>
      <c r="C165" s="37"/>
      <c r="D165" s="37"/>
      <c r="E165" s="37"/>
      <c r="F165" s="32"/>
    </row>
    <row r="166" spans="1:6" x14ac:dyDescent="0.25">
      <c r="A166" s="32"/>
      <c r="B166" s="37"/>
      <c r="C166" s="37"/>
      <c r="D166" s="37"/>
      <c r="E166" s="37"/>
      <c r="F166" s="32"/>
    </row>
    <row r="167" spans="1:6" x14ac:dyDescent="0.25">
      <c r="A167" s="32"/>
      <c r="B167" s="37"/>
      <c r="C167" s="37"/>
      <c r="D167" s="37"/>
      <c r="E167" s="37"/>
      <c r="F167" s="32"/>
    </row>
    <row r="168" spans="1:6" x14ac:dyDescent="0.25">
      <c r="A168" s="32"/>
      <c r="B168" s="37"/>
      <c r="C168" s="37"/>
      <c r="D168" s="37"/>
      <c r="E168" s="37"/>
      <c r="F168" s="32"/>
    </row>
    <row r="169" spans="1:6" x14ac:dyDescent="0.25">
      <c r="A169" s="32"/>
      <c r="B169" s="37"/>
      <c r="C169" s="37"/>
      <c r="D169" s="37"/>
      <c r="E169" s="37"/>
      <c r="F169" s="32"/>
    </row>
    <row r="170" spans="1:6" x14ac:dyDescent="0.25">
      <c r="A170" s="32"/>
      <c r="B170" s="37"/>
      <c r="C170" s="37"/>
      <c r="D170" s="37"/>
      <c r="E170" s="37"/>
      <c r="F170" s="32"/>
    </row>
    <row r="171" spans="1:6" x14ac:dyDescent="0.25">
      <c r="A171" s="32"/>
      <c r="B171" s="37"/>
      <c r="C171" s="37"/>
      <c r="D171" s="37"/>
      <c r="E171" s="37"/>
      <c r="F171" s="32"/>
    </row>
    <row r="172" spans="1:6" x14ac:dyDescent="0.25">
      <c r="A172" s="32"/>
      <c r="B172" s="37"/>
      <c r="C172" s="37"/>
      <c r="D172" s="37"/>
      <c r="E172" s="37"/>
      <c r="F172" s="32"/>
    </row>
    <row r="173" spans="1:6" x14ac:dyDescent="0.25">
      <c r="A173" s="32"/>
      <c r="B173" s="37"/>
      <c r="C173" s="37"/>
      <c r="D173" s="37"/>
      <c r="E173" s="37"/>
      <c r="F173" s="32"/>
    </row>
    <row r="174" spans="1:6" x14ac:dyDescent="0.25">
      <c r="A174" s="32"/>
      <c r="B174" s="37"/>
      <c r="C174" s="37"/>
      <c r="D174" s="37"/>
      <c r="E174" s="37"/>
      <c r="F174" s="32"/>
    </row>
    <row r="175" spans="1:6" x14ac:dyDescent="0.25">
      <c r="A175" s="32"/>
      <c r="B175" s="37"/>
      <c r="C175" s="37"/>
      <c r="D175" s="37"/>
      <c r="E175" s="37"/>
      <c r="F175" s="32"/>
    </row>
    <row r="176" spans="1:6" x14ac:dyDescent="0.25">
      <c r="A176" s="32"/>
      <c r="B176" s="37"/>
      <c r="C176" s="37"/>
      <c r="D176" s="37"/>
      <c r="E176" s="37"/>
      <c r="F176" s="32"/>
    </row>
    <row r="177" spans="1:6" x14ac:dyDescent="0.25">
      <c r="A177" s="32"/>
      <c r="B177" s="37"/>
      <c r="C177" s="37"/>
      <c r="D177" s="37"/>
      <c r="E177" s="37"/>
      <c r="F177" s="32"/>
    </row>
    <row r="178" spans="1:6" x14ac:dyDescent="0.25">
      <c r="A178" s="32"/>
      <c r="B178" s="37"/>
      <c r="C178" s="37"/>
      <c r="D178" s="37"/>
      <c r="E178" s="37"/>
      <c r="F178" s="32"/>
    </row>
    <row r="179" spans="1:6" x14ac:dyDescent="0.25">
      <c r="A179" s="32"/>
      <c r="B179" s="37"/>
      <c r="C179" s="37"/>
      <c r="D179" s="37"/>
      <c r="E179" s="37"/>
      <c r="F179" s="32"/>
    </row>
    <row r="180" spans="1:6" x14ac:dyDescent="0.25">
      <c r="A180" s="32"/>
      <c r="B180" s="37"/>
      <c r="C180" s="37"/>
      <c r="D180" s="37"/>
      <c r="E180" s="37"/>
      <c r="F180" s="32"/>
    </row>
    <row r="181" spans="1:6" x14ac:dyDescent="0.25">
      <c r="A181" s="32"/>
      <c r="B181" s="37"/>
      <c r="C181" s="37"/>
      <c r="D181" s="37"/>
      <c r="E181" s="37"/>
      <c r="F181" s="32"/>
    </row>
    <row r="182" spans="1:6" x14ac:dyDescent="0.25">
      <c r="A182" s="32"/>
      <c r="B182" s="37"/>
      <c r="C182" s="37"/>
      <c r="D182" s="37"/>
      <c r="E182" s="37"/>
      <c r="F182" s="32"/>
    </row>
    <row r="183" spans="1:6" x14ac:dyDescent="0.25">
      <c r="A183" s="32"/>
      <c r="B183" s="37"/>
      <c r="C183" s="37"/>
      <c r="D183" s="37"/>
      <c r="E183" s="37"/>
      <c r="F183" s="32"/>
    </row>
    <row r="184" spans="1:6" x14ac:dyDescent="0.25">
      <c r="A184" s="32"/>
      <c r="B184" s="37"/>
      <c r="C184" s="37"/>
      <c r="D184" s="37"/>
      <c r="E184" s="37"/>
      <c r="F184" s="32"/>
    </row>
    <row r="185" spans="1:6" x14ac:dyDescent="0.25">
      <c r="A185" s="32"/>
      <c r="B185" s="37"/>
      <c r="C185" s="37"/>
      <c r="D185" s="37"/>
      <c r="E185" s="37"/>
      <c r="F185" s="32"/>
    </row>
    <row r="186" spans="1:6" x14ac:dyDescent="0.25">
      <c r="A186" s="32"/>
      <c r="B186" s="37"/>
      <c r="C186" s="37"/>
      <c r="D186" s="37"/>
      <c r="E186" s="37"/>
      <c r="F186" s="32"/>
    </row>
    <row r="187" spans="1:6" x14ac:dyDescent="0.25">
      <c r="A187" s="32"/>
      <c r="B187" s="37"/>
      <c r="C187" s="37"/>
      <c r="D187" s="37"/>
      <c r="E187" s="37"/>
      <c r="F187" s="32"/>
    </row>
    <row r="188" spans="1:6" x14ac:dyDescent="0.25">
      <c r="A188" s="32"/>
      <c r="B188" s="37"/>
      <c r="C188" s="37"/>
      <c r="D188" s="37"/>
      <c r="E188" s="37"/>
      <c r="F188" s="32"/>
    </row>
    <row r="189" spans="1:6" x14ac:dyDescent="0.25">
      <c r="A189" s="32"/>
      <c r="B189" s="37"/>
      <c r="C189" s="37"/>
      <c r="D189" s="37"/>
      <c r="E189" s="37"/>
      <c r="F189" s="32"/>
    </row>
    <row r="190" spans="1:6" x14ac:dyDescent="0.25">
      <c r="A190" s="32"/>
      <c r="B190" s="37"/>
      <c r="C190" s="37"/>
      <c r="D190" s="37"/>
      <c r="E190" s="37"/>
      <c r="F190" s="32"/>
    </row>
    <row r="191" spans="1:6" x14ac:dyDescent="0.25">
      <c r="A191" s="32"/>
      <c r="B191" s="37"/>
      <c r="C191" s="37"/>
      <c r="D191" s="37"/>
      <c r="E191" s="37"/>
      <c r="F191" s="32"/>
    </row>
    <row r="192" spans="1:6" x14ac:dyDescent="0.25">
      <c r="A192" s="32"/>
      <c r="B192" s="37"/>
      <c r="C192" s="37"/>
      <c r="D192" s="37"/>
      <c r="E192" s="37"/>
      <c r="F192" s="32"/>
    </row>
    <row r="193" spans="1:6" x14ac:dyDescent="0.25">
      <c r="A193" s="32"/>
      <c r="B193" s="37"/>
      <c r="C193" s="37"/>
      <c r="D193" s="37"/>
      <c r="E193" s="37"/>
      <c r="F193" s="32"/>
    </row>
    <row r="194" spans="1:6" x14ac:dyDescent="0.25">
      <c r="A194" s="32"/>
      <c r="B194" s="37"/>
      <c r="C194" s="37"/>
      <c r="D194" s="37"/>
      <c r="E194" s="37"/>
      <c r="F194" s="32"/>
    </row>
    <row r="195" spans="1:6" x14ac:dyDescent="0.25">
      <c r="A195" s="32"/>
      <c r="B195" s="37"/>
      <c r="C195" s="37"/>
      <c r="D195" s="37"/>
      <c r="E195" s="37"/>
      <c r="F195" s="32"/>
    </row>
    <row r="196" spans="1:6" x14ac:dyDescent="0.25">
      <c r="A196" s="32"/>
      <c r="B196" s="37"/>
      <c r="C196" s="37"/>
      <c r="D196" s="37"/>
      <c r="E196" s="37"/>
      <c r="F196" s="32"/>
    </row>
    <row r="197" spans="1:6" x14ac:dyDescent="0.25">
      <c r="A197" s="32"/>
      <c r="B197" s="37"/>
      <c r="C197" s="37"/>
      <c r="D197" s="37"/>
      <c r="E197" s="37"/>
      <c r="F197" s="32"/>
    </row>
    <row r="198" spans="1:6" x14ac:dyDescent="0.25">
      <c r="A198" s="32"/>
      <c r="B198" s="37"/>
      <c r="C198" s="37"/>
      <c r="D198" s="37"/>
      <c r="E198" s="37"/>
      <c r="F198" s="32"/>
    </row>
    <row r="199" spans="1:6" x14ac:dyDescent="0.25">
      <c r="A199" s="32"/>
      <c r="B199" s="37"/>
      <c r="C199" s="37"/>
      <c r="D199" s="37"/>
      <c r="E199" s="37"/>
      <c r="F199" s="32"/>
    </row>
    <row r="200" spans="1:6" x14ac:dyDescent="0.25">
      <c r="A200" s="32"/>
      <c r="B200" s="37"/>
      <c r="C200" s="37"/>
      <c r="D200" s="37"/>
      <c r="E200" s="37"/>
      <c r="F200" s="32"/>
    </row>
    <row r="201" spans="1:6" x14ac:dyDescent="0.25">
      <c r="A201" s="32"/>
      <c r="B201" s="37"/>
      <c r="C201" s="37"/>
      <c r="D201" s="37"/>
      <c r="E201" s="37"/>
      <c r="F201" s="32"/>
    </row>
    <row r="202" spans="1:6" x14ac:dyDescent="0.25">
      <c r="A202" s="32"/>
      <c r="B202" s="37"/>
      <c r="C202" s="37"/>
      <c r="D202" s="37"/>
      <c r="E202" s="37"/>
      <c r="F202" s="32"/>
    </row>
    <row r="203" spans="1:6" x14ac:dyDescent="0.25">
      <c r="A203" s="32"/>
      <c r="B203" s="37"/>
      <c r="C203" s="37"/>
      <c r="D203" s="37"/>
      <c r="E203" s="37"/>
      <c r="F203" s="32"/>
    </row>
    <row r="204" spans="1:6" x14ac:dyDescent="0.25">
      <c r="A204" s="32"/>
      <c r="B204" s="37"/>
      <c r="C204" s="37"/>
      <c r="D204" s="37"/>
      <c r="E204" s="37"/>
      <c r="F204" s="32"/>
    </row>
    <row r="205" spans="1:6" x14ac:dyDescent="0.25">
      <c r="A205" s="32"/>
      <c r="B205" s="37"/>
      <c r="C205" s="37"/>
      <c r="D205" s="37"/>
      <c r="E205" s="37"/>
      <c r="F205" s="32"/>
    </row>
    <row r="206" spans="1:6" x14ac:dyDescent="0.25">
      <c r="A206" s="32"/>
      <c r="B206" s="37"/>
      <c r="C206" s="37"/>
      <c r="D206" s="37"/>
      <c r="E206" s="37"/>
      <c r="F206" s="32"/>
    </row>
    <row r="207" spans="1:6" x14ac:dyDescent="0.25">
      <c r="A207" s="32"/>
      <c r="B207" s="37"/>
      <c r="C207" s="37"/>
      <c r="D207" s="37"/>
      <c r="E207" s="37"/>
      <c r="F207" s="32"/>
    </row>
    <row r="208" spans="1:6" x14ac:dyDescent="0.25">
      <c r="A208" s="32"/>
      <c r="B208" s="37"/>
      <c r="C208" s="37"/>
      <c r="D208" s="37"/>
      <c r="E208" s="37"/>
      <c r="F208" s="32"/>
    </row>
    <row r="209" spans="1:6" x14ac:dyDescent="0.25">
      <c r="A209" s="32"/>
      <c r="B209" s="37"/>
      <c r="C209" s="37"/>
      <c r="D209" s="37"/>
      <c r="E209" s="37"/>
      <c r="F209" s="32"/>
    </row>
    <row r="210" spans="1:6" x14ac:dyDescent="0.25">
      <c r="A210" s="32"/>
      <c r="B210" s="37"/>
      <c r="C210" s="37"/>
      <c r="D210" s="37"/>
      <c r="E210" s="37"/>
      <c r="F210" s="32"/>
    </row>
    <row r="211" spans="1:6" x14ac:dyDescent="0.25">
      <c r="A211" s="32"/>
      <c r="B211" s="37"/>
      <c r="C211" s="37"/>
      <c r="D211" s="37"/>
      <c r="E211" s="37"/>
      <c r="F211" s="32"/>
    </row>
    <row r="212" spans="1:6" x14ac:dyDescent="0.25">
      <c r="A212" s="32"/>
      <c r="B212" s="37"/>
      <c r="C212" s="37"/>
      <c r="D212" s="37"/>
      <c r="E212" s="37"/>
      <c r="F212" s="32"/>
    </row>
    <row r="213" spans="1:6" x14ac:dyDescent="0.25">
      <c r="A213" s="32"/>
      <c r="B213" s="37"/>
      <c r="C213" s="37"/>
      <c r="D213" s="37"/>
      <c r="E213" s="37"/>
      <c r="F213" s="32"/>
    </row>
    <row r="214" spans="1:6" x14ac:dyDescent="0.25">
      <c r="A214" s="32"/>
      <c r="B214" s="37"/>
      <c r="C214" s="37"/>
      <c r="D214" s="37"/>
      <c r="E214" s="37"/>
      <c r="F214" s="32"/>
    </row>
    <row r="215" spans="1:6" x14ac:dyDescent="0.25">
      <c r="A215" s="32"/>
      <c r="B215" s="37"/>
      <c r="C215" s="37"/>
      <c r="D215" s="37"/>
      <c r="E215" s="37"/>
      <c r="F215" s="32"/>
    </row>
    <row r="216" spans="1:6" x14ac:dyDescent="0.25">
      <c r="A216" s="32"/>
      <c r="B216" s="37"/>
      <c r="C216" s="37"/>
      <c r="D216" s="37"/>
      <c r="E216" s="37"/>
      <c r="F216" s="32"/>
    </row>
    <row r="217" spans="1:6" x14ac:dyDescent="0.25">
      <c r="A217" s="32"/>
      <c r="B217" s="37"/>
      <c r="C217" s="37"/>
      <c r="D217" s="37"/>
      <c r="E217" s="37"/>
      <c r="F217" s="32"/>
    </row>
    <row r="218" spans="1:6" x14ac:dyDescent="0.25">
      <c r="A218" s="32"/>
      <c r="B218" s="37"/>
      <c r="C218" s="37"/>
      <c r="D218" s="37"/>
      <c r="E218" s="37"/>
      <c r="F218" s="32"/>
    </row>
    <row r="219" spans="1:6" x14ac:dyDescent="0.25">
      <c r="A219" s="32"/>
      <c r="B219" s="37"/>
      <c r="C219" s="37"/>
      <c r="D219" s="37"/>
      <c r="E219" s="37"/>
      <c r="F219" s="32"/>
    </row>
    <row r="220" spans="1:6" x14ac:dyDescent="0.25">
      <c r="A220" s="32"/>
      <c r="B220" s="37"/>
      <c r="C220" s="37"/>
      <c r="D220" s="37"/>
      <c r="E220" s="37"/>
      <c r="F220" s="32"/>
    </row>
    <row r="221" spans="1:6" x14ac:dyDescent="0.25">
      <c r="A221" s="32"/>
      <c r="B221" s="37"/>
      <c r="C221" s="37"/>
      <c r="D221" s="37"/>
      <c r="E221" s="37"/>
      <c r="F221" s="32"/>
    </row>
    <row r="222" spans="1:6" x14ac:dyDescent="0.25">
      <c r="A222" s="32"/>
      <c r="B222" s="37"/>
      <c r="C222" s="37"/>
      <c r="D222" s="37"/>
      <c r="E222" s="37"/>
      <c r="F222" s="32"/>
    </row>
    <row r="223" spans="1:6" x14ac:dyDescent="0.25">
      <c r="A223" s="32"/>
      <c r="B223" s="37"/>
      <c r="C223" s="37"/>
      <c r="D223" s="37"/>
      <c r="E223" s="37"/>
      <c r="F223" s="32"/>
    </row>
    <row r="224" spans="1:6" x14ac:dyDescent="0.25">
      <c r="A224" s="32"/>
      <c r="B224" s="37"/>
      <c r="C224" s="37"/>
      <c r="D224" s="37"/>
      <c r="E224" s="37"/>
      <c r="F224" s="32"/>
    </row>
    <row r="225" spans="1:6" x14ac:dyDescent="0.25">
      <c r="A225" s="32"/>
      <c r="B225" s="37"/>
      <c r="C225" s="37"/>
      <c r="D225" s="37"/>
      <c r="E225" s="37"/>
      <c r="F225" s="32"/>
    </row>
    <row r="226" spans="1:6" x14ac:dyDescent="0.25">
      <c r="A226" s="32"/>
      <c r="B226" s="37"/>
      <c r="C226" s="37"/>
      <c r="D226" s="37"/>
      <c r="E226" s="37"/>
      <c r="F226" s="32"/>
    </row>
    <row r="227" spans="1:6" x14ac:dyDescent="0.25">
      <c r="A227" s="32"/>
      <c r="B227" s="37"/>
      <c r="C227" s="37"/>
      <c r="D227" s="37"/>
      <c r="E227" s="37"/>
      <c r="F227" s="32"/>
    </row>
    <row r="228" spans="1:6" x14ac:dyDescent="0.25">
      <c r="A228" s="32"/>
      <c r="B228" s="37"/>
      <c r="C228" s="37"/>
      <c r="D228" s="37"/>
      <c r="E228" s="37"/>
      <c r="F228" s="32"/>
    </row>
    <row r="229" spans="1:6" x14ac:dyDescent="0.25">
      <c r="A229" s="32"/>
      <c r="B229" s="37"/>
      <c r="C229" s="37"/>
      <c r="D229" s="37"/>
      <c r="E229" s="37"/>
      <c r="F229" s="32"/>
    </row>
    <row r="230" spans="1:6" x14ac:dyDescent="0.25">
      <c r="A230" s="32"/>
      <c r="B230" s="37"/>
      <c r="C230" s="37"/>
      <c r="D230" s="37"/>
      <c r="E230" s="37"/>
      <c r="F230" s="32"/>
    </row>
    <row r="231" spans="1:6" x14ac:dyDescent="0.25">
      <c r="A231" s="32"/>
      <c r="B231" s="37"/>
      <c r="C231" s="37"/>
      <c r="D231" s="37"/>
      <c r="E231" s="37"/>
      <c r="F231" s="32"/>
    </row>
    <row r="232" spans="1:6" x14ac:dyDescent="0.25">
      <c r="A232" s="32"/>
      <c r="B232" s="37"/>
      <c r="C232" s="37"/>
      <c r="D232" s="37"/>
      <c r="E232" s="37"/>
      <c r="F232" s="32"/>
    </row>
    <row r="233" spans="1:6" x14ac:dyDescent="0.25">
      <c r="A233" s="32"/>
      <c r="B233" s="37"/>
      <c r="C233" s="37"/>
      <c r="D233" s="37"/>
      <c r="E233" s="37"/>
      <c r="F233" s="32"/>
    </row>
    <row r="234" spans="1:6" x14ac:dyDescent="0.25">
      <c r="A234" s="32"/>
      <c r="B234" s="37"/>
      <c r="C234" s="37"/>
      <c r="D234" s="37"/>
      <c r="E234" s="37"/>
      <c r="F234" s="32"/>
    </row>
    <row r="235" spans="1:6" x14ac:dyDescent="0.25">
      <c r="A235" s="32"/>
      <c r="B235" s="37"/>
      <c r="C235" s="37"/>
      <c r="D235" s="37"/>
      <c r="E235" s="37"/>
      <c r="F235" s="32"/>
    </row>
    <row r="236" spans="1:6" x14ac:dyDescent="0.25">
      <c r="A236" s="32"/>
      <c r="B236" s="37"/>
      <c r="C236" s="37"/>
      <c r="D236" s="37"/>
      <c r="E236" s="37"/>
      <c r="F236" s="32"/>
    </row>
    <row r="237" spans="1:6" x14ac:dyDescent="0.25">
      <c r="A237" s="32"/>
      <c r="B237" s="37"/>
      <c r="C237" s="37"/>
      <c r="D237" s="37"/>
      <c r="E237" s="37"/>
      <c r="F237" s="32"/>
    </row>
    <row r="238" spans="1:6" x14ac:dyDescent="0.25">
      <c r="A238" s="32"/>
      <c r="B238" s="37"/>
      <c r="C238" s="37"/>
      <c r="D238" s="37"/>
      <c r="E238" s="37"/>
      <c r="F238" s="32"/>
    </row>
    <row r="239" spans="1:6" x14ac:dyDescent="0.25">
      <c r="A239" s="32"/>
      <c r="B239" s="37"/>
      <c r="C239" s="37"/>
      <c r="D239" s="37"/>
      <c r="E239" s="37"/>
      <c r="F239" s="32"/>
    </row>
    <row r="240" spans="1:6" x14ac:dyDescent="0.25">
      <c r="A240" s="32"/>
      <c r="B240" s="37"/>
      <c r="C240" s="37"/>
      <c r="D240" s="37"/>
      <c r="E240" s="37"/>
      <c r="F240" s="32"/>
    </row>
    <row r="241" spans="1:6" x14ac:dyDescent="0.25">
      <c r="A241" s="32"/>
      <c r="B241" s="37"/>
      <c r="C241" s="37"/>
      <c r="D241" s="37"/>
      <c r="E241" s="37"/>
      <c r="F241" s="32"/>
    </row>
    <row r="242" spans="1:6" x14ac:dyDescent="0.25">
      <c r="A242" s="32"/>
      <c r="B242" s="37"/>
      <c r="C242" s="37"/>
      <c r="D242" s="37"/>
      <c r="E242" s="37"/>
      <c r="F242" s="32"/>
    </row>
    <row r="243" spans="1:6" x14ac:dyDescent="0.25">
      <c r="A243" s="32"/>
      <c r="B243" s="37"/>
      <c r="C243" s="37"/>
      <c r="D243" s="37"/>
      <c r="E243" s="37"/>
      <c r="F243" s="32"/>
    </row>
    <row r="244" spans="1:6" x14ac:dyDescent="0.25">
      <c r="A244" s="32"/>
      <c r="B244" s="37"/>
      <c r="C244" s="37"/>
      <c r="D244" s="37"/>
      <c r="E244" s="37"/>
      <c r="F244" s="32"/>
    </row>
    <row r="245" spans="1:6" x14ac:dyDescent="0.25">
      <c r="A245" s="32"/>
      <c r="B245" s="37"/>
      <c r="C245" s="37"/>
      <c r="D245" s="37"/>
      <c r="E245" s="37"/>
      <c r="F245" s="32"/>
    </row>
    <row r="246" spans="1:6" x14ac:dyDescent="0.25">
      <c r="A246" s="32"/>
      <c r="B246" s="37"/>
      <c r="C246" s="37"/>
      <c r="D246" s="37"/>
      <c r="E246" s="37"/>
      <c r="F246" s="32"/>
    </row>
    <row r="247" spans="1:6" x14ac:dyDescent="0.25">
      <c r="A247" s="32"/>
      <c r="B247" s="37"/>
      <c r="C247" s="37"/>
      <c r="D247" s="37"/>
      <c r="E247" s="37"/>
      <c r="F247" s="32"/>
    </row>
    <row r="248" spans="1:6" x14ac:dyDescent="0.25">
      <c r="A248" s="32"/>
      <c r="B248" s="37"/>
      <c r="C248" s="37"/>
      <c r="D248" s="37"/>
      <c r="E248" s="37"/>
      <c r="F248" s="32"/>
    </row>
    <row r="249" spans="1:6" x14ac:dyDescent="0.25">
      <c r="A249" s="32"/>
      <c r="B249" s="37"/>
      <c r="C249" s="37"/>
      <c r="D249" s="37"/>
      <c r="E249" s="37"/>
      <c r="F249" s="32"/>
    </row>
    <row r="250" spans="1:6" x14ac:dyDescent="0.25">
      <c r="A250" s="32"/>
      <c r="B250" s="37"/>
      <c r="C250" s="37"/>
      <c r="D250" s="37"/>
      <c r="E250" s="37"/>
      <c r="F250" s="32"/>
    </row>
    <row r="251" spans="1:6" x14ac:dyDescent="0.25">
      <c r="A251" s="32"/>
      <c r="B251" s="37"/>
      <c r="C251" s="37"/>
      <c r="D251" s="37"/>
      <c r="E251" s="37"/>
      <c r="F251" s="32"/>
    </row>
    <row r="252" spans="1:6" x14ac:dyDescent="0.25">
      <c r="A252" s="32"/>
      <c r="B252" s="37"/>
      <c r="C252" s="37"/>
      <c r="D252" s="37"/>
      <c r="E252" s="37"/>
      <c r="F252" s="32"/>
    </row>
    <row r="253" spans="1:6" x14ac:dyDescent="0.25">
      <c r="A253" s="32"/>
      <c r="B253" s="37"/>
      <c r="C253" s="37"/>
      <c r="D253" s="37"/>
      <c r="E253" s="37"/>
      <c r="F253" s="32"/>
    </row>
    <row r="254" spans="1:6" x14ac:dyDescent="0.25">
      <c r="A254" s="32"/>
      <c r="B254" s="37"/>
      <c r="C254" s="37"/>
      <c r="D254" s="37"/>
      <c r="E254" s="37"/>
      <c r="F254" s="32"/>
    </row>
    <row r="255" spans="1:6" x14ac:dyDescent="0.25">
      <c r="A255" s="32"/>
      <c r="B255" s="37"/>
      <c r="C255" s="37"/>
      <c r="D255" s="37"/>
      <c r="E255" s="37"/>
      <c r="F255" s="32"/>
    </row>
    <row r="256" spans="1:6" x14ac:dyDescent="0.25">
      <c r="A256" s="32"/>
      <c r="B256" s="37"/>
      <c r="C256" s="37"/>
      <c r="D256" s="37"/>
      <c r="E256" s="37"/>
      <c r="F256" s="32"/>
    </row>
    <row r="257" spans="1:6" x14ac:dyDescent="0.25">
      <c r="A257" s="32"/>
      <c r="B257" s="37"/>
      <c r="C257" s="37"/>
      <c r="D257" s="37"/>
      <c r="E257" s="37"/>
      <c r="F257" s="32"/>
    </row>
    <row r="258" spans="1:6" x14ac:dyDescent="0.25">
      <c r="A258" s="32"/>
      <c r="B258" s="37"/>
      <c r="C258" s="37"/>
      <c r="D258" s="37"/>
      <c r="E258" s="37"/>
      <c r="F258" s="32"/>
    </row>
    <row r="259" spans="1:6" x14ac:dyDescent="0.25">
      <c r="A259" s="32"/>
      <c r="B259" s="37"/>
      <c r="C259" s="37"/>
      <c r="D259" s="37"/>
      <c r="E259" s="37"/>
      <c r="F259" s="32"/>
    </row>
    <row r="260" spans="1:6" x14ac:dyDescent="0.25">
      <c r="A260" s="32"/>
      <c r="B260" s="37"/>
      <c r="C260" s="37"/>
      <c r="D260" s="37"/>
      <c r="E260" s="37"/>
      <c r="F260" s="32"/>
    </row>
    <row r="261" spans="1:6" x14ac:dyDescent="0.25">
      <c r="A261" s="32"/>
      <c r="B261" s="37"/>
      <c r="C261" s="37"/>
      <c r="D261" s="37"/>
      <c r="E261" s="37"/>
      <c r="F261" s="32"/>
    </row>
    <row r="262" spans="1:6" x14ac:dyDescent="0.25">
      <c r="A262" s="32"/>
      <c r="B262" s="37"/>
      <c r="C262" s="37"/>
      <c r="D262" s="37"/>
      <c r="E262" s="37"/>
      <c r="F262" s="32"/>
    </row>
    <row r="263" spans="1:6" x14ac:dyDescent="0.25">
      <c r="A263" s="32"/>
      <c r="B263" s="37"/>
      <c r="C263" s="37"/>
      <c r="D263" s="37"/>
      <c r="E263" s="37"/>
      <c r="F263" s="32"/>
    </row>
    <row r="264" spans="1:6" x14ac:dyDescent="0.25">
      <c r="A264" s="32"/>
      <c r="B264" s="37"/>
      <c r="C264" s="37"/>
      <c r="D264" s="37"/>
      <c r="E264" s="37"/>
      <c r="F264" s="32"/>
    </row>
    <row r="265" spans="1:6" x14ac:dyDescent="0.25">
      <c r="A265" s="32"/>
      <c r="B265" s="37"/>
      <c r="C265" s="37"/>
      <c r="D265" s="37"/>
      <c r="E265" s="37"/>
      <c r="F265" s="32"/>
    </row>
    <row r="266" spans="1:6" x14ac:dyDescent="0.25">
      <c r="A266" s="32"/>
      <c r="B266" s="37"/>
      <c r="C266" s="37"/>
      <c r="D266" s="37"/>
      <c r="E266" s="37"/>
      <c r="F266" s="32"/>
    </row>
    <row r="267" spans="1:6" x14ac:dyDescent="0.25">
      <c r="A267" s="32"/>
      <c r="B267" s="37"/>
      <c r="C267" s="37"/>
      <c r="D267" s="37"/>
      <c r="E267" s="37"/>
      <c r="F267" s="32"/>
    </row>
    <row r="268" spans="1:6" x14ac:dyDescent="0.25">
      <c r="A268" s="32"/>
      <c r="B268" s="37"/>
      <c r="C268" s="37"/>
      <c r="D268" s="37"/>
      <c r="E268" s="37"/>
      <c r="F268" s="32"/>
    </row>
    <row r="269" spans="1:6" x14ac:dyDescent="0.25">
      <c r="A269" s="32"/>
      <c r="B269" s="37"/>
      <c r="C269" s="37"/>
      <c r="D269" s="37"/>
      <c r="E269" s="37"/>
      <c r="F269" s="32"/>
    </row>
    <row r="270" spans="1:6" x14ac:dyDescent="0.25">
      <c r="A270" s="32"/>
      <c r="B270" s="37"/>
      <c r="C270" s="37"/>
      <c r="D270" s="37"/>
      <c r="E270" s="37"/>
      <c r="F270" s="32"/>
    </row>
    <row r="271" spans="1:6" x14ac:dyDescent="0.25">
      <c r="A271" s="32"/>
      <c r="B271" s="37"/>
      <c r="C271" s="37"/>
      <c r="D271" s="37"/>
      <c r="E271" s="37"/>
      <c r="F271" s="32"/>
    </row>
    <row r="272" spans="1:6" x14ac:dyDescent="0.25">
      <c r="A272" s="32"/>
      <c r="B272" s="37"/>
      <c r="C272" s="37"/>
      <c r="D272" s="37"/>
      <c r="E272" s="37"/>
      <c r="F272" s="32"/>
    </row>
    <row r="273" spans="1:6" x14ac:dyDescent="0.25">
      <c r="A273" s="32"/>
      <c r="B273" s="37"/>
      <c r="C273" s="37"/>
      <c r="D273" s="37"/>
      <c r="E273" s="37"/>
      <c r="F273" s="32"/>
    </row>
    <row r="274" spans="1:6" x14ac:dyDescent="0.25">
      <c r="A274" s="32"/>
      <c r="B274" s="37"/>
      <c r="C274" s="37"/>
      <c r="D274" s="37"/>
      <c r="E274" s="37"/>
      <c r="F274" s="32"/>
    </row>
    <row r="275" spans="1:6" x14ac:dyDescent="0.25">
      <c r="A275" s="32"/>
      <c r="B275" s="37"/>
      <c r="C275" s="37"/>
      <c r="D275" s="37"/>
      <c r="E275" s="37"/>
      <c r="F275" s="32"/>
    </row>
    <row r="276" spans="1:6" x14ac:dyDescent="0.25">
      <c r="A276" s="32"/>
      <c r="B276" s="37"/>
      <c r="C276" s="37"/>
      <c r="D276" s="37"/>
      <c r="E276" s="37"/>
      <c r="F276" s="32"/>
    </row>
    <row r="277" spans="1:6" x14ac:dyDescent="0.25">
      <c r="A277" s="32"/>
      <c r="B277" s="37"/>
      <c r="C277" s="37"/>
      <c r="D277" s="37"/>
      <c r="E277" s="37"/>
      <c r="F277" s="32"/>
    </row>
    <row r="278" spans="1:6" x14ac:dyDescent="0.25">
      <c r="A278" s="32"/>
      <c r="B278" s="37"/>
      <c r="C278" s="37"/>
      <c r="D278" s="37"/>
      <c r="E278" s="37"/>
      <c r="F278" s="32"/>
    </row>
    <row r="279" spans="1:6" x14ac:dyDescent="0.25">
      <c r="A279" s="32"/>
      <c r="B279" s="37"/>
      <c r="C279" s="37"/>
      <c r="D279" s="37"/>
      <c r="E279" s="37"/>
      <c r="F279" s="32"/>
    </row>
    <row r="280" spans="1:6" x14ac:dyDescent="0.25">
      <c r="A280" s="32"/>
      <c r="B280" s="37"/>
      <c r="C280" s="37"/>
      <c r="D280" s="37"/>
      <c r="E280" s="37"/>
      <c r="F280" s="32"/>
    </row>
    <row r="281" spans="1:6" x14ac:dyDescent="0.25">
      <c r="A281" s="32"/>
      <c r="B281" s="37"/>
      <c r="C281" s="37"/>
      <c r="D281" s="37"/>
      <c r="E281" s="37"/>
      <c r="F281" s="32"/>
    </row>
    <row r="282" spans="1:6" x14ac:dyDescent="0.25">
      <c r="A282" s="32"/>
      <c r="B282" s="37"/>
      <c r="C282" s="37"/>
      <c r="D282" s="37"/>
      <c r="E282" s="37"/>
      <c r="F282" s="32"/>
    </row>
    <row r="283" spans="1:6" x14ac:dyDescent="0.25">
      <c r="A283" s="32"/>
      <c r="B283" s="37"/>
      <c r="C283" s="37"/>
      <c r="D283" s="37"/>
      <c r="E283" s="37"/>
      <c r="F283" s="32"/>
    </row>
    <row r="284" spans="1:6" x14ac:dyDescent="0.25">
      <c r="A284" s="32"/>
      <c r="B284" s="37"/>
      <c r="C284" s="37"/>
      <c r="D284" s="37"/>
      <c r="E284" s="37"/>
      <c r="F284" s="32"/>
    </row>
    <row r="285" spans="1:6" x14ac:dyDescent="0.25">
      <c r="A285" s="32"/>
      <c r="B285" s="37"/>
      <c r="C285" s="37"/>
      <c r="D285" s="37"/>
      <c r="E285" s="37"/>
      <c r="F285" s="32"/>
    </row>
    <row r="286" spans="1:6" x14ac:dyDescent="0.25">
      <c r="A286" s="32"/>
      <c r="B286" s="37"/>
      <c r="C286" s="37"/>
      <c r="D286" s="37"/>
      <c r="E286" s="37"/>
      <c r="F286" s="32"/>
    </row>
    <row r="287" spans="1:6" x14ac:dyDescent="0.25">
      <c r="A287" s="32"/>
      <c r="B287" s="37"/>
      <c r="C287" s="37"/>
      <c r="D287" s="37"/>
      <c r="E287" s="37"/>
      <c r="F287" s="32"/>
    </row>
    <row r="288" spans="1:6" x14ac:dyDescent="0.25">
      <c r="A288" s="32"/>
      <c r="B288" s="37"/>
      <c r="C288" s="37"/>
      <c r="D288" s="37"/>
      <c r="E288" s="37"/>
      <c r="F288" s="32"/>
    </row>
    <row r="289" spans="1:6" x14ac:dyDescent="0.25">
      <c r="A289" s="32"/>
      <c r="B289" s="37"/>
      <c r="C289" s="37"/>
      <c r="D289" s="37"/>
      <c r="E289" s="37"/>
      <c r="F289" s="32"/>
    </row>
    <row r="290" spans="1:6" x14ac:dyDescent="0.25">
      <c r="A290" s="32"/>
      <c r="B290" s="37"/>
      <c r="C290" s="37"/>
      <c r="D290" s="37"/>
      <c r="E290" s="37"/>
      <c r="F290" s="32"/>
    </row>
    <row r="291" spans="1:6" x14ac:dyDescent="0.25">
      <c r="A291" s="32"/>
      <c r="B291" s="37"/>
      <c r="C291" s="37"/>
      <c r="D291" s="37"/>
      <c r="E291" s="37"/>
      <c r="F291" s="32"/>
    </row>
    <row r="292" spans="1:6" x14ac:dyDescent="0.25">
      <c r="A292" s="32"/>
      <c r="B292" s="37"/>
      <c r="C292" s="37"/>
      <c r="D292" s="37"/>
      <c r="E292" s="37"/>
      <c r="F292" s="32"/>
    </row>
    <row r="293" spans="1:6" x14ac:dyDescent="0.25">
      <c r="A293" s="32"/>
      <c r="B293" s="37"/>
      <c r="C293" s="37"/>
      <c r="D293" s="37"/>
      <c r="E293" s="37"/>
      <c r="F293" s="32"/>
    </row>
    <row r="294" spans="1:6" x14ac:dyDescent="0.25">
      <c r="A294" s="32"/>
      <c r="B294" s="37"/>
      <c r="C294" s="37"/>
      <c r="D294" s="37"/>
      <c r="E294" s="37"/>
      <c r="F294" s="32"/>
    </row>
    <row r="295" spans="1:6" x14ac:dyDescent="0.25">
      <c r="A295" s="32"/>
      <c r="B295" s="37"/>
      <c r="C295" s="37"/>
      <c r="D295" s="37"/>
      <c r="E295" s="37"/>
      <c r="F295" s="32"/>
    </row>
    <row r="296" spans="1:6" x14ac:dyDescent="0.25">
      <c r="A296" s="32"/>
      <c r="B296" s="37"/>
      <c r="C296" s="37"/>
      <c r="D296" s="37"/>
      <c r="E296" s="37"/>
      <c r="F296" s="32"/>
    </row>
    <row r="297" spans="1:6" x14ac:dyDescent="0.25">
      <c r="A297" s="32"/>
      <c r="B297" s="37"/>
      <c r="C297" s="37"/>
      <c r="D297" s="37"/>
      <c r="E297" s="37"/>
      <c r="F297" s="32"/>
    </row>
    <row r="298" spans="1:6" x14ac:dyDescent="0.25">
      <c r="A298" s="32"/>
      <c r="B298" s="37"/>
      <c r="C298" s="37"/>
      <c r="D298" s="37"/>
      <c r="E298" s="37"/>
      <c r="F298" s="32"/>
    </row>
    <row r="299" spans="1:6" x14ac:dyDescent="0.25">
      <c r="A299" s="32"/>
      <c r="B299" s="37"/>
      <c r="C299" s="37"/>
      <c r="D299" s="37"/>
      <c r="E299" s="37"/>
      <c r="F299" s="32"/>
    </row>
    <row r="300" spans="1:6" x14ac:dyDescent="0.25">
      <c r="A300" s="32"/>
      <c r="B300" s="37"/>
      <c r="C300" s="37"/>
      <c r="D300" s="37"/>
      <c r="E300" s="37"/>
      <c r="F300" s="32"/>
    </row>
    <row r="301" spans="1:6" x14ac:dyDescent="0.25">
      <c r="A301" s="32"/>
      <c r="B301" s="37"/>
      <c r="C301" s="37"/>
      <c r="D301" s="37"/>
      <c r="E301" s="37"/>
      <c r="F301" s="32"/>
    </row>
    <row r="302" spans="1:6" x14ac:dyDescent="0.25">
      <c r="A302" s="32"/>
      <c r="B302" s="37"/>
      <c r="C302" s="37"/>
      <c r="D302" s="37"/>
      <c r="E302" s="37"/>
      <c r="F302" s="32"/>
    </row>
    <row r="303" spans="1:6" x14ac:dyDescent="0.25">
      <c r="A303" s="32"/>
      <c r="B303" s="37"/>
      <c r="C303" s="37"/>
      <c r="D303" s="37"/>
      <c r="E303" s="37"/>
      <c r="F303" s="32"/>
    </row>
    <row r="304" spans="1:6" x14ac:dyDescent="0.25">
      <c r="A304" s="32"/>
      <c r="B304" s="37"/>
      <c r="C304" s="37"/>
      <c r="D304" s="37"/>
      <c r="E304" s="37"/>
      <c r="F304" s="32"/>
    </row>
  </sheetData>
  <sheetProtection password="D0B3" sheet="1" objects="1" scenarios="1" formatColumns="0" formatRows="0" autoFilter="0"/>
  <hyperlinks>
    <hyperlink ref="A3" r:id="rId1" xr:uid="{00000000-0004-0000-0B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5B9BD5"/>
    <pageSetUpPr fitToPage="1"/>
  </sheetPr>
  <dimension ref="A1:Q321"/>
  <sheetViews>
    <sheetView showGridLines="0" workbookViewId="0">
      <pane xSplit="2" ySplit="10" topLeftCell="C11" activePane="bottomRight" state="frozen"/>
      <selection pane="topRight"/>
      <selection pane="bottomLeft"/>
      <selection pane="bottomRight"/>
    </sheetView>
  </sheetViews>
  <sheetFormatPr defaultRowHeight="14.4" x14ac:dyDescent="0.25"/>
  <cols>
    <col min="1" max="1" width="6" customWidth="1"/>
    <col min="2" max="2" width="14" customWidth="1"/>
    <col min="3" max="3" width="30" customWidth="1"/>
    <col min="4" max="4" width="8" customWidth="1"/>
    <col min="5" max="6" width="14" customWidth="1"/>
    <col min="7" max="7" width="11" customWidth="1"/>
    <col min="8" max="8" width="15" customWidth="1"/>
    <col min="9" max="9" width="14" customWidth="1"/>
    <col min="10" max="10" width="11" customWidth="1"/>
    <col min="11" max="11" width="16" customWidth="1"/>
    <col min="12" max="12" width="34" customWidth="1"/>
    <col min="13" max="13" width="14" customWidth="1"/>
    <col min="14" max="14" width="13" customWidth="1"/>
    <col min="15" max="15" width="10" customWidth="1"/>
    <col min="16" max="16" width="15" customWidth="1"/>
    <col min="17" max="17" width="14" customWidth="1"/>
  </cols>
  <sheetData>
    <row r="1" spans="1:17" x14ac:dyDescent="0.25">
      <c r="A1" s="43" t="str">
        <f>"Tên tổ chức, cá nhân: "&amp;ThongTin!$C$4</f>
        <v>Tên tổ chức, cá nhân: Công ty TNHH ABC Việt Nam (dữ liệu mẫu)</v>
      </c>
      <c r="H1" s="57" t="s">
        <v>294</v>
      </c>
      <c r="I1" s="53"/>
      <c r="J1" s="53"/>
      <c r="K1" s="53"/>
      <c r="L1" s="53"/>
    </row>
    <row r="2" spans="1:17" x14ac:dyDescent="0.25">
      <c r="A2" s="43" t="str">
        <f>"Địa chỉ: "&amp;ThongTin!$C$5</f>
        <v>Địa chỉ: Lô A1, KCN ..., tỉnh ...</v>
      </c>
      <c r="H2" s="52" t="s">
        <v>295</v>
      </c>
      <c r="I2" s="53"/>
      <c r="J2" s="53"/>
      <c r="K2" s="53"/>
      <c r="L2" s="53"/>
    </row>
    <row r="3" spans="1:17" x14ac:dyDescent="0.25">
      <c r="A3" s="43" t="str">
        <f>"Mã số thuế: "&amp;ThongTin!$C$6</f>
        <v>Mã số thuế: 0123456789</v>
      </c>
      <c r="H3" s="64" t="s">
        <v>296</v>
      </c>
      <c r="I3" s="53"/>
      <c r="J3" s="53"/>
      <c r="K3" s="53"/>
      <c r="L3" s="53"/>
    </row>
    <row r="4" spans="1:17" x14ac:dyDescent="0.25">
      <c r="A4" s="28" t="s">
        <v>4</v>
      </c>
    </row>
    <row r="5" spans="1:17" ht="40.1" customHeight="1" x14ac:dyDescent="0.25">
      <c r="A5" s="59" t="str">
        <f>"BÁO CÁO QUYẾT TOÁN NHẬP - XUẤT - TỒN KHO NGUYÊN LIỆU, VẬT TƯ NHẬP KHẨU LOẠI HÌNH "&amp;UPPER(ThongTin!$C$15)</f>
        <v>BÁO CÁO QUYẾT TOÁN NHẬP - XUẤT - TỒN KHO NGUYÊN LIỆU, VẬT TƯ NHẬP KHẨU LOẠI HÌNH SẢN XUẤT XUẤT KHẨU</v>
      </c>
      <c r="B5" s="53"/>
      <c r="C5" s="53"/>
      <c r="D5" s="53"/>
      <c r="E5" s="53"/>
      <c r="F5" s="53"/>
      <c r="G5" s="53"/>
      <c r="H5" s="53"/>
      <c r="I5" s="53"/>
      <c r="J5" s="53"/>
      <c r="K5" s="53"/>
      <c r="L5" s="53"/>
    </row>
    <row r="6" spans="1:17" x14ac:dyDescent="0.25">
      <c r="A6" s="65" t="str">
        <f>"Kỳ báo cáo: Từ ngày "&amp;TEXT(ThongTin!$C$9,"dd/mm/yyyy")&amp;" đến ngày "&amp;TEXT(ThongTin!$C$10,"dd/mm/yyyy")</f>
        <v>Kỳ báo cáo: Từ ngày 01/01/2025 đến ngày 31/12/2025</v>
      </c>
      <c r="B6" s="53"/>
      <c r="C6" s="53"/>
      <c r="D6" s="53"/>
      <c r="E6" s="53"/>
      <c r="F6" s="53"/>
      <c r="G6" s="53"/>
      <c r="H6" s="53"/>
      <c r="I6" s="53"/>
      <c r="J6" s="53"/>
      <c r="K6" s="53"/>
      <c r="L6" s="53"/>
    </row>
    <row r="7" spans="1:17" x14ac:dyDescent="0.25">
      <c r="M7" s="9" t="s">
        <v>297</v>
      </c>
      <c r="N7" s="43" t="str">
        <f>COUNTIF(O11:O310,"Khớp")&amp;"/"&amp;COUNT(A11:A310)</f>
        <v>6/6</v>
      </c>
    </row>
    <row r="8" spans="1:17" ht="36" customHeight="1" x14ac:dyDescent="0.25">
      <c r="A8" s="54" t="s">
        <v>298</v>
      </c>
      <c r="B8" s="54" t="s">
        <v>299</v>
      </c>
      <c r="C8" s="54" t="s">
        <v>178</v>
      </c>
      <c r="D8" s="54" t="s">
        <v>53</v>
      </c>
      <c r="E8" s="54" t="s">
        <v>300</v>
      </c>
      <c r="F8" s="54" t="s">
        <v>301</v>
      </c>
      <c r="G8" s="54" t="s">
        <v>302</v>
      </c>
      <c r="H8" s="61"/>
      <c r="I8" s="61"/>
      <c r="J8" s="62"/>
      <c r="K8" s="54" t="s">
        <v>303</v>
      </c>
      <c r="L8" s="54" t="s">
        <v>242</v>
      </c>
      <c r="M8" s="63" t="s">
        <v>304</v>
      </c>
      <c r="N8" s="61"/>
      <c r="O8" s="61"/>
      <c r="P8" s="61"/>
      <c r="Q8" s="62"/>
    </row>
    <row r="9" spans="1:17" ht="80" customHeight="1" x14ac:dyDescent="0.25">
      <c r="A9" s="55"/>
      <c r="B9" s="55"/>
      <c r="C9" s="55"/>
      <c r="D9" s="55"/>
      <c r="E9" s="55"/>
      <c r="F9" s="55"/>
      <c r="G9" s="13" t="s">
        <v>305</v>
      </c>
      <c r="H9" s="13" t="s">
        <v>306</v>
      </c>
      <c r="I9" s="13" t="s">
        <v>307</v>
      </c>
      <c r="J9" s="13" t="s">
        <v>308</v>
      </c>
      <c r="K9" s="55"/>
      <c r="L9" s="55"/>
      <c r="M9" s="12" t="s">
        <v>309</v>
      </c>
      <c r="N9" s="12" t="s">
        <v>310</v>
      </c>
      <c r="O9" s="12" t="s">
        <v>311</v>
      </c>
      <c r="P9" s="12" t="s">
        <v>312</v>
      </c>
      <c r="Q9" s="12" t="s">
        <v>313</v>
      </c>
    </row>
    <row r="10" spans="1:17" ht="30.05" customHeight="1" x14ac:dyDescent="0.25">
      <c r="A10" s="15" t="s">
        <v>314</v>
      </c>
      <c r="B10" s="15" t="s">
        <v>315</v>
      </c>
      <c r="C10" s="15" t="s">
        <v>316</v>
      </c>
      <c r="D10" s="15" t="s">
        <v>317</v>
      </c>
      <c r="E10" s="15" t="s">
        <v>318</v>
      </c>
      <c r="F10" s="15" t="s">
        <v>319</v>
      </c>
      <c r="G10" s="15" t="s">
        <v>320</v>
      </c>
      <c r="H10" s="15" t="s">
        <v>321</v>
      </c>
      <c r="I10" s="15" t="s">
        <v>322</v>
      </c>
      <c r="J10" s="15" t="s">
        <v>323</v>
      </c>
      <c r="K10" s="15" t="s">
        <v>324</v>
      </c>
      <c r="L10" s="15" t="s">
        <v>325</v>
      </c>
      <c r="M10" s="14"/>
      <c r="N10" s="14"/>
      <c r="O10" s="14"/>
      <c r="P10" s="14"/>
      <c r="Q10" s="14"/>
    </row>
    <row r="11" spans="1:17" x14ac:dyDescent="0.25">
      <c r="A11" s="36">
        <f t="shared" ref="A11:A74" si="0">IF(B11="","",ROW()-10)</f>
        <v>1</v>
      </c>
      <c r="B11" s="35" t="str">
        <f>IFERROR(INDEX(DM_NL!$A$5:$A$304,MATCH(ROW()-10,DM_NL!$G$5:$G$304,0)),"")</f>
        <v>VAI01</v>
      </c>
      <c r="C11" s="35" t="str">
        <f>IF(B11="","",INDEX(DM_NL!$B$5:$B$304,MATCH(B11,DM_NL!$A$5:$A$304,0)))</f>
        <v>Vải chính 100% polyester</v>
      </c>
      <c r="D11" s="35" t="str">
        <f>IF(B11="","",INDEX(DM_NL!$C$5:$C$304,MATCH(B11,DM_NL!$A$5:$A$304,0)))</f>
        <v>MTR</v>
      </c>
      <c r="E11" s="39">
        <f>IF($B11="","",SUMIFS(Kho_NL!$B$5:$B$304,Kho_NL!$A$5:$A$304,$B11))</f>
        <v>5000</v>
      </c>
      <c r="F11" s="39">
        <f>IF($B11="","",SUMIFS(Kho_NL!$C$5:$C$304,Kho_NL!$A$5:$A$304,$B11))</f>
        <v>35000</v>
      </c>
      <c r="G11" s="39">
        <f>IF($B11="","",SUMIFS(Kho_NL!$D$5:$D$304,Kho_NL!$A$5:$A$304,$B11))</f>
        <v>0</v>
      </c>
      <c r="H11" s="39">
        <f>IF($B11="","",SUMIFS(Kho_NL!$E$5:$E$304,Kho_NL!$A$5:$A$304,$B11))</f>
        <v>0</v>
      </c>
      <c r="I11" s="39">
        <f>IF($B11="","",SUMIFS(Kho_NL!$F$5:$F$304,Kho_NL!$A$5:$A$304,$B11))</f>
        <v>34400</v>
      </c>
      <c r="J11" s="39">
        <f>IF($B11="","",SUMIFS(Kho_NL!$G$5:$G$304,Kho_NL!$A$5:$A$304,$B11))</f>
        <v>0</v>
      </c>
      <c r="K11" s="39">
        <f t="shared" ref="K11:K74" si="1">IF($B11="","",E11+F11-G11-H11-I11-J11)</f>
        <v>5600</v>
      </c>
      <c r="L11" s="31" t="str">
        <f>IF($B11="","",IFERROR(INDEX(Kho_NL!$I$5:$I$304,MATCH(B11,Kho_NL!$A$5:$A$304,0))&amp;"",""))</f>
        <v/>
      </c>
      <c r="M11" s="44">
        <f>IF($B11="","",SUMIFS(Kho_NL!$H$5:$H$304,Kho_NL!$A$5:$A$304,$B11))</f>
        <v>5600</v>
      </c>
      <c r="N11" s="44">
        <f t="shared" ref="N11:N74" si="2">IF($B11="","",K11-M11)</f>
        <v>0</v>
      </c>
      <c r="O11" s="45" t="str">
        <f t="shared" ref="O11:O74" si="3">IF($B11="","",IF(ABS(N11)&lt;0.000001,"Khớp","Lệch"))</f>
        <v>Khớp</v>
      </c>
      <c r="P11" s="44">
        <f>IF($B11="","",SUMIFS(TK_Nhap!$E$5:$E$1004,TK_Nhap!$D$5:$D$1004,$B11,TK_Nhap!$H$5:$H$1004,1))</f>
        <v>35000</v>
      </c>
      <c r="Q11" s="44">
        <f t="shared" ref="Q11:Q74" si="4">IF($B11="","",F11-P11)</f>
        <v>0</v>
      </c>
    </row>
    <row r="12" spans="1:17" x14ac:dyDescent="0.25">
      <c r="A12" s="36">
        <f t="shared" si="0"/>
        <v>2</v>
      </c>
      <c r="B12" s="35" t="str">
        <f>IFERROR(INDEX(DM_NL!$A$5:$A$304,MATCH(ROW()-10,DM_NL!$G$5:$G$304,0)),"")</f>
        <v>CHI01</v>
      </c>
      <c r="C12" s="35" t="str">
        <f>IF(B12="","",INDEX(DM_NL!$B$5:$B$304,MATCH(B12,DM_NL!$A$5:$A$304,0)))</f>
        <v>Chỉ may</v>
      </c>
      <c r="D12" s="35" t="str">
        <f>IF(B12="","",INDEX(DM_NL!$C$5:$C$304,MATCH(B12,DM_NL!$A$5:$A$304,0)))</f>
        <v>MTR</v>
      </c>
      <c r="E12" s="39">
        <f>IF($B12="","",SUMIFS(Kho_NL!$B$5:$B$304,Kho_NL!$A$5:$A$304,$B12))</f>
        <v>300000</v>
      </c>
      <c r="F12" s="39">
        <f>IF($B12="","",SUMIFS(Kho_NL!$C$5:$C$304,Kho_NL!$A$5:$A$304,$B12))</f>
        <v>2200000</v>
      </c>
      <c r="G12" s="39">
        <f>IF($B12="","",SUMIFS(Kho_NL!$D$5:$D$304,Kho_NL!$A$5:$A$304,$B12))</f>
        <v>0</v>
      </c>
      <c r="H12" s="39">
        <f>IF($B12="","",SUMIFS(Kho_NL!$E$5:$E$304,Kho_NL!$A$5:$A$304,$B12))</f>
        <v>0</v>
      </c>
      <c r="I12" s="39">
        <f>IF($B12="","",SUMIFS(Kho_NL!$F$5:$F$304,Kho_NL!$A$5:$A$304,$B12))</f>
        <v>2410000</v>
      </c>
      <c r="J12" s="39">
        <f>IF($B12="","",SUMIFS(Kho_NL!$G$5:$G$304,Kho_NL!$A$5:$A$304,$B12))</f>
        <v>0</v>
      </c>
      <c r="K12" s="39">
        <f t="shared" si="1"/>
        <v>90000</v>
      </c>
      <c r="L12" s="31" t="str">
        <f>IF($B12="","",IFERROR(INDEX(Kho_NL!$I$5:$I$304,MATCH(B12,Kho_NL!$A$5:$A$304,0))&amp;"",""))</f>
        <v/>
      </c>
      <c r="M12" s="44">
        <f>IF($B12="","",SUMIFS(Kho_NL!$H$5:$H$304,Kho_NL!$A$5:$A$304,$B12))</f>
        <v>90000</v>
      </c>
      <c r="N12" s="44">
        <f t="shared" si="2"/>
        <v>0</v>
      </c>
      <c r="O12" s="45" t="str">
        <f t="shared" si="3"/>
        <v>Khớp</v>
      </c>
      <c r="P12" s="44">
        <f>IF($B12="","",SUMIFS(TK_Nhap!$E$5:$E$1004,TK_Nhap!$D$5:$D$1004,$B12,TK_Nhap!$H$5:$H$1004,1))</f>
        <v>2200000</v>
      </c>
      <c r="Q12" s="44">
        <f t="shared" si="4"/>
        <v>0</v>
      </c>
    </row>
    <row r="13" spans="1:17" x14ac:dyDescent="0.25">
      <c r="A13" s="36">
        <f t="shared" si="0"/>
        <v>3</v>
      </c>
      <c r="B13" s="35" t="str">
        <f>IFERROR(INDEX(DM_NL!$A$5:$A$304,MATCH(ROW()-10,DM_NL!$G$5:$G$304,0)),"")</f>
        <v>NUT01</v>
      </c>
      <c r="C13" s="35" t="str">
        <f>IF(B13="","",INDEX(DM_NL!$B$5:$B$304,MATCH(B13,DM_NL!$A$5:$A$304,0)))</f>
        <v>Nút nhựa</v>
      </c>
      <c r="D13" s="35" t="str">
        <f>IF(B13="","",INDEX(DM_NL!$C$5:$C$304,MATCH(B13,DM_NL!$A$5:$A$304,0)))</f>
        <v>PCE</v>
      </c>
      <c r="E13" s="39">
        <f>IF($B13="","",SUMIFS(Kho_NL!$B$5:$B$304,Kho_NL!$A$5:$A$304,$B13))</f>
        <v>10000</v>
      </c>
      <c r="F13" s="39">
        <f>IF($B13="","",SUMIFS(Kho_NL!$C$5:$C$304,Kho_NL!$A$5:$A$304,$B13))</f>
        <v>75000</v>
      </c>
      <c r="G13" s="39">
        <f>IF($B13="","",SUMIFS(Kho_NL!$D$5:$D$304,Kho_NL!$A$5:$A$304,$B13))</f>
        <v>500</v>
      </c>
      <c r="H13" s="39">
        <f>IF($B13="","",SUMIFS(Kho_NL!$E$5:$E$304,Kho_NL!$A$5:$A$304,$B13))</f>
        <v>0</v>
      </c>
      <c r="I13" s="39">
        <f>IF($B13="","",SUMIFS(Kho_NL!$F$5:$F$304,Kho_NL!$A$5:$A$304,$B13))</f>
        <v>79000</v>
      </c>
      <c r="J13" s="39">
        <f>IF($B13="","",SUMIFS(Kho_NL!$G$5:$G$304,Kho_NL!$A$5:$A$304,$B13))</f>
        <v>0</v>
      </c>
      <c r="K13" s="39">
        <f t="shared" si="1"/>
        <v>5500</v>
      </c>
      <c r="L13" s="31" t="str">
        <f>IF($B13="","",IFERROR(INDEX(Kho_NL!$I$5:$I$304,MATCH(B13,Kho_NL!$A$5:$A$304,0))&amp;"",""))</f>
        <v>Tái xuất 500 nút lỗi trả nhà cung cấp</v>
      </c>
      <c r="M13" s="44">
        <f>IF($B13="","",SUMIFS(Kho_NL!$H$5:$H$304,Kho_NL!$A$5:$A$304,$B13))</f>
        <v>5500</v>
      </c>
      <c r="N13" s="44">
        <f t="shared" si="2"/>
        <v>0</v>
      </c>
      <c r="O13" s="45" t="str">
        <f t="shared" si="3"/>
        <v>Khớp</v>
      </c>
      <c r="P13" s="44">
        <f>IF($B13="","",SUMIFS(TK_Nhap!$E$5:$E$1004,TK_Nhap!$D$5:$D$1004,$B13,TK_Nhap!$H$5:$H$1004,1))</f>
        <v>75000</v>
      </c>
      <c r="Q13" s="44">
        <f t="shared" si="4"/>
        <v>0</v>
      </c>
    </row>
    <row r="14" spans="1:17" x14ac:dyDescent="0.25">
      <c r="A14" s="36">
        <f t="shared" si="0"/>
        <v>4</v>
      </c>
      <c r="B14" s="35" t="str">
        <f>IFERROR(INDEX(DM_NL!$A$5:$A$304,MATCH(ROW()-10,DM_NL!$G$5:$G$304,0)),"")</f>
        <v>KHOA01</v>
      </c>
      <c r="C14" s="35" t="str">
        <f>IF(B14="","",INDEX(DM_NL!$B$5:$B$304,MATCH(B14,DM_NL!$A$5:$A$304,0)))</f>
        <v>Khóa kéo</v>
      </c>
      <c r="D14" s="35" t="str">
        <f>IF(B14="","",INDEX(DM_NL!$C$5:$C$304,MATCH(B14,DM_NL!$A$5:$A$304,0)))</f>
        <v>PCE</v>
      </c>
      <c r="E14" s="39">
        <f>IF($B14="","",SUMIFS(Kho_NL!$B$5:$B$304,Kho_NL!$A$5:$A$304,$B14))</f>
        <v>3000</v>
      </c>
      <c r="F14" s="39">
        <f>IF($B14="","",SUMIFS(Kho_NL!$C$5:$C$304,Kho_NL!$A$5:$A$304,$B14))</f>
        <v>22000</v>
      </c>
      <c r="G14" s="39">
        <f>IF($B14="","",SUMIFS(Kho_NL!$D$5:$D$304,Kho_NL!$A$5:$A$304,$B14))</f>
        <v>0</v>
      </c>
      <c r="H14" s="39">
        <f>IF($B14="","",SUMIFS(Kho_NL!$E$5:$E$304,Kho_NL!$A$5:$A$304,$B14))</f>
        <v>100</v>
      </c>
      <c r="I14" s="39">
        <f>IF($B14="","",SUMIFS(Kho_NL!$F$5:$F$304,Kho_NL!$A$5:$A$304,$B14))</f>
        <v>23230</v>
      </c>
      <c r="J14" s="39">
        <f>IF($B14="","",SUMIFS(Kho_NL!$G$5:$G$304,Kho_NL!$A$5:$A$304,$B14))</f>
        <v>0</v>
      </c>
      <c r="K14" s="39">
        <f t="shared" si="1"/>
        <v>1670</v>
      </c>
      <c r="L14" s="31" t="str">
        <f>IF($B14="","",IFERROR(INDEX(Kho_NL!$I$5:$I$304,MATCH(B14,Kho_NL!$A$5:$A$304,0))&amp;"",""))</f>
        <v>Tiêu hủy 100 khóa hỏng – BB giám sát tiêu hủy số ...</v>
      </c>
      <c r="M14" s="44">
        <f>IF($B14="","",SUMIFS(Kho_NL!$H$5:$H$304,Kho_NL!$A$5:$A$304,$B14))</f>
        <v>1670</v>
      </c>
      <c r="N14" s="44">
        <f t="shared" si="2"/>
        <v>0</v>
      </c>
      <c r="O14" s="45" t="str">
        <f t="shared" si="3"/>
        <v>Khớp</v>
      </c>
      <c r="P14" s="44">
        <f>IF($B14="","",SUMIFS(TK_Nhap!$E$5:$E$1004,TK_Nhap!$D$5:$D$1004,$B14,TK_Nhap!$H$5:$H$1004,1))</f>
        <v>22000</v>
      </c>
      <c r="Q14" s="44">
        <f t="shared" si="4"/>
        <v>0</v>
      </c>
    </row>
    <row r="15" spans="1:17" x14ac:dyDescent="0.25">
      <c r="A15" s="36">
        <f t="shared" si="0"/>
        <v>5</v>
      </c>
      <c r="B15" s="35" t="str">
        <f>IFERROR(INDEX(DM_NL!$A$5:$A$304,MATCH(ROW()-10,DM_NL!$G$5:$G$304,0)),"")</f>
        <v>NHAN01</v>
      </c>
      <c r="C15" s="35" t="str">
        <f>IF(B15="","",INDEX(DM_NL!$B$5:$B$304,MATCH(B15,DM_NL!$A$5:$A$304,0)))</f>
        <v>Nhãn vải</v>
      </c>
      <c r="D15" s="35" t="str">
        <f>IF(B15="","",INDEX(DM_NL!$C$5:$C$304,MATCH(B15,DM_NL!$A$5:$A$304,0)))</f>
        <v>PCE</v>
      </c>
      <c r="E15" s="39">
        <f>IF($B15="","",SUMIFS(Kho_NL!$B$5:$B$304,Kho_NL!$A$5:$A$304,$B15))</f>
        <v>4000</v>
      </c>
      <c r="F15" s="39">
        <f>IF($B15="","",SUMIFS(Kho_NL!$C$5:$C$304,Kho_NL!$A$5:$A$304,$B15))</f>
        <v>30000</v>
      </c>
      <c r="G15" s="39">
        <f>IF($B15="","",SUMIFS(Kho_NL!$D$5:$D$304,Kho_NL!$A$5:$A$304,$B15))</f>
        <v>0</v>
      </c>
      <c r="H15" s="39">
        <f>IF($B15="","",SUMIFS(Kho_NL!$E$5:$E$304,Kho_NL!$A$5:$A$304,$B15))</f>
        <v>0</v>
      </c>
      <c r="I15" s="39">
        <f>IF($B15="","",SUMIFS(Kho_NL!$F$5:$F$304,Kho_NL!$A$5:$A$304,$B15))</f>
        <v>33350</v>
      </c>
      <c r="J15" s="39">
        <f>IF($B15="","",SUMIFS(Kho_NL!$G$5:$G$304,Kho_NL!$A$5:$A$304,$B15))</f>
        <v>0</v>
      </c>
      <c r="K15" s="39">
        <f t="shared" si="1"/>
        <v>650</v>
      </c>
      <c r="L15" s="31" t="str">
        <f>IF($B15="","",IFERROR(INDEX(Kho_NL!$I$5:$I$304,MATCH(B15,Kho_NL!$A$5:$A$304,0))&amp;"",""))</f>
        <v>2.000 nhãn thuộc TK 105000000099 (28/12/2025) chưa nhập kho</v>
      </c>
      <c r="M15" s="44">
        <f>IF($B15="","",SUMIFS(Kho_NL!$H$5:$H$304,Kho_NL!$A$5:$A$304,$B15))</f>
        <v>650</v>
      </c>
      <c r="N15" s="44">
        <f t="shared" si="2"/>
        <v>0</v>
      </c>
      <c r="O15" s="45" t="str">
        <f t="shared" si="3"/>
        <v>Khớp</v>
      </c>
      <c r="P15" s="44">
        <f>IF($B15="","",SUMIFS(TK_Nhap!$E$5:$E$1004,TK_Nhap!$D$5:$D$1004,$B15,TK_Nhap!$H$5:$H$1004,1))</f>
        <v>32000</v>
      </c>
      <c r="Q15" s="44">
        <f t="shared" si="4"/>
        <v>-2000</v>
      </c>
    </row>
    <row r="16" spans="1:17" x14ac:dyDescent="0.25">
      <c r="A16" s="36">
        <f t="shared" si="0"/>
        <v>6</v>
      </c>
      <c r="B16" s="35" t="str">
        <f>IFERROR(INDEX(DM_NL!$A$5:$A$304,MATCH(ROW()-10,DM_NL!$G$5:$G$304,0)),"")</f>
        <v>PHAN01</v>
      </c>
      <c r="C16" s="35" t="str">
        <f>IF(B16="","",INDEX(DM_NL!$B$5:$B$304,MATCH(B16,DM_NL!$A$5:$A$304,0)))</f>
        <v>Phấn vẽ rập</v>
      </c>
      <c r="D16" s="35" t="str">
        <f>IF(B16="","",INDEX(DM_NL!$C$5:$C$304,MATCH(B16,DM_NL!$A$5:$A$304,0)))</f>
        <v>Viên</v>
      </c>
      <c r="E16" s="39">
        <f>IF($B16="","",SUMIFS(Kho_NL!$B$5:$B$304,Kho_NL!$A$5:$A$304,$B16))</f>
        <v>200</v>
      </c>
      <c r="F16" s="39">
        <f>IF($B16="","",SUMIFS(Kho_NL!$C$5:$C$304,Kho_NL!$A$5:$A$304,$B16))</f>
        <v>1000</v>
      </c>
      <c r="G16" s="39">
        <f>IF($B16="","",SUMIFS(Kho_NL!$D$5:$D$304,Kho_NL!$A$5:$A$304,$B16))</f>
        <v>0</v>
      </c>
      <c r="H16" s="39">
        <f>IF($B16="","",SUMIFS(Kho_NL!$E$5:$E$304,Kho_NL!$A$5:$A$304,$B16))</f>
        <v>0</v>
      </c>
      <c r="I16" s="39">
        <f>IF($B16="","",SUMIFS(Kho_NL!$F$5:$F$304,Kho_NL!$A$5:$A$304,$B16))</f>
        <v>900</v>
      </c>
      <c r="J16" s="39">
        <f>IF($B16="","",SUMIFS(Kho_NL!$G$5:$G$304,Kho_NL!$A$5:$A$304,$B16))</f>
        <v>0</v>
      </c>
      <c r="K16" s="39">
        <f t="shared" si="1"/>
        <v>300</v>
      </c>
      <c r="L16" s="31" t="str">
        <f>IF($B16="","",IFERROR(INDEX(Kho_NL!$I$5:$I$304,MATCH(B16,Kho_NL!$A$5:$A$304,0))&amp;"",""))</f>
        <v>Vật tư KXDDM</v>
      </c>
      <c r="M16" s="44">
        <f>IF($B16="","",SUMIFS(Kho_NL!$H$5:$H$304,Kho_NL!$A$5:$A$304,$B16))</f>
        <v>300</v>
      </c>
      <c r="N16" s="44">
        <f t="shared" si="2"/>
        <v>0</v>
      </c>
      <c r="O16" s="45" t="str">
        <f t="shared" si="3"/>
        <v>Khớp</v>
      </c>
      <c r="P16" s="44">
        <f>IF($B16="","",SUMIFS(TK_Nhap!$E$5:$E$1004,TK_Nhap!$D$5:$D$1004,$B16,TK_Nhap!$H$5:$H$1004,1))</f>
        <v>1000</v>
      </c>
      <c r="Q16" s="44">
        <f t="shared" si="4"/>
        <v>0</v>
      </c>
    </row>
    <row r="17" spans="1:17" x14ac:dyDescent="0.25">
      <c r="A17" s="36" t="str">
        <f t="shared" si="0"/>
        <v/>
      </c>
      <c r="B17" s="35" t="str">
        <f>IFERROR(INDEX(DM_NL!$A$5:$A$304,MATCH(ROW()-10,DM_NL!$G$5:$G$304,0)),"")</f>
        <v/>
      </c>
      <c r="C17" s="35" t="str">
        <f>IF(B17="","",INDEX(DM_NL!$B$5:$B$304,MATCH(B17,DM_NL!$A$5:$A$304,0)))</f>
        <v/>
      </c>
      <c r="D17" s="35" t="str">
        <f>IF(B17="","",INDEX(DM_NL!$C$5:$C$304,MATCH(B17,DM_NL!$A$5:$A$304,0)))</f>
        <v/>
      </c>
      <c r="E17" s="39" t="str">
        <f>IF($B17="","",SUMIFS(Kho_NL!$B$5:$B$304,Kho_NL!$A$5:$A$304,$B17))</f>
        <v/>
      </c>
      <c r="F17" s="39" t="str">
        <f>IF($B17="","",SUMIFS(Kho_NL!$C$5:$C$304,Kho_NL!$A$5:$A$304,$B17))</f>
        <v/>
      </c>
      <c r="G17" s="39" t="str">
        <f>IF($B17="","",SUMIFS(Kho_NL!$D$5:$D$304,Kho_NL!$A$5:$A$304,$B17))</f>
        <v/>
      </c>
      <c r="H17" s="39" t="str">
        <f>IF($B17="","",SUMIFS(Kho_NL!$E$5:$E$304,Kho_NL!$A$5:$A$304,$B17))</f>
        <v/>
      </c>
      <c r="I17" s="39" t="str">
        <f>IF($B17="","",SUMIFS(Kho_NL!$F$5:$F$304,Kho_NL!$A$5:$A$304,$B17))</f>
        <v/>
      </c>
      <c r="J17" s="39" t="str">
        <f>IF($B17="","",SUMIFS(Kho_NL!$G$5:$G$304,Kho_NL!$A$5:$A$304,$B17))</f>
        <v/>
      </c>
      <c r="K17" s="39" t="str">
        <f t="shared" si="1"/>
        <v/>
      </c>
      <c r="L17" s="31" t="str">
        <f>IF($B17="","",IFERROR(INDEX(Kho_NL!$I$5:$I$304,MATCH(B17,Kho_NL!$A$5:$A$304,0))&amp;"",""))</f>
        <v/>
      </c>
      <c r="M17" s="44" t="str">
        <f>IF($B17="","",SUMIFS(Kho_NL!$H$5:$H$304,Kho_NL!$A$5:$A$304,$B17))</f>
        <v/>
      </c>
      <c r="N17" s="44" t="str">
        <f t="shared" si="2"/>
        <v/>
      </c>
      <c r="O17" s="45" t="str">
        <f t="shared" si="3"/>
        <v/>
      </c>
      <c r="P17" s="44" t="str">
        <f>IF($B17="","",SUMIFS(TK_Nhap!$E$5:$E$1004,TK_Nhap!$D$5:$D$1004,$B17,TK_Nhap!$H$5:$H$1004,1))</f>
        <v/>
      </c>
      <c r="Q17" s="44" t="str">
        <f t="shared" si="4"/>
        <v/>
      </c>
    </row>
    <row r="18" spans="1:17" x14ac:dyDescent="0.25">
      <c r="A18" s="36" t="str">
        <f t="shared" si="0"/>
        <v/>
      </c>
      <c r="B18" s="35" t="str">
        <f>IFERROR(INDEX(DM_NL!$A$5:$A$304,MATCH(ROW()-10,DM_NL!$G$5:$G$304,0)),"")</f>
        <v/>
      </c>
      <c r="C18" s="35" t="str">
        <f>IF(B18="","",INDEX(DM_NL!$B$5:$B$304,MATCH(B18,DM_NL!$A$5:$A$304,0)))</f>
        <v/>
      </c>
      <c r="D18" s="35" t="str">
        <f>IF(B18="","",INDEX(DM_NL!$C$5:$C$304,MATCH(B18,DM_NL!$A$5:$A$304,0)))</f>
        <v/>
      </c>
      <c r="E18" s="39" t="str">
        <f>IF($B18="","",SUMIFS(Kho_NL!$B$5:$B$304,Kho_NL!$A$5:$A$304,$B18))</f>
        <v/>
      </c>
      <c r="F18" s="39" t="str">
        <f>IF($B18="","",SUMIFS(Kho_NL!$C$5:$C$304,Kho_NL!$A$5:$A$304,$B18))</f>
        <v/>
      </c>
      <c r="G18" s="39" t="str">
        <f>IF($B18="","",SUMIFS(Kho_NL!$D$5:$D$304,Kho_NL!$A$5:$A$304,$B18))</f>
        <v/>
      </c>
      <c r="H18" s="39" t="str">
        <f>IF($B18="","",SUMIFS(Kho_NL!$E$5:$E$304,Kho_NL!$A$5:$A$304,$B18))</f>
        <v/>
      </c>
      <c r="I18" s="39" t="str">
        <f>IF($B18="","",SUMIFS(Kho_NL!$F$5:$F$304,Kho_NL!$A$5:$A$304,$B18))</f>
        <v/>
      </c>
      <c r="J18" s="39" t="str">
        <f>IF($B18="","",SUMIFS(Kho_NL!$G$5:$G$304,Kho_NL!$A$5:$A$304,$B18))</f>
        <v/>
      </c>
      <c r="K18" s="39" t="str">
        <f t="shared" si="1"/>
        <v/>
      </c>
      <c r="L18" s="31" t="str">
        <f>IF($B18="","",IFERROR(INDEX(Kho_NL!$I$5:$I$304,MATCH(B18,Kho_NL!$A$5:$A$304,0))&amp;"",""))</f>
        <v/>
      </c>
      <c r="M18" s="44" t="str">
        <f>IF($B18="","",SUMIFS(Kho_NL!$H$5:$H$304,Kho_NL!$A$5:$A$304,$B18))</f>
        <v/>
      </c>
      <c r="N18" s="44" t="str">
        <f t="shared" si="2"/>
        <v/>
      </c>
      <c r="O18" s="45" t="str">
        <f t="shared" si="3"/>
        <v/>
      </c>
      <c r="P18" s="44" t="str">
        <f>IF($B18="","",SUMIFS(TK_Nhap!$E$5:$E$1004,TK_Nhap!$D$5:$D$1004,$B18,TK_Nhap!$H$5:$H$1004,1))</f>
        <v/>
      </c>
      <c r="Q18" s="44" t="str">
        <f t="shared" si="4"/>
        <v/>
      </c>
    </row>
    <row r="19" spans="1:17" x14ac:dyDescent="0.25">
      <c r="A19" s="36" t="str">
        <f t="shared" si="0"/>
        <v/>
      </c>
      <c r="B19" s="35" t="str">
        <f>IFERROR(INDEX(DM_NL!$A$5:$A$304,MATCH(ROW()-10,DM_NL!$G$5:$G$304,0)),"")</f>
        <v/>
      </c>
      <c r="C19" s="35" t="str">
        <f>IF(B19="","",INDEX(DM_NL!$B$5:$B$304,MATCH(B19,DM_NL!$A$5:$A$304,0)))</f>
        <v/>
      </c>
      <c r="D19" s="35" t="str">
        <f>IF(B19="","",INDEX(DM_NL!$C$5:$C$304,MATCH(B19,DM_NL!$A$5:$A$304,0)))</f>
        <v/>
      </c>
      <c r="E19" s="39" t="str">
        <f>IF($B19="","",SUMIFS(Kho_NL!$B$5:$B$304,Kho_NL!$A$5:$A$304,$B19))</f>
        <v/>
      </c>
      <c r="F19" s="39" t="str">
        <f>IF($B19="","",SUMIFS(Kho_NL!$C$5:$C$304,Kho_NL!$A$5:$A$304,$B19))</f>
        <v/>
      </c>
      <c r="G19" s="39" t="str">
        <f>IF($B19="","",SUMIFS(Kho_NL!$D$5:$D$304,Kho_NL!$A$5:$A$304,$B19))</f>
        <v/>
      </c>
      <c r="H19" s="39" t="str">
        <f>IF($B19="","",SUMIFS(Kho_NL!$E$5:$E$304,Kho_NL!$A$5:$A$304,$B19))</f>
        <v/>
      </c>
      <c r="I19" s="39" t="str">
        <f>IF($B19="","",SUMIFS(Kho_NL!$F$5:$F$304,Kho_NL!$A$5:$A$304,$B19))</f>
        <v/>
      </c>
      <c r="J19" s="39" t="str">
        <f>IF($B19="","",SUMIFS(Kho_NL!$G$5:$G$304,Kho_NL!$A$5:$A$304,$B19))</f>
        <v/>
      </c>
      <c r="K19" s="39" t="str">
        <f t="shared" si="1"/>
        <v/>
      </c>
      <c r="L19" s="31" t="str">
        <f>IF($B19="","",IFERROR(INDEX(Kho_NL!$I$5:$I$304,MATCH(B19,Kho_NL!$A$5:$A$304,0))&amp;"",""))</f>
        <v/>
      </c>
      <c r="M19" s="44" t="str">
        <f>IF($B19="","",SUMIFS(Kho_NL!$H$5:$H$304,Kho_NL!$A$5:$A$304,$B19))</f>
        <v/>
      </c>
      <c r="N19" s="44" t="str">
        <f t="shared" si="2"/>
        <v/>
      </c>
      <c r="O19" s="45" t="str">
        <f t="shared" si="3"/>
        <v/>
      </c>
      <c r="P19" s="44" t="str">
        <f>IF($B19="","",SUMIFS(TK_Nhap!$E$5:$E$1004,TK_Nhap!$D$5:$D$1004,$B19,TK_Nhap!$H$5:$H$1004,1))</f>
        <v/>
      </c>
      <c r="Q19" s="44" t="str">
        <f t="shared" si="4"/>
        <v/>
      </c>
    </row>
    <row r="20" spans="1:17" x14ac:dyDescent="0.25">
      <c r="A20" s="36" t="str">
        <f t="shared" si="0"/>
        <v/>
      </c>
      <c r="B20" s="35" t="str">
        <f>IFERROR(INDEX(DM_NL!$A$5:$A$304,MATCH(ROW()-10,DM_NL!$G$5:$G$304,0)),"")</f>
        <v/>
      </c>
      <c r="C20" s="35" t="str">
        <f>IF(B20="","",INDEX(DM_NL!$B$5:$B$304,MATCH(B20,DM_NL!$A$5:$A$304,0)))</f>
        <v/>
      </c>
      <c r="D20" s="35" t="str">
        <f>IF(B20="","",INDEX(DM_NL!$C$5:$C$304,MATCH(B20,DM_NL!$A$5:$A$304,0)))</f>
        <v/>
      </c>
      <c r="E20" s="39" t="str">
        <f>IF($B20="","",SUMIFS(Kho_NL!$B$5:$B$304,Kho_NL!$A$5:$A$304,$B20))</f>
        <v/>
      </c>
      <c r="F20" s="39" t="str">
        <f>IF($B20="","",SUMIFS(Kho_NL!$C$5:$C$304,Kho_NL!$A$5:$A$304,$B20))</f>
        <v/>
      </c>
      <c r="G20" s="39" t="str">
        <f>IF($B20="","",SUMIFS(Kho_NL!$D$5:$D$304,Kho_NL!$A$5:$A$304,$B20))</f>
        <v/>
      </c>
      <c r="H20" s="39" t="str">
        <f>IF($B20="","",SUMIFS(Kho_NL!$E$5:$E$304,Kho_NL!$A$5:$A$304,$B20))</f>
        <v/>
      </c>
      <c r="I20" s="39" t="str">
        <f>IF($B20="","",SUMIFS(Kho_NL!$F$5:$F$304,Kho_NL!$A$5:$A$304,$B20))</f>
        <v/>
      </c>
      <c r="J20" s="39" t="str">
        <f>IF($B20="","",SUMIFS(Kho_NL!$G$5:$G$304,Kho_NL!$A$5:$A$304,$B20))</f>
        <v/>
      </c>
      <c r="K20" s="39" t="str">
        <f t="shared" si="1"/>
        <v/>
      </c>
      <c r="L20" s="31" t="str">
        <f>IF($B20="","",IFERROR(INDEX(Kho_NL!$I$5:$I$304,MATCH(B20,Kho_NL!$A$5:$A$304,0))&amp;"",""))</f>
        <v/>
      </c>
      <c r="M20" s="44" t="str">
        <f>IF($B20="","",SUMIFS(Kho_NL!$H$5:$H$304,Kho_NL!$A$5:$A$304,$B20))</f>
        <v/>
      </c>
      <c r="N20" s="44" t="str">
        <f t="shared" si="2"/>
        <v/>
      </c>
      <c r="O20" s="45" t="str">
        <f t="shared" si="3"/>
        <v/>
      </c>
      <c r="P20" s="44" t="str">
        <f>IF($B20="","",SUMIFS(TK_Nhap!$E$5:$E$1004,TK_Nhap!$D$5:$D$1004,$B20,TK_Nhap!$H$5:$H$1004,1))</f>
        <v/>
      </c>
      <c r="Q20" s="44" t="str">
        <f t="shared" si="4"/>
        <v/>
      </c>
    </row>
    <row r="21" spans="1:17" x14ac:dyDescent="0.25">
      <c r="A21" s="36" t="str">
        <f t="shared" si="0"/>
        <v/>
      </c>
      <c r="B21" s="35" t="str">
        <f>IFERROR(INDEX(DM_NL!$A$5:$A$304,MATCH(ROW()-10,DM_NL!$G$5:$G$304,0)),"")</f>
        <v/>
      </c>
      <c r="C21" s="35" t="str">
        <f>IF(B21="","",INDEX(DM_NL!$B$5:$B$304,MATCH(B21,DM_NL!$A$5:$A$304,0)))</f>
        <v/>
      </c>
      <c r="D21" s="35" t="str">
        <f>IF(B21="","",INDEX(DM_NL!$C$5:$C$304,MATCH(B21,DM_NL!$A$5:$A$304,0)))</f>
        <v/>
      </c>
      <c r="E21" s="39" t="str">
        <f>IF($B21="","",SUMIFS(Kho_NL!$B$5:$B$304,Kho_NL!$A$5:$A$304,$B21))</f>
        <v/>
      </c>
      <c r="F21" s="39" t="str">
        <f>IF($B21="","",SUMIFS(Kho_NL!$C$5:$C$304,Kho_NL!$A$5:$A$304,$B21))</f>
        <v/>
      </c>
      <c r="G21" s="39" t="str">
        <f>IF($B21="","",SUMIFS(Kho_NL!$D$5:$D$304,Kho_NL!$A$5:$A$304,$B21))</f>
        <v/>
      </c>
      <c r="H21" s="39" t="str">
        <f>IF($B21="","",SUMIFS(Kho_NL!$E$5:$E$304,Kho_NL!$A$5:$A$304,$B21))</f>
        <v/>
      </c>
      <c r="I21" s="39" t="str">
        <f>IF($B21="","",SUMIFS(Kho_NL!$F$5:$F$304,Kho_NL!$A$5:$A$304,$B21))</f>
        <v/>
      </c>
      <c r="J21" s="39" t="str">
        <f>IF($B21="","",SUMIFS(Kho_NL!$G$5:$G$304,Kho_NL!$A$5:$A$304,$B21))</f>
        <v/>
      </c>
      <c r="K21" s="39" t="str">
        <f t="shared" si="1"/>
        <v/>
      </c>
      <c r="L21" s="31" t="str">
        <f>IF($B21="","",IFERROR(INDEX(Kho_NL!$I$5:$I$304,MATCH(B21,Kho_NL!$A$5:$A$304,0))&amp;"",""))</f>
        <v/>
      </c>
      <c r="M21" s="44" t="str">
        <f>IF($B21="","",SUMIFS(Kho_NL!$H$5:$H$304,Kho_NL!$A$5:$A$304,$B21))</f>
        <v/>
      </c>
      <c r="N21" s="44" t="str">
        <f t="shared" si="2"/>
        <v/>
      </c>
      <c r="O21" s="45" t="str">
        <f t="shared" si="3"/>
        <v/>
      </c>
      <c r="P21" s="44" t="str">
        <f>IF($B21="","",SUMIFS(TK_Nhap!$E$5:$E$1004,TK_Nhap!$D$5:$D$1004,$B21,TK_Nhap!$H$5:$H$1004,1))</f>
        <v/>
      </c>
      <c r="Q21" s="44" t="str">
        <f t="shared" si="4"/>
        <v/>
      </c>
    </row>
    <row r="22" spans="1:17" x14ac:dyDescent="0.25">
      <c r="A22" s="36" t="str">
        <f t="shared" si="0"/>
        <v/>
      </c>
      <c r="B22" s="35" t="str">
        <f>IFERROR(INDEX(DM_NL!$A$5:$A$304,MATCH(ROW()-10,DM_NL!$G$5:$G$304,0)),"")</f>
        <v/>
      </c>
      <c r="C22" s="35" t="str">
        <f>IF(B22="","",INDEX(DM_NL!$B$5:$B$304,MATCH(B22,DM_NL!$A$5:$A$304,0)))</f>
        <v/>
      </c>
      <c r="D22" s="35" t="str">
        <f>IF(B22="","",INDEX(DM_NL!$C$5:$C$304,MATCH(B22,DM_NL!$A$5:$A$304,0)))</f>
        <v/>
      </c>
      <c r="E22" s="39" t="str">
        <f>IF($B22="","",SUMIFS(Kho_NL!$B$5:$B$304,Kho_NL!$A$5:$A$304,$B22))</f>
        <v/>
      </c>
      <c r="F22" s="39" t="str">
        <f>IF($B22="","",SUMIFS(Kho_NL!$C$5:$C$304,Kho_NL!$A$5:$A$304,$B22))</f>
        <v/>
      </c>
      <c r="G22" s="39" t="str">
        <f>IF($B22="","",SUMIFS(Kho_NL!$D$5:$D$304,Kho_NL!$A$5:$A$304,$B22))</f>
        <v/>
      </c>
      <c r="H22" s="39" t="str">
        <f>IF($B22="","",SUMIFS(Kho_NL!$E$5:$E$304,Kho_NL!$A$5:$A$304,$B22))</f>
        <v/>
      </c>
      <c r="I22" s="39" t="str">
        <f>IF($B22="","",SUMIFS(Kho_NL!$F$5:$F$304,Kho_NL!$A$5:$A$304,$B22))</f>
        <v/>
      </c>
      <c r="J22" s="39" t="str">
        <f>IF($B22="","",SUMIFS(Kho_NL!$G$5:$G$304,Kho_NL!$A$5:$A$304,$B22))</f>
        <v/>
      </c>
      <c r="K22" s="39" t="str">
        <f t="shared" si="1"/>
        <v/>
      </c>
      <c r="L22" s="31" t="str">
        <f>IF($B22="","",IFERROR(INDEX(Kho_NL!$I$5:$I$304,MATCH(B22,Kho_NL!$A$5:$A$304,0))&amp;"",""))</f>
        <v/>
      </c>
      <c r="M22" s="44" t="str">
        <f>IF($B22="","",SUMIFS(Kho_NL!$H$5:$H$304,Kho_NL!$A$5:$A$304,$B22))</f>
        <v/>
      </c>
      <c r="N22" s="44" t="str">
        <f t="shared" si="2"/>
        <v/>
      </c>
      <c r="O22" s="45" t="str">
        <f t="shared" si="3"/>
        <v/>
      </c>
      <c r="P22" s="44" t="str">
        <f>IF($B22="","",SUMIFS(TK_Nhap!$E$5:$E$1004,TK_Nhap!$D$5:$D$1004,$B22,TK_Nhap!$H$5:$H$1004,1))</f>
        <v/>
      </c>
      <c r="Q22" s="44" t="str">
        <f t="shared" si="4"/>
        <v/>
      </c>
    </row>
    <row r="23" spans="1:17" x14ac:dyDescent="0.25">
      <c r="A23" s="36" t="str">
        <f t="shared" si="0"/>
        <v/>
      </c>
      <c r="B23" s="35" t="str">
        <f>IFERROR(INDEX(DM_NL!$A$5:$A$304,MATCH(ROW()-10,DM_NL!$G$5:$G$304,0)),"")</f>
        <v/>
      </c>
      <c r="C23" s="35" t="str">
        <f>IF(B23="","",INDEX(DM_NL!$B$5:$B$304,MATCH(B23,DM_NL!$A$5:$A$304,0)))</f>
        <v/>
      </c>
      <c r="D23" s="35" t="str">
        <f>IF(B23="","",INDEX(DM_NL!$C$5:$C$304,MATCH(B23,DM_NL!$A$5:$A$304,0)))</f>
        <v/>
      </c>
      <c r="E23" s="39" t="str">
        <f>IF($B23="","",SUMIFS(Kho_NL!$B$5:$B$304,Kho_NL!$A$5:$A$304,$B23))</f>
        <v/>
      </c>
      <c r="F23" s="39" t="str">
        <f>IF($B23="","",SUMIFS(Kho_NL!$C$5:$C$304,Kho_NL!$A$5:$A$304,$B23))</f>
        <v/>
      </c>
      <c r="G23" s="39" t="str">
        <f>IF($B23="","",SUMIFS(Kho_NL!$D$5:$D$304,Kho_NL!$A$5:$A$304,$B23))</f>
        <v/>
      </c>
      <c r="H23" s="39" t="str">
        <f>IF($B23="","",SUMIFS(Kho_NL!$E$5:$E$304,Kho_NL!$A$5:$A$304,$B23))</f>
        <v/>
      </c>
      <c r="I23" s="39" t="str">
        <f>IF($B23="","",SUMIFS(Kho_NL!$F$5:$F$304,Kho_NL!$A$5:$A$304,$B23))</f>
        <v/>
      </c>
      <c r="J23" s="39" t="str">
        <f>IF($B23="","",SUMIFS(Kho_NL!$G$5:$G$304,Kho_NL!$A$5:$A$304,$B23))</f>
        <v/>
      </c>
      <c r="K23" s="39" t="str">
        <f t="shared" si="1"/>
        <v/>
      </c>
      <c r="L23" s="31" t="str">
        <f>IF($B23="","",IFERROR(INDEX(Kho_NL!$I$5:$I$304,MATCH(B23,Kho_NL!$A$5:$A$304,0))&amp;"",""))</f>
        <v/>
      </c>
      <c r="M23" s="44" t="str">
        <f>IF($B23="","",SUMIFS(Kho_NL!$H$5:$H$304,Kho_NL!$A$5:$A$304,$B23))</f>
        <v/>
      </c>
      <c r="N23" s="44" t="str">
        <f t="shared" si="2"/>
        <v/>
      </c>
      <c r="O23" s="45" t="str">
        <f t="shared" si="3"/>
        <v/>
      </c>
      <c r="P23" s="44" t="str">
        <f>IF($B23="","",SUMIFS(TK_Nhap!$E$5:$E$1004,TK_Nhap!$D$5:$D$1004,$B23,TK_Nhap!$H$5:$H$1004,1))</f>
        <v/>
      </c>
      <c r="Q23" s="44" t="str">
        <f t="shared" si="4"/>
        <v/>
      </c>
    </row>
    <row r="24" spans="1:17" x14ac:dyDescent="0.25">
      <c r="A24" s="36" t="str">
        <f t="shared" si="0"/>
        <v/>
      </c>
      <c r="B24" s="35" t="str">
        <f>IFERROR(INDEX(DM_NL!$A$5:$A$304,MATCH(ROW()-10,DM_NL!$G$5:$G$304,0)),"")</f>
        <v/>
      </c>
      <c r="C24" s="35" t="str">
        <f>IF(B24="","",INDEX(DM_NL!$B$5:$B$304,MATCH(B24,DM_NL!$A$5:$A$304,0)))</f>
        <v/>
      </c>
      <c r="D24" s="35" t="str">
        <f>IF(B24="","",INDEX(DM_NL!$C$5:$C$304,MATCH(B24,DM_NL!$A$5:$A$304,0)))</f>
        <v/>
      </c>
      <c r="E24" s="39" t="str">
        <f>IF($B24="","",SUMIFS(Kho_NL!$B$5:$B$304,Kho_NL!$A$5:$A$304,$B24))</f>
        <v/>
      </c>
      <c r="F24" s="39" t="str">
        <f>IF($B24="","",SUMIFS(Kho_NL!$C$5:$C$304,Kho_NL!$A$5:$A$304,$B24))</f>
        <v/>
      </c>
      <c r="G24" s="39" t="str">
        <f>IF($B24="","",SUMIFS(Kho_NL!$D$5:$D$304,Kho_NL!$A$5:$A$304,$B24))</f>
        <v/>
      </c>
      <c r="H24" s="39" t="str">
        <f>IF($B24="","",SUMIFS(Kho_NL!$E$5:$E$304,Kho_NL!$A$5:$A$304,$B24))</f>
        <v/>
      </c>
      <c r="I24" s="39" t="str">
        <f>IF($B24="","",SUMIFS(Kho_NL!$F$5:$F$304,Kho_NL!$A$5:$A$304,$B24))</f>
        <v/>
      </c>
      <c r="J24" s="39" t="str">
        <f>IF($B24="","",SUMIFS(Kho_NL!$G$5:$G$304,Kho_NL!$A$5:$A$304,$B24))</f>
        <v/>
      </c>
      <c r="K24" s="39" t="str">
        <f t="shared" si="1"/>
        <v/>
      </c>
      <c r="L24" s="31" t="str">
        <f>IF($B24="","",IFERROR(INDEX(Kho_NL!$I$5:$I$304,MATCH(B24,Kho_NL!$A$5:$A$304,0))&amp;"",""))</f>
        <v/>
      </c>
      <c r="M24" s="44" t="str">
        <f>IF($B24="","",SUMIFS(Kho_NL!$H$5:$H$304,Kho_NL!$A$5:$A$304,$B24))</f>
        <v/>
      </c>
      <c r="N24" s="44" t="str">
        <f t="shared" si="2"/>
        <v/>
      </c>
      <c r="O24" s="45" t="str">
        <f t="shared" si="3"/>
        <v/>
      </c>
      <c r="P24" s="44" t="str">
        <f>IF($B24="","",SUMIFS(TK_Nhap!$E$5:$E$1004,TK_Nhap!$D$5:$D$1004,$B24,TK_Nhap!$H$5:$H$1004,1))</f>
        <v/>
      </c>
      <c r="Q24" s="44" t="str">
        <f t="shared" si="4"/>
        <v/>
      </c>
    </row>
    <row r="25" spans="1:17" x14ac:dyDescent="0.25">
      <c r="A25" s="36" t="str">
        <f t="shared" si="0"/>
        <v/>
      </c>
      <c r="B25" s="35" t="str">
        <f>IFERROR(INDEX(DM_NL!$A$5:$A$304,MATCH(ROW()-10,DM_NL!$G$5:$G$304,0)),"")</f>
        <v/>
      </c>
      <c r="C25" s="35" t="str">
        <f>IF(B25="","",INDEX(DM_NL!$B$5:$B$304,MATCH(B25,DM_NL!$A$5:$A$304,0)))</f>
        <v/>
      </c>
      <c r="D25" s="35" t="str">
        <f>IF(B25="","",INDEX(DM_NL!$C$5:$C$304,MATCH(B25,DM_NL!$A$5:$A$304,0)))</f>
        <v/>
      </c>
      <c r="E25" s="39" t="str">
        <f>IF($B25="","",SUMIFS(Kho_NL!$B$5:$B$304,Kho_NL!$A$5:$A$304,$B25))</f>
        <v/>
      </c>
      <c r="F25" s="39" t="str">
        <f>IF($B25="","",SUMIFS(Kho_NL!$C$5:$C$304,Kho_NL!$A$5:$A$304,$B25))</f>
        <v/>
      </c>
      <c r="G25" s="39" t="str">
        <f>IF($B25="","",SUMIFS(Kho_NL!$D$5:$D$304,Kho_NL!$A$5:$A$304,$B25))</f>
        <v/>
      </c>
      <c r="H25" s="39" t="str">
        <f>IF($B25="","",SUMIFS(Kho_NL!$E$5:$E$304,Kho_NL!$A$5:$A$304,$B25))</f>
        <v/>
      </c>
      <c r="I25" s="39" t="str">
        <f>IF($B25="","",SUMIFS(Kho_NL!$F$5:$F$304,Kho_NL!$A$5:$A$304,$B25))</f>
        <v/>
      </c>
      <c r="J25" s="39" t="str">
        <f>IF($B25="","",SUMIFS(Kho_NL!$G$5:$G$304,Kho_NL!$A$5:$A$304,$B25))</f>
        <v/>
      </c>
      <c r="K25" s="39" t="str">
        <f t="shared" si="1"/>
        <v/>
      </c>
      <c r="L25" s="31" t="str">
        <f>IF($B25="","",IFERROR(INDEX(Kho_NL!$I$5:$I$304,MATCH(B25,Kho_NL!$A$5:$A$304,0))&amp;"",""))</f>
        <v/>
      </c>
      <c r="M25" s="44" t="str">
        <f>IF($B25="","",SUMIFS(Kho_NL!$H$5:$H$304,Kho_NL!$A$5:$A$304,$B25))</f>
        <v/>
      </c>
      <c r="N25" s="44" t="str">
        <f t="shared" si="2"/>
        <v/>
      </c>
      <c r="O25" s="45" t="str">
        <f t="shared" si="3"/>
        <v/>
      </c>
      <c r="P25" s="44" t="str">
        <f>IF($B25="","",SUMIFS(TK_Nhap!$E$5:$E$1004,TK_Nhap!$D$5:$D$1004,$B25,TK_Nhap!$H$5:$H$1004,1))</f>
        <v/>
      </c>
      <c r="Q25" s="44" t="str">
        <f t="shared" si="4"/>
        <v/>
      </c>
    </row>
    <row r="26" spans="1:17" x14ac:dyDescent="0.25">
      <c r="A26" s="36" t="str">
        <f t="shared" si="0"/>
        <v/>
      </c>
      <c r="B26" s="35" t="str">
        <f>IFERROR(INDEX(DM_NL!$A$5:$A$304,MATCH(ROW()-10,DM_NL!$G$5:$G$304,0)),"")</f>
        <v/>
      </c>
      <c r="C26" s="35" t="str">
        <f>IF(B26="","",INDEX(DM_NL!$B$5:$B$304,MATCH(B26,DM_NL!$A$5:$A$304,0)))</f>
        <v/>
      </c>
      <c r="D26" s="35" t="str">
        <f>IF(B26="","",INDEX(DM_NL!$C$5:$C$304,MATCH(B26,DM_NL!$A$5:$A$304,0)))</f>
        <v/>
      </c>
      <c r="E26" s="39" t="str">
        <f>IF($B26="","",SUMIFS(Kho_NL!$B$5:$B$304,Kho_NL!$A$5:$A$304,$B26))</f>
        <v/>
      </c>
      <c r="F26" s="39" t="str">
        <f>IF($B26="","",SUMIFS(Kho_NL!$C$5:$C$304,Kho_NL!$A$5:$A$304,$B26))</f>
        <v/>
      </c>
      <c r="G26" s="39" t="str">
        <f>IF($B26="","",SUMIFS(Kho_NL!$D$5:$D$304,Kho_NL!$A$5:$A$304,$B26))</f>
        <v/>
      </c>
      <c r="H26" s="39" t="str">
        <f>IF($B26="","",SUMIFS(Kho_NL!$E$5:$E$304,Kho_NL!$A$5:$A$304,$B26))</f>
        <v/>
      </c>
      <c r="I26" s="39" t="str">
        <f>IF($B26="","",SUMIFS(Kho_NL!$F$5:$F$304,Kho_NL!$A$5:$A$304,$B26))</f>
        <v/>
      </c>
      <c r="J26" s="39" t="str">
        <f>IF($B26="","",SUMIFS(Kho_NL!$G$5:$G$304,Kho_NL!$A$5:$A$304,$B26))</f>
        <v/>
      </c>
      <c r="K26" s="39" t="str">
        <f t="shared" si="1"/>
        <v/>
      </c>
      <c r="L26" s="31" t="str">
        <f>IF($B26="","",IFERROR(INDEX(Kho_NL!$I$5:$I$304,MATCH(B26,Kho_NL!$A$5:$A$304,0))&amp;"",""))</f>
        <v/>
      </c>
      <c r="M26" s="44" t="str">
        <f>IF($B26="","",SUMIFS(Kho_NL!$H$5:$H$304,Kho_NL!$A$5:$A$304,$B26))</f>
        <v/>
      </c>
      <c r="N26" s="44" t="str">
        <f t="shared" si="2"/>
        <v/>
      </c>
      <c r="O26" s="45" t="str">
        <f t="shared" si="3"/>
        <v/>
      </c>
      <c r="P26" s="44" t="str">
        <f>IF($B26="","",SUMIFS(TK_Nhap!$E$5:$E$1004,TK_Nhap!$D$5:$D$1004,$B26,TK_Nhap!$H$5:$H$1004,1))</f>
        <v/>
      </c>
      <c r="Q26" s="44" t="str">
        <f t="shared" si="4"/>
        <v/>
      </c>
    </row>
    <row r="27" spans="1:17" x14ac:dyDescent="0.25">
      <c r="A27" s="36" t="str">
        <f t="shared" si="0"/>
        <v/>
      </c>
      <c r="B27" s="35" t="str">
        <f>IFERROR(INDEX(DM_NL!$A$5:$A$304,MATCH(ROW()-10,DM_NL!$G$5:$G$304,0)),"")</f>
        <v/>
      </c>
      <c r="C27" s="35" t="str">
        <f>IF(B27="","",INDEX(DM_NL!$B$5:$B$304,MATCH(B27,DM_NL!$A$5:$A$304,0)))</f>
        <v/>
      </c>
      <c r="D27" s="35" t="str">
        <f>IF(B27="","",INDEX(DM_NL!$C$5:$C$304,MATCH(B27,DM_NL!$A$5:$A$304,0)))</f>
        <v/>
      </c>
      <c r="E27" s="39" t="str">
        <f>IF($B27="","",SUMIFS(Kho_NL!$B$5:$B$304,Kho_NL!$A$5:$A$304,$B27))</f>
        <v/>
      </c>
      <c r="F27" s="39" t="str">
        <f>IF($B27="","",SUMIFS(Kho_NL!$C$5:$C$304,Kho_NL!$A$5:$A$304,$B27))</f>
        <v/>
      </c>
      <c r="G27" s="39" t="str">
        <f>IF($B27="","",SUMIFS(Kho_NL!$D$5:$D$304,Kho_NL!$A$5:$A$304,$B27))</f>
        <v/>
      </c>
      <c r="H27" s="39" t="str">
        <f>IF($B27="","",SUMIFS(Kho_NL!$E$5:$E$304,Kho_NL!$A$5:$A$304,$B27))</f>
        <v/>
      </c>
      <c r="I27" s="39" t="str">
        <f>IF($B27="","",SUMIFS(Kho_NL!$F$5:$F$304,Kho_NL!$A$5:$A$304,$B27))</f>
        <v/>
      </c>
      <c r="J27" s="39" t="str">
        <f>IF($B27="","",SUMIFS(Kho_NL!$G$5:$G$304,Kho_NL!$A$5:$A$304,$B27))</f>
        <v/>
      </c>
      <c r="K27" s="39" t="str">
        <f t="shared" si="1"/>
        <v/>
      </c>
      <c r="L27" s="31" t="str">
        <f>IF($B27="","",IFERROR(INDEX(Kho_NL!$I$5:$I$304,MATCH(B27,Kho_NL!$A$5:$A$304,0))&amp;"",""))</f>
        <v/>
      </c>
      <c r="M27" s="44" t="str">
        <f>IF($B27="","",SUMIFS(Kho_NL!$H$5:$H$304,Kho_NL!$A$5:$A$304,$B27))</f>
        <v/>
      </c>
      <c r="N27" s="44" t="str">
        <f t="shared" si="2"/>
        <v/>
      </c>
      <c r="O27" s="45" t="str">
        <f t="shared" si="3"/>
        <v/>
      </c>
      <c r="P27" s="44" t="str">
        <f>IF($B27="","",SUMIFS(TK_Nhap!$E$5:$E$1004,TK_Nhap!$D$5:$D$1004,$B27,TK_Nhap!$H$5:$H$1004,1))</f>
        <v/>
      </c>
      <c r="Q27" s="44" t="str">
        <f t="shared" si="4"/>
        <v/>
      </c>
    </row>
    <row r="28" spans="1:17" x14ac:dyDescent="0.25">
      <c r="A28" s="36" t="str">
        <f t="shared" si="0"/>
        <v/>
      </c>
      <c r="B28" s="35" t="str">
        <f>IFERROR(INDEX(DM_NL!$A$5:$A$304,MATCH(ROW()-10,DM_NL!$G$5:$G$304,0)),"")</f>
        <v/>
      </c>
      <c r="C28" s="35" t="str">
        <f>IF(B28="","",INDEX(DM_NL!$B$5:$B$304,MATCH(B28,DM_NL!$A$5:$A$304,0)))</f>
        <v/>
      </c>
      <c r="D28" s="35" t="str">
        <f>IF(B28="","",INDEX(DM_NL!$C$5:$C$304,MATCH(B28,DM_NL!$A$5:$A$304,0)))</f>
        <v/>
      </c>
      <c r="E28" s="39" t="str">
        <f>IF($B28="","",SUMIFS(Kho_NL!$B$5:$B$304,Kho_NL!$A$5:$A$304,$B28))</f>
        <v/>
      </c>
      <c r="F28" s="39" t="str">
        <f>IF($B28="","",SUMIFS(Kho_NL!$C$5:$C$304,Kho_NL!$A$5:$A$304,$B28))</f>
        <v/>
      </c>
      <c r="G28" s="39" t="str">
        <f>IF($B28="","",SUMIFS(Kho_NL!$D$5:$D$304,Kho_NL!$A$5:$A$304,$B28))</f>
        <v/>
      </c>
      <c r="H28" s="39" t="str">
        <f>IF($B28="","",SUMIFS(Kho_NL!$E$5:$E$304,Kho_NL!$A$5:$A$304,$B28))</f>
        <v/>
      </c>
      <c r="I28" s="39" t="str">
        <f>IF($B28="","",SUMIFS(Kho_NL!$F$5:$F$304,Kho_NL!$A$5:$A$304,$B28))</f>
        <v/>
      </c>
      <c r="J28" s="39" t="str">
        <f>IF($B28="","",SUMIFS(Kho_NL!$G$5:$G$304,Kho_NL!$A$5:$A$304,$B28))</f>
        <v/>
      </c>
      <c r="K28" s="39" t="str">
        <f t="shared" si="1"/>
        <v/>
      </c>
      <c r="L28" s="31" t="str">
        <f>IF($B28="","",IFERROR(INDEX(Kho_NL!$I$5:$I$304,MATCH(B28,Kho_NL!$A$5:$A$304,0))&amp;"",""))</f>
        <v/>
      </c>
      <c r="M28" s="44" t="str">
        <f>IF($B28="","",SUMIFS(Kho_NL!$H$5:$H$304,Kho_NL!$A$5:$A$304,$B28))</f>
        <v/>
      </c>
      <c r="N28" s="44" t="str">
        <f t="shared" si="2"/>
        <v/>
      </c>
      <c r="O28" s="45" t="str">
        <f t="shared" si="3"/>
        <v/>
      </c>
      <c r="P28" s="44" t="str">
        <f>IF($B28="","",SUMIFS(TK_Nhap!$E$5:$E$1004,TK_Nhap!$D$5:$D$1004,$B28,TK_Nhap!$H$5:$H$1004,1))</f>
        <v/>
      </c>
      <c r="Q28" s="44" t="str">
        <f t="shared" si="4"/>
        <v/>
      </c>
    </row>
    <row r="29" spans="1:17" x14ac:dyDescent="0.25">
      <c r="A29" s="36" t="str">
        <f t="shared" si="0"/>
        <v/>
      </c>
      <c r="B29" s="35" t="str">
        <f>IFERROR(INDEX(DM_NL!$A$5:$A$304,MATCH(ROW()-10,DM_NL!$G$5:$G$304,0)),"")</f>
        <v/>
      </c>
      <c r="C29" s="35" t="str">
        <f>IF(B29="","",INDEX(DM_NL!$B$5:$B$304,MATCH(B29,DM_NL!$A$5:$A$304,0)))</f>
        <v/>
      </c>
      <c r="D29" s="35" t="str">
        <f>IF(B29="","",INDEX(DM_NL!$C$5:$C$304,MATCH(B29,DM_NL!$A$5:$A$304,0)))</f>
        <v/>
      </c>
      <c r="E29" s="39" t="str">
        <f>IF($B29="","",SUMIFS(Kho_NL!$B$5:$B$304,Kho_NL!$A$5:$A$304,$B29))</f>
        <v/>
      </c>
      <c r="F29" s="39" t="str">
        <f>IF($B29="","",SUMIFS(Kho_NL!$C$5:$C$304,Kho_NL!$A$5:$A$304,$B29))</f>
        <v/>
      </c>
      <c r="G29" s="39" t="str">
        <f>IF($B29="","",SUMIFS(Kho_NL!$D$5:$D$304,Kho_NL!$A$5:$A$304,$B29))</f>
        <v/>
      </c>
      <c r="H29" s="39" t="str">
        <f>IF($B29="","",SUMIFS(Kho_NL!$E$5:$E$304,Kho_NL!$A$5:$A$304,$B29))</f>
        <v/>
      </c>
      <c r="I29" s="39" t="str">
        <f>IF($B29="","",SUMIFS(Kho_NL!$F$5:$F$304,Kho_NL!$A$5:$A$304,$B29))</f>
        <v/>
      </c>
      <c r="J29" s="39" t="str">
        <f>IF($B29="","",SUMIFS(Kho_NL!$G$5:$G$304,Kho_NL!$A$5:$A$304,$B29))</f>
        <v/>
      </c>
      <c r="K29" s="39" t="str">
        <f t="shared" si="1"/>
        <v/>
      </c>
      <c r="L29" s="31" t="str">
        <f>IF($B29="","",IFERROR(INDEX(Kho_NL!$I$5:$I$304,MATCH(B29,Kho_NL!$A$5:$A$304,0))&amp;"",""))</f>
        <v/>
      </c>
      <c r="M29" s="44" t="str">
        <f>IF($B29="","",SUMIFS(Kho_NL!$H$5:$H$304,Kho_NL!$A$5:$A$304,$B29))</f>
        <v/>
      </c>
      <c r="N29" s="44" t="str">
        <f t="shared" si="2"/>
        <v/>
      </c>
      <c r="O29" s="45" t="str">
        <f t="shared" si="3"/>
        <v/>
      </c>
      <c r="P29" s="44" t="str">
        <f>IF($B29="","",SUMIFS(TK_Nhap!$E$5:$E$1004,TK_Nhap!$D$5:$D$1004,$B29,TK_Nhap!$H$5:$H$1004,1))</f>
        <v/>
      </c>
      <c r="Q29" s="44" t="str">
        <f t="shared" si="4"/>
        <v/>
      </c>
    </row>
    <row r="30" spans="1:17" x14ac:dyDescent="0.25">
      <c r="A30" s="36" t="str">
        <f t="shared" si="0"/>
        <v/>
      </c>
      <c r="B30" s="35" t="str">
        <f>IFERROR(INDEX(DM_NL!$A$5:$A$304,MATCH(ROW()-10,DM_NL!$G$5:$G$304,0)),"")</f>
        <v/>
      </c>
      <c r="C30" s="35" t="str">
        <f>IF(B30="","",INDEX(DM_NL!$B$5:$B$304,MATCH(B30,DM_NL!$A$5:$A$304,0)))</f>
        <v/>
      </c>
      <c r="D30" s="35" t="str">
        <f>IF(B30="","",INDEX(DM_NL!$C$5:$C$304,MATCH(B30,DM_NL!$A$5:$A$304,0)))</f>
        <v/>
      </c>
      <c r="E30" s="39" t="str">
        <f>IF($B30="","",SUMIFS(Kho_NL!$B$5:$B$304,Kho_NL!$A$5:$A$304,$B30))</f>
        <v/>
      </c>
      <c r="F30" s="39" t="str">
        <f>IF($B30="","",SUMIFS(Kho_NL!$C$5:$C$304,Kho_NL!$A$5:$A$304,$B30))</f>
        <v/>
      </c>
      <c r="G30" s="39" t="str">
        <f>IF($B30="","",SUMIFS(Kho_NL!$D$5:$D$304,Kho_NL!$A$5:$A$304,$B30))</f>
        <v/>
      </c>
      <c r="H30" s="39" t="str">
        <f>IF($B30="","",SUMIFS(Kho_NL!$E$5:$E$304,Kho_NL!$A$5:$A$304,$B30))</f>
        <v/>
      </c>
      <c r="I30" s="39" t="str">
        <f>IF($B30="","",SUMIFS(Kho_NL!$F$5:$F$304,Kho_NL!$A$5:$A$304,$B30))</f>
        <v/>
      </c>
      <c r="J30" s="39" t="str">
        <f>IF($B30="","",SUMIFS(Kho_NL!$G$5:$G$304,Kho_NL!$A$5:$A$304,$B30))</f>
        <v/>
      </c>
      <c r="K30" s="39" t="str">
        <f t="shared" si="1"/>
        <v/>
      </c>
      <c r="L30" s="31" t="str">
        <f>IF($B30="","",IFERROR(INDEX(Kho_NL!$I$5:$I$304,MATCH(B30,Kho_NL!$A$5:$A$304,0))&amp;"",""))</f>
        <v/>
      </c>
      <c r="M30" s="44" t="str">
        <f>IF($B30="","",SUMIFS(Kho_NL!$H$5:$H$304,Kho_NL!$A$5:$A$304,$B30))</f>
        <v/>
      </c>
      <c r="N30" s="44" t="str">
        <f t="shared" si="2"/>
        <v/>
      </c>
      <c r="O30" s="45" t="str">
        <f t="shared" si="3"/>
        <v/>
      </c>
      <c r="P30" s="44" t="str">
        <f>IF($B30="","",SUMIFS(TK_Nhap!$E$5:$E$1004,TK_Nhap!$D$5:$D$1004,$B30,TK_Nhap!$H$5:$H$1004,1))</f>
        <v/>
      </c>
      <c r="Q30" s="44" t="str">
        <f t="shared" si="4"/>
        <v/>
      </c>
    </row>
    <row r="31" spans="1:17" x14ac:dyDescent="0.25">
      <c r="A31" s="36" t="str">
        <f t="shared" si="0"/>
        <v/>
      </c>
      <c r="B31" s="35" t="str">
        <f>IFERROR(INDEX(DM_NL!$A$5:$A$304,MATCH(ROW()-10,DM_NL!$G$5:$G$304,0)),"")</f>
        <v/>
      </c>
      <c r="C31" s="35" t="str">
        <f>IF(B31="","",INDEX(DM_NL!$B$5:$B$304,MATCH(B31,DM_NL!$A$5:$A$304,0)))</f>
        <v/>
      </c>
      <c r="D31" s="35" t="str">
        <f>IF(B31="","",INDEX(DM_NL!$C$5:$C$304,MATCH(B31,DM_NL!$A$5:$A$304,0)))</f>
        <v/>
      </c>
      <c r="E31" s="39" t="str">
        <f>IF($B31="","",SUMIFS(Kho_NL!$B$5:$B$304,Kho_NL!$A$5:$A$304,$B31))</f>
        <v/>
      </c>
      <c r="F31" s="39" t="str">
        <f>IF($B31="","",SUMIFS(Kho_NL!$C$5:$C$304,Kho_NL!$A$5:$A$304,$B31))</f>
        <v/>
      </c>
      <c r="G31" s="39" t="str">
        <f>IF($B31="","",SUMIFS(Kho_NL!$D$5:$D$304,Kho_NL!$A$5:$A$304,$B31))</f>
        <v/>
      </c>
      <c r="H31" s="39" t="str">
        <f>IF($B31="","",SUMIFS(Kho_NL!$E$5:$E$304,Kho_NL!$A$5:$A$304,$B31))</f>
        <v/>
      </c>
      <c r="I31" s="39" t="str">
        <f>IF($B31="","",SUMIFS(Kho_NL!$F$5:$F$304,Kho_NL!$A$5:$A$304,$B31))</f>
        <v/>
      </c>
      <c r="J31" s="39" t="str">
        <f>IF($B31="","",SUMIFS(Kho_NL!$G$5:$G$304,Kho_NL!$A$5:$A$304,$B31))</f>
        <v/>
      </c>
      <c r="K31" s="39" t="str">
        <f t="shared" si="1"/>
        <v/>
      </c>
      <c r="L31" s="31" t="str">
        <f>IF($B31="","",IFERROR(INDEX(Kho_NL!$I$5:$I$304,MATCH(B31,Kho_NL!$A$5:$A$304,0))&amp;"",""))</f>
        <v/>
      </c>
      <c r="M31" s="44" t="str">
        <f>IF($B31="","",SUMIFS(Kho_NL!$H$5:$H$304,Kho_NL!$A$5:$A$304,$B31))</f>
        <v/>
      </c>
      <c r="N31" s="44" t="str">
        <f t="shared" si="2"/>
        <v/>
      </c>
      <c r="O31" s="45" t="str">
        <f t="shared" si="3"/>
        <v/>
      </c>
      <c r="P31" s="44" t="str">
        <f>IF($B31="","",SUMIFS(TK_Nhap!$E$5:$E$1004,TK_Nhap!$D$5:$D$1004,$B31,TK_Nhap!$H$5:$H$1004,1))</f>
        <v/>
      </c>
      <c r="Q31" s="44" t="str">
        <f t="shared" si="4"/>
        <v/>
      </c>
    </row>
    <row r="32" spans="1:17" x14ac:dyDescent="0.25">
      <c r="A32" s="36" t="str">
        <f t="shared" si="0"/>
        <v/>
      </c>
      <c r="B32" s="35" t="str">
        <f>IFERROR(INDEX(DM_NL!$A$5:$A$304,MATCH(ROW()-10,DM_NL!$G$5:$G$304,0)),"")</f>
        <v/>
      </c>
      <c r="C32" s="35" t="str">
        <f>IF(B32="","",INDEX(DM_NL!$B$5:$B$304,MATCH(B32,DM_NL!$A$5:$A$304,0)))</f>
        <v/>
      </c>
      <c r="D32" s="35" t="str">
        <f>IF(B32="","",INDEX(DM_NL!$C$5:$C$304,MATCH(B32,DM_NL!$A$5:$A$304,0)))</f>
        <v/>
      </c>
      <c r="E32" s="39" t="str">
        <f>IF($B32="","",SUMIFS(Kho_NL!$B$5:$B$304,Kho_NL!$A$5:$A$304,$B32))</f>
        <v/>
      </c>
      <c r="F32" s="39" t="str">
        <f>IF($B32="","",SUMIFS(Kho_NL!$C$5:$C$304,Kho_NL!$A$5:$A$304,$B32))</f>
        <v/>
      </c>
      <c r="G32" s="39" t="str">
        <f>IF($B32="","",SUMIFS(Kho_NL!$D$5:$D$304,Kho_NL!$A$5:$A$304,$B32))</f>
        <v/>
      </c>
      <c r="H32" s="39" t="str">
        <f>IF($B32="","",SUMIFS(Kho_NL!$E$5:$E$304,Kho_NL!$A$5:$A$304,$B32))</f>
        <v/>
      </c>
      <c r="I32" s="39" t="str">
        <f>IF($B32="","",SUMIFS(Kho_NL!$F$5:$F$304,Kho_NL!$A$5:$A$304,$B32))</f>
        <v/>
      </c>
      <c r="J32" s="39" t="str">
        <f>IF($B32="","",SUMIFS(Kho_NL!$G$5:$G$304,Kho_NL!$A$5:$A$304,$B32))</f>
        <v/>
      </c>
      <c r="K32" s="39" t="str">
        <f t="shared" si="1"/>
        <v/>
      </c>
      <c r="L32" s="31" t="str">
        <f>IF($B32="","",IFERROR(INDEX(Kho_NL!$I$5:$I$304,MATCH(B32,Kho_NL!$A$5:$A$304,0))&amp;"",""))</f>
        <v/>
      </c>
      <c r="M32" s="44" t="str">
        <f>IF($B32="","",SUMIFS(Kho_NL!$H$5:$H$304,Kho_NL!$A$5:$A$304,$B32))</f>
        <v/>
      </c>
      <c r="N32" s="44" t="str">
        <f t="shared" si="2"/>
        <v/>
      </c>
      <c r="O32" s="45" t="str">
        <f t="shared" si="3"/>
        <v/>
      </c>
      <c r="P32" s="44" t="str">
        <f>IF($B32="","",SUMIFS(TK_Nhap!$E$5:$E$1004,TK_Nhap!$D$5:$D$1004,$B32,TK_Nhap!$H$5:$H$1004,1))</f>
        <v/>
      </c>
      <c r="Q32" s="44" t="str">
        <f t="shared" si="4"/>
        <v/>
      </c>
    </row>
    <row r="33" spans="1:17" x14ac:dyDescent="0.25">
      <c r="A33" s="36" t="str">
        <f t="shared" si="0"/>
        <v/>
      </c>
      <c r="B33" s="35" t="str">
        <f>IFERROR(INDEX(DM_NL!$A$5:$A$304,MATCH(ROW()-10,DM_NL!$G$5:$G$304,0)),"")</f>
        <v/>
      </c>
      <c r="C33" s="35" t="str">
        <f>IF(B33="","",INDEX(DM_NL!$B$5:$B$304,MATCH(B33,DM_NL!$A$5:$A$304,0)))</f>
        <v/>
      </c>
      <c r="D33" s="35" t="str">
        <f>IF(B33="","",INDEX(DM_NL!$C$5:$C$304,MATCH(B33,DM_NL!$A$5:$A$304,0)))</f>
        <v/>
      </c>
      <c r="E33" s="39" t="str">
        <f>IF($B33="","",SUMIFS(Kho_NL!$B$5:$B$304,Kho_NL!$A$5:$A$304,$B33))</f>
        <v/>
      </c>
      <c r="F33" s="39" t="str">
        <f>IF($B33="","",SUMIFS(Kho_NL!$C$5:$C$304,Kho_NL!$A$5:$A$304,$B33))</f>
        <v/>
      </c>
      <c r="G33" s="39" t="str">
        <f>IF($B33="","",SUMIFS(Kho_NL!$D$5:$D$304,Kho_NL!$A$5:$A$304,$B33))</f>
        <v/>
      </c>
      <c r="H33" s="39" t="str">
        <f>IF($B33="","",SUMIFS(Kho_NL!$E$5:$E$304,Kho_NL!$A$5:$A$304,$B33))</f>
        <v/>
      </c>
      <c r="I33" s="39" t="str">
        <f>IF($B33="","",SUMIFS(Kho_NL!$F$5:$F$304,Kho_NL!$A$5:$A$304,$B33))</f>
        <v/>
      </c>
      <c r="J33" s="39" t="str">
        <f>IF($B33="","",SUMIFS(Kho_NL!$G$5:$G$304,Kho_NL!$A$5:$A$304,$B33))</f>
        <v/>
      </c>
      <c r="K33" s="39" t="str">
        <f t="shared" si="1"/>
        <v/>
      </c>
      <c r="L33" s="31" t="str">
        <f>IF($B33="","",IFERROR(INDEX(Kho_NL!$I$5:$I$304,MATCH(B33,Kho_NL!$A$5:$A$304,0))&amp;"",""))</f>
        <v/>
      </c>
      <c r="M33" s="44" t="str">
        <f>IF($B33="","",SUMIFS(Kho_NL!$H$5:$H$304,Kho_NL!$A$5:$A$304,$B33))</f>
        <v/>
      </c>
      <c r="N33" s="44" t="str">
        <f t="shared" si="2"/>
        <v/>
      </c>
      <c r="O33" s="45" t="str">
        <f t="shared" si="3"/>
        <v/>
      </c>
      <c r="P33" s="44" t="str">
        <f>IF($B33="","",SUMIFS(TK_Nhap!$E$5:$E$1004,TK_Nhap!$D$5:$D$1004,$B33,TK_Nhap!$H$5:$H$1004,1))</f>
        <v/>
      </c>
      <c r="Q33" s="44" t="str">
        <f t="shared" si="4"/>
        <v/>
      </c>
    </row>
    <row r="34" spans="1:17" x14ac:dyDescent="0.25">
      <c r="A34" s="36" t="str">
        <f t="shared" si="0"/>
        <v/>
      </c>
      <c r="B34" s="35" t="str">
        <f>IFERROR(INDEX(DM_NL!$A$5:$A$304,MATCH(ROW()-10,DM_NL!$G$5:$G$304,0)),"")</f>
        <v/>
      </c>
      <c r="C34" s="35" t="str">
        <f>IF(B34="","",INDEX(DM_NL!$B$5:$B$304,MATCH(B34,DM_NL!$A$5:$A$304,0)))</f>
        <v/>
      </c>
      <c r="D34" s="35" t="str">
        <f>IF(B34="","",INDEX(DM_NL!$C$5:$C$304,MATCH(B34,DM_NL!$A$5:$A$304,0)))</f>
        <v/>
      </c>
      <c r="E34" s="39" t="str">
        <f>IF($B34="","",SUMIFS(Kho_NL!$B$5:$B$304,Kho_NL!$A$5:$A$304,$B34))</f>
        <v/>
      </c>
      <c r="F34" s="39" t="str">
        <f>IF($B34="","",SUMIFS(Kho_NL!$C$5:$C$304,Kho_NL!$A$5:$A$304,$B34))</f>
        <v/>
      </c>
      <c r="G34" s="39" t="str">
        <f>IF($B34="","",SUMIFS(Kho_NL!$D$5:$D$304,Kho_NL!$A$5:$A$304,$B34))</f>
        <v/>
      </c>
      <c r="H34" s="39" t="str">
        <f>IF($B34="","",SUMIFS(Kho_NL!$E$5:$E$304,Kho_NL!$A$5:$A$304,$B34))</f>
        <v/>
      </c>
      <c r="I34" s="39" t="str">
        <f>IF($B34="","",SUMIFS(Kho_NL!$F$5:$F$304,Kho_NL!$A$5:$A$304,$B34))</f>
        <v/>
      </c>
      <c r="J34" s="39" t="str">
        <f>IF($B34="","",SUMIFS(Kho_NL!$G$5:$G$304,Kho_NL!$A$5:$A$304,$B34))</f>
        <v/>
      </c>
      <c r="K34" s="39" t="str">
        <f t="shared" si="1"/>
        <v/>
      </c>
      <c r="L34" s="31" t="str">
        <f>IF($B34="","",IFERROR(INDEX(Kho_NL!$I$5:$I$304,MATCH(B34,Kho_NL!$A$5:$A$304,0))&amp;"",""))</f>
        <v/>
      </c>
      <c r="M34" s="44" t="str">
        <f>IF($B34="","",SUMIFS(Kho_NL!$H$5:$H$304,Kho_NL!$A$5:$A$304,$B34))</f>
        <v/>
      </c>
      <c r="N34" s="44" t="str">
        <f t="shared" si="2"/>
        <v/>
      </c>
      <c r="O34" s="45" t="str">
        <f t="shared" si="3"/>
        <v/>
      </c>
      <c r="P34" s="44" t="str">
        <f>IF($B34="","",SUMIFS(TK_Nhap!$E$5:$E$1004,TK_Nhap!$D$5:$D$1004,$B34,TK_Nhap!$H$5:$H$1004,1))</f>
        <v/>
      </c>
      <c r="Q34" s="44" t="str">
        <f t="shared" si="4"/>
        <v/>
      </c>
    </row>
    <row r="35" spans="1:17" x14ac:dyDescent="0.25">
      <c r="A35" s="36" t="str">
        <f t="shared" si="0"/>
        <v/>
      </c>
      <c r="B35" s="35" t="str">
        <f>IFERROR(INDEX(DM_NL!$A$5:$A$304,MATCH(ROW()-10,DM_NL!$G$5:$G$304,0)),"")</f>
        <v/>
      </c>
      <c r="C35" s="35" t="str">
        <f>IF(B35="","",INDEX(DM_NL!$B$5:$B$304,MATCH(B35,DM_NL!$A$5:$A$304,0)))</f>
        <v/>
      </c>
      <c r="D35" s="35" t="str">
        <f>IF(B35="","",INDEX(DM_NL!$C$5:$C$304,MATCH(B35,DM_NL!$A$5:$A$304,0)))</f>
        <v/>
      </c>
      <c r="E35" s="39" t="str">
        <f>IF($B35="","",SUMIFS(Kho_NL!$B$5:$B$304,Kho_NL!$A$5:$A$304,$B35))</f>
        <v/>
      </c>
      <c r="F35" s="39" t="str">
        <f>IF($B35="","",SUMIFS(Kho_NL!$C$5:$C$304,Kho_NL!$A$5:$A$304,$B35))</f>
        <v/>
      </c>
      <c r="G35" s="39" t="str">
        <f>IF($B35="","",SUMIFS(Kho_NL!$D$5:$D$304,Kho_NL!$A$5:$A$304,$B35))</f>
        <v/>
      </c>
      <c r="H35" s="39" t="str">
        <f>IF($B35="","",SUMIFS(Kho_NL!$E$5:$E$304,Kho_NL!$A$5:$A$304,$B35))</f>
        <v/>
      </c>
      <c r="I35" s="39" t="str">
        <f>IF($B35="","",SUMIFS(Kho_NL!$F$5:$F$304,Kho_NL!$A$5:$A$304,$B35))</f>
        <v/>
      </c>
      <c r="J35" s="39" t="str">
        <f>IF($B35="","",SUMIFS(Kho_NL!$G$5:$G$304,Kho_NL!$A$5:$A$304,$B35))</f>
        <v/>
      </c>
      <c r="K35" s="39" t="str">
        <f t="shared" si="1"/>
        <v/>
      </c>
      <c r="L35" s="31" t="str">
        <f>IF($B35="","",IFERROR(INDEX(Kho_NL!$I$5:$I$304,MATCH(B35,Kho_NL!$A$5:$A$304,0))&amp;"",""))</f>
        <v/>
      </c>
      <c r="M35" s="44" t="str">
        <f>IF($B35="","",SUMIFS(Kho_NL!$H$5:$H$304,Kho_NL!$A$5:$A$304,$B35))</f>
        <v/>
      </c>
      <c r="N35" s="44" t="str">
        <f t="shared" si="2"/>
        <v/>
      </c>
      <c r="O35" s="45" t="str">
        <f t="shared" si="3"/>
        <v/>
      </c>
      <c r="P35" s="44" t="str">
        <f>IF($B35="","",SUMIFS(TK_Nhap!$E$5:$E$1004,TK_Nhap!$D$5:$D$1004,$B35,TK_Nhap!$H$5:$H$1004,1))</f>
        <v/>
      </c>
      <c r="Q35" s="44" t="str">
        <f t="shared" si="4"/>
        <v/>
      </c>
    </row>
    <row r="36" spans="1:17" x14ac:dyDescent="0.25">
      <c r="A36" s="36" t="str">
        <f t="shared" si="0"/>
        <v/>
      </c>
      <c r="B36" s="35" t="str">
        <f>IFERROR(INDEX(DM_NL!$A$5:$A$304,MATCH(ROW()-10,DM_NL!$G$5:$G$304,0)),"")</f>
        <v/>
      </c>
      <c r="C36" s="35" t="str">
        <f>IF(B36="","",INDEX(DM_NL!$B$5:$B$304,MATCH(B36,DM_NL!$A$5:$A$304,0)))</f>
        <v/>
      </c>
      <c r="D36" s="35" t="str">
        <f>IF(B36="","",INDEX(DM_NL!$C$5:$C$304,MATCH(B36,DM_NL!$A$5:$A$304,0)))</f>
        <v/>
      </c>
      <c r="E36" s="39" t="str">
        <f>IF($B36="","",SUMIFS(Kho_NL!$B$5:$B$304,Kho_NL!$A$5:$A$304,$B36))</f>
        <v/>
      </c>
      <c r="F36" s="39" t="str">
        <f>IF($B36="","",SUMIFS(Kho_NL!$C$5:$C$304,Kho_NL!$A$5:$A$304,$B36))</f>
        <v/>
      </c>
      <c r="G36" s="39" t="str">
        <f>IF($B36="","",SUMIFS(Kho_NL!$D$5:$D$304,Kho_NL!$A$5:$A$304,$B36))</f>
        <v/>
      </c>
      <c r="H36" s="39" t="str">
        <f>IF($B36="","",SUMIFS(Kho_NL!$E$5:$E$304,Kho_NL!$A$5:$A$304,$B36))</f>
        <v/>
      </c>
      <c r="I36" s="39" t="str">
        <f>IF($B36="","",SUMIFS(Kho_NL!$F$5:$F$304,Kho_NL!$A$5:$A$304,$B36))</f>
        <v/>
      </c>
      <c r="J36" s="39" t="str">
        <f>IF($B36="","",SUMIFS(Kho_NL!$G$5:$G$304,Kho_NL!$A$5:$A$304,$B36))</f>
        <v/>
      </c>
      <c r="K36" s="39" t="str">
        <f t="shared" si="1"/>
        <v/>
      </c>
      <c r="L36" s="31" t="str">
        <f>IF($B36="","",IFERROR(INDEX(Kho_NL!$I$5:$I$304,MATCH(B36,Kho_NL!$A$5:$A$304,0))&amp;"",""))</f>
        <v/>
      </c>
      <c r="M36" s="44" t="str">
        <f>IF($B36="","",SUMIFS(Kho_NL!$H$5:$H$304,Kho_NL!$A$5:$A$304,$B36))</f>
        <v/>
      </c>
      <c r="N36" s="44" t="str">
        <f t="shared" si="2"/>
        <v/>
      </c>
      <c r="O36" s="45" t="str">
        <f t="shared" si="3"/>
        <v/>
      </c>
      <c r="P36" s="44" t="str">
        <f>IF($B36="","",SUMIFS(TK_Nhap!$E$5:$E$1004,TK_Nhap!$D$5:$D$1004,$B36,TK_Nhap!$H$5:$H$1004,1))</f>
        <v/>
      </c>
      <c r="Q36" s="44" t="str">
        <f t="shared" si="4"/>
        <v/>
      </c>
    </row>
    <row r="37" spans="1:17" x14ac:dyDescent="0.25">
      <c r="A37" s="36" t="str">
        <f t="shared" si="0"/>
        <v/>
      </c>
      <c r="B37" s="35" t="str">
        <f>IFERROR(INDEX(DM_NL!$A$5:$A$304,MATCH(ROW()-10,DM_NL!$G$5:$G$304,0)),"")</f>
        <v/>
      </c>
      <c r="C37" s="35" t="str">
        <f>IF(B37="","",INDEX(DM_NL!$B$5:$B$304,MATCH(B37,DM_NL!$A$5:$A$304,0)))</f>
        <v/>
      </c>
      <c r="D37" s="35" t="str">
        <f>IF(B37="","",INDEX(DM_NL!$C$5:$C$304,MATCH(B37,DM_NL!$A$5:$A$304,0)))</f>
        <v/>
      </c>
      <c r="E37" s="39" t="str">
        <f>IF($B37="","",SUMIFS(Kho_NL!$B$5:$B$304,Kho_NL!$A$5:$A$304,$B37))</f>
        <v/>
      </c>
      <c r="F37" s="39" t="str">
        <f>IF($B37="","",SUMIFS(Kho_NL!$C$5:$C$304,Kho_NL!$A$5:$A$304,$B37))</f>
        <v/>
      </c>
      <c r="G37" s="39" t="str">
        <f>IF($B37="","",SUMIFS(Kho_NL!$D$5:$D$304,Kho_NL!$A$5:$A$304,$B37))</f>
        <v/>
      </c>
      <c r="H37" s="39" t="str">
        <f>IF($B37="","",SUMIFS(Kho_NL!$E$5:$E$304,Kho_NL!$A$5:$A$304,$B37))</f>
        <v/>
      </c>
      <c r="I37" s="39" t="str">
        <f>IF($B37="","",SUMIFS(Kho_NL!$F$5:$F$304,Kho_NL!$A$5:$A$304,$B37))</f>
        <v/>
      </c>
      <c r="J37" s="39" t="str">
        <f>IF($B37="","",SUMIFS(Kho_NL!$G$5:$G$304,Kho_NL!$A$5:$A$304,$B37))</f>
        <v/>
      </c>
      <c r="K37" s="39" t="str">
        <f t="shared" si="1"/>
        <v/>
      </c>
      <c r="L37" s="31" t="str">
        <f>IF($B37="","",IFERROR(INDEX(Kho_NL!$I$5:$I$304,MATCH(B37,Kho_NL!$A$5:$A$304,0))&amp;"",""))</f>
        <v/>
      </c>
      <c r="M37" s="44" t="str">
        <f>IF($B37="","",SUMIFS(Kho_NL!$H$5:$H$304,Kho_NL!$A$5:$A$304,$B37))</f>
        <v/>
      </c>
      <c r="N37" s="44" t="str">
        <f t="shared" si="2"/>
        <v/>
      </c>
      <c r="O37" s="45" t="str">
        <f t="shared" si="3"/>
        <v/>
      </c>
      <c r="P37" s="44" t="str">
        <f>IF($B37="","",SUMIFS(TK_Nhap!$E$5:$E$1004,TK_Nhap!$D$5:$D$1004,$B37,TK_Nhap!$H$5:$H$1004,1))</f>
        <v/>
      </c>
      <c r="Q37" s="44" t="str">
        <f t="shared" si="4"/>
        <v/>
      </c>
    </row>
    <row r="38" spans="1:17" x14ac:dyDescent="0.25">
      <c r="A38" s="36" t="str">
        <f t="shared" si="0"/>
        <v/>
      </c>
      <c r="B38" s="35" t="str">
        <f>IFERROR(INDEX(DM_NL!$A$5:$A$304,MATCH(ROW()-10,DM_NL!$G$5:$G$304,0)),"")</f>
        <v/>
      </c>
      <c r="C38" s="35" t="str">
        <f>IF(B38="","",INDEX(DM_NL!$B$5:$B$304,MATCH(B38,DM_NL!$A$5:$A$304,0)))</f>
        <v/>
      </c>
      <c r="D38" s="35" t="str">
        <f>IF(B38="","",INDEX(DM_NL!$C$5:$C$304,MATCH(B38,DM_NL!$A$5:$A$304,0)))</f>
        <v/>
      </c>
      <c r="E38" s="39" t="str">
        <f>IF($B38="","",SUMIFS(Kho_NL!$B$5:$B$304,Kho_NL!$A$5:$A$304,$B38))</f>
        <v/>
      </c>
      <c r="F38" s="39" t="str">
        <f>IF($B38="","",SUMIFS(Kho_NL!$C$5:$C$304,Kho_NL!$A$5:$A$304,$B38))</f>
        <v/>
      </c>
      <c r="G38" s="39" t="str">
        <f>IF($B38="","",SUMIFS(Kho_NL!$D$5:$D$304,Kho_NL!$A$5:$A$304,$B38))</f>
        <v/>
      </c>
      <c r="H38" s="39" t="str">
        <f>IF($B38="","",SUMIFS(Kho_NL!$E$5:$E$304,Kho_NL!$A$5:$A$304,$B38))</f>
        <v/>
      </c>
      <c r="I38" s="39" t="str">
        <f>IF($B38="","",SUMIFS(Kho_NL!$F$5:$F$304,Kho_NL!$A$5:$A$304,$B38))</f>
        <v/>
      </c>
      <c r="J38" s="39" t="str">
        <f>IF($B38="","",SUMIFS(Kho_NL!$G$5:$G$304,Kho_NL!$A$5:$A$304,$B38))</f>
        <v/>
      </c>
      <c r="K38" s="39" t="str">
        <f t="shared" si="1"/>
        <v/>
      </c>
      <c r="L38" s="31" t="str">
        <f>IF($B38="","",IFERROR(INDEX(Kho_NL!$I$5:$I$304,MATCH(B38,Kho_NL!$A$5:$A$304,0))&amp;"",""))</f>
        <v/>
      </c>
      <c r="M38" s="44" t="str">
        <f>IF($B38="","",SUMIFS(Kho_NL!$H$5:$H$304,Kho_NL!$A$5:$A$304,$B38))</f>
        <v/>
      </c>
      <c r="N38" s="44" t="str">
        <f t="shared" si="2"/>
        <v/>
      </c>
      <c r="O38" s="45" t="str">
        <f t="shared" si="3"/>
        <v/>
      </c>
      <c r="P38" s="44" t="str">
        <f>IF($B38="","",SUMIFS(TK_Nhap!$E$5:$E$1004,TK_Nhap!$D$5:$D$1004,$B38,TK_Nhap!$H$5:$H$1004,1))</f>
        <v/>
      </c>
      <c r="Q38" s="44" t="str">
        <f t="shared" si="4"/>
        <v/>
      </c>
    </row>
    <row r="39" spans="1:17" x14ac:dyDescent="0.25">
      <c r="A39" s="36" t="str">
        <f t="shared" si="0"/>
        <v/>
      </c>
      <c r="B39" s="35" t="str">
        <f>IFERROR(INDEX(DM_NL!$A$5:$A$304,MATCH(ROW()-10,DM_NL!$G$5:$G$304,0)),"")</f>
        <v/>
      </c>
      <c r="C39" s="35" t="str">
        <f>IF(B39="","",INDEX(DM_NL!$B$5:$B$304,MATCH(B39,DM_NL!$A$5:$A$304,0)))</f>
        <v/>
      </c>
      <c r="D39" s="35" t="str">
        <f>IF(B39="","",INDEX(DM_NL!$C$5:$C$304,MATCH(B39,DM_NL!$A$5:$A$304,0)))</f>
        <v/>
      </c>
      <c r="E39" s="39" t="str">
        <f>IF($B39="","",SUMIFS(Kho_NL!$B$5:$B$304,Kho_NL!$A$5:$A$304,$B39))</f>
        <v/>
      </c>
      <c r="F39" s="39" t="str">
        <f>IF($B39="","",SUMIFS(Kho_NL!$C$5:$C$304,Kho_NL!$A$5:$A$304,$B39))</f>
        <v/>
      </c>
      <c r="G39" s="39" t="str">
        <f>IF($B39="","",SUMIFS(Kho_NL!$D$5:$D$304,Kho_NL!$A$5:$A$304,$B39))</f>
        <v/>
      </c>
      <c r="H39" s="39" t="str">
        <f>IF($B39="","",SUMIFS(Kho_NL!$E$5:$E$304,Kho_NL!$A$5:$A$304,$B39))</f>
        <v/>
      </c>
      <c r="I39" s="39" t="str">
        <f>IF($B39="","",SUMIFS(Kho_NL!$F$5:$F$304,Kho_NL!$A$5:$A$304,$B39))</f>
        <v/>
      </c>
      <c r="J39" s="39" t="str">
        <f>IF($B39="","",SUMIFS(Kho_NL!$G$5:$G$304,Kho_NL!$A$5:$A$304,$B39))</f>
        <v/>
      </c>
      <c r="K39" s="39" t="str">
        <f t="shared" si="1"/>
        <v/>
      </c>
      <c r="L39" s="31" t="str">
        <f>IF($B39="","",IFERROR(INDEX(Kho_NL!$I$5:$I$304,MATCH(B39,Kho_NL!$A$5:$A$304,0))&amp;"",""))</f>
        <v/>
      </c>
      <c r="M39" s="44" t="str">
        <f>IF($B39="","",SUMIFS(Kho_NL!$H$5:$H$304,Kho_NL!$A$5:$A$304,$B39))</f>
        <v/>
      </c>
      <c r="N39" s="44" t="str">
        <f t="shared" si="2"/>
        <v/>
      </c>
      <c r="O39" s="45" t="str">
        <f t="shared" si="3"/>
        <v/>
      </c>
      <c r="P39" s="44" t="str">
        <f>IF($B39="","",SUMIFS(TK_Nhap!$E$5:$E$1004,TK_Nhap!$D$5:$D$1004,$B39,TK_Nhap!$H$5:$H$1004,1))</f>
        <v/>
      </c>
      <c r="Q39" s="44" t="str">
        <f t="shared" si="4"/>
        <v/>
      </c>
    </row>
    <row r="40" spans="1:17" x14ac:dyDescent="0.25">
      <c r="A40" s="36" t="str">
        <f t="shared" si="0"/>
        <v/>
      </c>
      <c r="B40" s="35" t="str">
        <f>IFERROR(INDEX(DM_NL!$A$5:$A$304,MATCH(ROW()-10,DM_NL!$G$5:$G$304,0)),"")</f>
        <v/>
      </c>
      <c r="C40" s="35" t="str">
        <f>IF(B40="","",INDEX(DM_NL!$B$5:$B$304,MATCH(B40,DM_NL!$A$5:$A$304,0)))</f>
        <v/>
      </c>
      <c r="D40" s="35" t="str">
        <f>IF(B40="","",INDEX(DM_NL!$C$5:$C$304,MATCH(B40,DM_NL!$A$5:$A$304,0)))</f>
        <v/>
      </c>
      <c r="E40" s="39" t="str">
        <f>IF($B40="","",SUMIFS(Kho_NL!$B$5:$B$304,Kho_NL!$A$5:$A$304,$B40))</f>
        <v/>
      </c>
      <c r="F40" s="39" t="str">
        <f>IF($B40="","",SUMIFS(Kho_NL!$C$5:$C$304,Kho_NL!$A$5:$A$304,$B40))</f>
        <v/>
      </c>
      <c r="G40" s="39" t="str">
        <f>IF($B40="","",SUMIFS(Kho_NL!$D$5:$D$304,Kho_NL!$A$5:$A$304,$B40))</f>
        <v/>
      </c>
      <c r="H40" s="39" t="str">
        <f>IF($B40="","",SUMIFS(Kho_NL!$E$5:$E$304,Kho_NL!$A$5:$A$304,$B40))</f>
        <v/>
      </c>
      <c r="I40" s="39" t="str">
        <f>IF($B40="","",SUMIFS(Kho_NL!$F$5:$F$304,Kho_NL!$A$5:$A$304,$B40))</f>
        <v/>
      </c>
      <c r="J40" s="39" t="str">
        <f>IF($B40="","",SUMIFS(Kho_NL!$G$5:$G$304,Kho_NL!$A$5:$A$304,$B40))</f>
        <v/>
      </c>
      <c r="K40" s="39" t="str">
        <f t="shared" si="1"/>
        <v/>
      </c>
      <c r="L40" s="31" t="str">
        <f>IF($B40="","",IFERROR(INDEX(Kho_NL!$I$5:$I$304,MATCH(B40,Kho_NL!$A$5:$A$304,0))&amp;"",""))</f>
        <v/>
      </c>
      <c r="M40" s="44" t="str">
        <f>IF($B40="","",SUMIFS(Kho_NL!$H$5:$H$304,Kho_NL!$A$5:$A$304,$B40))</f>
        <v/>
      </c>
      <c r="N40" s="44" t="str">
        <f t="shared" si="2"/>
        <v/>
      </c>
      <c r="O40" s="45" t="str">
        <f t="shared" si="3"/>
        <v/>
      </c>
      <c r="P40" s="44" t="str">
        <f>IF($B40="","",SUMIFS(TK_Nhap!$E$5:$E$1004,TK_Nhap!$D$5:$D$1004,$B40,TK_Nhap!$H$5:$H$1004,1))</f>
        <v/>
      </c>
      <c r="Q40" s="44" t="str">
        <f t="shared" si="4"/>
        <v/>
      </c>
    </row>
    <row r="41" spans="1:17" x14ac:dyDescent="0.25">
      <c r="A41" s="36" t="str">
        <f t="shared" si="0"/>
        <v/>
      </c>
      <c r="B41" s="35" t="str">
        <f>IFERROR(INDEX(DM_NL!$A$5:$A$304,MATCH(ROW()-10,DM_NL!$G$5:$G$304,0)),"")</f>
        <v/>
      </c>
      <c r="C41" s="35" t="str">
        <f>IF(B41="","",INDEX(DM_NL!$B$5:$B$304,MATCH(B41,DM_NL!$A$5:$A$304,0)))</f>
        <v/>
      </c>
      <c r="D41" s="35" t="str">
        <f>IF(B41="","",INDEX(DM_NL!$C$5:$C$304,MATCH(B41,DM_NL!$A$5:$A$304,0)))</f>
        <v/>
      </c>
      <c r="E41" s="39" t="str">
        <f>IF($B41="","",SUMIFS(Kho_NL!$B$5:$B$304,Kho_NL!$A$5:$A$304,$B41))</f>
        <v/>
      </c>
      <c r="F41" s="39" t="str">
        <f>IF($B41="","",SUMIFS(Kho_NL!$C$5:$C$304,Kho_NL!$A$5:$A$304,$B41))</f>
        <v/>
      </c>
      <c r="G41" s="39" t="str">
        <f>IF($B41="","",SUMIFS(Kho_NL!$D$5:$D$304,Kho_NL!$A$5:$A$304,$B41))</f>
        <v/>
      </c>
      <c r="H41" s="39" t="str">
        <f>IF($B41="","",SUMIFS(Kho_NL!$E$5:$E$304,Kho_NL!$A$5:$A$304,$B41))</f>
        <v/>
      </c>
      <c r="I41" s="39" t="str">
        <f>IF($B41="","",SUMIFS(Kho_NL!$F$5:$F$304,Kho_NL!$A$5:$A$304,$B41))</f>
        <v/>
      </c>
      <c r="J41" s="39" t="str">
        <f>IF($B41="","",SUMIFS(Kho_NL!$G$5:$G$304,Kho_NL!$A$5:$A$304,$B41))</f>
        <v/>
      </c>
      <c r="K41" s="39" t="str">
        <f t="shared" si="1"/>
        <v/>
      </c>
      <c r="L41" s="31" t="str">
        <f>IF($B41="","",IFERROR(INDEX(Kho_NL!$I$5:$I$304,MATCH(B41,Kho_NL!$A$5:$A$304,0))&amp;"",""))</f>
        <v/>
      </c>
      <c r="M41" s="44" t="str">
        <f>IF($B41="","",SUMIFS(Kho_NL!$H$5:$H$304,Kho_NL!$A$5:$A$304,$B41))</f>
        <v/>
      </c>
      <c r="N41" s="44" t="str">
        <f t="shared" si="2"/>
        <v/>
      </c>
      <c r="O41" s="45" t="str">
        <f t="shared" si="3"/>
        <v/>
      </c>
      <c r="P41" s="44" t="str">
        <f>IF($B41="","",SUMIFS(TK_Nhap!$E$5:$E$1004,TK_Nhap!$D$5:$D$1004,$B41,TK_Nhap!$H$5:$H$1004,1))</f>
        <v/>
      </c>
      <c r="Q41" s="44" t="str">
        <f t="shared" si="4"/>
        <v/>
      </c>
    </row>
    <row r="42" spans="1:17" x14ac:dyDescent="0.25">
      <c r="A42" s="36" t="str">
        <f t="shared" si="0"/>
        <v/>
      </c>
      <c r="B42" s="35" t="str">
        <f>IFERROR(INDEX(DM_NL!$A$5:$A$304,MATCH(ROW()-10,DM_NL!$G$5:$G$304,0)),"")</f>
        <v/>
      </c>
      <c r="C42" s="35" t="str">
        <f>IF(B42="","",INDEX(DM_NL!$B$5:$B$304,MATCH(B42,DM_NL!$A$5:$A$304,0)))</f>
        <v/>
      </c>
      <c r="D42" s="35" t="str">
        <f>IF(B42="","",INDEX(DM_NL!$C$5:$C$304,MATCH(B42,DM_NL!$A$5:$A$304,0)))</f>
        <v/>
      </c>
      <c r="E42" s="39" t="str">
        <f>IF($B42="","",SUMIFS(Kho_NL!$B$5:$B$304,Kho_NL!$A$5:$A$304,$B42))</f>
        <v/>
      </c>
      <c r="F42" s="39" t="str">
        <f>IF($B42="","",SUMIFS(Kho_NL!$C$5:$C$304,Kho_NL!$A$5:$A$304,$B42))</f>
        <v/>
      </c>
      <c r="G42" s="39" t="str">
        <f>IF($B42="","",SUMIFS(Kho_NL!$D$5:$D$304,Kho_NL!$A$5:$A$304,$B42))</f>
        <v/>
      </c>
      <c r="H42" s="39" t="str">
        <f>IF($B42="","",SUMIFS(Kho_NL!$E$5:$E$304,Kho_NL!$A$5:$A$304,$B42))</f>
        <v/>
      </c>
      <c r="I42" s="39" t="str">
        <f>IF($B42="","",SUMIFS(Kho_NL!$F$5:$F$304,Kho_NL!$A$5:$A$304,$B42))</f>
        <v/>
      </c>
      <c r="J42" s="39" t="str">
        <f>IF($B42="","",SUMIFS(Kho_NL!$G$5:$G$304,Kho_NL!$A$5:$A$304,$B42))</f>
        <v/>
      </c>
      <c r="K42" s="39" t="str">
        <f t="shared" si="1"/>
        <v/>
      </c>
      <c r="L42" s="31" t="str">
        <f>IF($B42="","",IFERROR(INDEX(Kho_NL!$I$5:$I$304,MATCH(B42,Kho_NL!$A$5:$A$304,0))&amp;"",""))</f>
        <v/>
      </c>
      <c r="M42" s="44" t="str">
        <f>IF($B42="","",SUMIFS(Kho_NL!$H$5:$H$304,Kho_NL!$A$5:$A$304,$B42))</f>
        <v/>
      </c>
      <c r="N42" s="44" t="str">
        <f t="shared" si="2"/>
        <v/>
      </c>
      <c r="O42" s="45" t="str">
        <f t="shared" si="3"/>
        <v/>
      </c>
      <c r="P42" s="44" t="str">
        <f>IF($B42="","",SUMIFS(TK_Nhap!$E$5:$E$1004,TK_Nhap!$D$5:$D$1004,$B42,TK_Nhap!$H$5:$H$1004,1))</f>
        <v/>
      </c>
      <c r="Q42" s="44" t="str">
        <f t="shared" si="4"/>
        <v/>
      </c>
    </row>
    <row r="43" spans="1:17" x14ac:dyDescent="0.25">
      <c r="A43" s="36" t="str">
        <f t="shared" si="0"/>
        <v/>
      </c>
      <c r="B43" s="35" t="str">
        <f>IFERROR(INDEX(DM_NL!$A$5:$A$304,MATCH(ROW()-10,DM_NL!$G$5:$G$304,0)),"")</f>
        <v/>
      </c>
      <c r="C43" s="35" t="str">
        <f>IF(B43="","",INDEX(DM_NL!$B$5:$B$304,MATCH(B43,DM_NL!$A$5:$A$304,0)))</f>
        <v/>
      </c>
      <c r="D43" s="35" t="str">
        <f>IF(B43="","",INDEX(DM_NL!$C$5:$C$304,MATCH(B43,DM_NL!$A$5:$A$304,0)))</f>
        <v/>
      </c>
      <c r="E43" s="39" t="str">
        <f>IF($B43="","",SUMIFS(Kho_NL!$B$5:$B$304,Kho_NL!$A$5:$A$304,$B43))</f>
        <v/>
      </c>
      <c r="F43" s="39" t="str">
        <f>IF($B43="","",SUMIFS(Kho_NL!$C$5:$C$304,Kho_NL!$A$5:$A$304,$B43))</f>
        <v/>
      </c>
      <c r="G43" s="39" t="str">
        <f>IF($B43="","",SUMIFS(Kho_NL!$D$5:$D$304,Kho_NL!$A$5:$A$304,$B43))</f>
        <v/>
      </c>
      <c r="H43" s="39" t="str">
        <f>IF($B43="","",SUMIFS(Kho_NL!$E$5:$E$304,Kho_NL!$A$5:$A$304,$B43))</f>
        <v/>
      </c>
      <c r="I43" s="39" t="str">
        <f>IF($B43="","",SUMIFS(Kho_NL!$F$5:$F$304,Kho_NL!$A$5:$A$304,$B43))</f>
        <v/>
      </c>
      <c r="J43" s="39" t="str">
        <f>IF($B43="","",SUMIFS(Kho_NL!$G$5:$G$304,Kho_NL!$A$5:$A$304,$B43))</f>
        <v/>
      </c>
      <c r="K43" s="39" t="str">
        <f t="shared" si="1"/>
        <v/>
      </c>
      <c r="L43" s="31" t="str">
        <f>IF($B43="","",IFERROR(INDEX(Kho_NL!$I$5:$I$304,MATCH(B43,Kho_NL!$A$5:$A$304,0))&amp;"",""))</f>
        <v/>
      </c>
      <c r="M43" s="44" t="str">
        <f>IF($B43="","",SUMIFS(Kho_NL!$H$5:$H$304,Kho_NL!$A$5:$A$304,$B43))</f>
        <v/>
      </c>
      <c r="N43" s="44" t="str">
        <f t="shared" si="2"/>
        <v/>
      </c>
      <c r="O43" s="45" t="str">
        <f t="shared" si="3"/>
        <v/>
      </c>
      <c r="P43" s="44" t="str">
        <f>IF($B43="","",SUMIFS(TK_Nhap!$E$5:$E$1004,TK_Nhap!$D$5:$D$1004,$B43,TK_Nhap!$H$5:$H$1004,1))</f>
        <v/>
      </c>
      <c r="Q43" s="44" t="str">
        <f t="shared" si="4"/>
        <v/>
      </c>
    </row>
    <row r="44" spans="1:17" x14ac:dyDescent="0.25">
      <c r="A44" s="36" t="str">
        <f t="shared" si="0"/>
        <v/>
      </c>
      <c r="B44" s="35" t="str">
        <f>IFERROR(INDEX(DM_NL!$A$5:$A$304,MATCH(ROW()-10,DM_NL!$G$5:$G$304,0)),"")</f>
        <v/>
      </c>
      <c r="C44" s="35" t="str">
        <f>IF(B44="","",INDEX(DM_NL!$B$5:$B$304,MATCH(B44,DM_NL!$A$5:$A$304,0)))</f>
        <v/>
      </c>
      <c r="D44" s="35" t="str">
        <f>IF(B44="","",INDEX(DM_NL!$C$5:$C$304,MATCH(B44,DM_NL!$A$5:$A$304,0)))</f>
        <v/>
      </c>
      <c r="E44" s="39" t="str">
        <f>IF($B44="","",SUMIFS(Kho_NL!$B$5:$B$304,Kho_NL!$A$5:$A$304,$B44))</f>
        <v/>
      </c>
      <c r="F44" s="39" t="str">
        <f>IF($B44="","",SUMIFS(Kho_NL!$C$5:$C$304,Kho_NL!$A$5:$A$304,$B44))</f>
        <v/>
      </c>
      <c r="G44" s="39" t="str">
        <f>IF($B44="","",SUMIFS(Kho_NL!$D$5:$D$304,Kho_NL!$A$5:$A$304,$B44))</f>
        <v/>
      </c>
      <c r="H44" s="39" t="str">
        <f>IF($B44="","",SUMIFS(Kho_NL!$E$5:$E$304,Kho_NL!$A$5:$A$304,$B44))</f>
        <v/>
      </c>
      <c r="I44" s="39" t="str">
        <f>IF($B44="","",SUMIFS(Kho_NL!$F$5:$F$304,Kho_NL!$A$5:$A$304,$B44))</f>
        <v/>
      </c>
      <c r="J44" s="39" t="str">
        <f>IF($B44="","",SUMIFS(Kho_NL!$G$5:$G$304,Kho_NL!$A$5:$A$304,$B44))</f>
        <v/>
      </c>
      <c r="K44" s="39" t="str">
        <f t="shared" si="1"/>
        <v/>
      </c>
      <c r="L44" s="31" t="str">
        <f>IF($B44="","",IFERROR(INDEX(Kho_NL!$I$5:$I$304,MATCH(B44,Kho_NL!$A$5:$A$304,0))&amp;"",""))</f>
        <v/>
      </c>
      <c r="M44" s="44" t="str">
        <f>IF($B44="","",SUMIFS(Kho_NL!$H$5:$H$304,Kho_NL!$A$5:$A$304,$B44))</f>
        <v/>
      </c>
      <c r="N44" s="44" t="str">
        <f t="shared" si="2"/>
        <v/>
      </c>
      <c r="O44" s="45" t="str">
        <f t="shared" si="3"/>
        <v/>
      </c>
      <c r="P44" s="44" t="str">
        <f>IF($B44="","",SUMIFS(TK_Nhap!$E$5:$E$1004,TK_Nhap!$D$5:$D$1004,$B44,TK_Nhap!$H$5:$H$1004,1))</f>
        <v/>
      </c>
      <c r="Q44" s="44" t="str">
        <f t="shared" si="4"/>
        <v/>
      </c>
    </row>
    <row r="45" spans="1:17" x14ac:dyDescent="0.25">
      <c r="A45" s="36" t="str">
        <f t="shared" si="0"/>
        <v/>
      </c>
      <c r="B45" s="35" t="str">
        <f>IFERROR(INDEX(DM_NL!$A$5:$A$304,MATCH(ROW()-10,DM_NL!$G$5:$G$304,0)),"")</f>
        <v/>
      </c>
      <c r="C45" s="35" t="str">
        <f>IF(B45="","",INDEX(DM_NL!$B$5:$B$304,MATCH(B45,DM_NL!$A$5:$A$304,0)))</f>
        <v/>
      </c>
      <c r="D45" s="35" t="str">
        <f>IF(B45="","",INDEX(DM_NL!$C$5:$C$304,MATCH(B45,DM_NL!$A$5:$A$304,0)))</f>
        <v/>
      </c>
      <c r="E45" s="39" t="str">
        <f>IF($B45="","",SUMIFS(Kho_NL!$B$5:$B$304,Kho_NL!$A$5:$A$304,$B45))</f>
        <v/>
      </c>
      <c r="F45" s="39" t="str">
        <f>IF($B45="","",SUMIFS(Kho_NL!$C$5:$C$304,Kho_NL!$A$5:$A$304,$B45))</f>
        <v/>
      </c>
      <c r="G45" s="39" t="str">
        <f>IF($B45="","",SUMIFS(Kho_NL!$D$5:$D$304,Kho_NL!$A$5:$A$304,$B45))</f>
        <v/>
      </c>
      <c r="H45" s="39" t="str">
        <f>IF($B45="","",SUMIFS(Kho_NL!$E$5:$E$304,Kho_NL!$A$5:$A$304,$B45))</f>
        <v/>
      </c>
      <c r="I45" s="39" t="str">
        <f>IF($B45="","",SUMIFS(Kho_NL!$F$5:$F$304,Kho_NL!$A$5:$A$304,$B45))</f>
        <v/>
      </c>
      <c r="J45" s="39" t="str">
        <f>IF($B45="","",SUMIFS(Kho_NL!$G$5:$G$304,Kho_NL!$A$5:$A$304,$B45))</f>
        <v/>
      </c>
      <c r="K45" s="39" t="str">
        <f t="shared" si="1"/>
        <v/>
      </c>
      <c r="L45" s="31" t="str">
        <f>IF($B45="","",IFERROR(INDEX(Kho_NL!$I$5:$I$304,MATCH(B45,Kho_NL!$A$5:$A$304,0))&amp;"",""))</f>
        <v/>
      </c>
      <c r="M45" s="44" t="str">
        <f>IF($B45="","",SUMIFS(Kho_NL!$H$5:$H$304,Kho_NL!$A$5:$A$304,$B45))</f>
        <v/>
      </c>
      <c r="N45" s="44" t="str">
        <f t="shared" si="2"/>
        <v/>
      </c>
      <c r="O45" s="45" t="str">
        <f t="shared" si="3"/>
        <v/>
      </c>
      <c r="P45" s="44" t="str">
        <f>IF($B45="","",SUMIFS(TK_Nhap!$E$5:$E$1004,TK_Nhap!$D$5:$D$1004,$B45,TK_Nhap!$H$5:$H$1004,1))</f>
        <v/>
      </c>
      <c r="Q45" s="44" t="str">
        <f t="shared" si="4"/>
        <v/>
      </c>
    </row>
    <row r="46" spans="1:17" x14ac:dyDescent="0.25">
      <c r="A46" s="36" t="str">
        <f t="shared" si="0"/>
        <v/>
      </c>
      <c r="B46" s="35" t="str">
        <f>IFERROR(INDEX(DM_NL!$A$5:$A$304,MATCH(ROW()-10,DM_NL!$G$5:$G$304,0)),"")</f>
        <v/>
      </c>
      <c r="C46" s="35" t="str">
        <f>IF(B46="","",INDEX(DM_NL!$B$5:$B$304,MATCH(B46,DM_NL!$A$5:$A$304,0)))</f>
        <v/>
      </c>
      <c r="D46" s="35" t="str">
        <f>IF(B46="","",INDEX(DM_NL!$C$5:$C$304,MATCH(B46,DM_NL!$A$5:$A$304,0)))</f>
        <v/>
      </c>
      <c r="E46" s="39" t="str">
        <f>IF($B46="","",SUMIFS(Kho_NL!$B$5:$B$304,Kho_NL!$A$5:$A$304,$B46))</f>
        <v/>
      </c>
      <c r="F46" s="39" t="str">
        <f>IF($B46="","",SUMIFS(Kho_NL!$C$5:$C$304,Kho_NL!$A$5:$A$304,$B46))</f>
        <v/>
      </c>
      <c r="G46" s="39" t="str">
        <f>IF($B46="","",SUMIFS(Kho_NL!$D$5:$D$304,Kho_NL!$A$5:$A$304,$B46))</f>
        <v/>
      </c>
      <c r="H46" s="39" t="str">
        <f>IF($B46="","",SUMIFS(Kho_NL!$E$5:$E$304,Kho_NL!$A$5:$A$304,$B46))</f>
        <v/>
      </c>
      <c r="I46" s="39" t="str">
        <f>IF($B46="","",SUMIFS(Kho_NL!$F$5:$F$304,Kho_NL!$A$5:$A$304,$B46))</f>
        <v/>
      </c>
      <c r="J46" s="39" t="str">
        <f>IF($B46="","",SUMIFS(Kho_NL!$G$5:$G$304,Kho_NL!$A$5:$A$304,$B46))</f>
        <v/>
      </c>
      <c r="K46" s="39" t="str">
        <f t="shared" si="1"/>
        <v/>
      </c>
      <c r="L46" s="31" t="str">
        <f>IF($B46="","",IFERROR(INDEX(Kho_NL!$I$5:$I$304,MATCH(B46,Kho_NL!$A$5:$A$304,0))&amp;"",""))</f>
        <v/>
      </c>
      <c r="M46" s="44" t="str">
        <f>IF($B46="","",SUMIFS(Kho_NL!$H$5:$H$304,Kho_NL!$A$5:$A$304,$B46))</f>
        <v/>
      </c>
      <c r="N46" s="44" t="str">
        <f t="shared" si="2"/>
        <v/>
      </c>
      <c r="O46" s="45" t="str">
        <f t="shared" si="3"/>
        <v/>
      </c>
      <c r="P46" s="44" t="str">
        <f>IF($B46="","",SUMIFS(TK_Nhap!$E$5:$E$1004,TK_Nhap!$D$5:$D$1004,$B46,TK_Nhap!$H$5:$H$1004,1))</f>
        <v/>
      </c>
      <c r="Q46" s="44" t="str">
        <f t="shared" si="4"/>
        <v/>
      </c>
    </row>
    <row r="47" spans="1:17" x14ac:dyDescent="0.25">
      <c r="A47" s="36" t="str">
        <f t="shared" si="0"/>
        <v/>
      </c>
      <c r="B47" s="35" t="str">
        <f>IFERROR(INDEX(DM_NL!$A$5:$A$304,MATCH(ROW()-10,DM_NL!$G$5:$G$304,0)),"")</f>
        <v/>
      </c>
      <c r="C47" s="35" t="str">
        <f>IF(B47="","",INDEX(DM_NL!$B$5:$B$304,MATCH(B47,DM_NL!$A$5:$A$304,0)))</f>
        <v/>
      </c>
      <c r="D47" s="35" t="str">
        <f>IF(B47="","",INDEX(DM_NL!$C$5:$C$304,MATCH(B47,DM_NL!$A$5:$A$304,0)))</f>
        <v/>
      </c>
      <c r="E47" s="39" t="str">
        <f>IF($B47="","",SUMIFS(Kho_NL!$B$5:$B$304,Kho_NL!$A$5:$A$304,$B47))</f>
        <v/>
      </c>
      <c r="F47" s="39" t="str">
        <f>IF($B47="","",SUMIFS(Kho_NL!$C$5:$C$304,Kho_NL!$A$5:$A$304,$B47))</f>
        <v/>
      </c>
      <c r="G47" s="39" t="str">
        <f>IF($B47="","",SUMIFS(Kho_NL!$D$5:$D$304,Kho_NL!$A$5:$A$304,$B47))</f>
        <v/>
      </c>
      <c r="H47" s="39" t="str">
        <f>IF($B47="","",SUMIFS(Kho_NL!$E$5:$E$304,Kho_NL!$A$5:$A$304,$B47))</f>
        <v/>
      </c>
      <c r="I47" s="39" t="str">
        <f>IF($B47="","",SUMIFS(Kho_NL!$F$5:$F$304,Kho_NL!$A$5:$A$304,$B47))</f>
        <v/>
      </c>
      <c r="J47" s="39" t="str">
        <f>IF($B47="","",SUMIFS(Kho_NL!$G$5:$G$304,Kho_NL!$A$5:$A$304,$B47))</f>
        <v/>
      </c>
      <c r="K47" s="39" t="str">
        <f t="shared" si="1"/>
        <v/>
      </c>
      <c r="L47" s="31" t="str">
        <f>IF($B47="","",IFERROR(INDEX(Kho_NL!$I$5:$I$304,MATCH(B47,Kho_NL!$A$5:$A$304,0))&amp;"",""))</f>
        <v/>
      </c>
      <c r="M47" s="44" t="str">
        <f>IF($B47="","",SUMIFS(Kho_NL!$H$5:$H$304,Kho_NL!$A$5:$A$304,$B47))</f>
        <v/>
      </c>
      <c r="N47" s="44" t="str">
        <f t="shared" si="2"/>
        <v/>
      </c>
      <c r="O47" s="45" t="str">
        <f t="shared" si="3"/>
        <v/>
      </c>
      <c r="P47" s="44" t="str">
        <f>IF($B47="","",SUMIFS(TK_Nhap!$E$5:$E$1004,TK_Nhap!$D$5:$D$1004,$B47,TK_Nhap!$H$5:$H$1004,1))</f>
        <v/>
      </c>
      <c r="Q47" s="44" t="str">
        <f t="shared" si="4"/>
        <v/>
      </c>
    </row>
    <row r="48" spans="1:17" x14ac:dyDescent="0.25">
      <c r="A48" s="36" t="str">
        <f t="shared" si="0"/>
        <v/>
      </c>
      <c r="B48" s="35" t="str">
        <f>IFERROR(INDEX(DM_NL!$A$5:$A$304,MATCH(ROW()-10,DM_NL!$G$5:$G$304,0)),"")</f>
        <v/>
      </c>
      <c r="C48" s="35" t="str">
        <f>IF(B48="","",INDEX(DM_NL!$B$5:$B$304,MATCH(B48,DM_NL!$A$5:$A$304,0)))</f>
        <v/>
      </c>
      <c r="D48" s="35" t="str">
        <f>IF(B48="","",INDEX(DM_NL!$C$5:$C$304,MATCH(B48,DM_NL!$A$5:$A$304,0)))</f>
        <v/>
      </c>
      <c r="E48" s="39" t="str">
        <f>IF($B48="","",SUMIFS(Kho_NL!$B$5:$B$304,Kho_NL!$A$5:$A$304,$B48))</f>
        <v/>
      </c>
      <c r="F48" s="39" t="str">
        <f>IF($B48="","",SUMIFS(Kho_NL!$C$5:$C$304,Kho_NL!$A$5:$A$304,$B48))</f>
        <v/>
      </c>
      <c r="G48" s="39" t="str">
        <f>IF($B48="","",SUMIFS(Kho_NL!$D$5:$D$304,Kho_NL!$A$5:$A$304,$B48))</f>
        <v/>
      </c>
      <c r="H48" s="39" t="str">
        <f>IF($B48="","",SUMIFS(Kho_NL!$E$5:$E$304,Kho_NL!$A$5:$A$304,$B48))</f>
        <v/>
      </c>
      <c r="I48" s="39" t="str">
        <f>IF($B48="","",SUMIFS(Kho_NL!$F$5:$F$304,Kho_NL!$A$5:$A$304,$B48))</f>
        <v/>
      </c>
      <c r="J48" s="39" t="str">
        <f>IF($B48="","",SUMIFS(Kho_NL!$G$5:$G$304,Kho_NL!$A$5:$A$304,$B48))</f>
        <v/>
      </c>
      <c r="K48" s="39" t="str">
        <f t="shared" si="1"/>
        <v/>
      </c>
      <c r="L48" s="31" t="str">
        <f>IF($B48="","",IFERROR(INDEX(Kho_NL!$I$5:$I$304,MATCH(B48,Kho_NL!$A$5:$A$304,0))&amp;"",""))</f>
        <v/>
      </c>
      <c r="M48" s="44" t="str">
        <f>IF($B48="","",SUMIFS(Kho_NL!$H$5:$H$304,Kho_NL!$A$5:$A$304,$B48))</f>
        <v/>
      </c>
      <c r="N48" s="44" t="str">
        <f t="shared" si="2"/>
        <v/>
      </c>
      <c r="O48" s="45" t="str">
        <f t="shared" si="3"/>
        <v/>
      </c>
      <c r="P48" s="44" t="str">
        <f>IF($B48="","",SUMIFS(TK_Nhap!$E$5:$E$1004,TK_Nhap!$D$5:$D$1004,$B48,TK_Nhap!$H$5:$H$1004,1))</f>
        <v/>
      </c>
      <c r="Q48" s="44" t="str">
        <f t="shared" si="4"/>
        <v/>
      </c>
    </row>
    <row r="49" spans="1:17" x14ac:dyDescent="0.25">
      <c r="A49" s="36" t="str">
        <f t="shared" si="0"/>
        <v/>
      </c>
      <c r="B49" s="35" t="str">
        <f>IFERROR(INDEX(DM_NL!$A$5:$A$304,MATCH(ROW()-10,DM_NL!$G$5:$G$304,0)),"")</f>
        <v/>
      </c>
      <c r="C49" s="35" t="str">
        <f>IF(B49="","",INDEX(DM_NL!$B$5:$B$304,MATCH(B49,DM_NL!$A$5:$A$304,0)))</f>
        <v/>
      </c>
      <c r="D49" s="35" t="str">
        <f>IF(B49="","",INDEX(DM_NL!$C$5:$C$304,MATCH(B49,DM_NL!$A$5:$A$304,0)))</f>
        <v/>
      </c>
      <c r="E49" s="39" t="str">
        <f>IF($B49="","",SUMIFS(Kho_NL!$B$5:$B$304,Kho_NL!$A$5:$A$304,$B49))</f>
        <v/>
      </c>
      <c r="F49" s="39" t="str">
        <f>IF($B49="","",SUMIFS(Kho_NL!$C$5:$C$304,Kho_NL!$A$5:$A$304,$B49))</f>
        <v/>
      </c>
      <c r="G49" s="39" t="str">
        <f>IF($B49="","",SUMIFS(Kho_NL!$D$5:$D$304,Kho_NL!$A$5:$A$304,$B49))</f>
        <v/>
      </c>
      <c r="H49" s="39" t="str">
        <f>IF($B49="","",SUMIFS(Kho_NL!$E$5:$E$304,Kho_NL!$A$5:$A$304,$B49))</f>
        <v/>
      </c>
      <c r="I49" s="39" t="str">
        <f>IF($B49="","",SUMIFS(Kho_NL!$F$5:$F$304,Kho_NL!$A$5:$A$304,$B49))</f>
        <v/>
      </c>
      <c r="J49" s="39" t="str">
        <f>IF($B49="","",SUMIFS(Kho_NL!$G$5:$G$304,Kho_NL!$A$5:$A$304,$B49))</f>
        <v/>
      </c>
      <c r="K49" s="39" t="str">
        <f t="shared" si="1"/>
        <v/>
      </c>
      <c r="L49" s="31" t="str">
        <f>IF($B49="","",IFERROR(INDEX(Kho_NL!$I$5:$I$304,MATCH(B49,Kho_NL!$A$5:$A$304,0))&amp;"",""))</f>
        <v/>
      </c>
      <c r="M49" s="44" t="str">
        <f>IF($B49="","",SUMIFS(Kho_NL!$H$5:$H$304,Kho_NL!$A$5:$A$304,$B49))</f>
        <v/>
      </c>
      <c r="N49" s="44" t="str">
        <f t="shared" si="2"/>
        <v/>
      </c>
      <c r="O49" s="45" t="str">
        <f t="shared" si="3"/>
        <v/>
      </c>
      <c r="P49" s="44" t="str">
        <f>IF($B49="","",SUMIFS(TK_Nhap!$E$5:$E$1004,TK_Nhap!$D$5:$D$1004,$B49,TK_Nhap!$H$5:$H$1004,1))</f>
        <v/>
      </c>
      <c r="Q49" s="44" t="str">
        <f t="shared" si="4"/>
        <v/>
      </c>
    </row>
    <row r="50" spans="1:17" x14ac:dyDescent="0.25">
      <c r="A50" s="36" t="str">
        <f t="shared" si="0"/>
        <v/>
      </c>
      <c r="B50" s="35" t="str">
        <f>IFERROR(INDEX(DM_NL!$A$5:$A$304,MATCH(ROW()-10,DM_NL!$G$5:$G$304,0)),"")</f>
        <v/>
      </c>
      <c r="C50" s="35" t="str">
        <f>IF(B50="","",INDEX(DM_NL!$B$5:$B$304,MATCH(B50,DM_NL!$A$5:$A$304,0)))</f>
        <v/>
      </c>
      <c r="D50" s="35" t="str">
        <f>IF(B50="","",INDEX(DM_NL!$C$5:$C$304,MATCH(B50,DM_NL!$A$5:$A$304,0)))</f>
        <v/>
      </c>
      <c r="E50" s="39" t="str">
        <f>IF($B50="","",SUMIFS(Kho_NL!$B$5:$B$304,Kho_NL!$A$5:$A$304,$B50))</f>
        <v/>
      </c>
      <c r="F50" s="39" t="str">
        <f>IF($B50="","",SUMIFS(Kho_NL!$C$5:$C$304,Kho_NL!$A$5:$A$304,$B50))</f>
        <v/>
      </c>
      <c r="G50" s="39" t="str">
        <f>IF($B50="","",SUMIFS(Kho_NL!$D$5:$D$304,Kho_NL!$A$5:$A$304,$B50))</f>
        <v/>
      </c>
      <c r="H50" s="39" t="str">
        <f>IF($B50="","",SUMIFS(Kho_NL!$E$5:$E$304,Kho_NL!$A$5:$A$304,$B50))</f>
        <v/>
      </c>
      <c r="I50" s="39" t="str">
        <f>IF($B50="","",SUMIFS(Kho_NL!$F$5:$F$304,Kho_NL!$A$5:$A$304,$B50))</f>
        <v/>
      </c>
      <c r="J50" s="39" t="str">
        <f>IF($B50="","",SUMIFS(Kho_NL!$G$5:$G$304,Kho_NL!$A$5:$A$304,$B50))</f>
        <v/>
      </c>
      <c r="K50" s="39" t="str">
        <f t="shared" si="1"/>
        <v/>
      </c>
      <c r="L50" s="31" t="str">
        <f>IF($B50="","",IFERROR(INDEX(Kho_NL!$I$5:$I$304,MATCH(B50,Kho_NL!$A$5:$A$304,0))&amp;"",""))</f>
        <v/>
      </c>
      <c r="M50" s="44" t="str">
        <f>IF($B50="","",SUMIFS(Kho_NL!$H$5:$H$304,Kho_NL!$A$5:$A$304,$B50))</f>
        <v/>
      </c>
      <c r="N50" s="44" t="str">
        <f t="shared" si="2"/>
        <v/>
      </c>
      <c r="O50" s="45" t="str">
        <f t="shared" si="3"/>
        <v/>
      </c>
      <c r="P50" s="44" t="str">
        <f>IF($B50="","",SUMIFS(TK_Nhap!$E$5:$E$1004,TK_Nhap!$D$5:$D$1004,$B50,TK_Nhap!$H$5:$H$1004,1))</f>
        <v/>
      </c>
      <c r="Q50" s="44" t="str">
        <f t="shared" si="4"/>
        <v/>
      </c>
    </row>
    <row r="51" spans="1:17" x14ac:dyDescent="0.25">
      <c r="A51" s="36" t="str">
        <f t="shared" si="0"/>
        <v/>
      </c>
      <c r="B51" s="35" t="str">
        <f>IFERROR(INDEX(DM_NL!$A$5:$A$304,MATCH(ROW()-10,DM_NL!$G$5:$G$304,0)),"")</f>
        <v/>
      </c>
      <c r="C51" s="35" t="str">
        <f>IF(B51="","",INDEX(DM_NL!$B$5:$B$304,MATCH(B51,DM_NL!$A$5:$A$304,0)))</f>
        <v/>
      </c>
      <c r="D51" s="35" t="str">
        <f>IF(B51="","",INDEX(DM_NL!$C$5:$C$304,MATCH(B51,DM_NL!$A$5:$A$304,0)))</f>
        <v/>
      </c>
      <c r="E51" s="39" t="str">
        <f>IF($B51="","",SUMIFS(Kho_NL!$B$5:$B$304,Kho_NL!$A$5:$A$304,$B51))</f>
        <v/>
      </c>
      <c r="F51" s="39" t="str">
        <f>IF($B51="","",SUMIFS(Kho_NL!$C$5:$C$304,Kho_NL!$A$5:$A$304,$B51))</f>
        <v/>
      </c>
      <c r="G51" s="39" t="str">
        <f>IF($B51="","",SUMIFS(Kho_NL!$D$5:$D$304,Kho_NL!$A$5:$A$304,$B51))</f>
        <v/>
      </c>
      <c r="H51" s="39" t="str">
        <f>IF($B51="","",SUMIFS(Kho_NL!$E$5:$E$304,Kho_NL!$A$5:$A$304,$B51))</f>
        <v/>
      </c>
      <c r="I51" s="39" t="str">
        <f>IF($B51="","",SUMIFS(Kho_NL!$F$5:$F$304,Kho_NL!$A$5:$A$304,$B51))</f>
        <v/>
      </c>
      <c r="J51" s="39" t="str">
        <f>IF($B51="","",SUMIFS(Kho_NL!$G$5:$G$304,Kho_NL!$A$5:$A$304,$B51))</f>
        <v/>
      </c>
      <c r="K51" s="39" t="str">
        <f t="shared" si="1"/>
        <v/>
      </c>
      <c r="L51" s="31" t="str">
        <f>IF($B51="","",IFERROR(INDEX(Kho_NL!$I$5:$I$304,MATCH(B51,Kho_NL!$A$5:$A$304,0))&amp;"",""))</f>
        <v/>
      </c>
      <c r="M51" s="44" t="str">
        <f>IF($B51="","",SUMIFS(Kho_NL!$H$5:$H$304,Kho_NL!$A$5:$A$304,$B51))</f>
        <v/>
      </c>
      <c r="N51" s="44" t="str">
        <f t="shared" si="2"/>
        <v/>
      </c>
      <c r="O51" s="45" t="str">
        <f t="shared" si="3"/>
        <v/>
      </c>
      <c r="P51" s="44" t="str">
        <f>IF($B51="","",SUMIFS(TK_Nhap!$E$5:$E$1004,TK_Nhap!$D$5:$D$1004,$B51,TK_Nhap!$H$5:$H$1004,1))</f>
        <v/>
      </c>
      <c r="Q51" s="44" t="str">
        <f t="shared" si="4"/>
        <v/>
      </c>
    </row>
    <row r="52" spans="1:17" x14ac:dyDescent="0.25">
      <c r="A52" s="36" t="str">
        <f t="shared" si="0"/>
        <v/>
      </c>
      <c r="B52" s="35" t="str">
        <f>IFERROR(INDEX(DM_NL!$A$5:$A$304,MATCH(ROW()-10,DM_NL!$G$5:$G$304,0)),"")</f>
        <v/>
      </c>
      <c r="C52" s="35" t="str">
        <f>IF(B52="","",INDEX(DM_NL!$B$5:$B$304,MATCH(B52,DM_NL!$A$5:$A$304,0)))</f>
        <v/>
      </c>
      <c r="D52" s="35" t="str">
        <f>IF(B52="","",INDEX(DM_NL!$C$5:$C$304,MATCH(B52,DM_NL!$A$5:$A$304,0)))</f>
        <v/>
      </c>
      <c r="E52" s="39" t="str">
        <f>IF($B52="","",SUMIFS(Kho_NL!$B$5:$B$304,Kho_NL!$A$5:$A$304,$B52))</f>
        <v/>
      </c>
      <c r="F52" s="39" t="str">
        <f>IF($B52="","",SUMIFS(Kho_NL!$C$5:$C$304,Kho_NL!$A$5:$A$304,$B52))</f>
        <v/>
      </c>
      <c r="G52" s="39" t="str">
        <f>IF($B52="","",SUMIFS(Kho_NL!$D$5:$D$304,Kho_NL!$A$5:$A$304,$B52))</f>
        <v/>
      </c>
      <c r="H52" s="39" t="str">
        <f>IF($B52="","",SUMIFS(Kho_NL!$E$5:$E$304,Kho_NL!$A$5:$A$304,$B52))</f>
        <v/>
      </c>
      <c r="I52" s="39" t="str">
        <f>IF($B52="","",SUMIFS(Kho_NL!$F$5:$F$304,Kho_NL!$A$5:$A$304,$B52))</f>
        <v/>
      </c>
      <c r="J52" s="39" t="str">
        <f>IF($B52="","",SUMIFS(Kho_NL!$G$5:$G$304,Kho_NL!$A$5:$A$304,$B52))</f>
        <v/>
      </c>
      <c r="K52" s="39" t="str">
        <f t="shared" si="1"/>
        <v/>
      </c>
      <c r="L52" s="31" t="str">
        <f>IF($B52="","",IFERROR(INDEX(Kho_NL!$I$5:$I$304,MATCH(B52,Kho_NL!$A$5:$A$304,0))&amp;"",""))</f>
        <v/>
      </c>
      <c r="M52" s="44" t="str">
        <f>IF($B52="","",SUMIFS(Kho_NL!$H$5:$H$304,Kho_NL!$A$5:$A$304,$B52))</f>
        <v/>
      </c>
      <c r="N52" s="44" t="str">
        <f t="shared" si="2"/>
        <v/>
      </c>
      <c r="O52" s="45" t="str">
        <f t="shared" si="3"/>
        <v/>
      </c>
      <c r="P52" s="44" t="str">
        <f>IF($B52="","",SUMIFS(TK_Nhap!$E$5:$E$1004,TK_Nhap!$D$5:$D$1004,$B52,TK_Nhap!$H$5:$H$1004,1))</f>
        <v/>
      </c>
      <c r="Q52" s="44" t="str">
        <f t="shared" si="4"/>
        <v/>
      </c>
    </row>
    <row r="53" spans="1:17" x14ac:dyDescent="0.25">
      <c r="A53" s="36" t="str">
        <f t="shared" si="0"/>
        <v/>
      </c>
      <c r="B53" s="35" t="str">
        <f>IFERROR(INDEX(DM_NL!$A$5:$A$304,MATCH(ROW()-10,DM_NL!$G$5:$G$304,0)),"")</f>
        <v/>
      </c>
      <c r="C53" s="35" t="str">
        <f>IF(B53="","",INDEX(DM_NL!$B$5:$B$304,MATCH(B53,DM_NL!$A$5:$A$304,0)))</f>
        <v/>
      </c>
      <c r="D53" s="35" t="str">
        <f>IF(B53="","",INDEX(DM_NL!$C$5:$C$304,MATCH(B53,DM_NL!$A$5:$A$304,0)))</f>
        <v/>
      </c>
      <c r="E53" s="39" t="str">
        <f>IF($B53="","",SUMIFS(Kho_NL!$B$5:$B$304,Kho_NL!$A$5:$A$304,$B53))</f>
        <v/>
      </c>
      <c r="F53" s="39" t="str">
        <f>IF($B53="","",SUMIFS(Kho_NL!$C$5:$C$304,Kho_NL!$A$5:$A$304,$B53))</f>
        <v/>
      </c>
      <c r="G53" s="39" t="str">
        <f>IF($B53="","",SUMIFS(Kho_NL!$D$5:$D$304,Kho_NL!$A$5:$A$304,$B53))</f>
        <v/>
      </c>
      <c r="H53" s="39" t="str">
        <f>IF($B53="","",SUMIFS(Kho_NL!$E$5:$E$304,Kho_NL!$A$5:$A$304,$B53))</f>
        <v/>
      </c>
      <c r="I53" s="39" t="str">
        <f>IF($B53="","",SUMIFS(Kho_NL!$F$5:$F$304,Kho_NL!$A$5:$A$304,$B53))</f>
        <v/>
      </c>
      <c r="J53" s="39" t="str">
        <f>IF($B53="","",SUMIFS(Kho_NL!$G$5:$G$304,Kho_NL!$A$5:$A$304,$B53))</f>
        <v/>
      </c>
      <c r="K53" s="39" t="str">
        <f t="shared" si="1"/>
        <v/>
      </c>
      <c r="L53" s="31" t="str">
        <f>IF($B53="","",IFERROR(INDEX(Kho_NL!$I$5:$I$304,MATCH(B53,Kho_NL!$A$5:$A$304,0))&amp;"",""))</f>
        <v/>
      </c>
      <c r="M53" s="44" t="str">
        <f>IF($B53="","",SUMIFS(Kho_NL!$H$5:$H$304,Kho_NL!$A$5:$A$304,$B53))</f>
        <v/>
      </c>
      <c r="N53" s="44" t="str">
        <f t="shared" si="2"/>
        <v/>
      </c>
      <c r="O53" s="45" t="str">
        <f t="shared" si="3"/>
        <v/>
      </c>
      <c r="P53" s="44" t="str">
        <f>IF($B53="","",SUMIFS(TK_Nhap!$E$5:$E$1004,TK_Nhap!$D$5:$D$1004,$B53,TK_Nhap!$H$5:$H$1004,1))</f>
        <v/>
      </c>
      <c r="Q53" s="44" t="str">
        <f t="shared" si="4"/>
        <v/>
      </c>
    </row>
    <row r="54" spans="1:17" x14ac:dyDescent="0.25">
      <c r="A54" s="36" t="str">
        <f t="shared" si="0"/>
        <v/>
      </c>
      <c r="B54" s="35" t="str">
        <f>IFERROR(INDEX(DM_NL!$A$5:$A$304,MATCH(ROW()-10,DM_NL!$G$5:$G$304,0)),"")</f>
        <v/>
      </c>
      <c r="C54" s="35" t="str">
        <f>IF(B54="","",INDEX(DM_NL!$B$5:$B$304,MATCH(B54,DM_NL!$A$5:$A$304,0)))</f>
        <v/>
      </c>
      <c r="D54" s="35" t="str">
        <f>IF(B54="","",INDEX(DM_NL!$C$5:$C$304,MATCH(B54,DM_NL!$A$5:$A$304,0)))</f>
        <v/>
      </c>
      <c r="E54" s="39" t="str">
        <f>IF($B54="","",SUMIFS(Kho_NL!$B$5:$B$304,Kho_NL!$A$5:$A$304,$B54))</f>
        <v/>
      </c>
      <c r="F54" s="39" t="str">
        <f>IF($B54="","",SUMIFS(Kho_NL!$C$5:$C$304,Kho_NL!$A$5:$A$304,$B54))</f>
        <v/>
      </c>
      <c r="G54" s="39" t="str">
        <f>IF($B54="","",SUMIFS(Kho_NL!$D$5:$D$304,Kho_NL!$A$5:$A$304,$B54))</f>
        <v/>
      </c>
      <c r="H54" s="39" t="str">
        <f>IF($B54="","",SUMIFS(Kho_NL!$E$5:$E$304,Kho_NL!$A$5:$A$304,$B54))</f>
        <v/>
      </c>
      <c r="I54" s="39" t="str">
        <f>IF($B54="","",SUMIFS(Kho_NL!$F$5:$F$304,Kho_NL!$A$5:$A$304,$B54))</f>
        <v/>
      </c>
      <c r="J54" s="39" t="str">
        <f>IF($B54="","",SUMIFS(Kho_NL!$G$5:$G$304,Kho_NL!$A$5:$A$304,$B54))</f>
        <v/>
      </c>
      <c r="K54" s="39" t="str">
        <f t="shared" si="1"/>
        <v/>
      </c>
      <c r="L54" s="31" t="str">
        <f>IF($B54="","",IFERROR(INDEX(Kho_NL!$I$5:$I$304,MATCH(B54,Kho_NL!$A$5:$A$304,0))&amp;"",""))</f>
        <v/>
      </c>
      <c r="M54" s="44" t="str">
        <f>IF($B54="","",SUMIFS(Kho_NL!$H$5:$H$304,Kho_NL!$A$5:$A$304,$B54))</f>
        <v/>
      </c>
      <c r="N54" s="44" t="str">
        <f t="shared" si="2"/>
        <v/>
      </c>
      <c r="O54" s="45" t="str">
        <f t="shared" si="3"/>
        <v/>
      </c>
      <c r="P54" s="44" t="str">
        <f>IF($B54="","",SUMIFS(TK_Nhap!$E$5:$E$1004,TK_Nhap!$D$5:$D$1004,$B54,TK_Nhap!$H$5:$H$1004,1))</f>
        <v/>
      </c>
      <c r="Q54" s="44" t="str">
        <f t="shared" si="4"/>
        <v/>
      </c>
    </row>
    <row r="55" spans="1:17" x14ac:dyDescent="0.25">
      <c r="A55" s="36" t="str">
        <f t="shared" si="0"/>
        <v/>
      </c>
      <c r="B55" s="35" t="str">
        <f>IFERROR(INDEX(DM_NL!$A$5:$A$304,MATCH(ROW()-10,DM_NL!$G$5:$G$304,0)),"")</f>
        <v/>
      </c>
      <c r="C55" s="35" t="str">
        <f>IF(B55="","",INDEX(DM_NL!$B$5:$B$304,MATCH(B55,DM_NL!$A$5:$A$304,0)))</f>
        <v/>
      </c>
      <c r="D55" s="35" t="str">
        <f>IF(B55="","",INDEX(DM_NL!$C$5:$C$304,MATCH(B55,DM_NL!$A$5:$A$304,0)))</f>
        <v/>
      </c>
      <c r="E55" s="39" t="str">
        <f>IF($B55="","",SUMIFS(Kho_NL!$B$5:$B$304,Kho_NL!$A$5:$A$304,$B55))</f>
        <v/>
      </c>
      <c r="F55" s="39" t="str">
        <f>IF($B55="","",SUMIFS(Kho_NL!$C$5:$C$304,Kho_NL!$A$5:$A$304,$B55))</f>
        <v/>
      </c>
      <c r="G55" s="39" t="str">
        <f>IF($B55="","",SUMIFS(Kho_NL!$D$5:$D$304,Kho_NL!$A$5:$A$304,$B55))</f>
        <v/>
      </c>
      <c r="H55" s="39" t="str">
        <f>IF($B55="","",SUMIFS(Kho_NL!$E$5:$E$304,Kho_NL!$A$5:$A$304,$B55))</f>
        <v/>
      </c>
      <c r="I55" s="39" t="str">
        <f>IF($B55="","",SUMIFS(Kho_NL!$F$5:$F$304,Kho_NL!$A$5:$A$304,$B55))</f>
        <v/>
      </c>
      <c r="J55" s="39" t="str">
        <f>IF($B55="","",SUMIFS(Kho_NL!$G$5:$G$304,Kho_NL!$A$5:$A$304,$B55))</f>
        <v/>
      </c>
      <c r="K55" s="39" t="str">
        <f t="shared" si="1"/>
        <v/>
      </c>
      <c r="L55" s="31" t="str">
        <f>IF($B55="","",IFERROR(INDEX(Kho_NL!$I$5:$I$304,MATCH(B55,Kho_NL!$A$5:$A$304,0))&amp;"",""))</f>
        <v/>
      </c>
      <c r="M55" s="44" t="str">
        <f>IF($B55="","",SUMIFS(Kho_NL!$H$5:$H$304,Kho_NL!$A$5:$A$304,$B55))</f>
        <v/>
      </c>
      <c r="N55" s="44" t="str">
        <f t="shared" si="2"/>
        <v/>
      </c>
      <c r="O55" s="45" t="str">
        <f t="shared" si="3"/>
        <v/>
      </c>
      <c r="P55" s="44" t="str">
        <f>IF($B55="","",SUMIFS(TK_Nhap!$E$5:$E$1004,TK_Nhap!$D$5:$D$1004,$B55,TK_Nhap!$H$5:$H$1004,1))</f>
        <v/>
      </c>
      <c r="Q55" s="44" t="str">
        <f t="shared" si="4"/>
        <v/>
      </c>
    </row>
    <row r="56" spans="1:17" x14ac:dyDescent="0.25">
      <c r="A56" s="36" t="str">
        <f t="shared" si="0"/>
        <v/>
      </c>
      <c r="B56" s="35" t="str">
        <f>IFERROR(INDEX(DM_NL!$A$5:$A$304,MATCH(ROW()-10,DM_NL!$G$5:$G$304,0)),"")</f>
        <v/>
      </c>
      <c r="C56" s="35" t="str">
        <f>IF(B56="","",INDEX(DM_NL!$B$5:$B$304,MATCH(B56,DM_NL!$A$5:$A$304,0)))</f>
        <v/>
      </c>
      <c r="D56" s="35" t="str">
        <f>IF(B56="","",INDEX(DM_NL!$C$5:$C$304,MATCH(B56,DM_NL!$A$5:$A$304,0)))</f>
        <v/>
      </c>
      <c r="E56" s="39" t="str">
        <f>IF($B56="","",SUMIFS(Kho_NL!$B$5:$B$304,Kho_NL!$A$5:$A$304,$B56))</f>
        <v/>
      </c>
      <c r="F56" s="39" t="str">
        <f>IF($B56="","",SUMIFS(Kho_NL!$C$5:$C$304,Kho_NL!$A$5:$A$304,$B56))</f>
        <v/>
      </c>
      <c r="G56" s="39" t="str">
        <f>IF($B56="","",SUMIFS(Kho_NL!$D$5:$D$304,Kho_NL!$A$5:$A$304,$B56))</f>
        <v/>
      </c>
      <c r="H56" s="39" t="str">
        <f>IF($B56="","",SUMIFS(Kho_NL!$E$5:$E$304,Kho_NL!$A$5:$A$304,$B56))</f>
        <v/>
      </c>
      <c r="I56" s="39" t="str">
        <f>IF($B56="","",SUMIFS(Kho_NL!$F$5:$F$304,Kho_NL!$A$5:$A$304,$B56))</f>
        <v/>
      </c>
      <c r="J56" s="39" t="str">
        <f>IF($B56="","",SUMIFS(Kho_NL!$G$5:$G$304,Kho_NL!$A$5:$A$304,$B56))</f>
        <v/>
      </c>
      <c r="K56" s="39" t="str">
        <f t="shared" si="1"/>
        <v/>
      </c>
      <c r="L56" s="31" t="str">
        <f>IF($B56="","",IFERROR(INDEX(Kho_NL!$I$5:$I$304,MATCH(B56,Kho_NL!$A$5:$A$304,0))&amp;"",""))</f>
        <v/>
      </c>
      <c r="M56" s="44" t="str">
        <f>IF($B56="","",SUMIFS(Kho_NL!$H$5:$H$304,Kho_NL!$A$5:$A$304,$B56))</f>
        <v/>
      </c>
      <c r="N56" s="44" t="str">
        <f t="shared" si="2"/>
        <v/>
      </c>
      <c r="O56" s="45" t="str">
        <f t="shared" si="3"/>
        <v/>
      </c>
      <c r="P56" s="44" t="str">
        <f>IF($B56="","",SUMIFS(TK_Nhap!$E$5:$E$1004,TK_Nhap!$D$5:$D$1004,$B56,TK_Nhap!$H$5:$H$1004,1))</f>
        <v/>
      </c>
      <c r="Q56" s="44" t="str">
        <f t="shared" si="4"/>
        <v/>
      </c>
    </row>
    <row r="57" spans="1:17" x14ac:dyDescent="0.25">
      <c r="A57" s="36" t="str">
        <f t="shared" si="0"/>
        <v/>
      </c>
      <c r="B57" s="35" t="str">
        <f>IFERROR(INDEX(DM_NL!$A$5:$A$304,MATCH(ROW()-10,DM_NL!$G$5:$G$304,0)),"")</f>
        <v/>
      </c>
      <c r="C57" s="35" t="str">
        <f>IF(B57="","",INDEX(DM_NL!$B$5:$B$304,MATCH(B57,DM_NL!$A$5:$A$304,0)))</f>
        <v/>
      </c>
      <c r="D57" s="35" t="str">
        <f>IF(B57="","",INDEX(DM_NL!$C$5:$C$304,MATCH(B57,DM_NL!$A$5:$A$304,0)))</f>
        <v/>
      </c>
      <c r="E57" s="39" t="str">
        <f>IF($B57="","",SUMIFS(Kho_NL!$B$5:$B$304,Kho_NL!$A$5:$A$304,$B57))</f>
        <v/>
      </c>
      <c r="F57" s="39" t="str">
        <f>IF($B57="","",SUMIFS(Kho_NL!$C$5:$C$304,Kho_NL!$A$5:$A$304,$B57))</f>
        <v/>
      </c>
      <c r="G57" s="39" t="str">
        <f>IF($B57="","",SUMIFS(Kho_NL!$D$5:$D$304,Kho_NL!$A$5:$A$304,$B57))</f>
        <v/>
      </c>
      <c r="H57" s="39" t="str">
        <f>IF($B57="","",SUMIFS(Kho_NL!$E$5:$E$304,Kho_NL!$A$5:$A$304,$B57))</f>
        <v/>
      </c>
      <c r="I57" s="39" t="str">
        <f>IF($B57="","",SUMIFS(Kho_NL!$F$5:$F$304,Kho_NL!$A$5:$A$304,$B57))</f>
        <v/>
      </c>
      <c r="J57" s="39" t="str">
        <f>IF($B57="","",SUMIFS(Kho_NL!$G$5:$G$304,Kho_NL!$A$5:$A$304,$B57))</f>
        <v/>
      </c>
      <c r="K57" s="39" t="str">
        <f t="shared" si="1"/>
        <v/>
      </c>
      <c r="L57" s="31" t="str">
        <f>IF($B57="","",IFERROR(INDEX(Kho_NL!$I$5:$I$304,MATCH(B57,Kho_NL!$A$5:$A$304,0))&amp;"",""))</f>
        <v/>
      </c>
      <c r="M57" s="44" t="str">
        <f>IF($B57="","",SUMIFS(Kho_NL!$H$5:$H$304,Kho_NL!$A$5:$A$304,$B57))</f>
        <v/>
      </c>
      <c r="N57" s="44" t="str">
        <f t="shared" si="2"/>
        <v/>
      </c>
      <c r="O57" s="45" t="str">
        <f t="shared" si="3"/>
        <v/>
      </c>
      <c r="P57" s="44" t="str">
        <f>IF($B57="","",SUMIFS(TK_Nhap!$E$5:$E$1004,TK_Nhap!$D$5:$D$1004,$B57,TK_Nhap!$H$5:$H$1004,1))</f>
        <v/>
      </c>
      <c r="Q57" s="44" t="str">
        <f t="shared" si="4"/>
        <v/>
      </c>
    </row>
    <row r="58" spans="1:17" x14ac:dyDescent="0.25">
      <c r="A58" s="36" t="str">
        <f t="shared" si="0"/>
        <v/>
      </c>
      <c r="B58" s="35" t="str">
        <f>IFERROR(INDEX(DM_NL!$A$5:$A$304,MATCH(ROW()-10,DM_NL!$G$5:$G$304,0)),"")</f>
        <v/>
      </c>
      <c r="C58" s="35" t="str">
        <f>IF(B58="","",INDEX(DM_NL!$B$5:$B$304,MATCH(B58,DM_NL!$A$5:$A$304,0)))</f>
        <v/>
      </c>
      <c r="D58" s="35" t="str">
        <f>IF(B58="","",INDEX(DM_NL!$C$5:$C$304,MATCH(B58,DM_NL!$A$5:$A$304,0)))</f>
        <v/>
      </c>
      <c r="E58" s="39" t="str">
        <f>IF($B58="","",SUMIFS(Kho_NL!$B$5:$B$304,Kho_NL!$A$5:$A$304,$B58))</f>
        <v/>
      </c>
      <c r="F58" s="39" t="str">
        <f>IF($B58="","",SUMIFS(Kho_NL!$C$5:$C$304,Kho_NL!$A$5:$A$304,$B58))</f>
        <v/>
      </c>
      <c r="G58" s="39" t="str">
        <f>IF($B58="","",SUMIFS(Kho_NL!$D$5:$D$304,Kho_NL!$A$5:$A$304,$B58))</f>
        <v/>
      </c>
      <c r="H58" s="39" t="str">
        <f>IF($B58="","",SUMIFS(Kho_NL!$E$5:$E$304,Kho_NL!$A$5:$A$304,$B58))</f>
        <v/>
      </c>
      <c r="I58" s="39" t="str">
        <f>IF($B58="","",SUMIFS(Kho_NL!$F$5:$F$304,Kho_NL!$A$5:$A$304,$B58))</f>
        <v/>
      </c>
      <c r="J58" s="39" t="str">
        <f>IF($B58="","",SUMIFS(Kho_NL!$G$5:$G$304,Kho_NL!$A$5:$A$304,$B58))</f>
        <v/>
      </c>
      <c r="K58" s="39" t="str">
        <f t="shared" si="1"/>
        <v/>
      </c>
      <c r="L58" s="31" t="str">
        <f>IF($B58="","",IFERROR(INDEX(Kho_NL!$I$5:$I$304,MATCH(B58,Kho_NL!$A$5:$A$304,0))&amp;"",""))</f>
        <v/>
      </c>
      <c r="M58" s="44" t="str">
        <f>IF($B58="","",SUMIFS(Kho_NL!$H$5:$H$304,Kho_NL!$A$5:$A$304,$B58))</f>
        <v/>
      </c>
      <c r="N58" s="44" t="str">
        <f t="shared" si="2"/>
        <v/>
      </c>
      <c r="O58" s="45" t="str">
        <f t="shared" si="3"/>
        <v/>
      </c>
      <c r="P58" s="44" t="str">
        <f>IF($B58="","",SUMIFS(TK_Nhap!$E$5:$E$1004,TK_Nhap!$D$5:$D$1004,$B58,TK_Nhap!$H$5:$H$1004,1))</f>
        <v/>
      </c>
      <c r="Q58" s="44" t="str">
        <f t="shared" si="4"/>
        <v/>
      </c>
    </row>
    <row r="59" spans="1:17" x14ac:dyDescent="0.25">
      <c r="A59" s="36" t="str">
        <f t="shared" si="0"/>
        <v/>
      </c>
      <c r="B59" s="35" t="str">
        <f>IFERROR(INDEX(DM_NL!$A$5:$A$304,MATCH(ROW()-10,DM_NL!$G$5:$G$304,0)),"")</f>
        <v/>
      </c>
      <c r="C59" s="35" t="str">
        <f>IF(B59="","",INDEX(DM_NL!$B$5:$B$304,MATCH(B59,DM_NL!$A$5:$A$304,0)))</f>
        <v/>
      </c>
      <c r="D59" s="35" t="str">
        <f>IF(B59="","",INDEX(DM_NL!$C$5:$C$304,MATCH(B59,DM_NL!$A$5:$A$304,0)))</f>
        <v/>
      </c>
      <c r="E59" s="39" t="str">
        <f>IF($B59="","",SUMIFS(Kho_NL!$B$5:$B$304,Kho_NL!$A$5:$A$304,$B59))</f>
        <v/>
      </c>
      <c r="F59" s="39" t="str">
        <f>IF($B59="","",SUMIFS(Kho_NL!$C$5:$C$304,Kho_NL!$A$5:$A$304,$B59))</f>
        <v/>
      </c>
      <c r="G59" s="39" t="str">
        <f>IF($B59="","",SUMIFS(Kho_NL!$D$5:$D$304,Kho_NL!$A$5:$A$304,$B59))</f>
        <v/>
      </c>
      <c r="H59" s="39" t="str">
        <f>IF($B59="","",SUMIFS(Kho_NL!$E$5:$E$304,Kho_NL!$A$5:$A$304,$B59))</f>
        <v/>
      </c>
      <c r="I59" s="39" t="str">
        <f>IF($B59="","",SUMIFS(Kho_NL!$F$5:$F$304,Kho_NL!$A$5:$A$304,$B59))</f>
        <v/>
      </c>
      <c r="J59" s="39" t="str">
        <f>IF($B59="","",SUMIFS(Kho_NL!$G$5:$G$304,Kho_NL!$A$5:$A$304,$B59))</f>
        <v/>
      </c>
      <c r="K59" s="39" t="str">
        <f t="shared" si="1"/>
        <v/>
      </c>
      <c r="L59" s="31" t="str">
        <f>IF($B59="","",IFERROR(INDEX(Kho_NL!$I$5:$I$304,MATCH(B59,Kho_NL!$A$5:$A$304,0))&amp;"",""))</f>
        <v/>
      </c>
      <c r="M59" s="44" t="str">
        <f>IF($B59="","",SUMIFS(Kho_NL!$H$5:$H$304,Kho_NL!$A$5:$A$304,$B59))</f>
        <v/>
      </c>
      <c r="N59" s="44" t="str">
        <f t="shared" si="2"/>
        <v/>
      </c>
      <c r="O59" s="45" t="str">
        <f t="shared" si="3"/>
        <v/>
      </c>
      <c r="P59" s="44" t="str">
        <f>IF($B59="","",SUMIFS(TK_Nhap!$E$5:$E$1004,TK_Nhap!$D$5:$D$1004,$B59,TK_Nhap!$H$5:$H$1004,1))</f>
        <v/>
      </c>
      <c r="Q59" s="44" t="str">
        <f t="shared" si="4"/>
        <v/>
      </c>
    </row>
    <row r="60" spans="1:17" x14ac:dyDescent="0.25">
      <c r="A60" s="36" t="str">
        <f t="shared" si="0"/>
        <v/>
      </c>
      <c r="B60" s="35" t="str">
        <f>IFERROR(INDEX(DM_NL!$A$5:$A$304,MATCH(ROW()-10,DM_NL!$G$5:$G$304,0)),"")</f>
        <v/>
      </c>
      <c r="C60" s="35" t="str">
        <f>IF(B60="","",INDEX(DM_NL!$B$5:$B$304,MATCH(B60,DM_NL!$A$5:$A$304,0)))</f>
        <v/>
      </c>
      <c r="D60" s="35" t="str">
        <f>IF(B60="","",INDEX(DM_NL!$C$5:$C$304,MATCH(B60,DM_NL!$A$5:$A$304,0)))</f>
        <v/>
      </c>
      <c r="E60" s="39" t="str">
        <f>IF($B60="","",SUMIFS(Kho_NL!$B$5:$B$304,Kho_NL!$A$5:$A$304,$B60))</f>
        <v/>
      </c>
      <c r="F60" s="39" t="str">
        <f>IF($B60="","",SUMIFS(Kho_NL!$C$5:$C$304,Kho_NL!$A$5:$A$304,$B60))</f>
        <v/>
      </c>
      <c r="G60" s="39" t="str">
        <f>IF($B60="","",SUMIFS(Kho_NL!$D$5:$D$304,Kho_NL!$A$5:$A$304,$B60))</f>
        <v/>
      </c>
      <c r="H60" s="39" t="str">
        <f>IF($B60="","",SUMIFS(Kho_NL!$E$5:$E$304,Kho_NL!$A$5:$A$304,$B60))</f>
        <v/>
      </c>
      <c r="I60" s="39" t="str">
        <f>IF($B60="","",SUMIFS(Kho_NL!$F$5:$F$304,Kho_NL!$A$5:$A$304,$B60))</f>
        <v/>
      </c>
      <c r="J60" s="39" t="str">
        <f>IF($B60="","",SUMIFS(Kho_NL!$G$5:$G$304,Kho_NL!$A$5:$A$304,$B60))</f>
        <v/>
      </c>
      <c r="K60" s="39" t="str">
        <f t="shared" si="1"/>
        <v/>
      </c>
      <c r="L60" s="31" t="str">
        <f>IF($B60="","",IFERROR(INDEX(Kho_NL!$I$5:$I$304,MATCH(B60,Kho_NL!$A$5:$A$304,0))&amp;"",""))</f>
        <v/>
      </c>
      <c r="M60" s="44" t="str">
        <f>IF($B60="","",SUMIFS(Kho_NL!$H$5:$H$304,Kho_NL!$A$5:$A$304,$B60))</f>
        <v/>
      </c>
      <c r="N60" s="44" t="str">
        <f t="shared" si="2"/>
        <v/>
      </c>
      <c r="O60" s="45" t="str">
        <f t="shared" si="3"/>
        <v/>
      </c>
      <c r="P60" s="44" t="str">
        <f>IF($B60="","",SUMIFS(TK_Nhap!$E$5:$E$1004,TK_Nhap!$D$5:$D$1004,$B60,TK_Nhap!$H$5:$H$1004,1))</f>
        <v/>
      </c>
      <c r="Q60" s="44" t="str">
        <f t="shared" si="4"/>
        <v/>
      </c>
    </row>
    <row r="61" spans="1:17" x14ac:dyDescent="0.25">
      <c r="A61" s="36" t="str">
        <f t="shared" si="0"/>
        <v/>
      </c>
      <c r="B61" s="35" t="str">
        <f>IFERROR(INDEX(DM_NL!$A$5:$A$304,MATCH(ROW()-10,DM_NL!$G$5:$G$304,0)),"")</f>
        <v/>
      </c>
      <c r="C61" s="35" t="str">
        <f>IF(B61="","",INDEX(DM_NL!$B$5:$B$304,MATCH(B61,DM_NL!$A$5:$A$304,0)))</f>
        <v/>
      </c>
      <c r="D61" s="35" t="str">
        <f>IF(B61="","",INDEX(DM_NL!$C$5:$C$304,MATCH(B61,DM_NL!$A$5:$A$304,0)))</f>
        <v/>
      </c>
      <c r="E61" s="39" t="str">
        <f>IF($B61="","",SUMIFS(Kho_NL!$B$5:$B$304,Kho_NL!$A$5:$A$304,$B61))</f>
        <v/>
      </c>
      <c r="F61" s="39" t="str">
        <f>IF($B61="","",SUMIFS(Kho_NL!$C$5:$C$304,Kho_NL!$A$5:$A$304,$B61))</f>
        <v/>
      </c>
      <c r="G61" s="39" t="str">
        <f>IF($B61="","",SUMIFS(Kho_NL!$D$5:$D$304,Kho_NL!$A$5:$A$304,$B61))</f>
        <v/>
      </c>
      <c r="H61" s="39" t="str">
        <f>IF($B61="","",SUMIFS(Kho_NL!$E$5:$E$304,Kho_NL!$A$5:$A$304,$B61))</f>
        <v/>
      </c>
      <c r="I61" s="39" t="str">
        <f>IF($B61="","",SUMIFS(Kho_NL!$F$5:$F$304,Kho_NL!$A$5:$A$304,$B61))</f>
        <v/>
      </c>
      <c r="J61" s="39" t="str">
        <f>IF($B61="","",SUMIFS(Kho_NL!$G$5:$G$304,Kho_NL!$A$5:$A$304,$B61))</f>
        <v/>
      </c>
      <c r="K61" s="39" t="str">
        <f t="shared" si="1"/>
        <v/>
      </c>
      <c r="L61" s="31" t="str">
        <f>IF($B61="","",IFERROR(INDEX(Kho_NL!$I$5:$I$304,MATCH(B61,Kho_NL!$A$5:$A$304,0))&amp;"",""))</f>
        <v/>
      </c>
      <c r="M61" s="44" t="str">
        <f>IF($B61="","",SUMIFS(Kho_NL!$H$5:$H$304,Kho_NL!$A$5:$A$304,$B61))</f>
        <v/>
      </c>
      <c r="N61" s="44" t="str">
        <f t="shared" si="2"/>
        <v/>
      </c>
      <c r="O61" s="45" t="str">
        <f t="shared" si="3"/>
        <v/>
      </c>
      <c r="P61" s="44" t="str">
        <f>IF($B61="","",SUMIFS(TK_Nhap!$E$5:$E$1004,TK_Nhap!$D$5:$D$1004,$B61,TK_Nhap!$H$5:$H$1004,1))</f>
        <v/>
      </c>
      <c r="Q61" s="44" t="str">
        <f t="shared" si="4"/>
        <v/>
      </c>
    </row>
    <row r="62" spans="1:17" x14ac:dyDescent="0.25">
      <c r="A62" s="36" t="str">
        <f t="shared" si="0"/>
        <v/>
      </c>
      <c r="B62" s="35" t="str">
        <f>IFERROR(INDEX(DM_NL!$A$5:$A$304,MATCH(ROW()-10,DM_NL!$G$5:$G$304,0)),"")</f>
        <v/>
      </c>
      <c r="C62" s="35" t="str">
        <f>IF(B62="","",INDEX(DM_NL!$B$5:$B$304,MATCH(B62,DM_NL!$A$5:$A$304,0)))</f>
        <v/>
      </c>
      <c r="D62" s="35" t="str">
        <f>IF(B62="","",INDEX(DM_NL!$C$5:$C$304,MATCH(B62,DM_NL!$A$5:$A$304,0)))</f>
        <v/>
      </c>
      <c r="E62" s="39" t="str">
        <f>IF($B62="","",SUMIFS(Kho_NL!$B$5:$B$304,Kho_NL!$A$5:$A$304,$B62))</f>
        <v/>
      </c>
      <c r="F62" s="39" t="str">
        <f>IF($B62="","",SUMIFS(Kho_NL!$C$5:$C$304,Kho_NL!$A$5:$A$304,$B62))</f>
        <v/>
      </c>
      <c r="G62" s="39" t="str">
        <f>IF($B62="","",SUMIFS(Kho_NL!$D$5:$D$304,Kho_NL!$A$5:$A$304,$B62))</f>
        <v/>
      </c>
      <c r="H62" s="39" t="str">
        <f>IF($B62="","",SUMIFS(Kho_NL!$E$5:$E$304,Kho_NL!$A$5:$A$304,$B62))</f>
        <v/>
      </c>
      <c r="I62" s="39" t="str">
        <f>IF($B62="","",SUMIFS(Kho_NL!$F$5:$F$304,Kho_NL!$A$5:$A$304,$B62))</f>
        <v/>
      </c>
      <c r="J62" s="39" t="str">
        <f>IF($B62="","",SUMIFS(Kho_NL!$G$5:$G$304,Kho_NL!$A$5:$A$304,$B62))</f>
        <v/>
      </c>
      <c r="K62" s="39" t="str">
        <f t="shared" si="1"/>
        <v/>
      </c>
      <c r="L62" s="31" t="str">
        <f>IF($B62="","",IFERROR(INDEX(Kho_NL!$I$5:$I$304,MATCH(B62,Kho_NL!$A$5:$A$304,0))&amp;"",""))</f>
        <v/>
      </c>
      <c r="M62" s="44" t="str">
        <f>IF($B62="","",SUMIFS(Kho_NL!$H$5:$H$304,Kho_NL!$A$5:$A$304,$B62))</f>
        <v/>
      </c>
      <c r="N62" s="44" t="str">
        <f t="shared" si="2"/>
        <v/>
      </c>
      <c r="O62" s="45" t="str">
        <f t="shared" si="3"/>
        <v/>
      </c>
      <c r="P62" s="44" t="str">
        <f>IF($B62="","",SUMIFS(TK_Nhap!$E$5:$E$1004,TK_Nhap!$D$5:$D$1004,$B62,TK_Nhap!$H$5:$H$1004,1))</f>
        <v/>
      </c>
      <c r="Q62" s="44" t="str">
        <f t="shared" si="4"/>
        <v/>
      </c>
    </row>
    <row r="63" spans="1:17" x14ac:dyDescent="0.25">
      <c r="A63" s="36" t="str">
        <f t="shared" si="0"/>
        <v/>
      </c>
      <c r="B63" s="35" t="str">
        <f>IFERROR(INDEX(DM_NL!$A$5:$A$304,MATCH(ROW()-10,DM_NL!$G$5:$G$304,0)),"")</f>
        <v/>
      </c>
      <c r="C63" s="35" t="str">
        <f>IF(B63="","",INDEX(DM_NL!$B$5:$B$304,MATCH(B63,DM_NL!$A$5:$A$304,0)))</f>
        <v/>
      </c>
      <c r="D63" s="35" t="str">
        <f>IF(B63="","",INDEX(DM_NL!$C$5:$C$304,MATCH(B63,DM_NL!$A$5:$A$304,0)))</f>
        <v/>
      </c>
      <c r="E63" s="39" t="str">
        <f>IF($B63="","",SUMIFS(Kho_NL!$B$5:$B$304,Kho_NL!$A$5:$A$304,$B63))</f>
        <v/>
      </c>
      <c r="F63" s="39" t="str">
        <f>IF($B63="","",SUMIFS(Kho_NL!$C$5:$C$304,Kho_NL!$A$5:$A$304,$B63))</f>
        <v/>
      </c>
      <c r="G63" s="39" t="str">
        <f>IF($B63="","",SUMIFS(Kho_NL!$D$5:$D$304,Kho_NL!$A$5:$A$304,$B63))</f>
        <v/>
      </c>
      <c r="H63" s="39" t="str">
        <f>IF($B63="","",SUMIFS(Kho_NL!$E$5:$E$304,Kho_NL!$A$5:$A$304,$B63))</f>
        <v/>
      </c>
      <c r="I63" s="39" t="str">
        <f>IF($B63="","",SUMIFS(Kho_NL!$F$5:$F$304,Kho_NL!$A$5:$A$304,$B63))</f>
        <v/>
      </c>
      <c r="J63" s="39" t="str">
        <f>IF($B63="","",SUMIFS(Kho_NL!$G$5:$G$304,Kho_NL!$A$5:$A$304,$B63))</f>
        <v/>
      </c>
      <c r="K63" s="39" t="str">
        <f t="shared" si="1"/>
        <v/>
      </c>
      <c r="L63" s="31" t="str">
        <f>IF($B63="","",IFERROR(INDEX(Kho_NL!$I$5:$I$304,MATCH(B63,Kho_NL!$A$5:$A$304,0))&amp;"",""))</f>
        <v/>
      </c>
      <c r="M63" s="44" t="str">
        <f>IF($B63="","",SUMIFS(Kho_NL!$H$5:$H$304,Kho_NL!$A$5:$A$304,$B63))</f>
        <v/>
      </c>
      <c r="N63" s="44" t="str">
        <f t="shared" si="2"/>
        <v/>
      </c>
      <c r="O63" s="45" t="str">
        <f t="shared" si="3"/>
        <v/>
      </c>
      <c r="P63" s="44" t="str">
        <f>IF($B63="","",SUMIFS(TK_Nhap!$E$5:$E$1004,TK_Nhap!$D$5:$D$1004,$B63,TK_Nhap!$H$5:$H$1004,1))</f>
        <v/>
      </c>
      <c r="Q63" s="44" t="str">
        <f t="shared" si="4"/>
        <v/>
      </c>
    </row>
    <row r="64" spans="1:17" x14ac:dyDescent="0.25">
      <c r="A64" s="36" t="str">
        <f t="shared" si="0"/>
        <v/>
      </c>
      <c r="B64" s="35" t="str">
        <f>IFERROR(INDEX(DM_NL!$A$5:$A$304,MATCH(ROW()-10,DM_NL!$G$5:$G$304,0)),"")</f>
        <v/>
      </c>
      <c r="C64" s="35" t="str">
        <f>IF(B64="","",INDEX(DM_NL!$B$5:$B$304,MATCH(B64,DM_NL!$A$5:$A$304,0)))</f>
        <v/>
      </c>
      <c r="D64" s="35" t="str">
        <f>IF(B64="","",INDEX(DM_NL!$C$5:$C$304,MATCH(B64,DM_NL!$A$5:$A$304,0)))</f>
        <v/>
      </c>
      <c r="E64" s="39" t="str">
        <f>IF($B64="","",SUMIFS(Kho_NL!$B$5:$B$304,Kho_NL!$A$5:$A$304,$B64))</f>
        <v/>
      </c>
      <c r="F64" s="39" t="str">
        <f>IF($B64="","",SUMIFS(Kho_NL!$C$5:$C$304,Kho_NL!$A$5:$A$304,$B64))</f>
        <v/>
      </c>
      <c r="G64" s="39" t="str">
        <f>IF($B64="","",SUMIFS(Kho_NL!$D$5:$D$304,Kho_NL!$A$5:$A$304,$B64))</f>
        <v/>
      </c>
      <c r="H64" s="39" t="str">
        <f>IF($B64="","",SUMIFS(Kho_NL!$E$5:$E$304,Kho_NL!$A$5:$A$304,$B64))</f>
        <v/>
      </c>
      <c r="I64" s="39" t="str">
        <f>IF($B64="","",SUMIFS(Kho_NL!$F$5:$F$304,Kho_NL!$A$5:$A$304,$B64))</f>
        <v/>
      </c>
      <c r="J64" s="39" t="str">
        <f>IF($B64="","",SUMIFS(Kho_NL!$G$5:$G$304,Kho_NL!$A$5:$A$304,$B64))</f>
        <v/>
      </c>
      <c r="K64" s="39" t="str">
        <f t="shared" si="1"/>
        <v/>
      </c>
      <c r="L64" s="31" t="str">
        <f>IF($B64="","",IFERROR(INDEX(Kho_NL!$I$5:$I$304,MATCH(B64,Kho_NL!$A$5:$A$304,0))&amp;"",""))</f>
        <v/>
      </c>
      <c r="M64" s="44" t="str">
        <f>IF($B64="","",SUMIFS(Kho_NL!$H$5:$H$304,Kho_NL!$A$5:$A$304,$B64))</f>
        <v/>
      </c>
      <c r="N64" s="44" t="str">
        <f t="shared" si="2"/>
        <v/>
      </c>
      <c r="O64" s="45" t="str">
        <f t="shared" si="3"/>
        <v/>
      </c>
      <c r="P64" s="44" t="str">
        <f>IF($B64="","",SUMIFS(TK_Nhap!$E$5:$E$1004,TK_Nhap!$D$5:$D$1004,$B64,TK_Nhap!$H$5:$H$1004,1))</f>
        <v/>
      </c>
      <c r="Q64" s="44" t="str">
        <f t="shared" si="4"/>
        <v/>
      </c>
    </row>
    <row r="65" spans="1:17" x14ac:dyDescent="0.25">
      <c r="A65" s="36" t="str">
        <f t="shared" si="0"/>
        <v/>
      </c>
      <c r="B65" s="35" t="str">
        <f>IFERROR(INDEX(DM_NL!$A$5:$A$304,MATCH(ROW()-10,DM_NL!$G$5:$G$304,0)),"")</f>
        <v/>
      </c>
      <c r="C65" s="35" t="str">
        <f>IF(B65="","",INDEX(DM_NL!$B$5:$B$304,MATCH(B65,DM_NL!$A$5:$A$304,0)))</f>
        <v/>
      </c>
      <c r="D65" s="35" t="str">
        <f>IF(B65="","",INDEX(DM_NL!$C$5:$C$304,MATCH(B65,DM_NL!$A$5:$A$304,0)))</f>
        <v/>
      </c>
      <c r="E65" s="39" t="str">
        <f>IF($B65="","",SUMIFS(Kho_NL!$B$5:$B$304,Kho_NL!$A$5:$A$304,$B65))</f>
        <v/>
      </c>
      <c r="F65" s="39" t="str">
        <f>IF($B65="","",SUMIFS(Kho_NL!$C$5:$C$304,Kho_NL!$A$5:$A$304,$B65))</f>
        <v/>
      </c>
      <c r="G65" s="39" t="str">
        <f>IF($B65="","",SUMIFS(Kho_NL!$D$5:$D$304,Kho_NL!$A$5:$A$304,$B65))</f>
        <v/>
      </c>
      <c r="H65" s="39" t="str">
        <f>IF($B65="","",SUMIFS(Kho_NL!$E$5:$E$304,Kho_NL!$A$5:$A$304,$B65))</f>
        <v/>
      </c>
      <c r="I65" s="39" t="str">
        <f>IF($B65="","",SUMIFS(Kho_NL!$F$5:$F$304,Kho_NL!$A$5:$A$304,$B65))</f>
        <v/>
      </c>
      <c r="J65" s="39" t="str">
        <f>IF($B65="","",SUMIFS(Kho_NL!$G$5:$G$304,Kho_NL!$A$5:$A$304,$B65))</f>
        <v/>
      </c>
      <c r="K65" s="39" t="str">
        <f t="shared" si="1"/>
        <v/>
      </c>
      <c r="L65" s="31" t="str">
        <f>IF($B65="","",IFERROR(INDEX(Kho_NL!$I$5:$I$304,MATCH(B65,Kho_NL!$A$5:$A$304,0))&amp;"",""))</f>
        <v/>
      </c>
      <c r="M65" s="44" t="str">
        <f>IF($B65="","",SUMIFS(Kho_NL!$H$5:$H$304,Kho_NL!$A$5:$A$304,$B65))</f>
        <v/>
      </c>
      <c r="N65" s="44" t="str">
        <f t="shared" si="2"/>
        <v/>
      </c>
      <c r="O65" s="45" t="str">
        <f t="shared" si="3"/>
        <v/>
      </c>
      <c r="P65" s="44" t="str">
        <f>IF($B65="","",SUMIFS(TK_Nhap!$E$5:$E$1004,TK_Nhap!$D$5:$D$1004,$B65,TK_Nhap!$H$5:$H$1004,1))</f>
        <v/>
      </c>
      <c r="Q65" s="44" t="str">
        <f t="shared" si="4"/>
        <v/>
      </c>
    </row>
    <row r="66" spans="1:17" x14ac:dyDescent="0.25">
      <c r="A66" s="36" t="str">
        <f t="shared" si="0"/>
        <v/>
      </c>
      <c r="B66" s="35" t="str">
        <f>IFERROR(INDEX(DM_NL!$A$5:$A$304,MATCH(ROW()-10,DM_NL!$G$5:$G$304,0)),"")</f>
        <v/>
      </c>
      <c r="C66" s="35" t="str">
        <f>IF(B66="","",INDEX(DM_NL!$B$5:$B$304,MATCH(B66,DM_NL!$A$5:$A$304,0)))</f>
        <v/>
      </c>
      <c r="D66" s="35" t="str">
        <f>IF(B66="","",INDEX(DM_NL!$C$5:$C$304,MATCH(B66,DM_NL!$A$5:$A$304,0)))</f>
        <v/>
      </c>
      <c r="E66" s="39" t="str">
        <f>IF($B66="","",SUMIFS(Kho_NL!$B$5:$B$304,Kho_NL!$A$5:$A$304,$B66))</f>
        <v/>
      </c>
      <c r="F66" s="39" t="str">
        <f>IF($B66="","",SUMIFS(Kho_NL!$C$5:$C$304,Kho_NL!$A$5:$A$304,$B66))</f>
        <v/>
      </c>
      <c r="G66" s="39" t="str">
        <f>IF($B66="","",SUMIFS(Kho_NL!$D$5:$D$304,Kho_NL!$A$5:$A$304,$B66))</f>
        <v/>
      </c>
      <c r="H66" s="39" t="str">
        <f>IF($B66="","",SUMIFS(Kho_NL!$E$5:$E$304,Kho_NL!$A$5:$A$304,$B66))</f>
        <v/>
      </c>
      <c r="I66" s="39" t="str">
        <f>IF($B66="","",SUMIFS(Kho_NL!$F$5:$F$304,Kho_NL!$A$5:$A$304,$B66))</f>
        <v/>
      </c>
      <c r="J66" s="39" t="str">
        <f>IF($B66="","",SUMIFS(Kho_NL!$G$5:$G$304,Kho_NL!$A$5:$A$304,$B66))</f>
        <v/>
      </c>
      <c r="K66" s="39" t="str">
        <f t="shared" si="1"/>
        <v/>
      </c>
      <c r="L66" s="31" t="str">
        <f>IF($B66="","",IFERROR(INDEX(Kho_NL!$I$5:$I$304,MATCH(B66,Kho_NL!$A$5:$A$304,0))&amp;"",""))</f>
        <v/>
      </c>
      <c r="M66" s="44" t="str">
        <f>IF($B66="","",SUMIFS(Kho_NL!$H$5:$H$304,Kho_NL!$A$5:$A$304,$B66))</f>
        <v/>
      </c>
      <c r="N66" s="44" t="str">
        <f t="shared" si="2"/>
        <v/>
      </c>
      <c r="O66" s="45" t="str">
        <f t="shared" si="3"/>
        <v/>
      </c>
      <c r="P66" s="44" t="str">
        <f>IF($B66="","",SUMIFS(TK_Nhap!$E$5:$E$1004,TK_Nhap!$D$5:$D$1004,$B66,TK_Nhap!$H$5:$H$1004,1))</f>
        <v/>
      </c>
      <c r="Q66" s="44" t="str">
        <f t="shared" si="4"/>
        <v/>
      </c>
    </row>
    <row r="67" spans="1:17" x14ac:dyDescent="0.25">
      <c r="A67" s="36" t="str">
        <f t="shared" si="0"/>
        <v/>
      </c>
      <c r="B67" s="35" t="str">
        <f>IFERROR(INDEX(DM_NL!$A$5:$A$304,MATCH(ROW()-10,DM_NL!$G$5:$G$304,0)),"")</f>
        <v/>
      </c>
      <c r="C67" s="35" t="str">
        <f>IF(B67="","",INDEX(DM_NL!$B$5:$B$304,MATCH(B67,DM_NL!$A$5:$A$304,0)))</f>
        <v/>
      </c>
      <c r="D67" s="35" t="str">
        <f>IF(B67="","",INDEX(DM_NL!$C$5:$C$304,MATCH(B67,DM_NL!$A$5:$A$304,0)))</f>
        <v/>
      </c>
      <c r="E67" s="39" t="str">
        <f>IF($B67="","",SUMIFS(Kho_NL!$B$5:$B$304,Kho_NL!$A$5:$A$304,$B67))</f>
        <v/>
      </c>
      <c r="F67" s="39" t="str">
        <f>IF($B67="","",SUMIFS(Kho_NL!$C$5:$C$304,Kho_NL!$A$5:$A$304,$B67))</f>
        <v/>
      </c>
      <c r="G67" s="39" t="str">
        <f>IF($B67="","",SUMIFS(Kho_NL!$D$5:$D$304,Kho_NL!$A$5:$A$304,$B67))</f>
        <v/>
      </c>
      <c r="H67" s="39" t="str">
        <f>IF($B67="","",SUMIFS(Kho_NL!$E$5:$E$304,Kho_NL!$A$5:$A$304,$B67))</f>
        <v/>
      </c>
      <c r="I67" s="39" t="str">
        <f>IF($B67="","",SUMIFS(Kho_NL!$F$5:$F$304,Kho_NL!$A$5:$A$304,$B67))</f>
        <v/>
      </c>
      <c r="J67" s="39" t="str">
        <f>IF($B67="","",SUMIFS(Kho_NL!$G$5:$G$304,Kho_NL!$A$5:$A$304,$B67))</f>
        <v/>
      </c>
      <c r="K67" s="39" t="str">
        <f t="shared" si="1"/>
        <v/>
      </c>
      <c r="L67" s="31" t="str">
        <f>IF($B67="","",IFERROR(INDEX(Kho_NL!$I$5:$I$304,MATCH(B67,Kho_NL!$A$5:$A$304,0))&amp;"",""))</f>
        <v/>
      </c>
      <c r="M67" s="44" t="str">
        <f>IF($B67="","",SUMIFS(Kho_NL!$H$5:$H$304,Kho_NL!$A$5:$A$304,$B67))</f>
        <v/>
      </c>
      <c r="N67" s="44" t="str">
        <f t="shared" si="2"/>
        <v/>
      </c>
      <c r="O67" s="45" t="str">
        <f t="shared" si="3"/>
        <v/>
      </c>
      <c r="P67" s="44" t="str">
        <f>IF($B67="","",SUMIFS(TK_Nhap!$E$5:$E$1004,TK_Nhap!$D$5:$D$1004,$B67,TK_Nhap!$H$5:$H$1004,1))</f>
        <v/>
      </c>
      <c r="Q67" s="44" t="str">
        <f t="shared" si="4"/>
        <v/>
      </c>
    </row>
    <row r="68" spans="1:17" x14ac:dyDescent="0.25">
      <c r="A68" s="36" t="str">
        <f t="shared" si="0"/>
        <v/>
      </c>
      <c r="B68" s="35" t="str">
        <f>IFERROR(INDEX(DM_NL!$A$5:$A$304,MATCH(ROW()-10,DM_NL!$G$5:$G$304,0)),"")</f>
        <v/>
      </c>
      <c r="C68" s="35" t="str">
        <f>IF(B68="","",INDEX(DM_NL!$B$5:$B$304,MATCH(B68,DM_NL!$A$5:$A$304,0)))</f>
        <v/>
      </c>
      <c r="D68" s="35" t="str">
        <f>IF(B68="","",INDEX(DM_NL!$C$5:$C$304,MATCH(B68,DM_NL!$A$5:$A$304,0)))</f>
        <v/>
      </c>
      <c r="E68" s="39" t="str">
        <f>IF($B68="","",SUMIFS(Kho_NL!$B$5:$B$304,Kho_NL!$A$5:$A$304,$B68))</f>
        <v/>
      </c>
      <c r="F68" s="39" t="str">
        <f>IF($B68="","",SUMIFS(Kho_NL!$C$5:$C$304,Kho_NL!$A$5:$A$304,$B68))</f>
        <v/>
      </c>
      <c r="G68" s="39" t="str">
        <f>IF($B68="","",SUMIFS(Kho_NL!$D$5:$D$304,Kho_NL!$A$5:$A$304,$B68))</f>
        <v/>
      </c>
      <c r="H68" s="39" t="str">
        <f>IF($B68="","",SUMIFS(Kho_NL!$E$5:$E$304,Kho_NL!$A$5:$A$304,$B68))</f>
        <v/>
      </c>
      <c r="I68" s="39" t="str">
        <f>IF($B68="","",SUMIFS(Kho_NL!$F$5:$F$304,Kho_NL!$A$5:$A$304,$B68))</f>
        <v/>
      </c>
      <c r="J68" s="39" t="str">
        <f>IF($B68="","",SUMIFS(Kho_NL!$G$5:$G$304,Kho_NL!$A$5:$A$304,$B68))</f>
        <v/>
      </c>
      <c r="K68" s="39" t="str">
        <f t="shared" si="1"/>
        <v/>
      </c>
      <c r="L68" s="31" t="str">
        <f>IF($B68="","",IFERROR(INDEX(Kho_NL!$I$5:$I$304,MATCH(B68,Kho_NL!$A$5:$A$304,0))&amp;"",""))</f>
        <v/>
      </c>
      <c r="M68" s="44" t="str">
        <f>IF($B68="","",SUMIFS(Kho_NL!$H$5:$H$304,Kho_NL!$A$5:$A$304,$B68))</f>
        <v/>
      </c>
      <c r="N68" s="44" t="str">
        <f t="shared" si="2"/>
        <v/>
      </c>
      <c r="O68" s="45" t="str">
        <f t="shared" si="3"/>
        <v/>
      </c>
      <c r="P68" s="44" t="str">
        <f>IF($B68="","",SUMIFS(TK_Nhap!$E$5:$E$1004,TK_Nhap!$D$5:$D$1004,$B68,TK_Nhap!$H$5:$H$1004,1))</f>
        <v/>
      </c>
      <c r="Q68" s="44" t="str">
        <f t="shared" si="4"/>
        <v/>
      </c>
    </row>
    <row r="69" spans="1:17" x14ac:dyDescent="0.25">
      <c r="A69" s="36" t="str">
        <f t="shared" si="0"/>
        <v/>
      </c>
      <c r="B69" s="35" t="str">
        <f>IFERROR(INDEX(DM_NL!$A$5:$A$304,MATCH(ROW()-10,DM_NL!$G$5:$G$304,0)),"")</f>
        <v/>
      </c>
      <c r="C69" s="35" t="str">
        <f>IF(B69="","",INDEX(DM_NL!$B$5:$B$304,MATCH(B69,DM_NL!$A$5:$A$304,0)))</f>
        <v/>
      </c>
      <c r="D69" s="35" t="str">
        <f>IF(B69="","",INDEX(DM_NL!$C$5:$C$304,MATCH(B69,DM_NL!$A$5:$A$304,0)))</f>
        <v/>
      </c>
      <c r="E69" s="39" t="str">
        <f>IF($B69="","",SUMIFS(Kho_NL!$B$5:$B$304,Kho_NL!$A$5:$A$304,$B69))</f>
        <v/>
      </c>
      <c r="F69" s="39" t="str">
        <f>IF($B69="","",SUMIFS(Kho_NL!$C$5:$C$304,Kho_NL!$A$5:$A$304,$B69))</f>
        <v/>
      </c>
      <c r="G69" s="39" t="str">
        <f>IF($B69="","",SUMIFS(Kho_NL!$D$5:$D$304,Kho_NL!$A$5:$A$304,$B69))</f>
        <v/>
      </c>
      <c r="H69" s="39" t="str">
        <f>IF($B69="","",SUMIFS(Kho_NL!$E$5:$E$304,Kho_NL!$A$5:$A$304,$B69))</f>
        <v/>
      </c>
      <c r="I69" s="39" t="str">
        <f>IF($B69="","",SUMIFS(Kho_NL!$F$5:$F$304,Kho_NL!$A$5:$A$304,$B69))</f>
        <v/>
      </c>
      <c r="J69" s="39" t="str">
        <f>IF($B69="","",SUMIFS(Kho_NL!$G$5:$G$304,Kho_NL!$A$5:$A$304,$B69))</f>
        <v/>
      </c>
      <c r="K69" s="39" t="str">
        <f t="shared" si="1"/>
        <v/>
      </c>
      <c r="L69" s="31" t="str">
        <f>IF($B69="","",IFERROR(INDEX(Kho_NL!$I$5:$I$304,MATCH(B69,Kho_NL!$A$5:$A$304,0))&amp;"",""))</f>
        <v/>
      </c>
      <c r="M69" s="44" t="str">
        <f>IF($B69="","",SUMIFS(Kho_NL!$H$5:$H$304,Kho_NL!$A$5:$A$304,$B69))</f>
        <v/>
      </c>
      <c r="N69" s="44" t="str">
        <f t="shared" si="2"/>
        <v/>
      </c>
      <c r="O69" s="45" t="str">
        <f t="shared" si="3"/>
        <v/>
      </c>
      <c r="P69" s="44" t="str">
        <f>IF($B69="","",SUMIFS(TK_Nhap!$E$5:$E$1004,TK_Nhap!$D$5:$D$1004,$B69,TK_Nhap!$H$5:$H$1004,1))</f>
        <v/>
      </c>
      <c r="Q69" s="44" t="str">
        <f t="shared" si="4"/>
        <v/>
      </c>
    </row>
    <row r="70" spans="1:17" x14ac:dyDescent="0.25">
      <c r="A70" s="36" t="str">
        <f t="shared" si="0"/>
        <v/>
      </c>
      <c r="B70" s="35" t="str">
        <f>IFERROR(INDEX(DM_NL!$A$5:$A$304,MATCH(ROW()-10,DM_NL!$G$5:$G$304,0)),"")</f>
        <v/>
      </c>
      <c r="C70" s="35" t="str">
        <f>IF(B70="","",INDEX(DM_NL!$B$5:$B$304,MATCH(B70,DM_NL!$A$5:$A$304,0)))</f>
        <v/>
      </c>
      <c r="D70" s="35" t="str">
        <f>IF(B70="","",INDEX(DM_NL!$C$5:$C$304,MATCH(B70,DM_NL!$A$5:$A$304,0)))</f>
        <v/>
      </c>
      <c r="E70" s="39" t="str">
        <f>IF($B70="","",SUMIFS(Kho_NL!$B$5:$B$304,Kho_NL!$A$5:$A$304,$B70))</f>
        <v/>
      </c>
      <c r="F70" s="39" t="str">
        <f>IF($B70="","",SUMIFS(Kho_NL!$C$5:$C$304,Kho_NL!$A$5:$A$304,$B70))</f>
        <v/>
      </c>
      <c r="G70" s="39" t="str">
        <f>IF($B70="","",SUMIFS(Kho_NL!$D$5:$D$304,Kho_NL!$A$5:$A$304,$B70))</f>
        <v/>
      </c>
      <c r="H70" s="39" t="str">
        <f>IF($B70="","",SUMIFS(Kho_NL!$E$5:$E$304,Kho_NL!$A$5:$A$304,$B70))</f>
        <v/>
      </c>
      <c r="I70" s="39" t="str">
        <f>IF($B70="","",SUMIFS(Kho_NL!$F$5:$F$304,Kho_NL!$A$5:$A$304,$B70))</f>
        <v/>
      </c>
      <c r="J70" s="39" t="str">
        <f>IF($B70="","",SUMIFS(Kho_NL!$G$5:$G$304,Kho_NL!$A$5:$A$304,$B70))</f>
        <v/>
      </c>
      <c r="K70" s="39" t="str">
        <f t="shared" si="1"/>
        <v/>
      </c>
      <c r="L70" s="31" t="str">
        <f>IF($B70="","",IFERROR(INDEX(Kho_NL!$I$5:$I$304,MATCH(B70,Kho_NL!$A$5:$A$304,0))&amp;"",""))</f>
        <v/>
      </c>
      <c r="M70" s="44" t="str">
        <f>IF($B70="","",SUMIFS(Kho_NL!$H$5:$H$304,Kho_NL!$A$5:$A$304,$B70))</f>
        <v/>
      </c>
      <c r="N70" s="44" t="str">
        <f t="shared" si="2"/>
        <v/>
      </c>
      <c r="O70" s="45" t="str">
        <f t="shared" si="3"/>
        <v/>
      </c>
      <c r="P70" s="44" t="str">
        <f>IF($B70="","",SUMIFS(TK_Nhap!$E$5:$E$1004,TK_Nhap!$D$5:$D$1004,$B70,TK_Nhap!$H$5:$H$1004,1))</f>
        <v/>
      </c>
      <c r="Q70" s="44" t="str">
        <f t="shared" si="4"/>
        <v/>
      </c>
    </row>
    <row r="71" spans="1:17" x14ac:dyDescent="0.25">
      <c r="A71" s="36" t="str">
        <f t="shared" si="0"/>
        <v/>
      </c>
      <c r="B71" s="35" t="str">
        <f>IFERROR(INDEX(DM_NL!$A$5:$A$304,MATCH(ROW()-10,DM_NL!$G$5:$G$304,0)),"")</f>
        <v/>
      </c>
      <c r="C71" s="35" t="str">
        <f>IF(B71="","",INDEX(DM_NL!$B$5:$B$304,MATCH(B71,DM_NL!$A$5:$A$304,0)))</f>
        <v/>
      </c>
      <c r="D71" s="35" t="str">
        <f>IF(B71="","",INDEX(DM_NL!$C$5:$C$304,MATCH(B71,DM_NL!$A$5:$A$304,0)))</f>
        <v/>
      </c>
      <c r="E71" s="39" t="str">
        <f>IF($B71="","",SUMIFS(Kho_NL!$B$5:$B$304,Kho_NL!$A$5:$A$304,$B71))</f>
        <v/>
      </c>
      <c r="F71" s="39" t="str">
        <f>IF($B71="","",SUMIFS(Kho_NL!$C$5:$C$304,Kho_NL!$A$5:$A$304,$B71))</f>
        <v/>
      </c>
      <c r="G71" s="39" t="str">
        <f>IF($B71="","",SUMIFS(Kho_NL!$D$5:$D$304,Kho_NL!$A$5:$A$304,$B71))</f>
        <v/>
      </c>
      <c r="H71" s="39" t="str">
        <f>IF($B71="","",SUMIFS(Kho_NL!$E$5:$E$304,Kho_NL!$A$5:$A$304,$B71))</f>
        <v/>
      </c>
      <c r="I71" s="39" t="str">
        <f>IF($B71="","",SUMIFS(Kho_NL!$F$5:$F$304,Kho_NL!$A$5:$A$304,$B71))</f>
        <v/>
      </c>
      <c r="J71" s="39" t="str">
        <f>IF($B71="","",SUMIFS(Kho_NL!$G$5:$G$304,Kho_NL!$A$5:$A$304,$B71))</f>
        <v/>
      </c>
      <c r="K71" s="39" t="str">
        <f t="shared" si="1"/>
        <v/>
      </c>
      <c r="L71" s="31" t="str">
        <f>IF($B71="","",IFERROR(INDEX(Kho_NL!$I$5:$I$304,MATCH(B71,Kho_NL!$A$5:$A$304,0))&amp;"",""))</f>
        <v/>
      </c>
      <c r="M71" s="44" t="str">
        <f>IF($B71="","",SUMIFS(Kho_NL!$H$5:$H$304,Kho_NL!$A$5:$A$304,$B71))</f>
        <v/>
      </c>
      <c r="N71" s="44" t="str">
        <f t="shared" si="2"/>
        <v/>
      </c>
      <c r="O71" s="45" t="str">
        <f t="shared" si="3"/>
        <v/>
      </c>
      <c r="P71" s="44" t="str">
        <f>IF($B71="","",SUMIFS(TK_Nhap!$E$5:$E$1004,TK_Nhap!$D$5:$D$1004,$B71,TK_Nhap!$H$5:$H$1004,1))</f>
        <v/>
      </c>
      <c r="Q71" s="44" t="str">
        <f t="shared" si="4"/>
        <v/>
      </c>
    </row>
    <row r="72" spans="1:17" x14ac:dyDescent="0.25">
      <c r="A72" s="36" t="str">
        <f t="shared" si="0"/>
        <v/>
      </c>
      <c r="B72" s="35" t="str">
        <f>IFERROR(INDEX(DM_NL!$A$5:$A$304,MATCH(ROW()-10,DM_NL!$G$5:$G$304,0)),"")</f>
        <v/>
      </c>
      <c r="C72" s="35" t="str">
        <f>IF(B72="","",INDEX(DM_NL!$B$5:$B$304,MATCH(B72,DM_NL!$A$5:$A$304,0)))</f>
        <v/>
      </c>
      <c r="D72" s="35" t="str">
        <f>IF(B72="","",INDEX(DM_NL!$C$5:$C$304,MATCH(B72,DM_NL!$A$5:$A$304,0)))</f>
        <v/>
      </c>
      <c r="E72" s="39" t="str">
        <f>IF($B72="","",SUMIFS(Kho_NL!$B$5:$B$304,Kho_NL!$A$5:$A$304,$B72))</f>
        <v/>
      </c>
      <c r="F72" s="39" t="str">
        <f>IF($B72="","",SUMIFS(Kho_NL!$C$5:$C$304,Kho_NL!$A$5:$A$304,$B72))</f>
        <v/>
      </c>
      <c r="G72" s="39" t="str">
        <f>IF($B72="","",SUMIFS(Kho_NL!$D$5:$D$304,Kho_NL!$A$5:$A$304,$B72))</f>
        <v/>
      </c>
      <c r="H72" s="39" t="str">
        <f>IF($B72="","",SUMIFS(Kho_NL!$E$5:$E$304,Kho_NL!$A$5:$A$304,$B72))</f>
        <v/>
      </c>
      <c r="I72" s="39" t="str">
        <f>IF($B72="","",SUMIFS(Kho_NL!$F$5:$F$304,Kho_NL!$A$5:$A$304,$B72))</f>
        <v/>
      </c>
      <c r="J72" s="39" t="str">
        <f>IF($B72="","",SUMIFS(Kho_NL!$G$5:$G$304,Kho_NL!$A$5:$A$304,$B72))</f>
        <v/>
      </c>
      <c r="K72" s="39" t="str">
        <f t="shared" si="1"/>
        <v/>
      </c>
      <c r="L72" s="31" t="str">
        <f>IF($B72="","",IFERROR(INDEX(Kho_NL!$I$5:$I$304,MATCH(B72,Kho_NL!$A$5:$A$304,0))&amp;"",""))</f>
        <v/>
      </c>
      <c r="M72" s="44" t="str">
        <f>IF($B72="","",SUMIFS(Kho_NL!$H$5:$H$304,Kho_NL!$A$5:$A$304,$B72))</f>
        <v/>
      </c>
      <c r="N72" s="44" t="str">
        <f t="shared" si="2"/>
        <v/>
      </c>
      <c r="O72" s="45" t="str">
        <f t="shared" si="3"/>
        <v/>
      </c>
      <c r="P72" s="44" t="str">
        <f>IF($B72="","",SUMIFS(TK_Nhap!$E$5:$E$1004,TK_Nhap!$D$5:$D$1004,$B72,TK_Nhap!$H$5:$H$1004,1))</f>
        <v/>
      </c>
      <c r="Q72" s="44" t="str">
        <f t="shared" si="4"/>
        <v/>
      </c>
    </row>
    <row r="73" spans="1:17" x14ac:dyDescent="0.25">
      <c r="A73" s="36" t="str">
        <f t="shared" si="0"/>
        <v/>
      </c>
      <c r="B73" s="35" t="str">
        <f>IFERROR(INDEX(DM_NL!$A$5:$A$304,MATCH(ROW()-10,DM_NL!$G$5:$G$304,0)),"")</f>
        <v/>
      </c>
      <c r="C73" s="35" t="str">
        <f>IF(B73="","",INDEX(DM_NL!$B$5:$B$304,MATCH(B73,DM_NL!$A$5:$A$304,0)))</f>
        <v/>
      </c>
      <c r="D73" s="35" t="str">
        <f>IF(B73="","",INDEX(DM_NL!$C$5:$C$304,MATCH(B73,DM_NL!$A$5:$A$304,0)))</f>
        <v/>
      </c>
      <c r="E73" s="39" t="str">
        <f>IF($B73="","",SUMIFS(Kho_NL!$B$5:$B$304,Kho_NL!$A$5:$A$304,$B73))</f>
        <v/>
      </c>
      <c r="F73" s="39" t="str">
        <f>IF($B73="","",SUMIFS(Kho_NL!$C$5:$C$304,Kho_NL!$A$5:$A$304,$B73))</f>
        <v/>
      </c>
      <c r="G73" s="39" t="str">
        <f>IF($B73="","",SUMIFS(Kho_NL!$D$5:$D$304,Kho_NL!$A$5:$A$304,$B73))</f>
        <v/>
      </c>
      <c r="H73" s="39" t="str">
        <f>IF($B73="","",SUMIFS(Kho_NL!$E$5:$E$304,Kho_NL!$A$5:$A$304,$B73))</f>
        <v/>
      </c>
      <c r="I73" s="39" t="str">
        <f>IF($B73="","",SUMIFS(Kho_NL!$F$5:$F$304,Kho_NL!$A$5:$A$304,$B73))</f>
        <v/>
      </c>
      <c r="J73" s="39" t="str">
        <f>IF($B73="","",SUMIFS(Kho_NL!$G$5:$G$304,Kho_NL!$A$5:$A$304,$B73))</f>
        <v/>
      </c>
      <c r="K73" s="39" t="str">
        <f t="shared" si="1"/>
        <v/>
      </c>
      <c r="L73" s="31" t="str">
        <f>IF($B73="","",IFERROR(INDEX(Kho_NL!$I$5:$I$304,MATCH(B73,Kho_NL!$A$5:$A$304,0))&amp;"",""))</f>
        <v/>
      </c>
      <c r="M73" s="44" t="str">
        <f>IF($B73="","",SUMIFS(Kho_NL!$H$5:$H$304,Kho_NL!$A$5:$A$304,$B73))</f>
        <v/>
      </c>
      <c r="N73" s="44" t="str">
        <f t="shared" si="2"/>
        <v/>
      </c>
      <c r="O73" s="45" t="str">
        <f t="shared" si="3"/>
        <v/>
      </c>
      <c r="P73" s="44" t="str">
        <f>IF($B73="","",SUMIFS(TK_Nhap!$E$5:$E$1004,TK_Nhap!$D$5:$D$1004,$B73,TK_Nhap!$H$5:$H$1004,1))</f>
        <v/>
      </c>
      <c r="Q73" s="44" t="str">
        <f t="shared" si="4"/>
        <v/>
      </c>
    </row>
    <row r="74" spans="1:17" x14ac:dyDescent="0.25">
      <c r="A74" s="36" t="str">
        <f t="shared" si="0"/>
        <v/>
      </c>
      <c r="B74" s="35" t="str">
        <f>IFERROR(INDEX(DM_NL!$A$5:$A$304,MATCH(ROW()-10,DM_NL!$G$5:$G$304,0)),"")</f>
        <v/>
      </c>
      <c r="C74" s="35" t="str">
        <f>IF(B74="","",INDEX(DM_NL!$B$5:$B$304,MATCH(B74,DM_NL!$A$5:$A$304,0)))</f>
        <v/>
      </c>
      <c r="D74" s="35" t="str">
        <f>IF(B74="","",INDEX(DM_NL!$C$5:$C$304,MATCH(B74,DM_NL!$A$5:$A$304,0)))</f>
        <v/>
      </c>
      <c r="E74" s="39" t="str">
        <f>IF($B74="","",SUMIFS(Kho_NL!$B$5:$B$304,Kho_NL!$A$5:$A$304,$B74))</f>
        <v/>
      </c>
      <c r="F74" s="39" t="str">
        <f>IF($B74="","",SUMIFS(Kho_NL!$C$5:$C$304,Kho_NL!$A$5:$A$304,$B74))</f>
        <v/>
      </c>
      <c r="G74" s="39" t="str">
        <f>IF($B74="","",SUMIFS(Kho_NL!$D$5:$D$304,Kho_NL!$A$5:$A$304,$B74))</f>
        <v/>
      </c>
      <c r="H74" s="39" t="str">
        <f>IF($B74="","",SUMIFS(Kho_NL!$E$5:$E$304,Kho_NL!$A$5:$A$304,$B74))</f>
        <v/>
      </c>
      <c r="I74" s="39" t="str">
        <f>IF($B74="","",SUMIFS(Kho_NL!$F$5:$F$304,Kho_NL!$A$5:$A$304,$B74))</f>
        <v/>
      </c>
      <c r="J74" s="39" t="str">
        <f>IF($B74="","",SUMIFS(Kho_NL!$G$5:$G$304,Kho_NL!$A$5:$A$304,$B74))</f>
        <v/>
      </c>
      <c r="K74" s="39" t="str">
        <f t="shared" si="1"/>
        <v/>
      </c>
      <c r="L74" s="31" t="str">
        <f>IF($B74="","",IFERROR(INDEX(Kho_NL!$I$5:$I$304,MATCH(B74,Kho_NL!$A$5:$A$304,0))&amp;"",""))</f>
        <v/>
      </c>
      <c r="M74" s="44" t="str">
        <f>IF($B74="","",SUMIFS(Kho_NL!$H$5:$H$304,Kho_NL!$A$5:$A$304,$B74))</f>
        <v/>
      </c>
      <c r="N74" s="44" t="str">
        <f t="shared" si="2"/>
        <v/>
      </c>
      <c r="O74" s="45" t="str">
        <f t="shared" si="3"/>
        <v/>
      </c>
      <c r="P74" s="44" t="str">
        <f>IF($B74="","",SUMIFS(TK_Nhap!$E$5:$E$1004,TK_Nhap!$D$5:$D$1004,$B74,TK_Nhap!$H$5:$H$1004,1))</f>
        <v/>
      </c>
      <c r="Q74" s="44" t="str">
        <f t="shared" si="4"/>
        <v/>
      </c>
    </row>
    <row r="75" spans="1:17" x14ac:dyDescent="0.25">
      <c r="A75" s="36" t="str">
        <f t="shared" ref="A75:A138" si="5">IF(B75="","",ROW()-10)</f>
        <v/>
      </c>
      <c r="B75" s="35" t="str">
        <f>IFERROR(INDEX(DM_NL!$A$5:$A$304,MATCH(ROW()-10,DM_NL!$G$5:$G$304,0)),"")</f>
        <v/>
      </c>
      <c r="C75" s="35" t="str">
        <f>IF(B75="","",INDEX(DM_NL!$B$5:$B$304,MATCH(B75,DM_NL!$A$5:$A$304,0)))</f>
        <v/>
      </c>
      <c r="D75" s="35" t="str">
        <f>IF(B75="","",INDEX(DM_NL!$C$5:$C$304,MATCH(B75,DM_NL!$A$5:$A$304,0)))</f>
        <v/>
      </c>
      <c r="E75" s="39" t="str">
        <f>IF($B75="","",SUMIFS(Kho_NL!$B$5:$B$304,Kho_NL!$A$5:$A$304,$B75))</f>
        <v/>
      </c>
      <c r="F75" s="39" t="str">
        <f>IF($B75="","",SUMIFS(Kho_NL!$C$5:$C$304,Kho_NL!$A$5:$A$304,$B75))</f>
        <v/>
      </c>
      <c r="G75" s="39" t="str">
        <f>IF($B75="","",SUMIFS(Kho_NL!$D$5:$D$304,Kho_NL!$A$5:$A$304,$B75))</f>
        <v/>
      </c>
      <c r="H75" s="39" t="str">
        <f>IF($B75="","",SUMIFS(Kho_NL!$E$5:$E$304,Kho_NL!$A$5:$A$304,$B75))</f>
        <v/>
      </c>
      <c r="I75" s="39" t="str">
        <f>IF($B75="","",SUMIFS(Kho_NL!$F$5:$F$304,Kho_NL!$A$5:$A$304,$B75))</f>
        <v/>
      </c>
      <c r="J75" s="39" t="str">
        <f>IF($B75="","",SUMIFS(Kho_NL!$G$5:$G$304,Kho_NL!$A$5:$A$304,$B75))</f>
        <v/>
      </c>
      <c r="K75" s="39" t="str">
        <f t="shared" ref="K75:K138" si="6">IF($B75="","",E75+F75-G75-H75-I75-J75)</f>
        <v/>
      </c>
      <c r="L75" s="31" t="str">
        <f>IF($B75="","",IFERROR(INDEX(Kho_NL!$I$5:$I$304,MATCH(B75,Kho_NL!$A$5:$A$304,0))&amp;"",""))</f>
        <v/>
      </c>
      <c r="M75" s="44" t="str">
        <f>IF($B75="","",SUMIFS(Kho_NL!$H$5:$H$304,Kho_NL!$A$5:$A$304,$B75))</f>
        <v/>
      </c>
      <c r="N75" s="44" t="str">
        <f t="shared" ref="N75:N138" si="7">IF($B75="","",K75-M75)</f>
        <v/>
      </c>
      <c r="O75" s="45" t="str">
        <f t="shared" ref="O75:O138" si="8">IF($B75="","",IF(ABS(N75)&lt;0.000001,"Khớp","Lệch"))</f>
        <v/>
      </c>
      <c r="P75" s="44" t="str">
        <f>IF($B75="","",SUMIFS(TK_Nhap!$E$5:$E$1004,TK_Nhap!$D$5:$D$1004,$B75,TK_Nhap!$H$5:$H$1004,1))</f>
        <v/>
      </c>
      <c r="Q75" s="44" t="str">
        <f t="shared" ref="Q75:Q138" si="9">IF($B75="","",F75-P75)</f>
        <v/>
      </c>
    </row>
    <row r="76" spans="1:17" x14ac:dyDescent="0.25">
      <c r="A76" s="36" t="str">
        <f t="shared" si="5"/>
        <v/>
      </c>
      <c r="B76" s="35" t="str">
        <f>IFERROR(INDEX(DM_NL!$A$5:$A$304,MATCH(ROW()-10,DM_NL!$G$5:$G$304,0)),"")</f>
        <v/>
      </c>
      <c r="C76" s="35" t="str">
        <f>IF(B76="","",INDEX(DM_NL!$B$5:$B$304,MATCH(B76,DM_NL!$A$5:$A$304,0)))</f>
        <v/>
      </c>
      <c r="D76" s="35" t="str">
        <f>IF(B76="","",INDEX(DM_NL!$C$5:$C$304,MATCH(B76,DM_NL!$A$5:$A$304,0)))</f>
        <v/>
      </c>
      <c r="E76" s="39" t="str">
        <f>IF($B76="","",SUMIFS(Kho_NL!$B$5:$B$304,Kho_NL!$A$5:$A$304,$B76))</f>
        <v/>
      </c>
      <c r="F76" s="39" t="str">
        <f>IF($B76="","",SUMIFS(Kho_NL!$C$5:$C$304,Kho_NL!$A$5:$A$304,$B76))</f>
        <v/>
      </c>
      <c r="G76" s="39" t="str">
        <f>IF($B76="","",SUMIFS(Kho_NL!$D$5:$D$304,Kho_NL!$A$5:$A$304,$B76))</f>
        <v/>
      </c>
      <c r="H76" s="39" t="str">
        <f>IF($B76="","",SUMIFS(Kho_NL!$E$5:$E$304,Kho_NL!$A$5:$A$304,$B76))</f>
        <v/>
      </c>
      <c r="I76" s="39" t="str">
        <f>IF($B76="","",SUMIFS(Kho_NL!$F$5:$F$304,Kho_NL!$A$5:$A$304,$B76))</f>
        <v/>
      </c>
      <c r="J76" s="39" t="str">
        <f>IF($B76="","",SUMIFS(Kho_NL!$G$5:$G$304,Kho_NL!$A$5:$A$304,$B76))</f>
        <v/>
      </c>
      <c r="K76" s="39" t="str">
        <f t="shared" si="6"/>
        <v/>
      </c>
      <c r="L76" s="31" t="str">
        <f>IF($B76="","",IFERROR(INDEX(Kho_NL!$I$5:$I$304,MATCH(B76,Kho_NL!$A$5:$A$304,0))&amp;"",""))</f>
        <v/>
      </c>
      <c r="M76" s="44" t="str">
        <f>IF($B76="","",SUMIFS(Kho_NL!$H$5:$H$304,Kho_NL!$A$5:$A$304,$B76))</f>
        <v/>
      </c>
      <c r="N76" s="44" t="str">
        <f t="shared" si="7"/>
        <v/>
      </c>
      <c r="O76" s="45" t="str">
        <f t="shared" si="8"/>
        <v/>
      </c>
      <c r="P76" s="44" t="str">
        <f>IF($B76="","",SUMIFS(TK_Nhap!$E$5:$E$1004,TK_Nhap!$D$5:$D$1004,$B76,TK_Nhap!$H$5:$H$1004,1))</f>
        <v/>
      </c>
      <c r="Q76" s="44" t="str">
        <f t="shared" si="9"/>
        <v/>
      </c>
    </row>
    <row r="77" spans="1:17" x14ac:dyDescent="0.25">
      <c r="A77" s="36" t="str">
        <f t="shared" si="5"/>
        <v/>
      </c>
      <c r="B77" s="35" t="str">
        <f>IFERROR(INDEX(DM_NL!$A$5:$A$304,MATCH(ROW()-10,DM_NL!$G$5:$G$304,0)),"")</f>
        <v/>
      </c>
      <c r="C77" s="35" t="str">
        <f>IF(B77="","",INDEX(DM_NL!$B$5:$B$304,MATCH(B77,DM_NL!$A$5:$A$304,0)))</f>
        <v/>
      </c>
      <c r="D77" s="35" t="str">
        <f>IF(B77="","",INDEX(DM_NL!$C$5:$C$304,MATCH(B77,DM_NL!$A$5:$A$304,0)))</f>
        <v/>
      </c>
      <c r="E77" s="39" t="str">
        <f>IF($B77="","",SUMIFS(Kho_NL!$B$5:$B$304,Kho_NL!$A$5:$A$304,$B77))</f>
        <v/>
      </c>
      <c r="F77" s="39" t="str">
        <f>IF($B77="","",SUMIFS(Kho_NL!$C$5:$C$304,Kho_NL!$A$5:$A$304,$B77))</f>
        <v/>
      </c>
      <c r="G77" s="39" t="str">
        <f>IF($B77="","",SUMIFS(Kho_NL!$D$5:$D$304,Kho_NL!$A$5:$A$304,$B77))</f>
        <v/>
      </c>
      <c r="H77" s="39" t="str">
        <f>IF($B77="","",SUMIFS(Kho_NL!$E$5:$E$304,Kho_NL!$A$5:$A$304,$B77))</f>
        <v/>
      </c>
      <c r="I77" s="39" t="str">
        <f>IF($B77="","",SUMIFS(Kho_NL!$F$5:$F$304,Kho_NL!$A$5:$A$304,$B77))</f>
        <v/>
      </c>
      <c r="J77" s="39" t="str">
        <f>IF($B77="","",SUMIFS(Kho_NL!$G$5:$G$304,Kho_NL!$A$5:$A$304,$B77))</f>
        <v/>
      </c>
      <c r="K77" s="39" t="str">
        <f t="shared" si="6"/>
        <v/>
      </c>
      <c r="L77" s="31" t="str">
        <f>IF($B77="","",IFERROR(INDEX(Kho_NL!$I$5:$I$304,MATCH(B77,Kho_NL!$A$5:$A$304,0))&amp;"",""))</f>
        <v/>
      </c>
      <c r="M77" s="44" t="str">
        <f>IF($B77="","",SUMIFS(Kho_NL!$H$5:$H$304,Kho_NL!$A$5:$A$304,$B77))</f>
        <v/>
      </c>
      <c r="N77" s="44" t="str">
        <f t="shared" si="7"/>
        <v/>
      </c>
      <c r="O77" s="45" t="str">
        <f t="shared" si="8"/>
        <v/>
      </c>
      <c r="P77" s="44" t="str">
        <f>IF($B77="","",SUMIFS(TK_Nhap!$E$5:$E$1004,TK_Nhap!$D$5:$D$1004,$B77,TK_Nhap!$H$5:$H$1004,1))</f>
        <v/>
      </c>
      <c r="Q77" s="44" t="str">
        <f t="shared" si="9"/>
        <v/>
      </c>
    </row>
    <row r="78" spans="1:17" x14ac:dyDescent="0.25">
      <c r="A78" s="36" t="str">
        <f t="shared" si="5"/>
        <v/>
      </c>
      <c r="B78" s="35" t="str">
        <f>IFERROR(INDEX(DM_NL!$A$5:$A$304,MATCH(ROW()-10,DM_NL!$G$5:$G$304,0)),"")</f>
        <v/>
      </c>
      <c r="C78" s="35" t="str">
        <f>IF(B78="","",INDEX(DM_NL!$B$5:$B$304,MATCH(B78,DM_NL!$A$5:$A$304,0)))</f>
        <v/>
      </c>
      <c r="D78" s="35" t="str">
        <f>IF(B78="","",INDEX(DM_NL!$C$5:$C$304,MATCH(B78,DM_NL!$A$5:$A$304,0)))</f>
        <v/>
      </c>
      <c r="E78" s="39" t="str">
        <f>IF($B78="","",SUMIFS(Kho_NL!$B$5:$B$304,Kho_NL!$A$5:$A$304,$B78))</f>
        <v/>
      </c>
      <c r="F78" s="39" t="str">
        <f>IF($B78="","",SUMIFS(Kho_NL!$C$5:$C$304,Kho_NL!$A$5:$A$304,$B78))</f>
        <v/>
      </c>
      <c r="G78" s="39" t="str">
        <f>IF($B78="","",SUMIFS(Kho_NL!$D$5:$D$304,Kho_NL!$A$5:$A$304,$B78))</f>
        <v/>
      </c>
      <c r="H78" s="39" t="str">
        <f>IF($B78="","",SUMIFS(Kho_NL!$E$5:$E$304,Kho_NL!$A$5:$A$304,$B78))</f>
        <v/>
      </c>
      <c r="I78" s="39" t="str">
        <f>IF($B78="","",SUMIFS(Kho_NL!$F$5:$F$304,Kho_NL!$A$5:$A$304,$B78))</f>
        <v/>
      </c>
      <c r="J78" s="39" t="str">
        <f>IF($B78="","",SUMIFS(Kho_NL!$G$5:$G$304,Kho_NL!$A$5:$A$304,$B78))</f>
        <v/>
      </c>
      <c r="K78" s="39" t="str">
        <f t="shared" si="6"/>
        <v/>
      </c>
      <c r="L78" s="31" t="str">
        <f>IF($B78="","",IFERROR(INDEX(Kho_NL!$I$5:$I$304,MATCH(B78,Kho_NL!$A$5:$A$304,0))&amp;"",""))</f>
        <v/>
      </c>
      <c r="M78" s="44" t="str">
        <f>IF($B78="","",SUMIFS(Kho_NL!$H$5:$H$304,Kho_NL!$A$5:$A$304,$B78))</f>
        <v/>
      </c>
      <c r="N78" s="44" t="str">
        <f t="shared" si="7"/>
        <v/>
      </c>
      <c r="O78" s="45" t="str">
        <f t="shared" si="8"/>
        <v/>
      </c>
      <c r="P78" s="44" t="str">
        <f>IF($B78="","",SUMIFS(TK_Nhap!$E$5:$E$1004,TK_Nhap!$D$5:$D$1004,$B78,TK_Nhap!$H$5:$H$1004,1))</f>
        <v/>
      </c>
      <c r="Q78" s="44" t="str">
        <f t="shared" si="9"/>
        <v/>
      </c>
    </row>
    <row r="79" spans="1:17" x14ac:dyDescent="0.25">
      <c r="A79" s="36" t="str">
        <f t="shared" si="5"/>
        <v/>
      </c>
      <c r="B79" s="35" t="str">
        <f>IFERROR(INDEX(DM_NL!$A$5:$A$304,MATCH(ROW()-10,DM_NL!$G$5:$G$304,0)),"")</f>
        <v/>
      </c>
      <c r="C79" s="35" t="str">
        <f>IF(B79="","",INDEX(DM_NL!$B$5:$B$304,MATCH(B79,DM_NL!$A$5:$A$304,0)))</f>
        <v/>
      </c>
      <c r="D79" s="35" t="str">
        <f>IF(B79="","",INDEX(DM_NL!$C$5:$C$304,MATCH(B79,DM_NL!$A$5:$A$304,0)))</f>
        <v/>
      </c>
      <c r="E79" s="39" t="str">
        <f>IF($B79="","",SUMIFS(Kho_NL!$B$5:$B$304,Kho_NL!$A$5:$A$304,$B79))</f>
        <v/>
      </c>
      <c r="F79" s="39" t="str">
        <f>IF($B79="","",SUMIFS(Kho_NL!$C$5:$C$304,Kho_NL!$A$5:$A$304,$B79))</f>
        <v/>
      </c>
      <c r="G79" s="39" t="str">
        <f>IF($B79="","",SUMIFS(Kho_NL!$D$5:$D$304,Kho_NL!$A$5:$A$304,$B79))</f>
        <v/>
      </c>
      <c r="H79" s="39" t="str">
        <f>IF($B79="","",SUMIFS(Kho_NL!$E$5:$E$304,Kho_NL!$A$5:$A$304,$B79))</f>
        <v/>
      </c>
      <c r="I79" s="39" t="str">
        <f>IF($B79="","",SUMIFS(Kho_NL!$F$5:$F$304,Kho_NL!$A$5:$A$304,$B79))</f>
        <v/>
      </c>
      <c r="J79" s="39" t="str">
        <f>IF($B79="","",SUMIFS(Kho_NL!$G$5:$G$304,Kho_NL!$A$5:$A$304,$B79))</f>
        <v/>
      </c>
      <c r="K79" s="39" t="str">
        <f t="shared" si="6"/>
        <v/>
      </c>
      <c r="L79" s="31" t="str">
        <f>IF($B79="","",IFERROR(INDEX(Kho_NL!$I$5:$I$304,MATCH(B79,Kho_NL!$A$5:$A$304,0))&amp;"",""))</f>
        <v/>
      </c>
      <c r="M79" s="44" t="str">
        <f>IF($B79="","",SUMIFS(Kho_NL!$H$5:$H$304,Kho_NL!$A$5:$A$304,$B79))</f>
        <v/>
      </c>
      <c r="N79" s="44" t="str">
        <f t="shared" si="7"/>
        <v/>
      </c>
      <c r="O79" s="45" t="str">
        <f t="shared" si="8"/>
        <v/>
      </c>
      <c r="P79" s="44" t="str">
        <f>IF($B79="","",SUMIFS(TK_Nhap!$E$5:$E$1004,TK_Nhap!$D$5:$D$1004,$B79,TK_Nhap!$H$5:$H$1004,1))</f>
        <v/>
      </c>
      <c r="Q79" s="44" t="str">
        <f t="shared" si="9"/>
        <v/>
      </c>
    </row>
    <row r="80" spans="1:17" x14ac:dyDescent="0.25">
      <c r="A80" s="36" t="str">
        <f t="shared" si="5"/>
        <v/>
      </c>
      <c r="B80" s="35" t="str">
        <f>IFERROR(INDEX(DM_NL!$A$5:$A$304,MATCH(ROW()-10,DM_NL!$G$5:$G$304,0)),"")</f>
        <v/>
      </c>
      <c r="C80" s="35" t="str">
        <f>IF(B80="","",INDEX(DM_NL!$B$5:$B$304,MATCH(B80,DM_NL!$A$5:$A$304,0)))</f>
        <v/>
      </c>
      <c r="D80" s="35" t="str">
        <f>IF(B80="","",INDEX(DM_NL!$C$5:$C$304,MATCH(B80,DM_NL!$A$5:$A$304,0)))</f>
        <v/>
      </c>
      <c r="E80" s="39" t="str">
        <f>IF($B80="","",SUMIFS(Kho_NL!$B$5:$B$304,Kho_NL!$A$5:$A$304,$B80))</f>
        <v/>
      </c>
      <c r="F80" s="39" t="str">
        <f>IF($B80="","",SUMIFS(Kho_NL!$C$5:$C$304,Kho_NL!$A$5:$A$304,$B80))</f>
        <v/>
      </c>
      <c r="G80" s="39" t="str">
        <f>IF($B80="","",SUMIFS(Kho_NL!$D$5:$D$304,Kho_NL!$A$5:$A$304,$B80))</f>
        <v/>
      </c>
      <c r="H80" s="39" t="str">
        <f>IF($B80="","",SUMIFS(Kho_NL!$E$5:$E$304,Kho_NL!$A$5:$A$304,$B80))</f>
        <v/>
      </c>
      <c r="I80" s="39" t="str">
        <f>IF($B80="","",SUMIFS(Kho_NL!$F$5:$F$304,Kho_NL!$A$5:$A$304,$B80))</f>
        <v/>
      </c>
      <c r="J80" s="39" t="str">
        <f>IF($B80="","",SUMIFS(Kho_NL!$G$5:$G$304,Kho_NL!$A$5:$A$304,$B80))</f>
        <v/>
      </c>
      <c r="K80" s="39" t="str">
        <f t="shared" si="6"/>
        <v/>
      </c>
      <c r="L80" s="31" t="str">
        <f>IF($B80="","",IFERROR(INDEX(Kho_NL!$I$5:$I$304,MATCH(B80,Kho_NL!$A$5:$A$304,0))&amp;"",""))</f>
        <v/>
      </c>
      <c r="M80" s="44" t="str">
        <f>IF($B80="","",SUMIFS(Kho_NL!$H$5:$H$304,Kho_NL!$A$5:$A$304,$B80))</f>
        <v/>
      </c>
      <c r="N80" s="44" t="str">
        <f t="shared" si="7"/>
        <v/>
      </c>
      <c r="O80" s="45" t="str">
        <f t="shared" si="8"/>
        <v/>
      </c>
      <c r="P80" s="44" t="str">
        <f>IF($B80="","",SUMIFS(TK_Nhap!$E$5:$E$1004,TK_Nhap!$D$5:$D$1004,$B80,TK_Nhap!$H$5:$H$1004,1))</f>
        <v/>
      </c>
      <c r="Q80" s="44" t="str">
        <f t="shared" si="9"/>
        <v/>
      </c>
    </row>
    <row r="81" spans="1:17" x14ac:dyDescent="0.25">
      <c r="A81" s="36" t="str">
        <f t="shared" si="5"/>
        <v/>
      </c>
      <c r="B81" s="35" t="str">
        <f>IFERROR(INDEX(DM_NL!$A$5:$A$304,MATCH(ROW()-10,DM_NL!$G$5:$G$304,0)),"")</f>
        <v/>
      </c>
      <c r="C81" s="35" t="str">
        <f>IF(B81="","",INDEX(DM_NL!$B$5:$B$304,MATCH(B81,DM_NL!$A$5:$A$304,0)))</f>
        <v/>
      </c>
      <c r="D81" s="35" t="str">
        <f>IF(B81="","",INDEX(DM_NL!$C$5:$C$304,MATCH(B81,DM_NL!$A$5:$A$304,0)))</f>
        <v/>
      </c>
      <c r="E81" s="39" t="str">
        <f>IF($B81="","",SUMIFS(Kho_NL!$B$5:$B$304,Kho_NL!$A$5:$A$304,$B81))</f>
        <v/>
      </c>
      <c r="F81" s="39" t="str">
        <f>IF($B81="","",SUMIFS(Kho_NL!$C$5:$C$304,Kho_NL!$A$5:$A$304,$B81))</f>
        <v/>
      </c>
      <c r="G81" s="39" t="str">
        <f>IF($B81="","",SUMIFS(Kho_NL!$D$5:$D$304,Kho_NL!$A$5:$A$304,$B81))</f>
        <v/>
      </c>
      <c r="H81" s="39" t="str">
        <f>IF($B81="","",SUMIFS(Kho_NL!$E$5:$E$304,Kho_NL!$A$5:$A$304,$B81))</f>
        <v/>
      </c>
      <c r="I81" s="39" t="str">
        <f>IF($B81="","",SUMIFS(Kho_NL!$F$5:$F$304,Kho_NL!$A$5:$A$304,$B81))</f>
        <v/>
      </c>
      <c r="J81" s="39" t="str">
        <f>IF($B81="","",SUMIFS(Kho_NL!$G$5:$G$304,Kho_NL!$A$5:$A$304,$B81))</f>
        <v/>
      </c>
      <c r="K81" s="39" t="str">
        <f t="shared" si="6"/>
        <v/>
      </c>
      <c r="L81" s="31" t="str">
        <f>IF($B81="","",IFERROR(INDEX(Kho_NL!$I$5:$I$304,MATCH(B81,Kho_NL!$A$5:$A$304,0))&amp;"",""))</f>
        <v/>
      </c>
      <c r="M81" s="44" t="str">
        <f>IF($B81="","",SUMIFS(Kho_NL!$H$5:$H$304,Kho_NL!$A$5:$A$304,$B81))</f>
        <v/>
      </c>
      <c r="N81" s="44" t="str">
        <f t="shared" si="7"/>
        <v/>
      </c>
      <c r="O81" s="45" t="str">
        <f t="shared" si="8"/>
        <v/>
      </c>
      <c r="P81" s="44" t="str">
        <f>IF($B81="","",SUMIFS(TK_Nhap!$E$5:$E$1004,TK_Nhap!$D$5:$D$1004,$B81,TK_Nhap!$H$5:$H$1004,1))</f>
        <v/>
      </c>
      <c r="Q81" s="44" t="str">
        <f t="shared" si="9"/>
        <v/>
      </c>
    </row>
    <row r="82" spans="1:17" x14ac:dyDescent="0.25">
      <c r="A82" s="36" t="str">
        <f t="shared" si="5"/>
        <v/>
      </c>
      <c r="B82" s="35" t="str">
        <f>IFERROR(INDEX(DM_NL!$A$5:$A$304,MATCH(ROW()-10,DM_NL!$G$5:$G$304,0)),"")</f>
        <v/>
      </c>
      <c r="C82" s="35" t="str">
        <f>IF(B82="","",INDEX(DM_NL!$B$5:$B$304,MATCH(B82,DM_NL!$A$5:$A$304,0)))</f>
        <v/>
      </c>
      <c r="D82" s="35" t="str">
        <f>IF(B82="","",INDEX(DM_NL!$C$5:$C$304,MATCH(B82,DM_NL!$A$5:$A$304,0)))</f>
        <v/>
      </c>
      <c r="E82" s="39" t="str">
        <f>IF($B82="","",SUMIFS(Kho_NL!$B$5:$B$304,Kho_NL!$A$5:$A$304,$B82))</f>
        <v/>
      </c>
      <c r="F82" s="39" t="str">
        <f>IF($B82="","",SUMIFS(Kho_NL!$C$5:$C$304,Kho_NL!$A$5:$A$304,$B82))</f>
        <v/>
      </c>
      <c r="G82" s="39" t="str">
        <f>IF($B82="","",SUMIFS(Kho_NL!$D$5:$D$304,Kho_NL!$A$5:$A$304,$B82))</f>
        <v/>
      </c>
      <c r="H82" s="39" t="str">
        <f>IF($B82="","",SUMIFS(Kho_NL!$E$5:$E$304,Kho_NL!$A$5:$A$304,$B82))</f>
        <v/>
      </c>
      <c r="I82" s="39" t="str">
        <f>IF($B82="","",SUMIFS(Kho_NL!$F$5:$F$304,Kho_NL!$A$5:$A$304,$B82))</f>
        <v/>
      </c>
      <c r="J82" s="39" t="str">
        <f>IF($B82="","",SUMIFS(Kho_NL!$G$5:$G$304,Kho_NL!$A$5:$A$304,$B82))</f>
        <v/>
      </c>
      <c r="K82" s="39" t="str">
        <f t="shared" si="6"/>
        <v/>
      </c>
      <c r="L82" s="31" t="str">
        <f>IF($B82="","",IFERROR(INDEX(Kho_NL!$I$5:$I$304,MATCH(B82,Kho_NL!$A$5:$A$304,0))&amp;"",""))</f>
        <v/>
      </c>
      <c r="M82" s="44" t="str">
        <f>IF($B82="","",SUMIFS(Kho_NL!$H$5:$H$304,Kho_NL!$A$5:$A$304,$B82))</f>
        <v/>
      </c>
      <c r="N82" s="44" t="str">
        <f t="shared" si="7"/>
        <v/>
      </c>
      <c r="O82" s="45" t="str">
        <f t="shared" si="8"/>
        <v/>
      </c>
      <c r="P82" s="44" t="str">
        <f>IF($B82="","",SUMIFS(TK_Nhap!$E$5:$E$1004,TK_Nhap!$D$5:$D$1004,$B82,TK_Nhap!$H$5:$H$1004,1))</f>
        <v/>
      </c>
      <c r="Q82" s="44" t="str">
        <f t="shared" si="9"/>
        <v/>
      </c>
    </row>
    <row r="83" spans="1:17" x14ac:dyDescent="0.25">
      <c r="A83" s="36" t="str">
        <f t="shared" si="5"/>
        <v/>
      </c>
      <c r="B83" s="35" t="str">
        <f>IFERROR(INDEX(DM_NL!$A$5:$A$304,MATCH(ROW()-10,DM_NL!$G$5:$G$304,0)),"")</f>
        <v/>
      </c>
      <c r="C83" s="35" t="str">
        <f>IF(B83="","",INDEX(DM_NL!$B$5:$B$304,MATCH(B83,DM_NL!$A$5:$A$304,0)))</f>
        <v/>
      </c>
      <c r="D83" s="35" t="str">
        <f>IF(B83="","",INDEX(DM_NL!$C$5:$C$304,MATCH(B83,DM_NL!$A$5:$A$304,0)))</f>
        <v/>
      </c>
      <c r="E83" s="39" t="str">
        <f>IF($B83="","",SUMIFS(Kho_NL!$B$5:$B$304,Kho_NL!$A$5:$A$304,$B83))</f>
        <v/>
      </c>
      <c r="F83" s="39" t="str">
        <f>IF($B83="","",SUMIFS(Kho_NL!$C$5:$C$304,Kho_NL!$A$5:$A$304,$B83))</f>
        <v/>
      </c>
      <c r="G83" s="39" t="str">
        <f>IF($B83="","",SUMIFS(Kho_NL!$D$5:$D$304,Kho_NL!$A$5:$A$304,$B83))</f>
        <v/>
      </c>
      <c r="H83" s="39" t="str">
        <f>IF($B83="","",SUMIFS(Kho_NL!$E$5:$E$304,Kho_NL!$A$5:$A$304,$B83))</f>
        <v/>
      </c>
      <c r="I83" s="39" t="str">
        <f>IF($B83="","",SUMIFS(Kho_NL!$F$5:$F$304,Kho_NL!$A$5:$A$304,$B83))</f>
        <v/>
      </c>
      <c r="J83" s="39" t="str">
        <f>IF($B83="","",SUMIFS(Kho_NL!$G$5:$G$304,Kho_NL!$A$5:$A$304,$B83))</f>
        <v/>
      </c>
      <c r="K83" s="39" t="str">
        <f t="shared" si="6"/>
        <v/>
      </c>
      <c r="L83" s="31" t="str">
        <f>IF($B83="","",IFERROR(INDEX(Kho_NL!$I$5:$I$304,MATCH(B83,Kho_NL!$A$5:$A$304,0))&amp;"",""))</f>
        <v/>
      </c>
      <c r="M83" s="44" t="str">
        <f>IF($B83="","",SUMIFS(Kho_NL!$H$5:$H$304,Kho_NL!$A$5:$A$304,$B83))</f>
        <v/>
      </c>
      <c r="N83" s="44" t="str">
        <f t="shared" si="7"/>
        <v/>
      </c>
      <c r="O83" s="45" t="str">
        <f t="shared" si="8"/>
        <v/>
      </c>
      <c r="P83" s="44" t="str">
        <f>IF($B83="","",SUMIFS(TK_Nhap!$E$5:$E$1004,TK_Nhap!$D$5:$D$1004,$B83,TK_Nhap!$H$5:$H$1004,1))</f>
        <v/>
      </c>
      <c r="Q83" s="44" t="str">
        <f t="shared" si="9"/>
        <v/>
      </c>
    </row>
    <row r="84" spans="1:17" x14ac:dyDescent="0.25">
      <c r="A84" s="36" t="str">
        <f t="shared" si="5"/>
        <v/>
      </c>
      <c r="B84" s="35" t="str">
        <f>IFERROR(INDEX(DM_NL!$A$5:$A$304,MATCH(ROW()-10,DM_NL!$G$5:$G$304,0)),"")</f>
        <v/>
      </c>
      <c r="C84" s="35" t="str">
        <f>IF(B84="","",INDEX(DM_NL!$B$5:$B$304,MATCH(B84,DM_NL!$A$5:$A$304,0)))</f>
        <v/>
      </c>
      <c r="D84" s="35" t="str">
        <f>IF(B84="","",INDEX(DM_NL!$C$5:$C$304,MATCH(B84,DM_NL!$A$5:$A$304,0)))</f>
        <v/>
      </c>
      <c r="E84" s="39" t="str">
        <f>IF($B84="","",SUMIFS(Kho_NL!$B$5:$B$304,Kho_NL!$A$5:$A$304,$B84))</f>
        <v/>
      </c>
      <c r="F84" s="39" t="str">
        <f>IF($B84="","",SUMIFS(Kho_NL!$C$5:$C$304,Kho_NL!$A$5:$A$304,$B84))</f>
        <v/>
      </c>
      <c r="G84" s="39" t="str">
        <f>IF($B84="","",SUMIFS(Kho_NL!$D$5:$D$304,Kho_NL!$A$5:$A$304,$B84))</f>
        <v/>
      </c>
      <c r="H84" s="39" t="str">
        <f>IF($B84="","",SUMIFS(Kho_NL!$E$5:$E$304,Kho_NL!$A$5:$A$304,$B84))</f>
        <v/>
      </c>
      <c r="I84" s="39" t="str">
        <f>IF($B84="","",SUMIFS(Kho_NL!$F$5:$F$304,Kho_NL!$A$5:$A$304,$B84))</f>
        <v/>
      </c>
      <c r="J84" s="39" t="str">
        <f>IF($B84="","",SUMIFS(Kho_NL!$G$5:$G$304,Kho_NL!$A$5:$A$304,$B84))</f>
        <v/>
      </c>
      <c r="K84" s="39" t="str">
        <f t="shared" si="6"/>
        <v/>
      </c>
      <c r="L84" s="31" t="str">
        <f>IF($B84="","",IFERROR(INDEX(Kho_NL!$I$5:$I$304,MATCH(B84,Kho_NL!$A$5:$A$304,0))&amp;"",""))</f>
        <v/>
      </c>
      <c r="M84" s="44" t="str">
        <f>IF($B84="","",SUMIFS(Kho_NL!$H$5:$H$304,Kho_NL!$A$5:$A$304,$B84))</f>
        <v/>
      </c>
      <c r="N84" s="44" t="str">
        <f t="shared" si="7"/>
        <v/>
      </c>
      <c r="O84" s="45" t="str">
        <f t="shared" si="8"/>
        <v/>
      </c>
      <c r="P84" s="44" t="str">
        <f>IF($B84="","",SUMIFS(TK_Nhap!$E$5:$E$1004,TK_Nhap!$D$5:$D$1004,$B84,TK_Nhap!$H$5:$H$1004,1))</f>
        <v/>
      </c>
      <c r="Q84" s="44" t="str">
        <f t="shared" si="9"/>
        <v/>
      </c>
    </row>
    <row r="85" spans="1:17" x14ac:dyDescent="0.25">
      <c r="A85" s="36" t="str">
        <f t="shared" si="5"/>
        <v/>
      </c>
      <c r="B85" s="35" t="str">
        <f>IFERROR(INDEX(DM_NL!$A$5:$A$304,MATCH(ROW()-10,DM_NL!$G$5:$G$304,0)),"")</f>
        <v/>
      </c>
      <c r="C85" s="35" t="str">
        <f>IF(B85="","",INDEX(DM_NL!$B$5:$B$304,MATCH(B85,DM_NL!$A$5:$A$304,0)))</f>
        <v/>
      </c>
      <c r="D85" s="35" t="str">
        <f>IF(B85="","",INDEX(DM_NL!$C$5:$C$304,MATCH(B85,DM_NL!$A$5:$A$304,0)))</f>
        <v/>
      </c>
      <c r="E85" s="39" t="str">
        <f>IF($B85="","",SUMIFS(Kho_NL!$B$5:$B$304,Kho_NL!$A$5:$A$304,$B85))</f>
        <v/>
      </c>
      <c r="F85" s="39" t="str">
        <f>IF($B85="","",SUMIFS(Kho_NL!$C$5:$C$304,Kho_NL!$A$5:$A$304,$B85))</f>
        <v/>
      </c>
      <c r="G85" s="39" t="str">
        <f>IF($B85="","",SUMIFS(Kho_NL!$D$5:$D$304,Kho_NL!$A$5:$A$304,$B85))</f>
        <v/>
      </c>
      <c r="H85" s="39" t="str">
        <f>IF($B85="","",SUMIFS(Kho_NL!$E$5:$E$304,Kho_NL!$A$5:$A$304,$B85))</f>
        <v/>
      </c>
      <c r="I85" s="39" t="str">
        <f>IF($B85="","",SUMIFS(Kho_NL!$F$5:$F$304,Kho_NL!$A$5:$A$304,$B85))</f>
        <v/>
      </c>
      <c r="J85" s="39" t="str">
        <f>IF($B85="","",SUMIFS(Kho_NL!$G$5:$G$304,Kho_NL!$A$5:$A$304,$B85))</f>
        <v/>
      </c>
      <c r="K85" s="39" t="str">
        <f t="shared" si="6"/>
        <v/>
      </c>
      <c r="L85" s="31" t="str">
        <f>IF($B85="","",IFERROR(INDEX(Kho_NL!$I$5:$I$304,MATCH(B85,Kho_NL!$A$5:$A$304,0))&amp;"",""))</f>
        <v/>
      </c>
      <c r="M85" s="44" t="str">
        <f>IF($B85="","",SUMIFS(Kho_NL!$H$5:$H$304,Kho_NL!$A$5:$A$304,$B85))</f>
        <v/>
      </c>
      <c r="N85" s="44" t="str">
        <f t="shared" si="7"/>
        <v/>
      </c>
      <c r="O85" s="45" t="str">
        <f t="shared" si="8"/>
        <v/>
      </c>
      <c r="P85" s="44" t="str">
        <f>IF($B85="","",SUMIFS(TK_Nhap!$E$5:$E$1004,TK_Nhap!$D$5:$D$1004,$B85,TK_Nhap!$H$5:$H$1004,1))</f>
        <v/>
      </c>
      <c r="Q85" s="44" t="str">
        <f t="shared" si="9"/>
        <v/>
      </c>
    </row>
    <row r="86" spans="1:17" x14ac:dyDescent="0.25">
      <c r="A86" s="36" t="str">
        <f t="shared" si="5"/>
        <v/>
      </c>
      <c r="B86" s="35" t="str">
        <f>IFERROR(INDEX(DM_NL!$A$5:$A$304,MATCH(ROW()-10,DM_NL!$G$5:$G$304,0)),"")</f>
        <v/>
      </c>
      <c r="C86" s="35" t="str">
        <f>IF(B86="","",INDEX(DM_NL!$B$5:$B$304,MATCH(B86,DM_NL!$A$5:$A$304,0)))</f>
        <v/>
      </c>
      <c r="D86" s="35" t="str">
        <f>IF(B86="","",INDEX(DM_NL!$C$5:$C$304,MATCH(B86,DM_NL!$A$5:$A$304,0)))</f>
        <v/>
      </c>
      <c r="E86" s="39" t="str">
        <f>IF($B86="","",SUMIFS(Kho_NL!$B$5:$B$304,Kho_NL!$A$5:$A$304,$B86))</f>
        <v/>
      </c>
      <c r="F86" s="39" t="str">
        <f>IF($B86="","",SUMIFS(Kho_NL!$C$5:$C$304,Kho_NL!$A$5:$A$304,$B86))</f>
        <v/>
      </c>
      <c r="G86" s="39" t="str">
        <f>IF($B86="","",SUMIFS(Kho_NL!$D$5:$D$304,Kho_NL!$A$5:$A$304,$B86))</f>
        <v/>
      </c>
      <c r="H86" s="39" t="str">
        <f>IF($B86="","",SUMIFS(Kho_NL!$E$5:$E$304,Kho_NL!$A$5:$A$304,$B86))</f>
        <v/>
      </c>
      <c r="I86" s="39" t="str">
        <f>IF($B86="","",SUMIFS(Kho_NL!$F$5:$F$304,Kho_NL!$A$5:$A$304,$B86))</f>
        <v/>
      </c>
      <c r="J86" s="39" t="str">
        <f>IF($B86="","",SUMIFS(Kho_NL!$G$5:$G$304,Kho_NL!$A$5:$A$304,$B86))</f>
        <v/>
      </c>
      <c r="K86" s="39" t="str">
        <f t="shared" si="6"/>
        <v/>
      </c>
      <c r="L86" s="31" t="str">
        <f>IF($B86="","",IFERROR(INDEX(Kho_NL!$I$5:$I$304,MATCH(B86,Kho_NL!$A$5:$A$304,0))&amp;"",""))</f>
        <v/>
      </c>
      <c r="M86" s="44" t="str">
        <f>IF($B86="","",SUMIFS(Kho_NL!$H$5:$H$304,Kho_NL!$A$5:$A$304,$B86))</f>
        <v/>
      </c>
      <c r="N86" s="44" t="str">
        <f t="shared" si="7"/>
        <v/>
      </c>
      <c r="O86" s="45" t="str">
        <f t="shared" si="8"/>
        <v/>
      </c>
      <c r="P86" s="44" t="str">
        <f>IF($B86="","",SUMIFS(TK_Nhap!$E$5:$E$1004,TK_Nhap!$D$5:$D$1004,$B86,TK_Nhap!$H$5:$H$1004,1))</f>
        <v/>
      </c>
      <c r="Q86" s="44" t="str">
        <f t="shared" si="9"/>
        <v/>
      </c>
    </row>
    <row r="87" spans="1:17" x14ac:dyDescent="0.25">
      <c r="A87" s="36" t="str">
        <f t="shared" si="5"/>
        <v/>
      </c>
      <c r="B87" s="35" t="str">
        <f>IFERROR(INDEX(DM_NL!$A$5:$A$304,MATCH(ROW()-10,DM_NL!$G$5:$G$304,0)),"")</f>
        <v/>
      </c>
      <c r="C87" s="35" t="str">
        <f>IF(B87="","",INDEX(DM_NL!$B$5:$B$304,MATCH(B87,DM_NL!$A$5:$A$304,0)))</f>
        <v/>
      </c>
      <c r="D87" s="35" t="str">
        <f>IF(B87="","",INDEX(DM_NL!$C$5:$C$304,MATCH(B87,DM_NL!$A$5:$A$304,0)))</f>
        <v/>
      </c>
      <c r="E87" s="39" t="str">
        <f>IF($B87="","",SUMIFS(Kho_NL!$B$5:$B$304,Kho_NL!$A$5:$A$304,$B87))</f>
        <v/>
      </c>
      <c r="F87" s="39" t="str">
        <f>IF($B87="","",SUMIFS(Kho_NL!$C$5:$C$304,Kho_NL!$A$5:$A$304,$B87))</f>
        <v/>
      </c>
      <c r="G87" s="39" t="str">
        <f>IF($B87="","",SUMIFS(Kho_NL!$D$5:$D$304,Kho_NL!$A$5:$A$304,$B87))</f>
        <v/>
      </c>
      <c r="H87" s="39" t="str">
        <f>IF($B87="","",SUMIFS(Kho_NL!$E$5:$E$304,Kho_NL!$A$5:$A$304,$B87))</f>
        <v/>
      </c>
      <c r="I87" s="39" t="str">
        <f>IF($B87="","",SUMIFS(Kho_NL!$F$5:$F$304,Kho_NL!$A$5:$A$304,$B87))</f>
        <v/>
      </c>
      <c r="J87" s="39" t="str">
        <f>IF($B87="","",SUMIFS(Kho_NL!$G$5:$G$304,Kho_NL!$A$5:$A$304,$B87))</f>
        <v/>
      </c>
      <c r="K87" s="39" t="str">
        <f t="shared" si="6"/>
        <v/>
      </c>
      <c r="L87" s="31" t="str">
        <f>IF($B87="","",IFERROR(INDEX(Kho_NL!$I$5:$I$304,MATCH(B87,Kho_NL!$A$5:$A$304,0))&amp;"",""))</f>
        <v/>
      </c>
      <c r="M87" s="44" t="str">
        <f>IF($B87="","",SUMIFS(Kho_NL!$H$5:$H$304,Kho_NL!$A$5:$A$304,$B87))</f>
        <v/>
      </c>
      <c r="N87" s="44" t="str">
        <f t="shared" si="7"/>
        <v/>
      </c>
      <c r="O87" s="45" t="str">
        <f t="shared" si="8"/>
        <v/>
      </c>
      <c r="P87" s="44" t="str">
        <f>IF($B87="","",SUMIFS(TK_Nhap!$E$5:$E$1004,TK_Nhap!$D$5:$D$1004,$B87,TK_Nhap!$H$5:$H$1004,1))</f>
        <v/>
      </c>
      <c r="Q87" s="44" t="str">
        <f t="shared" si="9"/>
        <v/>
      </c>
    </row>
    <row r="88" spans="1:17" x14ac:dyDescent="0.25">
      <c r="A88" s="36" t="str">
        <f t="shared" si="5"/>
        <v/>
      </c>
      <c r="B88" s="35" t="str">
        <f>IFERROR(INDEX(DM_NL!$A$5:$A$304,MATCH(ROW()-10,DM_NL!$G$5:$G$304,0)),"")</f>
        <v/>
      </c>
      <c r="C88" s="35" t="str">
        <f>IF(B88="","",INDEX(DM_NL!$B$5:$B$304,MATCH(B88,DM_NL!$A$5:$A$304,0)))</f>
        <v/>
      </c>
      <c r="D88" s="35" t="str">
        <f>IF(B88="","",INDEX(DM_NL!$C$5:$C$304,MATCH(B88,DM_NL!$A$5:$A$304,0)))</f>
        <v/>
      </c>
      <c r="E88" s="39" t="str">
        <f>IF($B88="","",SUMIFS(Kho_NL!$B$5:$B$304,Kho_NL!$A$5:$A$304,$B88))</f>
        <v/>
      </c>
      <c r="F88" s="39" t="str">
        <f>IF($B88="","",SUMIFS(Kho_NL!$C$5:$C$304,Kho_NL!$A$5:$A$304,$B88))</f>
        <v/>
      </c>
      <c r="G88" s="39" t="str">
        <f>IF($B88="","",SUMIFS(Kho_NL!$D$5:$D$304,Kho_NL!$A$5:$A$304,$B88))</f>
        <v/>
      </c>
      <c r="H88" s="39" t="str">
        <f>IF($B88="","",SUMIFS(Kho_NL!$E$5:$E$304,Kho_NL!$A$5:$A$304,$B88))</f>
        <v/>
      </c>
      <c r="I88" s="39" t="str">
        <f>IF($B88="","",SUMIFS(Kho_NL!$F$5:$F$304,Kho_NL!$A$5:$A$304,$B88))</f>
        <v/>
      </c>
      <c r="J88" s="39" t="str">
        <f>IF($B88="","",SUMIFS(Kho_NL!$G$5:$G$304,Kho_NL!$A$5:$A$304,$B88))</f>
        <v/>
      </c>
      <c r="K88" s="39" t="str">
        <f t="shared" si="6"/>
        <v/>
      </c>
      <c r="L88" s="31" t="str">
        <f>IF($B88="","",IFERROR(INDEX(Kho_NL!$I$5:$I$304,MATCH(B88,Kho_NL!$A$5:$A$304,0))&amp;"",""))</f>
        <v/>
      </c>
      <c r="M88" s="44" t="str">
        <f>IF($B88="","",SUMIFS(Kho_NL!$H$5:$H$304,Kho_NL!$A$5:$A$304,$B88))</f>
        <v/>
      </c>
      <c r="N88" s="44" t="str">
        <f t="shared" si="7"/>
        <v/>
      </c>
      <c r="O88" s="45" t="str">
        <f t="shared" si="8"/>
        <v/>
      </c>
      <c r="P88" s="44" t="str">
        <f>IF($B88="","",SUMIFS(TK_Nhap!$E$5:$E$1004,TK_Nhap!$D$5:$D$1004,$B88,TK_Nhap!$H$5:$H$1004,1))</f>
        <v/>
      </c>
      <c r="Q88" s="44" t="str">
        <f t="shared" si="9"/>
        <v/>
      </c>
    </row>
    <row r="89" spans="1:17" x14ac:dyDescent="0.25">
      <c r="A89" s="36" t="str">
        <f t="shared" si="5"/>
        <v/>
      </c>
      <c r="B89" s="35" t="str">
        <f>IFERROR(INDEX(DM_NL!$A$5:$A$304,MATCH(ROW()-10,DM_NL!$G$5:$G$304,0)),"")</f>
        <v/>
      </c>
      <c r="C89" s="35" t="str">
        <f>IF(B89="","",INDEX(DM_NL!$B$5:$B$304,MATCH(B89,DM_NL!$A$5:$A$304,0)))</f>
        <v/>
      </c>
      <c r="D89" s="35" t="str">
        <f>IF(B89="","",INDEX(DM_NL!$C$5:$C$304,MATCH(B89,DM_NL!$A$5:$A$304,0)))</f>
        <v/>
      </c>
      <c r="E89" s="39" t="str">
        <f>IF($B89="","",SUMIFS(Kho_NL!$B$5:$B$304,Kho_NL!$A$5:$A$304,$B89))</f>
        <v/>
      </c>
      <c r="F89" s="39" t="str">
        <f>IF($B89="","",SUMIFS(Kho_NL!$C$5:$C$304,Kho_NL!$A$5:$A$304,$B89))</f>
        <v/>
      </c>
      <c r="G89" s="39" t="str">
        <f>IF($B89="","",SUMIFS(Kho_NL!$D$5:$D$304,Kho_NL!$A$5:$A$304,$B89))</f>
        <v/>
      </c>
      <c r="H89" s="39" t="str">
        <f>IF($B89="","",SUMIFS(Kho_NL!$E$5:$E$304,Kho_NL!$A$5:$A$304,$B89))</f>
        <v/>
      </c>
      <c r="I89" s="39" t="str">
        <f>IF($B89="","",SUMIFS(Kho_NL!$F$5:$F$304,Kho_NL!$A$5:$A$304,$B89))</f>
        <v/>
      </c>
      <c r="J89" s="39" t="str">
        <f>IF($B89="","",SUMIFS(Kho_NL!$G$5:$G$304,Kho_NL!$A$5:$A$304,$B89))</f>
        <v/>
      </c>
      <c r="K89" s="39" t="str">
        <f t="shared" si="6"/>
        <v/>
      </c>
      <c r="L89" s="31" t="str">
        <f>IF($B89="","",IFERROR(INDEX(Kho_NL!$I$5:$I$304,MATCH(B89,Kho_NL!$A$5:$A$304,0))&amp;"",""))</f>
        <v/>
      </c>
      <c r="M89" s="44" t="str">
        <f>IF($B89="","",SUMIFS(Kho_NL!$H$5:$H$304,Kho_NL!$A$5:$A$304,$B89))</f>
        <v/>
      </c>
      <c r="N89" s="44" t="str">
        <f t="shared" si="7"/>
        <v/>
      </c>
      <c r="O89" s="45" t="str">
        <f t="shared" si="8"/>
        <v/>
      </c>
      <c r="P89" s="44" t="str">
        <f>IF($B89="","",SUMIFS(TK_Nhap!$E$5:$E$1004,TK_Nhap!$D$5:$D$1004,$B89,TK_Nhap!$H$5:$H$1004,1))</f>
        <v/>
      </c>
      <c r="Q89" s="44" t="str">
        <f t="shared" si="9"/>
        <v/>
      </c>
    </row>
    <row r="90" spans="1:17" x14ac:dyDescent="0.25">
      <c r="A90" s="36" t="str">
        <f t="shared" si="5"/>
        <v/>
      </c>
      <c r="B90" s="35" t="str">
        <f>IFERROR(INDEX(DM_NL!$A$5:$A$304,MATCH(ROW()-10,DM_NL!$G$5:$G$304,0)),"")</f>
        <v/>
      </c>
      <c r="C90" s="35" t="str">
        <f>IF(B90="","",INDEX(DM_NL!$B$5:$B$304,MATCH(B90,DM_NL!$A$5:$A$304,0)))</f>
        <v/>
      </c>
      <c r="D90" s="35" t="str">
        <f>IF(B90="","",INDEX(DM_NL!$C$5:$C$304,MATCH(B90,DM_NL!$A$5:$A$304,0)))</f>
        <v/>
      </c>
      <c r="E90" s="39" t="str">
        <f>IF($B90="","",SUMIFS(Kho_NL!$B$5:$B$304,Kho_NL!$A$5:$A$304,$B90))</f>
        <v/>
      </c>
      <c r="F90" s="39" t="str">
        <f>IF($B90="","",SUMIFS(Kho_NL!$C$5:$C$304,Kho_NL!$A$5:$A$304,$B90))</f>
        <v/>
      </c>
      <c r="G90" s="39" t="str">
        <f>IF($B90="","",SUMIFS(Kho_NL!$D$5:$D$304,Kho_NL!$A$5:$A$304,$B90))</f>
        <v/>
      </c>
      <c r="H90" s="39" t="str">
        <f>IF($B90="","",SUMIFS(Kho_NL!$E$5:$E$304,Kho_NL!$A$5:$A$304,$B90))</f>
        <v/>
      </c>
      <c r="I90" s="39" t="str">
        <f>IF($B90="","",SUMIFS(Kho_NL!$F$5:$F$304,Kho_NL!$A$5:$A$304,$B90))</f>
        <v/>
      </c>
      <c r="J90" s="39" t="str">
        <f>IF($B90="","",SUMIFS(Kho_NL!$G$5:$G$304,Kho_NL!$A$5:$A$304,$B90))</f>
        <v/>
      </c>
      <c r="K90" s="39" t="str">
        <f t="shared" si="6"/>
        <v/>
      </c>
      <c r="L90" s="31" t="str">
        <f>IF($B90="","",IFERROR(INDEX(Kho_NL!$I$5:$I$304,MATCH(B90,Kho_NL!$A$5:$A$304,0))&amp;"",""))</f>
        <v/>
      </c>
      <c r="M90" s="44" t="str">
        <f>IF($B90="","",SUMIFS(Kho_NL!$H$5:$H$304,Kho_NL!$A$5:$A$304,$B90))</f>
        <v/>
      </c>
      <c r="N90" s="44" t="str">
        <f t="shared" si="7"/>
        <v/>
      </c>
      <c r="O90" s="45" t="str">
        <f t="shared" si="8"/>
        <v/>
      </c>
      <c r="P90" s="44" t="str">
        <f>IF($B90="","",SUMIFS(TK_Nhap!$E$5:$E$1004,TK_Nhap!$D$5:$D$1004,$B90,TK_Nhap!$H$5:$H$1004,1))</f>
        <v/>
      </c>
      <c r="Q90" s="44" t="str">
        <f t="shared" si="9"/>
        <v/>
      </c>
    </row>
    <row r="91" spans="1:17" x14ac:dyDescent="0.25">
      <c r="A91" s="36" t="str">
        <f t="shared" si="5"/>
        <v/>
      </c>
      <c r="B91" s="35" t="str">
        <f>IFERROR(INDEX(DM_NL!$A$5:$A$304,MATCH(ROW()-10,DM_NL!$G$5:$G$304,0)),"")</f>
        <v/>
      </c>
      <c r="C91" s="35" t="str">
        <f>IF(B91="","",INDEX(DM_NL!$B$5:$B$304,MATCH(B91,DM_NL!$A$5:$A$304,0)))</f>
        <v/>
      </c>
      <c r="D91" s="35" t="str">
        <f>IF(B91="","",INDEX(DM_NL!$C$5:$C$304,MATCH(B91,DM_NL!$A$5:$A$304,0)))</f>
        <v/>
      </c>
      <c r="E91" s="39" t="str">
        <f>IF($B91="","",SUMIFS(Kho_NL!$B$5:$B$304,Kho_NL!$A$5:$A$304,$B91))</f>
        <v/>
      </c>
      <c r="F91" s="39" t="str">
        <f>IF($B91="","",SUMIFS(Kho_NL!$C$5:$C$304,Kho_NL!$A$5:$A$304,$B91))</f>
        <v/>
      </c>
      <c r="G91" s="39" t="str">
        <f>IF($B91="","",SUMIFS(Kho_NL!$D$5:$D$304,Kho_NL!$A$5:$A$304,$B91))</f>
        <v/>
      </c>
      <c r="H91" s="39" t="str">
        <f>IF($B91="","",SUMIFS(Kho_NL!$E$5:$E$304,Kho_NL!$A$5:$A$304,$B91))</f>
        <v/>
      </c>
      <c r="I91" s="39" t="str">
        <f>IF($B91="","",SUMIFS(Kho_NL!$F$5:$F$304,Kho_NL!$A$5:$A$304,$B91))</f>
        <v/>
      </c>
      <c r="J91" s="39" t="str">
        <f>IF($B91="","",SUMIFS(Kho_NL!$G$5:$G$304,Kho_NL!$A$5:$A$304,$B91))</f>
        <v/>
      </c>
      <c r="K91" s="39" t="str">
        <f t="shared" si="6"/>
        <v/>
      </c>
      <c r="L91" s="31" t="str">
        <f>IF($B91="","",IFERROR(INDEX(Kho_NL!$I$5:$I$304,MATCH(B91,Kho_NL!$A$5:$A$304,0))&amp;"",""))</f>
        <v/>
      </c>
      <c r="M91" s="44" t="str">
        <f>IF($B91="","",SUMIFS(Kho_NL!$H$5:$H$304,Kho_NL!$A$5:$A$304,$B91))</f>
        <v/>
      </c>
      <c r="N91" s="44" t="str">
        <f t="shared" si="7"/>
        <v/>
      </c>
      <c r="O91" s="45" t="str">
        <f t="shared" si="8"/>
        <v/>
      </c>
      <c r="P91" s="44" t="str">
        <f>IF($B91="","",SUMIFS(TK_Nhap!$E$5:$E$1004,TK_Nhap!$D$5:$D$1004,$B91,TK_Nhap!$H$5:$H$1004,1))</f>
        <v/>
      </c>
      <c r="Q91" s="44" t="str">
        <f t="shared" si="9"/>
        <v/>
      </c>
    </row>
    <row r="92" spans="1:17" x14ac:dyDescent="0.25">
      <c r="A92" s="36" t="str">
        <f t="shared" si="5"/>
        <v/>
      </c>
      <c r="B92" s="35" t="str">
        <f>IFERROR(INDEX(DM_NL!$A$5:$A$304,MATCH(ROW()-10,DM_NL!$G$5:$G$304,0)),"")</f>
        <v/>
      </c>
      <c r="C92" s="35" t="str">
        <f>IF(B92="","",INDEX(DM_NL!$B$5:$B$304,MATCH(B92,DM_NL!$A$5:$A$304,0)))</f>
        <v/>
      </c>
      <c r="D92" s="35" t="str">
        <f>IF(B92="","",INDEX(DM_NL!$C$5:$C$304,MATCH(B92,DM_NL!$A$5:$A$304,0)))</f>
        <v/>
      </c>
      <c r="E92" s="39" t="str">
        <f>IF($B92="","",SUMIFS(Kho_NL!$B$5:$B$304,Kho_NL!$A$5:$A$304,$B92))</f>
        <v/>
      </c>
      <c r="F92" s="39" t="str">
        <f>IF($B92="","",SUMIFS(Kho_NL!$C$5:$C$304,Kho_NL!$A$5:$A$304,$B92))</f>
        <v/>
      </c>
      <c r="G92" s="39" t="str">
        <f>IF($B92="","",SUMIFS(Kho_NL!$D$5:$D$304,Kho_NL!$A$5:$A$304,$B92))</f>
        <v/>
      </c>
      <c r="H92" s="39" t="str">
        <f>IF($B92="","",SUMIFS(Kho_NL!$E$5:$E$304,Kho_NL!$A$5:$A$304,$B92))</f>
        <v/>
      </c>
      <c r="I92" s="39" t="str">
        <f>IF($B92="","",SUMIFS(Kho_NL!$F$5:$F$304,Kho_NL!$A$5:$A$304,$B92))</f>
        <v/>
      </c>
      <c r="J92" s="39" t="str">
        <f>IF($B92="","",SUMIFS(Kho_NL!$G$5:$G$304,Kho_NL!$A$5:$A$304,$B92))</f>
        <v/>
      </c>
      <c r="K92" s="39" t="str">
        <f t="shared" si="6"/>
        <v/>
      </c>
      <c r="L92" s="31" t="str">
        <f>IF($B92="","",IFERROR(INDEX(Kho_NL!$I$5:$I$304,MATCH(B92,Kho_NL!$A$5:$A$304,0))&amp;"",""))</f>
        <v/>
      </c>
      <c r="M92" s="44" t="str">
        <f>IF($B92="","",SUMIFS(Kho_NL!$H$5:$H$304,Kho_NL!$A$5:$A$304,$B92))</f>
        <v/>
      </c>
      <c r="N92" s="44" t="str">
        <f t="shared" si="7"/>
        <v/>
      </c>
      <c r="O92" s="45" t="str">
        <f t="shared" si="8"/>
        <v/>
      </c>
      <c r="P92" s="44" t="str">
        <f>IF($B92="","",SUMIFS(TK_Nhap!$E$5:$E$1004,TK_Nhap!$D$5:$D$1004,$B92,TK_Nhap!$H$5:$H$1004,1))</f>
        <v/>
      </c>
      <c r="Q92" s="44" t="str">
        <f t="shared" si="9"/>
        <v/>
      </c>
    </row>
    <row r="93" spans="1:17" x14ac:dyDescent="0.25">
      <c r="A93" s="36" t="str">
        <f t="shared" si="5"/>
        <v/>
      </c>
      <c r="B93" s="35" t="str">
        <f>IFERROR(INDEX(DM_NL!$A$5:$A$304,MATCH(ROW()-10,DM_NL!$G$5:$G$304,0)),"")</f>
        <v/>
      </c>
      <c r="C93" s="35" t="str">
        <f>IF(B93="","",INDEX(DM_NL!$B$5:$B$304,MATCH(B93,DM_NL!$A$5:$A$304,0)))</f>
        <v/>
      </c>
      <c r="D93" s="35" t="str">
        <f>IF(B93="","",INDEX(DM_NL!$C$5:$C$304,MATCH(B93,DM_NL!$A$5:$A$304,0)))</f>
        <v/>
      </c>
      <c r="E93" s="39" t="str">
        <f>IF($B93="","",SUMIFS(Kho_NL!$B$5:$B$304,Kho_NL!$A$5:$A$304,$B93))</f>
        <v/>
      </c>
      <c r="F93" s="39" t="str">
        <f>IF($B93="","",SUMIFS(Kho_NL!$C$5:$C$304,Kho_NL!$A$5:$A$304,$B93))</f>
        <v/>
      </c>
      <c r="G93" s="39" t="str">
        <f>IF($B93="","",SUMIFS(Kho_NL!$D$5:$D$304,Kho_NL!$A$5:$A$304,$B93))</f>
        <v/>
      </c>
      <c r="H93" s="39" t="str">
        <f>IF($B93="","",SUMIFS(Kho_NL!$E$5:$E$304,Kho_NL!$A$5:$A$304,$B93))</f>
        <v/>
      </c>
      <c r="I93" s="39" t="str">
        <f>IF($B93="","",SUMIFS(Kho_NL!$F$5:$F$304,Kho_NL!$A$5:$A$304,$B93))</f>
        <v/>
      </c>
      <c r="J93" s="39" t="str">
        <f>IF($B93="","",SUMIFS(Kho_NL!$G$5:$G$304,Kho_NL!$A$5:$A$304,$B93))</f>
        <v/>
      </c>
      <c r="K93" s="39" t="str">
        <f t="shared" si="6"/>
        <v/>
      </c>
      <c r="L93" s="31" t="str">
        <f>IF($B93="","",IFERROR(INDEX(Kho_NL!$I$5:$I$304,MATCH(B93,Kho_NL!$A$5:$A$304,0))&amp;"",""))</f>
        <v/>
      </c>
      <c r="M93" s="44" t="str">
        <f>IF($B93="","",SUMIFS(Kho_NL!$H$5:$H$304,Kho_NL!$A$5:$A$304,$B93))</f>
        <v/>
      </c>
      <c r="N93" s="44" t="str">
        <f t="shared" si="7"/>
        <v/>
      </c>
      <c r="O93" s="45" t="str">
        <f t="shared" si="8"/>
        <v/>
      </c>
      <c r="P93" s="44" t="str">
        <f>IF($B93="","",SUMIFS(TK_Nhap!$E$5:$E$1004,TK_Nhap!$D$5:$D$1004,$B93,TK_Nhap!$H$5:$H$1004,1))</f>
        <v/>
      </c>
      <c r="Q93" s="44" t="str">
        <f t="shared" si="9"/>
        <v/>
      </c>
    </row>
    <row r="94" spans="1:17" x14ac:dyDescent="0.25">
      <c r="A94" s="36" t="str">
        <f t="shared" si="5"/>
        <v/>
      </c>
      <c r="B94" s="35" t="str">
        <f>IFERROR(INDEX(DM_NL!$A$5:$A$304,MATCH(ROW()-10,DM_NL!$G$5:$G$304,0)),"")</f>
        <v/>
      </c>
      <c r="C94" s="35" t="str">
        <f>IF(B94="","",INDEX(DM_NL!$B$5:$B$304,MATCH(B94,DM_NL!$A$5:$A$304,0)))</f>
        <v/>
      </c>
      <c r="D94" s="35" t="str">
        <f>IF(B94="","",INDEX(DM_NL!$C$5:$C$304,MATCH(B94,DM_NL!$A$5:$A$304,0)))</f>
        <v/>
      </c>
      <c r="E94" s="39" t="str">
        <f>IF($B94="","",SUMIFS(Kho_NL!$B$5:$B$304,Kho_NL!$A$5:$A$304,$B94))</f>
        <v/>
      </c>
      <c r="F94" s="39" t="str">
        <f>IF($B94="","",SUMIFS(Kho_NL!$C$5:$C$304,Kho_NL!$A$5:$A$304,$B94))</f>
        <v/>
      </c>
      <c r="G94" s="39" t="str">
        <f>IF($B94="","",SUMIFS(Kho_NL!$D$5:$D$304,Kho_NL!$A$5:$A$304,$B94))</f>
        <v/>
      </c>
      <c r="H94" s="39" t="str">
        <f>IF($B94="","",SUMIFS(Kho_NL!$E$5:$E$304,Kho_NL!$A$5:$A$304,$B94))</f>
        <v/>
      </c>
      <c r="I94" s="39" t="str">
        <f>IF($B94="","",SUMIFS(Kho_NL!$F$5:$F$304,Kho_NL!$A$5:$A$304,$B94))</f>
        <v/>
      </c>
      <c r="J94" s="39" t="str">
        <f>IF($B94="","",SUMIFS(Kho_NL!$G$5:$G$304,Kho_NL!$A$5:$A$304,$B94))</f>
        <v/>
      </c>
      <c r="K94" s="39" t="str">
        <f t="shared" si="6"/>
        <v/>
      </c>
      <c r="L94" s="31" t="str">
        <f>IF($B94="","",IFERROR(INDEX(Kho_NL!$I$5:$I$304,MATCH(B94,Kho_NL!$A$5:$A$304,0))&amp;"",""))</f>
        <v/>
      </c>
      <c r="M94" s="44" t="str">
        <f>IF($B94="","",SUMIFS(Kho_NL!$H$5:$H$304,Kho_NL!$A$5:$A$304,$B94))</f>
        <v/>
      </c>
      <c r="N94" s="44" t="str">
        <f t="shared" si="7"/>
        <v/>
      </c>
      <c r="O94" s="45" t="str">
        <f t="shared" si="8"/>
        <v/>
      </c>
      <c r="P94" s="44" t="str">
        <f>IF($B94="","",SUMIFS(TK_Nhap!$E$5:$E$1004,TK_Nhap!$D$5:$D$1004,$B94,TK_Nhap!$H$5:$H$1004,1))</f>
        <v/>
      </c>
      <c r="Q94" s="44" t="str">
        <f t="shared" si="9"/>
        <v/>
      </c>
    </row>
    <row r="95" spans="1:17" x14ac:dyDescent="0.25">
      <c r="A95" s="36" t="str">
        <f t="shared" si="5"/>
        <v/>
      </c>
      <c r="B95" s="35" t="str">
        <f>IFERROR(INDEX(DM_NL!$A$5:$A$304,MATCH(ROW()-10,DM_NL!$G$5:$G$304,0)),"")</f>
        <v/>
      </c>
      <c r="C95" s="35" t="str">
        <f>IF(B95="","",INDEX(DM_NL!$B$5:$B$304,MATCH(B95,DM_NL!$A$5:$A$304,0)))</f>
        <v/>
      </c>
      <c r="D95" s="35" t="str">
        <f>IF(B95="","",INDEX(DM_NL!$C$5:$C$304,MATCH(B95,DM_NL!$A$5:$A$304,0)))</f>
        <v/>
      </c>
      <c r="E95" s="39" t="str">
        <f>IF($B95="","",SUMIFS(Kho_NL!$B$5:$B$304,Kho_NL!$A$5:$A$304,$B95))</f>
        <v/>
      </c>
      <c r="F95" s="39" t="str">
        <f>IF($B95="","",SUMIFS(Kho_NL!$C$5:$C$304,Kho_NL!$A$5:$A$304,$B95))</f>
        <v/>
      </c>
      <c r="G95" s="39" t="str">
        <f>IF($B95="","",SUMIFS(Kho_NL!$D$5:$D$304,Kho_NL!$A$5:$A$304,$B95))</f>
        <v/>
      </c>
      <c r="H95" s="39" t="str">
        <f>IF($B95="","",SUMIFS(Kho_NL!$E$5:$E$304,Kho_NL!$A$5:$A$304,$B95))</f>
        <v/>
      </c>
      <c r="I95" s="39" t="str">
        <f>IF($B95="","",SUMIFS(Kho_NL!$F$5:$F$304,Kho_NL!$A$5:$A$304,$B95))</f>
        <v/>
      </c>
      <c r="J95" s="39" t="str">
        <f>IF($B95="","",SUMIFS(Kho_NL!$G$5:$G$304,Kho_NL!$A$5:$A$304,$B95))</f>
        <v/>
      </c>
      <c r="K95" s="39" t="str">
        <f t="shared" si="6"/>
        <v/>
      </c>
      <c r="L95" s="31" t="str">
        <f>IF($B95="","",IFERROR(INDEX(Kho_NL!$I$5:$I$304,MATCH(B95,Kho_NL!$A$5:$A$304,0))&amp;"",""))</f>
        <v/>
      </c>
      <c r="M95" s="44" t="str">
        <f>IF($B95="","",SUMIFS(Kho_NL!$H$5:$H$304,Kho_NL!$A$5:$A$304,$B95))</f>
        <v/>
      </c>
      <c r="N95" s="44" t="str">
        <f t="shared" si="7"/>
        <v/>
      </c>
      <c r="O95" s="45" t="str">
        <f t="shared" si="8"/>
        <v/>
      </c>
      <c r="P95" s="44" t="str">
        <f>IF($B95="","",SUMIFS(TK_Nhap!$E$5:$E$1004,TK_Nhap!$D$5:$D$1004,$B95,TK_Nhap!$H$5:$H$1004,1))</f>
        <v/>
      </c>
      <c r="Q95" s="44" t="str">
        <f t="shared" si="9"/>
        <v/>
      </c>
    </row>
    <row r="96" spans="1:17" x14ac:dyDescent="0.25">
      <c r="A96" s="36" t="str">
        <f t="shared" si="5"/>
        <v/>
      </c>
      <c r="B96" s="35" t="str">
        <f>IFERROR(INDEX(DM_NL!$A$5:$A$304,MATCH(ROW()-10,DM_NL!$G$5:$G$304,0)),"")</f>
        <v/>
      </c>
      <c r="C96" s="35" t="str">
        <f>IF(B96="","",INDEX(DM_NL!$B$5:$B$304,MATCH(B96,DM_NL!$A$5:$A$304,0)))</f>
        <v/>
      </c>
      <c r="D96" s="35" t="str">
        <f>IF(B96="","",INDEX(DM_NL!$C$5:$C$304,MATCH(B96,DM_NL!$A$5:$A$304,0)))</f>
        <v/>
      </c>
      <c r="E96" s="39" t="str">
        <f>IF($B96="","",SUMIFS(Kho_NL!$B$5:$B$304,Kho_NL!$A$5:$A$304,$B96))</f>
        <v/>
      </c>
      <c r="F96" s="39" t="str">
        <f>IF($B96="","",SUMIFS(Kho_NL!$C$5:$C$304,Kho_NL!$A$5:$A$304,$B96))</f>
        <v/>
      </c>
      <c r="G96" s="39" t="str">
        <f>IF($B96="","",SUMIFS(Kho_NL!$D$5:$D$304,Kho_NL!$A$5:$A$304,$B96))</f>
        <v/>
      </c>
      <c r="H96" s="39" t="str">
        <f>IF($B96="","",SUMIFS(Kho_NL!$E$5:$E$304,Kho_NL!$A$5:$A$304,$B96))</f>
        <v/>
      </c>
      <c r="I96" s="39" t="str">
        <f>IF($B96="","",SUMIFS(Kho_NL!$F$5:$F$304,Kho_NL!$A$5:$A$304,$B96))</f>
        <v/>
      </c>
      <c r="J96" s="39" t="str">
        <f>IF($B96="","",SUMIFS(Kho_NL!$G$5:$G$304,Kho_NL!$A$5:$A$304,$B96))</f>
        <v/>
      </c>
      <c r="K96" s="39" t="str">
        <f t="shared" si="6"/>
        <v/>
      </c>
      <c r="L96" s="31" t="str">
        <f>IF($B96="","",IFERROR(INDEX(Kho_NL!$I$5:$I$304,MATCH(B96,Kho_NL!$A$5:$A$304,0))&amp;"",""))</f>
        <v/>
      </c>
      <c r="M96" s="44" t="str">
        <f>IF($B96="","",SUMIFS(Kho_NL!$H$5:$H$304,Kho_NL!$A$5:$A$304,$B96))</f>
        <v/>
      </c>
      <c r="N96" s="44" t="str">
        <f t="shared" si="7"/>
        <v/>
      </c>
      <c r="O96" s="45" t="str">
        <f t="shared" si="8"/>
        <v/>
      </c>
      <c r="P96" s="44" t="str">
        <f>IF($B96="","",SUMIFS(TK_Nhap!$E$5:$E$1004,TK_Nhap!$D$5:$D$1004,$B96,TK_Nhap!$H$5:$H$1004,1))</f>
        <v/>
      </c>
      <c r="Q96" s="44" t="str">
        <f t="shared" si="9"/>
        <v/>
      </c>
    </row>
    <row r="97" spans="1:17" x14ac:dyDescent="0.25">
      <c r="A97" s="36" t="str">
        <f t="shared" si="5"/>
        <v/>
      </c>
      <c r="B97" s="35" t="str">
        <f>IFERROR(INDEX(DM_NL!$A$5:$A$304,MATCH(ROW()-10,DM_NL!$G$5:$G$304,0)),"")</f>
        <v/>
      </c>
      <c r="C97" s="35" t="str">
        <f>IF(B97="","",INDEX(DM_NL!$B$5:$B$304,MATCH(B97,DM_NL!$A$5:$A$304,0)))</f>
        <v/>
      </c>
      <c r="D97" s="35" t="str">
        <f>IF(B97="","",INDEX(DM_NL!$C$5:$C$304,MATCH(B97,DM_NL!$A$5:$A$304,0)))</f>
        <v/>
      </c>
      <c r="E97" s="39" t="str">
        <f>IF($B97="","",SUMIFS(Kho_NL!$B$5:$B$304,Kho_NL!$A$5:$A$304,$B97))</f>
        <v/>
      </c>
      <c r="F97" s="39" t="str">
        <f>IF($B97="","",SUMIFS(Kho_NL!$C$5:$C$304,Kho_NL!$A$5:$A$304,$B97))</f>
        <v/>
      </c>
      <c r="G97" s="39" t="str">
        <f>IF($B97="","",SUMIFS(Kho_NL!$D$5:$D$304,Kho_NL!$A$5:$A$304,$B97))</f>
        <v/>
      </c>
      <c r="H97" s="39" t="str">
        <f>IF($B97="","",SUMIFS(Kho_NL!$E$5:$E$304,Kho_NL!$A$5:$A$304,$B97))</f>
        <v/>
      </c>
      <c r="I97" s="39" t="str">
        <f>IF($B97="","",SUMIFS(Kho_NL!$F$5:$F$304,Kho_NL!$A$5:$A$304,$B97))</f>
        <v/>
      </c>
      <c r="J97" s="39" t="str">
        <f>IF($B97="","",SUMIFS(Kho_NL!$G$5:$G$304,Kho_NL!$A$5:$A$304,$B97))</f>
        <v/>
      </c>
      <c r="K97" s="39" t="str">
        <f t="shared" si="6"/>
        <v/>
      </c>
      <c r="L97" s="31" t="str">
        <f>IF($B97="","",IFERROR(INDEX(Kho_NL!$I$5:$I$304,MATCH(B97,Kho_NL!$A$5:$A$304,0))&amp;"",""))</f>
        <v/>
      </c>
      <c r="M97" s="44" t="str">
        <f>IF($B97="","",SUMIFS(Kho_NL!$H$5:$H$304,Kho_NL!$A$5:$A$304,$B97))</f>
        <v/>
      </c>
      <c r="N97" s="44" t="str">
        <f t="shared" si="7"/>
        <v/>
      </c>
      <c r="O97" s="45" t="str">
        <f t="shared" si="8"/>
        <v/>
      </c>
      <c r="P97" s="44" t="str">
        <f>IF($B97="","",SUMIFS(TK_Nhap!$E$5:$E$1004,TK_Nhap!$D$5:$D$1004,$B97,TK_Nhap!$H$5:$H$1004,1))</f>
        <v/>
      </c>
      <c r="Q97" s="44" t="str">
        <f t="shared" si="9"/>
        <v/>
      </c>
    </row>
    <row r="98" spans="1:17" x14ac:dyDescent="0.25">
      <c r="A98" s="36" t="str">
        <f t="shared" si="5"/>
        <v/>
      </c>
      <c r="B98" s="35" t="str">
        <f>IFERROR(INDEX(DM_NL!$A$5:$A$304,MATCH(ROW()-10,DM_NL!$G$5:$G$304,0)),"")</f>
        <v/>
      </c>
      <c r="C98" s="35" t="str">
        <f>IF(B98="","",INDEX(DM_NL!$B$5:$B$304,MATCH(B98,DM_NL!$A$5:$A$304,0)))</f>
        <v/>
      </c>
      <c r="D98" s="35" t="str">
        <f>IF(B98="","",INDEX(DM_NL!$C$5:$C$304,MATCH(B98,DM_NL!$A$5:$A$304,0)))</f>
        <v/>
      </c>
      <c r="E98" s="39" t="str">
        <f>IF($B98="","",SUMIFS(Kho_NL!$B$5:$B$304,Kho_NL!$A$5:$A$304,$B98))</f>
        <v/>
      </c>
      <c r="F98" s="39" t="str">
        <f>IF($B98="","",SUMIFS(Kho_NL!$C$5:$C$304,Kho_NL!$A$5:$A$304,$B98))</f>
        <v/>
      </c>
      <c r="G98" s="39" t="str">
        <f>IF($B98="","",SUMIFS(Kho_NL!$D$5:$D$304,Kho_NL!$A$5:$A$304,$B98))</f>
        <v/>
      </c>
      <c r="H98" s="39" t="str">
        <f>IF($B98="","",SUMIFS(Kho_NL!$E$5:$E$304,Kho_NL!$A$5:$A$304,$B98))</f>
        <v/>
      </c>
      <c r="I98" s="39" t="str">
        <f>IF($B98="","",SUMIFS(Kho_NL!$F$5:$F$304,Kho_NL!$A$5:$A$304,$B98))</f>
        <v/>
      </c>
      <c r="J98" s="39" t="str">
        <f>IF($B98="","",SUMIFS(Kho_NL!$G$5:$G$304,Kho_NL!$A$5:$A$304,$B98))</f>
        <v/>
      </c>
      <c r="K98" s="39" t="str">
        <f t="shared" si="6"/>
        <v/>
      </c>
      <c r="L98" s="31" t="str">
        <f>IF($B98="","",IFERROR(INDEX(Kho_NL!$I$5:$I$304,MATCH(B98,Kho_NL!$A$5:$A$304,0))&amp;"",""))</f>
        <v/>
      </c>
      <c r="M98" s="44" t="str">
        <f>IF($B98="","",SUMIFS(Kho_NL!$H$5:$H$304,Kho_NL!$A$5:$A$304,$B98))</f>
        <v/>
      </c>
      <c r="N98" s="44" t="str">
        <f t="shared" si="7"/>
        <v/>
      </c>
      <c r="O98" s="45" t="str">
        <f t="shared" si="8"/>
        <v/>
      </c>
      <c r="P98" s="44" t="str">
        <f>IF($B98="","",SUMIFS(TK_Nhap!$E$5:$E$1004,TK_Nhap!$D$5:$D$1004,$B98,TK_Nhap!$H$5:$H$1004,1))</f>
        <v/>
      </c>
      <c r="Q98" s="44" t="str">
        <f t="shared" si="9"/>
        <v/>
      </c>
    </row>
    <row r="99" spans="1:17" x14ac:dyDescent="0.25">
      <c r="A99" s="36" t="str">
        <f t="shared" si="5"/>
        <v/>
      </c>
      <c r="B99" s="35" t="str">
        <f>IFERROR(INDEX(DM_NL!$A$5:$A$304,MATCH(ROW()-10,DM_NL!$G$5:$G$304,0)),"")</f>
        <v/>
      </c>
      <c r="C99" s="35" t="str">
        <f>IF(B99="","",INDEX(DM_NL!$B$5:$B$304,MATCH(B99,DM_NL!$A$5:$A$304,0)))</f>
        <v/>
      </c>
      <c r="D99" s="35" t="str">
        <f>IF(B99="","",INDEX(DM_NL!$C$5:$C$304,MATCH(B99,DM_NL!$A$5:$A$304,0)))</f>
        <v/>
      </c>
      <c r="E99" s="39" t="str">
        <f>IF($B99="","",SUMIFS(Kho_NL!$B$5:$B$304,Kho_NL!$A$5:$A$304,$B99))</f>
        <v/>
      </c>
      <c r="F99" s="39" t="str">
        <f>IF($B99="","",SUMIFS(Kho_NL!$C$5:$C$304,Kho_NL!$A$5:$A$304,$B99))</f>
        <v/>
      </c>
      <c r="G99" s="39" t="str">
        <f>IF($B99="","",SUMIFS(Kho_NL!$D$5:$D$304,Kho_NL!$A$5:$A$304,$B99))</f>
        <v/>
      </c>
      <c r="H99" s="39" t="str">
        <f>IF($B99="","",SUMIFS(Kho_NL!$E$5:$E$304,Kho_NL!$A$5:$A$304,$B99))</f>
        <v/>
      </c>
      <c r="I99" s="39" t="str">
        <f>IF($B99="","",SUMIFS(Kho_NL!$F$5:$F$304,Kho_NL!$A$5:$A$304,$B99))</f>
        <v/>
      </c>
      <c r="J99" s="39" t="str">
        <f>IF($B99="","",SUMIFS(Kho_NL!$G$5:$G$304,Kho_NL!$A$5:$A$304,$B99))</f>
        <v/>
      </c>
      <c r="K99" s="39" t="str">
        <f t="shared" si="6"/>
        <v/>
      </c>
      <c r="L99" s="31" t="str">
        <f>IF($B99="","",IFERROR(INDEX(Kho_NL!$I$5:$I$304,MATCH(B99,Kho_NL!$A$5:$A$304,0))&amp;"",""))</f>
        <v/>
      </c>
      <c r="M99" s="44" t="str">
        <f>IF($B99="","",SUMIFS(Kho_NL!$H$5:$H$304,Kho_NL!$A$5:$A$304,$B99))</f>
        <v/>
      </c>
      <c r="N99" s="44" t="str">
        <f t="shared" si="7"/>
        <v/>
      </c>
      <c r="O99" s="45" t="str">
        <f t="shared" si="8"/>
        <v/>
      </c>
      <c r="P99" s="44" t="str">
        <f>IF($B99="","",SUMIFS(TK_Nhap!$E$5:$E$1004,TK_Nhap!$D$5:$D$1004,$B99,TK_Nhap!$H$5:$H$1004,1))</f>
        <v/>
      </c>
      <c r="Q99" s="44" t="str">
        <f t="shared" si="9"/>
        <v/>
      </c>
    </row>
    <row r="100" spans="1:17" x14ac:dyDescent="0.25">
      <c r="A100" s="36" t="str">
        <f t="shared" si="5"/>
        <v/>
      </c>
      <c r="B100" s="35" t="str">
        <f>IFERROR(INDEX(DM_NL!$A$5:$A$304,MATCH(ROW()-10,DM_NL!$G$5:$G$304,0)),"")</f>
        <v/>
      </c>
      <c r="C100" s="35" t="str">
        <f>IF(B100="","",INDEX(DM_NL!$B$5:$B$304,MATCH(B100,DM_NL!$A$5:$A$304,0)))</f>
        <v/>
      </c>
      <c r="D100" s="35" t="str">
        <f>IF(B100="","",INDEX(DM_NL!$C$5:$C$304,MATCH(B100,DM_NL!$A$5:$A$304,0)))</f>
        <v/>
      </c>
      <c r="E100" s="39" t="str">
        <f>IF($B100="","",SUMIFS(Kho_NL!$B$5:$B$304,Kho_NL!$A$5:$A$304,$B100))</f>
        <v/>
      </c>
      <c r="F100" s="39" t="str">
        <f>IF($B100="","",SUMIFS(Kho_NL!$C$5:$C$304,Kho_NL!$A$5:$A$304,$B100))</f>
        <v/>
      </c>
      <c r="G100" s="39" t="str">
        <f>IF($B100="","",SUMIFS(Kho_NL!$D$5:$D$304,Kho_NL!$A$5:$A$304,$B100))</f>
        <v/>
      </c>
      <c r="H100" s="39" t="str">
        <f>IF($B100="","",SUMIFS(Kho_NL!$E$5:$E$304,Kho_NL!$A$5:$A$304,$B100))</f>
        <v/>
      </c>
      <c r="I100" s="39" t="str">
        <f>IF($B100="","",SUMIFS(Kho_NL!$F$5:$F$304,Kho_NL!$A$5:$A$304,$B100))</f>
        <v/>
      </c>
      <c r="J100" s="39" t="str">
        <f>IF($B100="","",SUMIFS(Kho_NL!$G$5:$G$304,Kho_NL!$A$5:$A$304,$B100))</f>
        <v/>
      </c>
      <c r="K100" s="39" t="str">
        <f t="shared" si="6"/>
        <v/>
      </c>
      <c r="L100" s="31" t="str">
        <f>IF($B100="","",IFERROR(INDEX(Kho_NL!$I$5:$I$304,MATCH(B100,Kho_NL!$A$5:$A$304,0))&amp;"",""))</f>
        <v/>
      </c>
      <c r="M100" s="44" t="str">
        <f>IF($B100="","",SUMIFS(Kho_NL!$H$5:$H$304,Kho_NL!$A$5:$A$304,$B100))</f>
        <v/>
      </c>
      <c r="N100" s="44" t="str">
        <f t="shared" si="7"/>
        <v/>
      </c>
      <c r="O100" s="45" t="str">
        <f t="shared" si="8"/>
        <v/>
      </c>
      <c r="P100" s="44" t="str">
        <f>IF($B100="","",SUMIFS(TK_Nhap!$E$5:$E$1004,TK_Nhap!$D$5:$D$1004,$B100,TK_Nhap!$H$5:$H$1004,1))</f>
        <v/>
      </c>
      <c r="Q100" s="44" t="str">
        <f t="shared" si="9"/>
        <v/>
      </c>
    </row>
    <row r="101" spans="1:17" x14ac:dyDescent="0.25">
      <c r="A101" s="36" t="str">
        <f t="shared" si="5"/>
        <v/>
      </c>
      <c r="B101" s="35" t="str">
        <f>IFERROR(INDEX(DM_NL!$A$5:$A$304,MATCH(ROW()-10,DM_NL!$G$5:$G$304,0)),"")</f>
        <v/>
      </c>
      <c r="C101" s="35" t="str">
        <f>IF(B101="","",INDEX(DM_NL!$B$5:$B$304,MATCH(B101,DM_NL!$A$5:$A$304,0)))</f>
        <v/>
      </c>
      <c r="D101" s="35" t="str">
        <f>IF(B101="","",INDEX(DM_NL!$C$5:$C$304,MATCH(B101,DM_NL!$A$5:$A$304,0)))</f>
        <v/>
      </c>
      <c r="E101" s="39" t="str">
        <f>IF($B101="","",SUMIFS(Kho_NL!$B$5:$B$304,Kho_NL!$A$5:$A$304,$B101))</f>
        <v/>
      </c>
      <c r="F101" s="39" t="str">
        <f>IF($B101="","",SUMIFS(Kho_NL!$C$5:$C$304,Kho_NL!$A$5:$A$304,$B101))</f>
        <v/>
      </c>
      <c r="G101" s="39" t="str">
        <f>IF($B101="","",SUMIFS(Kho_NL!$D$5:$D$304,Kho_NL!$A$5:$A$304,$B101))</f>
        <v/>
      </c>
      <c r="H101" s="39" t="str">
        <f>IF($B101="","",SUMIFS(Kho_NL!$E$5:$E$304,Kho_NL!$A$5:$A$304,$B101))</f>
        <v/>
      </c>
      <c r="I101" s="39" t="str">
        <f>IF($B101="","",SUMIFS(Kho_NL!$F$5:$F$304,Kho_NL!$A$5:$A$304,$B101))</f>
        <v/>
      </c>
      <c r="J101" s="39" t="str">
        <f>IF($B101="","",SUMIFS(Kho_NL!$G$5:$G$304,Kho_NL!$A$5:$A$304,$B101))</f>
        <v/>
      </c>
      <c r="K101" s="39" t="str">
        <f t="shared" si="6"/>
        <v/>
      </c>
      <c r="L101" s="31" t="str">
        <f>IF($B101="","",IFERROR(INDEX(Kho_NL!$I$5:$I$304,MATCH(B101,Kho_NL!$A$5:$A$304,0))&amp;"",""))</f>
        <v/>
      </c>
      <c r="M101" s="44" t="str">
        <f>IF($B101="","",SUMIFS(Kho_NL!$H$5:$H$304,Kho_NL!$A$5:$A$304,$B101))</f>
        <v/>
      </c>
      <c r="N101" s="44" t="str">
        <f t="shared" si="7"/>
        <v/>
      </c>
      <c r="O101" s="45" t="str">
        <f t="shared" si="8"/>
        <v/>
      </c>
      <c r="P101" s="44" t="str">
        <f>IF($B101="","",SUMIFS(TK_Nhap!$E$5:$E$1004,TK_Nhap!$D$5:$D$1004,$B101,TK_Nhap!$H$5:$H$1004,1))</f>
        <v/>
      </c>
      <c r="Q101" s="44" t="str">
        <f t="shared" si="9"/>
        <v/>
      </c>
    </row>
    <row r="102" spans="1:17" x14ac:dyDescent="0.25">
      <c r="A102" s="36" t="str">
        <f t="shared" si="5"/>
        <v/>
      </c>
      <c r="B102" s="35" t="str">
        <f>IFERROR(INDEX(DM_NL!$A$5:$A$304,MATCH(ROW()-10,DM_NL!$G$5:$G$304,0)),"")</f>
        <v/>
      </c>
      <c r="C102" s="35" t="str">
        <f>IF(B102="","",INDEX(DM_NL!$B$5:$B$304,MATCH(B102,DM_NL!$A$5:$A$304,0)))</f>
        <v/>
      </c>
      <c r="D102" s="35" t="str">
        <f>IF(B102="","",INDEX(DM_NL!$C$5:$C$304,MATCH(B102,DM_NL!$A$5:$A$304,0)))</f>
        <v/>
      </c>
      <c r="E102" s="39" t="str">
        <f>IF($B102="","",SUMIFS(Kho_NL!$B$5:$B$304,Kho_NL!$A$5:$A$304,$B102))</f>
        <v/>
      </c>
      <c r="F102" s="39" t="str">
        <f>IF($B102="","",SUMIFS(Kho_NL!$C$5:$C$304,Kho_NL!$A$5:$A$304,$B102))</f>
        <v/>
      </c>
      <c r="G102" s="39" t="str">
        <f>IF($B102="","",SUMIFS(Kho_NL!$D$5:$D$304,Kho_NL!$A$5:$A$304,$B102))</f>
        <v/>
      </c>
      <c r="H102" s="39" t="str">
        <f>IF($B102="","",SUMIFS(Kho_NL!$E$5:$E$304,Kho_NL!$A$5:$A$304,$B102))</f>
        <v/>
      </c>
      <c r="I102" s="39" t="str">
        <f>IF($B102="","",SUMIFS(Kho_NL!$F$5:$F$304,Kho_NL!$A$5:$A$304,$B102))</f>
        <v/>
      </c>
      <c r="J102" s="39" t="str">
        <f>IF($B102="","",SUMIFS(Kho_NL!$G$5:$G$304,Kho_NL!$A$5:$A$304,$B102))</f>
        <v/>
      </c>
      <c r="K102" s="39" t="str">
        <f t="shared" si="6"/>
        <v/>
      </c>
      <c r="L102" s="31" t="str">
        <f>IF($B102="","",IFERROR(INDEX(Kho_NL!$I$5:$I$304,MATCH(B102,Kho_NL!$A$5:$A$304,0))&amp;"",""))</f>
        <v/>
      </c>
      <c r="M102" s="44" t="str">
        <f>IF($B102="","",SUMIFS(Kho_NL!$H$5:$H$304,Kho_NL!$A$5:$A$304,$B102))</f>
        <v/>
      </c>
      <c r="N102" s="44" t="str">
        <f t="shared" si="7"/>
        <v/>
      </c>
      <c r="O102" s="45" t="str">
        <f t="shared" si="8"/>
        <v/>
      </c>
      <c r="P102" s="44" t="str">
        <f>IF($B102="","",SUMIFS(TK_Nhap!$E$5:$E$1004,TK_Nhap!$D$5:$D$1004,$B102,TK_Nhap!$H$5:$H$1004,1))</f>
        <v/>
      </c>
      <c r="Q102" s="44" t="str">
        <f t="shared" si="9"/>
        <v/>
      </c>
    </row>
    <row r="103" spans="1:17" x14ac:dyDescent="0.25">
      <c r="A103" s="36" t="str">
        <f t="shared" si="5"/>
        <v/>
      </c>
      <c r="B103" s="35" t="str">
        <f>IFERROR(INDEX(DM_NL!$A$5:$A$304,MATCH(ROW()-10,DM_NL!$G$5:$G$304,0)),"")</f>
        <v/>
      </c>
      <c r="C103" s="35" t="str">
        <f>IF(B103="","",INDEX(DM_NL!$B$5:$B$304,MATCH(B103,DM_NL!$A$5:$A$304,0)))</f>
        <v/>
      </c>
      <c r="D103" s="35" t="str">
        <f>IF(B103="","",INDEX(DM_NL!$C$5:$C$304,MATCH(B103,DM_NL!$A$5:$A$304,0)))</f>
        <v/>
      </c>
      <c r="E103" s="39" t="str">
        <f>IF($B103="","",SUMIFS(Kho_NL!$B$5:$B$304,Kho_NL!$A$5:$A$304,$B103))</f>
        <v/>
      </c>
      <c r="F103" s="39" t="str">
        <f>IF($B103="","",SUMIFS(Kho_NL!$C$5:$C$304,Kho_NL!$A$5:$A$304,$B103))</f>
        <v/>
      </c>
      <c r="G103" s="39" t="str">
        <f>IF($B103="","",SUMIFS(Kho_NL!$D$5:$D$304,Kho_NL!$A$5:$A$304,$B103))</f>
        <v/>
      </c>
      <c r="H103" s="39" t="str">
        <f>IF($B103="","",SUMIFS(Kho_NL!$E$5:$E$304,Kho_NL!$A$5:$A$304,$B103))</f>
        <v/>
      </c>
      <c r="I103" s="39" t="str">
        <f>IF($B103="","",SUMIFS(Kho_NL!$F$5:$F$304,Kho_NL!$A$5:$A$304,$B103))</f>
        <v/>
      </c>
      <c r="J103" s="39" t="str">
        <f>IF($B103="","",SUMIFS(Kho_NL!$G$5:$G$304,Kho_NL!$A$5:$A$304,$B103))</f>
        <v/>
      </c>
      <c r="K103" s="39" t="str">
        <f t="shared" si="6"/>
        <v/>
      </c>
      <c r="L103" s="31" t="str">
        <f>IF($B103="","",IFERROR(INDEX(Kho_NL!$I$5:$I$304,MATCH(B103,Kho_NL!$A$5:$A$304,0))&amp;"",""))</f>
        <v/>
      </c>
      <c r="M103" s="44" t="str">
        <f>IF($B103="","",SUMIFS(Kho_NL!$H$5:$H$304,Kho_NL!$A$5:$A$304,$B103))</f>
        <v/>
      </c>
      <c r="N103" s="44" t="str">
        <f t="shared" si="7"/>
        <v/>
      </c>
      <c r="O103" s="45" t="str">
        <f t="shared" si="8"/>
        <v/>
      </c>
      <c r="P103" s="44" t="str">
        <f>IF($B103="","",SUMIFS(TK_Nhap!$E$5:$E$1004,TK_Nhap!$D$5:$D$1004,$B103,TK_Nhap!$H$5:$H$1004,1))</f>
        <v/>
      </c>
      <c r="Q103" s="44" t="str">
        <f t="shared" si="9"/>
        <v/>
      </c>
    </row>
    <row r="104" spans="1:17" x14ac:dyDescent="0.25">
      <c r="A104" s="36" t="str">
        <f t="shared" si="5"/>
        <v/>
      </c>
      <c r="B104" s="35" t="str">
        <f>IFERROR(INDEX(DM_NL!$A$5:$A$304,MATCH(ROW()-10,DM_NL!$G$5:$G$304,0)),"")</f>
        <v/>
      </c>
      <c r="C104" s="35" t="str">
        <f>IF(B104="","",INDEX(DM_NL!$B$5:$B$304,MATCH(B104,DM_NL!$A$5:$A$304,0)))</f>
        <v/>
      </c>
      <c r="D104" s="35" t="str">
        <f>IF(B104="","",INDEX(DM_NL!$C$5:$C$304,MATCH(B104,DM_NL!$A$5:$A$304,0)))</f>
        <v/>
      </c>
      <c r="E104" s="39" t="str">
        <f>IF($B104="","",SUMIFS(Kho_NL!$B$5:$B$304,Kho_NL!$A$5:$A$304,$B104))</f>
        <v/>
      </c>
      <c r="F104" s="39" t="str">
        <f>IF($B104="","",SUMIFS(Kho_NL!$C$5:$C$304,Kho_NL!$A$5:$A$304,$B104))</f>
        <v/>
      </c>
      <c r="G104" s="39" t="str">
        <f>IF($B104="","",SUMIFS(Kho_NL!$D$5:$D$304,Kho_NL!$A$5:$A$304,$B104))</f>
        <v/>
      </c>
      <c r="H104" s="39" t="str">
        <f>IF($B104="","",SUMIFS(Kho_NL!$E$5:$E$304,Kho_NL!$A$5:$A$304,$B104))</f>
        <v/>
      </c>
      <c r="I104" s="39" t="str">
        <f>IF($B104="","",SUMIFS(Kho_NL!$F$5:$F$304,Kho_NL!$A$5:$A$304,$B104))</f>
        <v/>
      </c>
      <c r="J104" s="39" t="str">
        <f>IF($B104="","",SUMIFS(Kho_NL!$G$5:$G$304,Kho_NL!$A$5:$A$304,$B104))</f>
        <v/>
      </c>
      <c r="K104" s="39" t="str">
        <f t="shared" si="6"/>
        <v/>
      </c>
      <c r="L104" s="31" t="str">
        <f>IF($B104="","",IFERROR(INDEX(Kho_NL!$I$5:$I$304,MATCH(B104,Kho_NL!$A$5:$A$304,0))&amp;"",""))</f>
        <v/>
      </c>
      <c r="M104" s="44" t="str">
        <f>IF($B104="","",SUMIFS(Kho_NL!$H$5:$H$304,Kho_NL!$A$5:$A$304,$B104))</f>
        <v/>
      </c>
      <c r="N104" s="44" t="str">
        <f t="shared" si="7"/>
        <v/>
      </c>
      <c r="O104" s="45" t="str">
        <f t="shared" si="8"/>
        <v/>
      </c>
      <c r="P104" s="44" t="str">
        <f>IF($B104="","",SUMIFS(TK_Nhap!$E$5:$E$1004,TK_Nhap!$D$5:$D$1004,$B104,TK_Nhap!$H$5:$H$1004,1))</f>
        <v/>
      </c>
      <c r="Q104" s="44" t="str">
        <f t="shared" si="9"/>
        <v/>
      </c>
    </row>
    <row r="105" spans="1:17" x14ac:dyDescent="0.25">
      <c r="A105" s="36" t="str">
        <f t="shared" si="5"/>
        <v/>
      </c>
      <c r="B105" s="35" t="str">
        <f>IFERROR(INDEX(DM_NL!$A$5:$A$304,MATCH(ROW()-10,DM_NL!$G$5:$G$304,0)),"")</f>
        <v/>
      </c>
      <c r="C105" s="35" t="str">
        <f>IF(B105="","",INDEX(DM_NL!$B$5:$B$304,MATCH(B105,DM_NL!$A$5:$A$304,0)))</f>
        <v/>
      </c>
      <c r="D105" s="35" t="str">
        <f>IF(B105="","",INDEX(DM_NL!$C$5:$C$304,MATCH(B105,DM_NL!$A$5:$A$304,0)))</f>
        <v/>
      </c>
      <c r="E105" s="39" t="str">
        <f>IF($B105="","",SUMIFS(Kho_NL!$B$5:$B$304,Kho_NL!$A$5:$A$304,$B105))</f>
        <v/>
      </c>
      <c r="F105" s="39" t="str">
        <f>IF($B105="","",SUMIFS(Kho_NL!$C$5:$C$304,Kho_NL!$A$5:$A$304,$B105))</f>
        <v/>
      </c>
      <c r="G105" s="39" t="str">
        <f>IF($B105="","",SUMIFS(Kho_NL!$D$5:$D$304,Kho_NL!$A$5:$A$304,$B105))</f>
        <v/>
      </c>
      <c r="H105" s="39" t="str">
        <f>IF($B105="","",SUMIFS(Kho_NL!$E$5:$E$304,Kho_NL!$A$5:$A$304,$B105))</f>
        <v/>
      </c>
      <c r="I105" s="39" t="str">
        <f>IF($B105="","",SUMIFS(Kho_NL!$F$5:$F$304,Kho_NL!$A$5:$A$304,$B105))</f>
        <v/>
      </c>
      <c r="J105" s="39" t="str">
        <f>IF($B105="","",SUMIFS(Kho_NL!$G$5:$G$304,Kho_NL!$A$5:$A$304,$B105))</f>
        <v/>
      </c>
      <c r="K105" s="39" t="str">
        <f t="shared" si="6"/>
        <v/>
      </c>
      <c r="L105" s="31" t="str">
        <f>IF($B105="","",IFERROR(INDEX(Kho_NL!$I$5:$I$304,MATCH(B105,Kho_NL!$A$5:$A$304,0))&amp;"",""))</f>
        <v/>
      </c>
      <c r="M105" s="44" t="str">
        <f>IF($B105="","",SUMIFS(Kho_NL!$H$5:$H$304,Kho_NL!$A$5:$A$304,$B105))</f>
        <v/>
      </c>
      <c r="N105" s="44" t="str">
        <f t="shared" si="7"/>
        <v/>
      </c>
      <c r="O105" s="45" t="str">
        <f t="shared" si="8"/>
        <v/>
      </c>
      <c r="P105" s="44" t="str">
        <f>IF($B105="","",SUMIFS(TK_Nhap!$E$5:$E$1004,TK_Nhap!$D$5:$D$1004,$B105,TK_Nhap!$H$5:$H$1004,1))</f>
        <v/>
      </c>
      <c r="Q105" s="44" t="str">
        <f t="shared" si="9"/>
        <v/>
      </c>
    </row>
    <row r="106" spans="1:17" x14ac:dyDescent="0.25">
      <c r="A106" s="36" t="str">
        <f t="shared" si="5"/>
        <v/>
      </c>
      <c r="B106" s="35" t="str">
        <f>IFERROR(INDEX(DM_NL!$A$5:$A$304,MATCH(ROW()-10,DM_NL!$G$5:$G$304,0)),"")</f>
        <v/>
      </c>
      <c r="C106" s="35" t="str">
        <f>IF(B106="","",INDEX(DM_NL!$B$5:$B$304,MATCH(B106,DM_NL!$A$5:$A$304,0)))</f>
        <v/>
      </c>
      <c r="D106" s="35" t="str">
        <f>IF(B106="","",INDEX(DM_NL!$C$5:$C$304,MATCH(B106,DM_NL!$A$5:$A$304,0)))</f>
        <v/>
      </c>
      <c r="E106" s="39" t="str">
        <f>IF($B106="","",SUMIFS(Kho_NL!$B$5:$B$304,Kho_NL!$A$5:$A$304,$B106))</f>
        <v/>
      </c>
      <c r="F106" s="39" t="str">
        <f>IF($B106="","",SUMIFS(Kho_NL!$C$5:$C$304,Kho_NL!$A$5:$A$304,$B106))</f>
        <v/>
      </c>
      <c r="G106" s="39" t="str">
        <f>IF($B106="","",SUMIFS(Kho_NL!$D$5:$D$304,Kho_NL!$A$5:$A$304,$B106))</f>
        <v/>
      </c>
      <c r="H106" s="39" t="str">
        <f>IF($B106="","",SUMIFS(Kho_NL!$E$5:$E$304,Kho_NL!$A$5:$A$304,$B106))</f>
        <v/>
      </c>
      <c r="I106" s="39" t="str">
        <f>IF($B106="","",SUMIFS(Kho_NL!$F$5:$F$304,Kho_NL!$A$5:$A$304,$B106))</f>
        <v/>
      </c>
      <c r="J106" s="39" t="str">
        <f>IF($B106="","",SUMIFS(Kho_NL!$G$5:$G$304,Kho_NL!$A$5:$A$304,$B106))</f>
        <v/>
      </c>
      <c r="K106" s="39" t="str">
        <f t="shared" si="6"/>
        <v/>
      </c>
      <c r="L106" s="31" t="str">
        <f>IF($B106="","",IFERROR(INDEX(Kho_NL!$I$5:$I$304,MATCH(B106,Kho_NL!$A$5:$A$304,0))&amp;"",""))</f>
        <v/>
      </c>
      <c r="M106" s="44" t="str">
        <f>IF($B106="","",SUMIFS(Kho_NL!$H$5:$H$304,Kho_NL!$A$5:$A$304,$B106))</f>
        <v/>
      </c>
      <c r="N106" s="44" t="str">
        <f t="shared" si="7"/>
        <v/>
      </c>
      <c r="O106" s="45" t="str">
        <f t="shared" si="8"/>
        <v/>
      </c>
      <c r="P106" s="44" t="str">
        <f>IF($B106="","",SUMIFS(TK_Nhap!$E$5:$E$1004,TK_Nhap!$D$5:$D$1004,$B106,TK_Nhap!$H$5:$H$1004,1))</f>
        <v/>
      </c>
      <c r="Q106" s="44" t="str">
        <f t="shared" si="9"/>
        <v/>
      </c>
    </row>
    <row r="107" spans="1:17" x14ac:dyDescent="0.25">
      <c r="A107" s="36" t="str">
        <f t="shared" si="5"/>
        <v/>
      </c>
      <c r="B107" s="35" t="str">
        <f>IFERROR(INDEX(DM_NL!$A$5:$A$304,MATCH(ROW()-10,DM_NL!$G$5:$G$304,0)),"")</f>
        <v/>
      </c>
      <c r="C107" s="35" t="str">
        <f>IF(B107="","",INDEX(DM_NL!$B$5:$B$304,MATCH(B107,DM_NL!$A$5:$A$304,0)))</f>
        <v/>
      </c>
      <c r="D107" s="35" t="str">
        <f>IF(B107="","",INDEX(DM_NL!$C$5:$C$304,MATCH(B107,DM_NL!$A$5:$A$304,0)))</f>
        <v/>
      </c>
      <c r="E107" s="39" t="str">
        <f>IF($B107="","",SUMIFS(Kho_NL!$B$5:$B$304,Kho_NL!$A$5:$A$304,$B107))</f>
        <v/>
      </c>
      <c r="F107" s="39" t="str">
        <f>IF($B107="","",SUMIFS(Kho_NL!$C$5:$C$304,Kho_NL!$A$5:$A$304,$B107))</f>
        <v/>
      </c>
      <c r="G107" s="39" t="str">
        <f>IF($B107="","",SUMIFS(Kho_NL!$D$5:$D$304,Kho_NL!$A$5:$A$304,$B107))</f>
        <v/>
      </c>
      <c r="H107" s="39" t="str">
        <f>IF($B107="","",SUMIFS(Kho_NL!$E$5:$E$304,Kho_NL!$A$5:$A$304,$B107))</f>
        <v/>
      </c>
      <c r="I107" s="39" t="str">
        <f>IF($B107="","",SUMIFS(Kho_NL!$F$5:$F$304,Kho_NL!$A$5:$A$304,$B107))</f>
        <v/>
      </c>
      <c r="J107" s="39" t="str">
        <f>IF($B107="","",SUMIFS(Kho_NL!$G$5:$G$304,Kho_NL!$A$5:$A$304,$B107))</f>
        <v/>
      </c>
      <c r="K107" s="39" t="str">
        <f t="shared" si="6"/>
        <v/>
      </c>
      <c r="L107" s="31" t="str">
        <f>IF($B107="","",IFERROR(INDEX(Kho_NL!$I$5:$I$304,MATCH(B107,Kho_NL!$A$5:$A$304,0))&amp;"",""))</f>
        <v/>
      </c>
      <c r="M107" s="44" t="str">
        <f>IF($B107="","",SUMIFS(Kho_NL!$H$5:$H$304,Kho_NL!$A$5:$A$304,$B107))</f>
        <v/>
      </c>
      <c r="N107" s="44" t="str">
        <f t="shared" si="7"/>
        <v/>
      </c>
      <c r="O107" s="45" t="str">
        <f t="shared" si="8"/>
        <v/>
      </c>
      <c r="P107" s="44" t="str">
        <f>IF($B107="","",SUMIFS(TK_Nhap!$E$5:$E$1004,TK_Nhap!$D$5:$D$1004,$B107,TK_Nhap!$H$5:$H$1004,1))</f>
        <v/>
      </c>
      <c r="Q107" s="44" t="str">
        <f t="shared" si="9"/>
        <v/>
      </c>
    </row>
    <row r="108" spans="1:17" x14ac:dyDescent="0.25">
      <c r="A108" s="36" t="str">
        <f t="shared" si="5"/>
        <v/>
      </c>
      <c r="B108" s="35" t="str">
        <f>IFERROR(INDEX(DM_NL!$A$5:$A$304,MATCH(ROW()-10,DM_NL!$G$5:$G$304,0)),"")</f>
        <v/>
      </c>
      <c r="C108" s="35" t="str">
        <f>IF(B108="","",INDEX(DM_NL!$B$5:$B$304,MATCH(B108,DM_NL!$A$5:$A$304,0)))</f>
        <v/>
      </c>
      <c r="D108" s="35" t="str">
        <f>IF(B108="","",INDEX(DM_NL!$C$5:$C$304,MATCH(B108,DM_NL!$A$5:$A$304,0)))</f>
        <v/>
      </c>
      <c r="E108" s="39" t="str">
        <f>IF($B108="","",SUMIFS(Kho_NL!$B$5:$B$304,Kho_NL!$A$5:$A$304,$B108))</f>
        <v/>
      </c>
      <c r="F108" s="39" t="str">
        <f>IF($B108="","",SUMIFS(Kho_NL!$C$5:$C$304,Kho_NL!$A$5:$A$304,$B108))</f>
        <v/>
      </c>
      <c r="G108" s="39" t="str">
        <f>IF($B108="","",SUMIFS(Kho_NL!$D$5:$D$304,Kho_NL!$A$5:$A$304,$B108))</f>
        <v/>
      </c>
      <c r="H108" s="39" t="str">
        <f>IF($B108="","",SUMIFS(Kho_NL!$E$5:$E$304,Kho_NL!$A$5:$A$304,$B108))</f>
        <v/>
      </c>
      <c r="I108" s="39" t="str">
        <f>IF($B108="","",SUMIFS(Kho_NL!$F$5:$F$304,Kho_NL!$A$5:$A$304,$B108))</f>
        <v/>
      </c>
      <c r="J108" s="39" t="str">
        <f>IF($B108="","",SUMIFS(Kho_NL!$G$5:$G$304,Kho_NL!$A$5:$A$304,$B108))</f>
        <v/>
      </c>
      <c r="K108" s="39" t="str">
        <f t="shared" si="6"/>
        <v/>
      </c>
      <c r="L108" s="31" t="str">
        <f>IF($B108="","",IFERROR(INDEX(Kho_NL!$I$5:$I$304,MATCH(B108,Kho_NL!$A$5:$A$304,0))&amp;"",""))</f>
        <v/>
      </c>
      <c r="M108" s="44" t="str">
        <f>IF($B108="","",SUMIFS(Kho_NL!$H$5:$H$304,Kho_NL!$A$5:$A$304,$B108))</f>
        <v/>
      </c>
      <c r="N108" s="44" t="str">
        <f t="shared" si="7"/>
        <v/>
      </c>
      <c r="O108" s="45" t="str">
        <f t="shared" si="8"/>
        <v/>
      </c>
      <c r="P108" s="44" t="str">
        <f>IF($B108="","",SUMIFS(TK_Nhap!$E$5:$E$1004,TK_Nhap!$D$5:$D$1004,$B108,TK_Nhap!$H$5:$H$1004,1))</f>
        <v/>
      </c>
      <c r="Q108" s="44" t="str">
        <f t="shared" si="9"/>
        <v/>
      </c>
    </row>
    <row r="109" spans="1:17" x14ac:dyDescent="0.25">
      <c r="A109" s="36" t="str">
        <f t="shared" si="5"/>
        <v/>
      </c>
      <c r="B109" s="35" t="str">
        <f>IFERROR(INDEX(DM_NL!$A$5:$A$304,MATCH(ROW()-10,DM_NL!$G$5:$G$304,0)),"")</f>
        <v/>
      </c>
      <c r="C109" s="35" t="str">
        <f>IF(B109="","",INDEX(DM_NL!$B$5:$B$304,MATCH(B109,DM_NL!$A$5:$A$304,0)))</f>
        <v/>
      </c>
      <c r="D109" s="35" t="str">
        <f>IF(B109="","",INDEX(DM_NL!$C$5:$C$304,MATCH(B109,DM_NL!$A$5:$A$304,0)))</f>
        <v/>
      </c>
      <c r="E109" s="39" t="str">
        <f>IF($B109="","",SUMIFS(Kho_NL!$B$5:$B$304,Kho_NL!$A$5:$A$304,$B109))</f>
        <v/>
      </c>
      <c r="F109" s="39" t="str">
        <f>IF($B109="","",SUMIFS(Kho_NL!$C$5:$C$304,Kho_NL!$A$5:$A$304,$B109))</f>
        <v/>
      </c>
      <c r="G109" s="39" t="str">
        <f>IF($B109="","",SUMIFS(Kho_NL!$D$5:$D$304,Kho_NL!$A$5:$A$304,$B109))</f>
        <v/>
      </c>
      <c r="H109" s="39" t="str">
        <f>IF($B109="","",SUMIFS(Kho_NL!$E$5:$E$304,Kho_NL!$A$5:$A$304,$B109))</f>
        <v/>
      </c>
      <c r="I109" s="39" t="str">
        <f>IF($B109="","",SUMIFS(Kho_NL!$F$5:$F$304,Kho_NL!$A$5:$A$304,$B109))</f>
        <v/>
      </c>
      <c r="J109" s="39" t="str">
        <f>IF($B109="","",SUMIFS(Kho_NL!$G$5:$G$304,Kho_NL!$A$5:$A$304,$B109))</f>
        <v/>
      </c>
      <c r="K109" s="39" t="str">
        <f t="shared" si="6"/>
        <v/>
      </c>
      <c r="L109" s="31" t="str">
        <f>IF($B109="","",IFERROR(INDEX(Kho_NL!$I$5:$I$304,MATCH(B109,Kho_NL!$A$5:$A$304,0))&amp;"",""))</f>
        <v/>
      </c>
      <c r="M109" s="44" t="str">
        <f>IF($B109="","",SUMIFS(Kho_NL!$H$5:$H$304,Kho_NL!$A$5:$A$304,$B109))</f>
        <v/>
      </c>
      <c r="N109" s="44" t="str">
        <f t="shared" si="7"/>
        <v/>
      </c>
      <c r="O109" s="45" t="str">
        <f t="shared" si="8"/>
        <v/>
      </c>
      <c r="P109" s="44" t="str">
        <f>IF($B109="","",SUMIFS(TK_Nhap!$E$5:$E$1004,TK_Nhap!$D$5:$D$1004,$B109,TK_Nhap!$H$5:$H$1004,1))</f>
        <v/>
      </c>
      <c r="Q109" s="44" t="str">
        <f t="shared" si="9"/>
        <v/>
      </c>
    </row>
    <row r="110" spans="1:17" x14ac:dyDescent="0.25">
      <c r="A110" s="36" t="str">
        <f t="shared" si="5"/>
        <v/>
      </c>
      <c r="B110" s="35" t="str">
        <f>IFERROR(INDEX(DM_NL!$A$5:$A$304,MATCH(ROW()-10,DM_NL!$G$5:$G$304,0)),"")</f>
        <v/>
      </c>
      <c r="C110" s="35" t="str">
        <f>IF(B110="","",INDEX(DM_NL!$B$5:$B$304,MATCH(B110,DM_NL!$A$5:$A$304,0)))</f>
        <v/>
      </c>
      <c r="D110" s="35" t="str">
        <f>IF(B110="","",INDEX(DM_NL!$C$5:$C$304,MATCH(B110,DM_NL!$A$5:$A$304,0)))</f>
        <v/>
      </c>
      <c r="E110" s="39" t="str">
        <f>IF($B110="","",SUMIFS(Kho_NL!$B$5:$B$304,Kho_NL!$A$5:$A$304,$B110))</f>
        <v/>
      </c>
      <c r="F110" s="39" t="str">
        <f>IF($B110="","",SUMIFS(Kho_NL!$C$5:$C$304,Kho_NL!$A$5:$A$304,$B110))</f>
        <v/>
      </c>
      <c r="G110" s="39" t="str">
        <f>IF($B110="","",SUMIFS(Kho_NL!$D$5:$D$304,Kho_NL!$A$5:$A$304,$B110))</f>
        <v/>
      </c>
      <c r="H110" s="39" t="str">
        <f>IF($B110="","",SUMIFS(Kho_NL!$E$5:$E$304,Kho_NL!$A$5:$A$304,$B110))</f>
        <v/>
      </c>
      <c r="I110" s="39" t="str">
        <f>IF($B110="","",SUMIFS(Kho_NL!$F$5:$F$304,Kho_NL!$A$5:$A$304,$B110))</f>
        <v/>
      </c>
      <c r="J110" s="39" t="str">
        <f>IF($B110="","",SUMIFS(Kho_NL!$G$5:$G$304,Kho_NL!$A$5:$A$304,$B110))</f>
        <v/>
      </c>
      <c r="K110" s="39" t="str">
        <f t="shared" si="6"/>
        <v/>
      </c>
      <c r="L110" s="31" t="str">
        <f>IF($B110="","",IFERROR(INDEX(Kho_NL!$I$5:$I$304,MATCH(B110,Kho_NL!$A$5:$A$304,0))&amp;"",""))</f>
        <v/>
      </c>
      <c r="M110" s="44" t="str">
        <f>IF($B110="","",SUMIFS(Kho_NL!$H$5:$H$304,Kho_NL!$A$5:$A$304,$B110))</f>
        <v/>
      </c>
      <c r="N110" s="44" t="str">
        <f t="shared" si="7"/>
        <v/>
      </c>
      <c r="O110" s="45" t="str">
        <f t="shared" si="8"/>
        <v/>
      </c>
      <c r="P110" s="44" t="str">
        <f>IF($B110="","",SUMIFS(TK_Nhap!$E$5:$E$1004,TK_Nhap!$D$5:$D$1004,$B110,TK_Nhap!$H$5:$H$1004,1))</f>
        <v/>
      </c>
      <c r="Q110" s="44" t="str">
        <f t="shared" si="9"/>
        <v/>
      </c>
    </row>
    <row r="111" spans="1:17" x14ac:dyDescent="0.25">
      <c r="A111" s="36" t="str">
        <f t="shared" si="5"/>
        <v/>
      </c>
      <c r="B111" s="35" t="str">
        <f>IFERROR(INDEX(DM_NL!$A$5:$A$304,MATCH(ROW()-10,DM_NL!$G$5:$G$304,0)),"")</f>
        <v/>
      </c>
      <c r="C111" s="35" t="str">
        <f>IF(B111="","",INDEX(DM_NL!$B$5:$B$304,MATCH(B111,DM_NL!$A$5:$A$304,0)))</f>
        <v/>
      </c>
      <c r="D111" s="35" t="str">
        <f>IF(B111="","",INDEX(DM_NL!$C$5:$C$304,MATCH(B111,DM_NL!$A$5:$A$304,0)))</f>
        <v/>
      </c>
      <c r="E111" s="39" t="str">
        <f>IF($B111="","",SUMIFS(Kho_NL!$B$5:$B$304,Kho_NL!$A$5:$A$304,$B111))</f>
        <v/>
      </c>
      <c r="F111" s="39" t="str">
        <f>IF($B111="","",SUMIFS(Kho_NL!$C$5:$C$304,Kho_NL!$A$5:$A$304,$B111))</f>
        <v/>
      </c>
      <c r="G111" s="39" t="str">
        <f>IF($B111="","",SUMIFS(Kho_NL!$D$5:$D$304,Kho_NL!$A$5:$A$304,$B111))</f>
        <v/>
      </c>
      <c r="H111" s="39" t="str">
        <f>IF($B111="","",SUMIFS(Kho_NL!$E$5:$E$304,Kho_NL!$A$5:$A$304,$B111))</f>
        <v/>
      </c>
      <c r="I111" s="39" t="str">
        <f>IF($B111="","",SUMIFS(Kho_NL!$F$5:$F$304,Kho_NL!$A$5:$A$304,$B111))</f>
        <v/>
      </c>
      <c r="J111" s="39" t="str">
        <f>IF($B111="","",SUMIFS(Kho_NL!$G$5:$G$304,Kho_NL!$A$5:$A$304,$B111))</f>
        <v/>
      </c>
      <c r="K111" s="39" t="str">
        <f t="shared" si="6"/>
        <v/>
      </c>
      <c r="L111" s="31" t="str">
        <f>IF($B111="","",IFERROR(INDEX(Kho_NL!$I$5:$I$304,MATCH(B111,Kho_NL!$A$5:$A$304,0))&amp;"",""))</f>
        <v/>
      </c>
      <c r="M111" s="44" t="str">
        <f>IF($B111="","",SUMIFS(Kho_NL!$H$5:$H$304,Kho_NL!$A$5:$A$304,$B111))</f>
        <v/>
      </c>
      <c r="N111" s="44" t="str">
        <f t="shared" si="7"/>
        <v/>
      </c>
      <c r="O111" s="45" t="str">
        <f t="shared" si="8"/>
        <v/>
      </c>
      <c r="P111" s="44" t="str">
        <f>IF($B111="","",SUMIFS(TK_Nhap!$E$5:$E$1004,TK_Nhap!$D$5:$D$1004,$B111,TK_Nhap!$H$5:$H$1004,1))</f>
        <v/>
      </c>
      <c r="Q111" s="44" t="str">
        <f t="shared" si="9"/>
        <v/>
      </c>
    </row>
    <row r="112" spans="1:17" x14ac:dyDescent="0.25">
      <c r="A112" s="36" t="str">
        <f t="shared" si="5"/>
        <v/>
      </c>
      <c r="B112" s="35" t="str">
        <f>IFERROR(INDEX(DM_NL!$A$5:$A$304,MATCH(ROW()-10,DM_NL!$G$5:$G$304,0)),"")</f>
        <v/>
      </c>
      <c r="C112" s="35" t="str">
        <f>IF(B112="","",INDEX(DM_NL!$B$5:$B$304,MATCH(B112,DM_NL!$A$5:$A$304,0)))</f>
        <v/>
      </c>
      <c r="D112" s="35" t="str">
        <f>IF(B112="","",INDEX(DM_NL!$C$5:$C$304,MATCH(B112,DM_NL!$A$5:$A$304,0)))</f>
        <v/>
      </c>
      <c r="E112" s="39" t="str">
        <f>IF($B112="","",SUMIFS(Kho_NL!$B$5:$B$304,Kho_NL!$A$5:$A$304,$B112))</f>
        <v/>
      </c>
      <c r="F112" s="39" t="str">
        <f>IF($B112="","",SUMIFS(Kho_NL!$C$5:$C$304,Kho_NL!$A$5:$A$304,$B112))</f>
        <v/>
      </c>
      <c r="G112" s="39" t="str">
        <f>IF($B112="","",SUMIFS(Kho_NL!$D$5:$D$304,Kho_NL!$A$5:$A$304,$B112))</f>
        <v/>
      </c>
      <c r="H112" s="39" t="str">
        <f>IF($B112="","",SUMIFS(Kho_NL!$E$5:$E$304,Kho_NL!$A$5:$A$304,$B112))</f>
        <v/>
      </c>
      <c r="I112" s="39" t="str">
        <f>IF($B112="","",SUMIFS(Kho_NL!$F$5:$F$304,Kho_NL!$A$5:$A$304,$B112))</f>
        <v/>
      </c>
      <c r="J112" s="39" t="str">
        <f>IF($B112="","",SUMIFS(Kho_NL!$G$5:$G$304,Kho_NL!$A$5:$A$304,$B112))</f>
        <v/>
      </c>
      <c r="K112" s="39" t="str">
        <f t="shared" si="6"/>
        <v/>
      </c>
      <c r="L112" s="31" t="str">
        <f>IF($B112="","",IFERROR(INDEX(Kho_NL!$I$5:$I$304,MATCH(B112,Kho_NL!$A$5:$A$304,0))&amp;"",""))</f>
        <v/>
      </c>
      <c r="M112" s="44" t="str">
        <f>IF($B112="","",SUMIFS(Kho_NL!$H$5:$H$304,Kho_NL!$A$5:$A$304,$B112))</f>
        <v/>
      </c>
      <c r="N112" s="44" t="str">
        <f t="shared" si="7"/>
        <v/>
      </c>
      <c r="O112" s="45" t="str">
        <f t="shared" si="8"/>
        <v/>
      </c>
      <c r="P112" s="44" t="str">
        <f>IF($B112="","",SUMIFS(TK_Nhap!$E$5:$E$1004,TK_Nhap!$D$5:$D$1004,$B112,TK_Nhap!$H$5:$H$1004,1))</f>
        <v/>
      </c>
      <c r="Q112" s="44" t="str">
        <f t="shared" si="9"/>
        <v/>
      </c>
    </row>
    <row r="113" spans="1:17" x14ac:dyDescent="0.25">
      <c r="A113" s="36" t="str">
        <f t="shared" si="5"/>
        <v/>
      </c>
      <c r="B113" s="35" t="str">
        <f>IFERROR(INDEX(DM_NL!$A$5:$A$304,MATCH(ROW()-10,DM_NL!$G$5:$G$304,0)),"")</f>
        <v/>
      </c>
      <c r="C113" s="35" t="str">
        <f>IF(B113="","",INDEX(DM_NL!$B$5:$B$304,MATCH(B113,DM_NL!$A$5:$A$304,0)))</f>
        <v/>
      </c>
      <c r="D113" s="35" t="str">
        <f>IF(B113="","",INDEX(DM_NL!$C$5:$C$304,MATCH(B113,DM_NL!$A$5:$A$304,0)))</f>
        <v/>
      </c>
      <c r="E113" s="39" t="str">
        <f>IF($B113="","",SUMIFS(Kho_NL!$B$5:$B$304,Kho_NL!$A$5:$A$304,$B113))</f>
        <v/>
      </c>
      <c r="F113" s="39" t="str">
        <f>IF($B113="","",SUMIFS(Kho_NL!$C$5:$C$304,Kho_NL!$A$5:$A$304,$B113))</f>
        <v/>
      </c>
      <c r="G113" s="39" t="str">
        <f>IF($B113="","",SUMIFS(Kho_NL!$D$5:$D$304,Kho_NL!$A$5:$A$304,$B113))</f>
        <v/>
      </c>
      <c r="H113" s="39" t="str">
        <f>IF($B113="","",SUMIFS(Kho_NL!$E$5:$E$304,Kho_NL!$A$5:$A$304,$B113))</f>
        <v/>
      </c>
      <c r="I113" s="39" t="str">
        <f>IF($B113="","",SUMIFS(Kho_NL!$F$5:$F$304,Kho_NL!$A$5:$A$304,$B113))</f>
        <v/>
      </c>
      <c r="J113" s="39" t="str">
        <f>IF($B113="","",SUMIFS(Kho_NL!$G$5:$G$304,Kho_NL!$A$5:$A$304,$B113))</f>
        <v/>
      </c>
      <c r="K113" s="39" t="str">
        <f t="shared" si="6"/>
        <v/>
      </c>
      <c r="L113" s="31" t="str">
        <f>IF($B113="","",IFERROR(INDEX(Kho_NL!$I$5:$I$304,MATCH(B113,Kho_NL!$A$5:$A$304,0))&amp;"",""))</f>
        <v/>
      </c>
      <c r="M113" s="44" t="str">
        <f>IF($B113="","",SUMIFS(Kho_NL!$H$5:$H$304,Kho_NL!$A$5:$A$304,$B113))</f>
        <v/>
      </c>
      <c r="N113" s="44" t="str">
        <f t="shared" si="7"/>
        <v/>
      </c>
      <c r="O113" s="45" t="str">
        <f t="shared" si="8"/>
        <v/>
      </c>
      <c r="P113" s="44" t="str">
        <f>IF($B113="","",SUMIFS(TK_Nhap!$E$5:$E$1004,TK_Nhap!$D$5:$D$1004,$B113,TK_Nhap!$H$5:$H$1004,1))</f>
        <v/>
      </c>
      <c r="Q113" s="44" t="str">
        <f t="shared" si="9"/>
        <v/>
      </c>
    </row>
    <row r="114" spans="1:17" x14ac:dyDescent="0.25">
      <c r="A114" s="36" t="str">
        <f t="shared" si="5"/>
        <v/>
      </c>
      <c r="B114" s="35" t="str">
        <f>IFERROR(INDEX(DM_NL!$A$5:$A$304,MATCH(ROW()-10,DM_NL!$G$5:$G$304,0)),"")</f>
        <v/>
      </c>
      <c r="C114" s="35" t="str">
        <f>IF(B114="","",INDEX(DM_NL!$B$5:$B$304,MATCH(B114,DM_NL!$A$5:$A$304,0)))</f>
        <v/>
      </c>
      <c r="D114" s="35" t="str">
        <f>IF(B114="","",INDEX(DM_NL!$C$5:$C$304,MATCH(B114,DM_NL!$A$5:$A$304,0)))</f>
        <v/>
      </c>
      <c r="E114" s="39" t="str">
        <f>IF($B114="","",SUMIFS(Kho_NL!$B$5:$B$304,Kho_NL!$A$5:$A$304,$B114))</f>
        <v/>
      </c>
      <c r="F114" s="39" t="str">
        <f>IF($B114="","",SUMIFS(Kho_NL!$C$5:$C$304,Kho_NL!$A$5:$A$304,$B114))</f>
        <v/>
      </c>
      <c r="G114" s="39" t="str">
        <f>IF($B114="","",SUMIFS(Kho_NL!$D$5:$D$304,Kho_NL!$A$5:$A$304,$B114))</f>
        <v/>
      </c>
      <c r="H114" s="39" t="str">
        <f>IF($B114="","",SUMIFS(Kho_NL!$E$5:$E$304,Kho_NL!$A$5:$A$304,$B114))</f>
        <v/>
      </c>
      <c r="I114" s="39" t="str">
        <f>IF($B114="","",SUMIFS(Kho_NL!$F$5:$F$304,Kho_NL!$A$5:$A$304,$B114))</f>
        <v/>
      </c>
      <c r="J114" s="39" t="str">
        <f>IF($B114="","",SUMIFS(Kho_NL!$G$5:$G$304,Kho_NL!$A$5:$A$304,$B114))</f>
        <v/>
      </c>
      <c r="K114" s="39" t="str">
        <f t="shared" si="6"/>
        <v/>
      </c>
      <c r="L114" s="31" t="str">
        <f>IF($B114="","",IFERROR(INDEX(Kho_NL!$I$5:$I$304,MATCH(B114,Kho_NL!$A$5:$A$304,0))&amp;"",""))</f>
        <v/>
      </c>
      <c r="M114" s="44" t="str">
        <f>IF($B114="","",SUMIFS(Kho_NL!$H$5:$H$304,Kho_NL!$A$5:$A$304,$B114))</f>
        <v/>
      </c>
      <c r="N114" s="44" t="str">
        <f t="shared" si="7"/>
        <v/>
      </c>
      <c r="O114" s="45" t="str">
        <f t="shared" si="8"/>
        <v/>
      </c>
      <c r="P114" s="44" t="str">
        <f>IF($B114="","",SUMIFS(TK_Nhap!$E$5:$E$1004,TK_Nhap!$D$5:$D$1004,$B114,TK_Nhap!$H$5:$H$1004,1))</f>
        <v/>
      </c>
      <c r="Q114" s="44" t="str">
        <f t="shared" si="9"/>
        <v/>
      </c>
    </row>
    <row r="115" spans="1:17" x14ac:dyDescent="0.25">
      <c r="A115" s="36" t="str">
        <f t="shared" si="5"/>
        <v/>
      </c>
      <c r="B115" s="35" t="str">
        <f>IFERROR(INDEX(DM_NL!$A$5:$A$304,MATCH(ROW()-10,DM_NL!$G$5:$G$304,0)),"")</f>
        <v/>
      </c>
      <c r="C115" s="35" t="str">
        <f>IF(B115="","",INDEX(DM_NL!$B$5:$B$304,MATCH(B115,DM_NL!$A$5:$A$304,0)))</f>
        <v/>
      </c>
      <c r="D115" s="35" t="str">
        <f>IF(B115="","",INDEX(DM_NL!$C$5:$C$304,MATCH(B115,DM_NL!$A$5:$A$304,0)))</f>
        <v/>
      </c>
      <c r="E115" s="39" t="str">
        <f>IF($B115="","",SUMIFS(Kho_NL!$B$5:$B$304,Kho_NL!$A$5:$A$304,$B115))</f>
        <v/>
      </c>
      <c r="F115" s="39" t="str">
        <f>IF($B115="","",SUMIFS(Kho_NL!$C$5:$C$304,Kho_NL!$A$5:$A$304,$B115))</f>
        <v/>
      </c>
      <c r="G115" s="39" t="str">
        <f>IF($B115="","",SUMIFS(Kho_NL!$D$5:$D$304,Kho_NL!$A$5:$A$304,$B115))</f>
        <v/>
      </c>
      <c r="H115" s="39" t="str">
        <f>IF($B115="","",SUMIFS(Kho_NL!$E$5:$E$304,Kho_NL!$A$5:$A$304,$B115))</f>
        <v/>
      </c>
      <c r="I115" s="39" t="str">
        <f>IF($B115="","",SUMIFS(Kho_NL!$F$5:$F$304,Kho_NL!$A$5:$A$304,$B115))</f>
        <v/>
      </c>
      <c r="J115" s="39" t="str">
        <f>IF($B115="","",SUMIFS(Kho_NL!$G$5:$G$304,Kho_NL!$A$5:$A$304,$B115))</f>
        <v/>
      </c>
      <c r="K115" s="39" t="str">
        <f t="shared" si="6"/>
        <v/>
      </c>
      <c r="L115" s="31" t="str">
        <f>IF($B115="","",IFERROR(INDEX(Kho_NL!$I$5:$I$304,MATCH(B115,Kho_NL!$A$5:$A$304,0))&amp;"",""))</f>
        <v/>
      </c>
      <c r="M115" s="44" t="str">
        <f>IF($B115="","",SUMIFS(Kho_NL!$H$5:$H$304,Kho_NL!$A$5:$A$304,$B115))</f>
        <v/>
      </c>
      <c r="N115" s="44" t="str">
        <f t="shared" si="7"/>
        <v/>
      </c>
      <c r="O115" s="45" t="str">
        <f t="shared" si="8"/>
        <v/>
      </c>
      <c r="P115" s="44" t="str">
        <f>IF($B115="","",SUMIFS(TK_Nhap!$E$5:$E$1004,TK_Nhap!$D$5:$D$1004,$B115,TK_Nhap!$H$5:$H$1004,1))</f>
        <v/>
      </c>
      <c r="Q115" s="44" t="str">
        <f t="shared" si="9"/>
        <v/>
      </c>
    </row>
    <row r="116" spans="1:17" x14ac:dyDescent="0.25">
      <c r="A116" s="36" t="str">
        <f t="shared" si="5"/>
        <v/>
      </c>
      <c r="B116" s="35" t="str">
        <f>IFERROR(INDEX(DM_NL!$A$5:$A$304,MATCH(ROW()-10,DM_NL!$G$5:$G$304,0)),"")</f>
        <v/>
      </c>
      <c r="C116" s="35" t="str">
        <f>IF(B116="","",INDEX(DM_NL!$B$5:$B$304,MATCH(B116,DM_NL!$A$5:$A$304,0)))</f>
        <v/>
      </c>
      <c r="D116" s="35" t="str">
        <f>IF(B116="","",INDEX(DM_NL!$C$5:$C$304,MATCH(B116,DM_NL!$A$5:$A$304,0)))</f>
        <v/>
      </c>
      <c r="E116" s="39" t="str">
        <f>IF($B116="","",SUMIFS(Kho_NL!$B$5:$B$304,Kho_NL!$A$5:$A$304,$B116))</f>
        <v/>
      </c>
      <c r="F116" s="39" t="str">
        <f>IF($B116="","",SUMIFS(Kho_NL!$C$5:$C$304,Kho_NL!$A$5:$A$304,$B116))</f>
        <v/>
      </c>
      <c r="G116" s="39" t="str">
        <f>IF($B116="","",SUMIFS(Kho_NL!$D$5:$D$304,Kho_NL!$A$5:$A$304,$B116))</f>
        <v/>
      </c>
      <c r="H116" s="39" t="str">
        <f>IF($B116="","",SUMIFS(Kho_NL!$E$5:$E$304,Kho_NL!$A$5:$A$304,$B116))</f>
        <v/>
      </c>
      <c r="I116" s="39" t="str">
        <f>IF($B116="","",SUMIFS(Kho_NL!$F$5:$F$304,Kho_NL!$A$5:$A$304,$B116))</f>
        <v/>
      </c>
      <c r="J116" s="39" t="str">
        <f>IF($B116="","",SUMIFS(Kho_NL!$G$5:$G$304,Kho_NL!$A$5:$A$304,$B116))</f>
        <v/>
      </c>
      <c r="K116" s="39" t="str">
        <f t="shared" si="6"/>
        <v/>
      </c>
      <c r="L116" s="31" t="str">
        <f>IF($B116="","",IFERROR(INDEX(Kho_NL!$I$5:$I$304,MATCH(B116,Kho_NL!$A$5:$A$304,0))&amp;"",""))</f>
        <v/>
      </c>
      <c r="M116" s="44" t="str">
        <f>IF($B116="","",SUMIFS(Kho_NL!$H$5:$H$304,Kho_NL!$A$5:$A$304,$B116))</f>
        <v/>
      </c>
      <c r="N116" s="44" t="str">
        <f t="shared" si="7"/>
        <v/>
      </c>
      <c r="O116" s="45" t="str">
        <f t="shared" si="8"/>
        <v/>
      </c>
      <c r="P116" s="44" t="str">
        <f>IF($B116="","",SUMIFS(TK_Nhap!$E$5:$E$1004,TK_Nhap!$D$5:$D$1004,$B116,TK_Nhap!$H$5:$H$1004,1))</f>
        <v/>
      </c>
      <c r="Q116" s="44" t="str">
        <f t="shared" si="9"/>
        <v/>
      </c>
    </row>
    <row r="117" spans="1:17" x14ac:dyDescent="0.25">
      <c r="A117" s="36" t="str">
        <f t="shared" si="5"/>
        <v/>
      </c>
      <c r="B117" s="35" t="str">
        <f>IFERROR(INDEX(DM_NL!$A$5:$A$304,MATCH(ROW()-10,DM_NL!$G$5:$G$304,0)),"")</f>
        <v/>
      </c>
      <c r="C117" s="35" t="str">
        <f>IF(B117="","",INDEX(DM_NL!$B$5:$B$304,MATCH(B117,DM_NL!$A$5:$A$304,0)))</f>
        <v/>
      </c>
      <c r="D117" s="35" t="str">
        <f>IF(B117="","",INDEX(DM_NL!$C$5:$C$304,MATCH(B117,DM_NL!$A$5:$A$304,0)))</f>
        <v/>
      </c>
      <c r="E117" s="39" t="str">
        <f>IF($B117="","",SUMIFS(Kho_NL!$B$5:$B$304,Kho_NL!$A$5:$A$304,$B117))</f>
        <v/>
      </c>
      <c r="F117" s="39" t="str">
        <f>IF($B117="","",SUMIFS(Kho_NL!$C$5:$C$304,Kho_NL!$A$5:$A$304,$B117))</f>
        <v/>
      </c>
      <c r="G117" s="39" t="str">
        <f>IF($B117="","",SUMIFS(Kho_NL!$D$5:$D$304,Kho_NL!$A$5:$A$304,$B117))</f>
        <v/>
      </c>
      <c r="H117" s="39" t="str">
        <f>IF($B117="","",SUMIFS(Kho_NL!$E$5:$E$304,Kho_NL!$A$5:$A$304,$B117))</f>
        <v/>
      </c>
      <c r="I117" s="39" t="str">
        <f>IF($B117="","",SUMIFS(Kho_NL!$F$5:$F$304,Kho_NL!$A$5:$A$304,$B117))</f>
        <v/>
      </c>
      <c r="J117" s="39" t="str">
        <f>IF($B117="","",SUMIFS(Kho_NL!$G$5:$G$304,Kho_NL!$A$5:$A$304,$B117))</f>
        <v/>
      </c>
      <c r="K117" s="39" t="str">
        <f t="shared" si="6"/>
        <v/>
      </c>
      <c r="L117" s="31" t="str">
        <f>IF($B117="","",IFERROR(INDEX(Kho_NL!$I$5:$I$304,MATCH(B117,Kho_NL!$A$5:$A$304,0))&amp;"",""))</f>
        <v/>
      </c>
      <c r="M117" s="44" t="str">
        <f>IF($B117="","",SUMIFS(Kho_NL!$H$5:$H$304,Kho_NL!$A$5:$A$304,$B117))</f>
        <v/>
      </c>
      <c r="N117" s="44" t="str">
        <f t="shared" si="7"/>
        <v/>
      </c>
      <c r="O117" s="45" t="str">
        <f t="shared" si="8"/>
        <v/>
      </c>
      <c r="P117" s="44" t="str">
        <f>IF($B117="","",SUMIFS(TK_Nhap!$E$5:$E$1004,TK_Nhap!$D$5:$D$1004,$B117,TK_Nhap!$H$5:$H$1004,1))</f>
        <v/>
      </c>
      <c r="Q117" s="44" t="str">
        <f t="shared" si="9"/>
        <v/>
      </c>
    </row>
    <row r="118" spans="1:17" x14ac:dyDescent="0.25">
      <c r="A118" s="36" t="str">
        <f t="shared" si="5"/>
        <v/>
      </c>
      <c r="B118" s="35" t="str">
        <f>IFERROR(INDEX(DM_NL!$A$5:$A$304,MATCH(ROW()-10,DM_NL!$G$5:$G$304,0)),"")</f>
        <v/>
      </c>
      <c r="C118" s="35" t="str">
        <f>IF(B118="","",INDEX(DM_NL!$B$5:$B$304,MATCH(B118,DM_NL!$A$5:$A$304,0)))</f>
        <v/>
      </c>
      <c r="D118" s="35" t="str">
        <f>IF(B118="","",INDEX(DM_NL!$C$5:$C$304,MATCH(B118,DM_NL!$A$5:$A$304,0)))</f>
        <v/>
      </c>
      <c r="E118" s="39" t="str">
        <f>IF($B118="","",SUMIFS(Kho_NL!$B$5:$B$304,Kho_NL!$A$5:$A$304,$B118))</f>
        <v/>
      </c>
      <c r="F118" s="39" t="str">
        <f>IF($B118="","",SUMIFS(Kho_NL!$C$5:$C$304,Kho_NL!$A$5:$A$304,$B118))</f>
        <v/>
      </c>
      <c r="G118" s="39" t="str">
        <f>IF($B118="","",SUMIFS(Kho_NL!$D$5:$D$304,Kho_NL!$A$5:$A$304,$B118))</f>
        <v/>
      </c>
      <c r="H118" s="39" t="str">
        <f>IF($B118="","",SUMIFS(Kho_NL!$E$5:$E$304,Kho_NL!$A$5:$A$304,$B118))</f>
        <v/>
      </c>
      <c r="I118" s="39" t="str">
        <f>IF($B118="","",SUMIFS(Kho_NL!$F$5:$F$304,Kho_NL!$A$5:$A$304,$B118))</f>
        <v/>
      </c>
      <c r="J118" s="39" t="str">
        <f>IF($B118="","",SUMIFS(Kho_NL!$G$5:$G$304,Kho_NL!$A$5:$A$304,$B118))</f>
        <v/>
      </c>
      <c r="K118" s="39" t="str">
        <f t="shared" si="6"/>
        <v/>
      </c>
      <c r="L118" s="31" t="str">
        <f>IF($B118="","",IFERROR(INDEX(Kho_NL!$I$5:$I$304,MATCH(B118,Kho_NL!$A$5:$A$304,0))&amp;"",""))</f>
        <v/>
      </c>
      <c r="M118" s="44" t="str">
        <f>IF($B118="","",SUMIFS(Kho_NL!$H$5:$H$304,Kho_NL!$A$5:$A$304,$B118))</f>
        <v/>
      </c>
      <c r="N118" s="44" t="str">
        <f t="shared" si="7"/>
        <v/>
      </c>
      <c r="O118" s="45" t="str">
        <f t="shared" si="8"/>
        <v/>
      </c>
      <c r="P118" s="44" t="str">
        <f>IF($B118="","",SUMIFS(TK_Nhap!$E$5:$E$1004,TK_Nhap!$D$5:$D$1004,$B118,TK_Nhap!$H$5:$H$1004,1))</f>
        <v/>
      </c>
      <c r="Q118" s="44" t="str">
        <f t="shared" si="9"/>
        <v/>
      </c>
    </row>
    <row r="119" spans="1:17" x14ac:dyDescent="0.25">
      <c r="A119" s="36" t="str">
        <f t="shared" si="5"/>
        <v/>
      </c>
      <c r="B119" s="35" t="str">
        <f>IFERROR(INDEX(DM_NL!$A$5:$A$304,MATCH(ROW()-10,DM_NL!$G$5:$G$304,0)),"")</f>
        <v/>
      </c>
      <c r="C119" s="35" t="str">
        <f>IF(B119="","",INDEX(DM_NL!$B$5:$B$304,MATCH(B119,DM_NL!$A$5:$A$304,0)))</f>
        <v/>
      </c>
      <c r="D119" s="35" t="str">
        <f>IF(B119="","",INDEX(DM_NL!$C$5:$C$304,MATCH(B119,DM_NL!$A$5:$A$304,0)))</f>
        <v/>
      </c>
      <c r="E119" s="39" t="str">
        <f>IF($B119="","",SUMIFS(Kho_NL!$B$5:$B$304,Kho_NL!$A$5:$A$304,$B119))</f>
        <v/>
      </c>
      <c r="F119" s="39" t="str">
        <f>IF($B119="","",SUMIFS(Kho_NL!$C$5:$C$304,Kho_NL!$A$5:$A$304,$B119))</f>
        <v/>
      </c>
      <c r="G119" s="39" t="str">
        <f>IF($B119="","",SUMIFS(Kho_NL!$D$5:$D$304,Kho_NL!$A$5:$A$304,$B119))</f>
        <v/>
      </c>
      <c r="H119" s="39" t="str">
        <f>IF($B119="","",SUMIFS(Kho_NL!$E$5:$E$304,Kho_NL!$A$5:$A$304,$B119))</f>
        <v/>
      </c>
      <c r="I119" s="39" t="str">
        <f>IF($B119="","",SUMIFS(Kho_NL!$F$5:$F$304,Kho_NL!$A$5:$A$304,$B119))</f>
        <v/>
      </c>
      <c r="J119" s="39" t="str">
        <f>IF($B119="","",SUMIFS(Kho_NL!$G$5:$G$304,Kho_NL!$A$5:$A$304,$B119))</f>
        <v/>
      </c>
      <c r="K119" s="39" t="str">
        <f t="shared" si="6"/>
        <v/>
      </c>
      <c r="L119" s="31" t="str">
        <f>IF($B119="","",IFERROR(INDEX(Kho_NL!$I$5:$I$304,MATCH(B119,Kho_NL!$A$5:$A$304,0))&amp;"",""))</f>
        <v/>
      </c>
      <c r="M119" s="44" t="str">
        <f>IF($B119="","",SUMIFS(Kho_NL!$H$5:$H$304,Kho_NL!$A$5:$A$304,$B119))</f>
        <v/>
      </c>
      <c r="N119" s="44" t="str">
        <f t="shared" si="7"/>
        <v/>
      </c>
      <c r="O119" s="45" t="str">
        <f t="shared" si="8"/>
        <v/>
      </c>
      <c r="P119" s="44" t="str">
        <f>IF($B119="","",SUMIFS(TK_Nhap!$E$5:$E$1004,TK_Nhap!$D$5:$D$1004,$B119,TK_Nhap!$H$5:$H$1004,1))</f>
        <v/>
      </c>
      <c r="Q119" s="44" t="str">
        <f t="shared" si="9"/>
        <v/>
      </c>
    </row>
    <row r="120" spans="1:17" x14ac:dyDescent="0.25">
      <c r="A120" s="36" t="str">
        <f t="shared" si="5"/>
        <v/>
      </c>
      <c r="B120" s="35" t="str">
        <f>IFERROR(INDEX(DM_NL!$A$5:$A$304,MATCH(ROW()-10,DM_NL!$G$5:$G$304,0)),"")</f>
        <v/>
      </c>
      <c r="C120" s="35" t="str">
        <f>IF(B120="","",INDEX(DM_NL!$B$5:$B$304,MATCH(B120,DM_NL!$A$5:$A$304,0)))</f>
        <v/>
      </c>
      <c r="D120" s="35" t="str">
        <f>IF(B120="","",INDEX(DM_NL!$C$5:$C$304,MATCH(B120,DM_NL!$A$5:$A$304,0)))</f>
        <v/>
      </c>
      <c r="E120" s="39" t="str">
        <f>IF($B120="","",SUMIFS(Kho_NL!$B$5:$B$304,Kho_NL!$A$5:$A$304,$B120))</f>
        <v/>
      </c>
      <c r="F120" s="39" t="str">
        <f>IF($B120="","",SUMIFS(Kho_NL!$C$5:$C$304,Kho_NL!$A$5:$A$304,$B120))</f>
        <v/>
      </c>
      <c r="G120" s="39" t="str">
        <f>IF($B120="","",SUMIFS(Kho_NL!$D$5:$D$304,Kho_NL!$A$5:$A$304,$B120))</f>
        <v/>
      </c>
      <c r="H120" s="39" t="str">
        <f>IF($B120="","",SUMIFS(Kho_NL!$E$5:$E$304,Kho_NL!$A$5:$A$304,$B120))</f>
        <v/>
      </c>
      <c r="I120" s="39" t="str">
        <f>IF($B120="","",SUMIFS(Kho_NL!$F$5:$F$304,Kho_NL!$A$5:$A$304,$B120))</f>
        <v/>
      </c>
      <c r="J120" s="39" t="str">
        <f>IF($B120="","",SUMIFS(Kho_NL!$G$5:$G$304,Kho_NL!$A$5:$A$304,$B120))</f>
        <v/>
      </c>
      <c r="K120" s="39" t="str">
        <f t="shared" si="6"/>
        <v/>
      </c>
      <c r="L120" s="31" t="str">
        <f>IF($B120="","",IFERROR(INDEX(Kho_NL!$I$5:$I$304,MATCH(B120,Kho_NL!$A$5:$A$304,0))&amp;"",""))</f>
        <v/>
      </c>
      <c r="M120" s="44" t="str">
        <f>IF($B120="","",SUMIFS(Kho_NL!$H$5:$H$304,Kho_NL!$A$5:$A$304,$B120))</f>
        <v/>
      </c>
      <c r="N120" s="44" t="str">
        <f t="shared" si="7"/>
        <v/>
      </c>
      <c r="O120" s="45" t="str">
        <f t="shared" si="8"/>
        <v/>
      </c>
      <c r="P120" s="44" t="str">
        <f>IF($B120="","",SUMIFS(TK_Nhap!$E$5:$E$1004,TK_Nhap!$D$5:$D$1004,$B120,TK_Nhap!$H$5:$H$1004,1))</f>
        <v/>
      </c>
      <c r="Q120" s="44" t="str">
        <f t="shared" si="9"/>
        <v/>
      </c>
    </row>
    <row r="121" spans="1:17" x14ac:dyDescent="0.25">
      <c r="A121" s="36" t="str">
        <f t="shared" si="5"/>
        <v/>
      </c>
      <c r="B121" s="35" t="str">
        <f>IFERROR(INDEX(DM_NL!$A$5:$A$304,MATCH(ROW()-10,DM_NL!$G$5:$G$304,0)),"")</f>
        <v/>
      </c>
      <c r="C121" s="35" t="str">
        <f>IF(B121="","",INDEX(DM_NL!$B$5:$B$304,MATCH(B121,DM_NL!$A$5:$A$304,0)))</f>
        <v/>
      </c>
      <c r="D121" s="35" t="str">
        <f>IF(B121="","",INDEX(DM_NL!$C$5:$C$304,MATCH(B121,DM_NL!$A$5:$A$304,0)))</f>
        <v/>
      </c>
      <c r="E121" s="39" t="str">
        <f>IF($B121="","",SUMIFS(Kho_NL!$B$5:$B$304,Kho_NL!$A$5:$A$304,$B121))</f>
        <v/>
      </c>
      <c r="F121" s="39" t="str">
        <f>IF($B121="","",SUMIFS(Kho_NL!$C$5:$C$304,Kho_NL!$A$5:$A$304,$B121))</f>
        <v/>
      </c>
      <c r="G121" s="39" t="str">
        <f>IF($B121="","",SUMIFS(Kho_NL!$D$5:$D$304,Kho_NL!$A$5:$A$304,$B121))</f>
        <v/>
      </c>
      <c r="H121" s="39" t="str">
        <f>IF($B121="","",SUMIFS(Kho_NL!$E$5:$E$304,Kho_NL!$A$5:$A$304,$B121))</f>
        <v/>
      </c>
      <c r="I121" s="39" t="str">
        <f>IF($B121="","",SUMIFS(Kho_NL!$F$5:$F$304,Kho_NL!$A$5:$A$304,$B121))</f>
        <v/>
      </c>
      <c r="J121" s="39" t="str">
        <f>IF($B121="","",SUMIFS(Kho_NL!$G$5:$G$304,Kho_NL!$A$5:$A$304,$B121))</f>
        <v/>
      </c>
      <c r="K121" s="39" t="str">
        <f t="shared" si="6"/>
        <v/>
      </c>
      <c r="L121" s="31" t="str">
        <f>IF($B121="","",IFERROR(INDEX(Kho_NL!$I$5:$I$304,MATCH(B121,Kho_NL!$A$5:$A$304,0))&amp;"",""))</f>
        <v/>
      </c>
      <c r="M121" s="44" t="str">
        <f>IF($B121="","",SUMIFS(Kho_NL!$H$5:$H$304,Kho_NL!$A$5:$A$304,$B121))</f>
        <v/>
      </c>
      <c r="N121" s="44" t="str">
        <f t="shared" si="7"/>
        <v/>
      </c>
      <c r="O121" s="45" t="str">
        <f t="shared" si="8"/>
        <v/>
      </c>
      <c r="P121" s="44" t="str">
        <f>IF($B121="","",SUMIFS(TK_Nhap!$E$5:$E$1004,TK_Nhap!$D$5:$D$1004,$B121,TK_Nhap!$H$5:$H$1004,1))</f>
        <v/>
      </c>
      <c r="Q121" s="44" t="str">
        <f t="shared" si="9"/>
        <v/>
      </c>
    </row>
    <row r="122" spans="1:17" x14ac:dyDescent="0.25">
      <c r="A122" s="36" t="str">
        <f t="shared" si="5"/>
        <v/>
      </c>
      <c r="B122" s="35" t="str">
        <f>IFERROR(INDEX(DM_NL!$A$5:$A$304,MATCH(ROW()-10,DM_NL!$G$5:$G$304,0)),"")</f>
        <v/>
      </c>
      <c r="C122" s="35" t="str">
        <f>IF(B122="","",INDEX(DM_NL!$B$5:$B$304,MATCH(B122,DM_NL!$A$5:$A$304,0)))</f>
        <v/>
      </c>
      <c r="D122" s="35" t="str">
        <f>IF(B122="","",INDEX(DM_NL!$C$5:$C$304,MATCH(B122,DM_NL!$A$5:$A$304,0)))</f>
        <v/>
      </c>
      <c r="E122" s="39" t="str">
        <f>IF($B122="","",SUMIFS(Kho_NL!$B$5:$B$304,Kho_NL!$A$5:$A$304,$B122))</f>
        <v/>
      </c>
      <c r="F122" s="39" t="str">
        <f>IF($B122="","",SUMIFS(Kho_NL!$C$5:$C$304,Kho_NL!$A$5:$A$304,$B122))</f>
        <v/>
      </c>
      <c r="G122" s="39" t="str">
        <f>IF($B122="","",SUMIFS(Kho_NL!$D$5:$D$304,Kho_NL!$A$5:$A$304,$B122))</f>
        <v/>
      </c>
      <c r="H122" s="39" t="str">
        <f>IF($B122="","",SUMIFS(Kho_NL!$E$5:$E$304,Kho_NL!$A$5:$A$304,$B122))</f>
        <v/>
      </c>
      <c r="I122" s="39" t="str">
        <f>IF($B122="","",SUMIFS(Kho_NL!$F$5:$F$304,Kho_NL!$A$5:$A$304,$B122))</f>
        <v/>
      </c>
      <c r="J122" s="39" t="str">
        <f>IF($B122="","",SUMIFS(Kho_NL!$G$5:$G$304,Kho_NL!$A$5:$A$304,$B122))</f>
        <v/>
      </c>
      <c r="K122" s="39" t="str">
        <f t="shared" si="6"/>
        <v/>
      </c>
      <c r="L122" s="31" t="str">
        <f>IF($B122="","",IFERROR(INDEX(Kho_NL!$I$5:$I$304,MATCH(B122,Kho_NL!$A$5:$A$304,0))&amp;"",""))</f>
        <v/>
      </c>
      <c r="M122" s="44" t="str">
        <f>IF($B122="","",SUMIFS(Kho_NL!$H$5:$H$304,Kho_NL!$A$5:$A$304,$B122))</f>
        <v/>
      </c>
      <c r="N122" s="44" t="str">
        <f t="shared" si="7"/>
        <v/>
      </c>
      <c r="O122" s="45" t="str">
        <f t="shared" si="8"/>
        <v/>
      </c>
      <c r="P122" s="44" t="str">
        <f>IF($B122="","",SUMIFS(TK_Nhap!$E$5:$E$1004,TK_Nhap!$D$5:$D$1004,$B122,TK_Nhap!$H$5:$H$1004,1))</f>
        <v/>
      </c>
      <c r="Q122" s="44" t="str">
        <f t="shared" si="9"/>
        <v/>
      </c>
    </row>
    <row r="123" spans="1:17" x14ac:dyDescent="0.25">
      <c r="A123" s="36" t="str">
        <f t="shared" si="5"/>
        <v/>
      </c>
      <c r="B123" s="35" t="str">
        <f>IFERROR(INDEX(DM_NL!$A$5:$A$304,MATCH(ROW()-10,DM_NL!$G$5:$G$304,0)),"")</f>
        <v/>
      </c>
      <c r="C123" s="35" t="str">
        <f>IF(B123="","",INDEX(DM_NL!$B$5:$B$304,MATCH(B123,DM_NL!$A$5:$A$304,0)))</f>
        <v/>
      </c>
      <c r="D123" s="35" t="str">
        <f>IF(B123="","",INDEX(DM_NL!$C$5:$C$304,MATCH(B123,DM_NL!$A$5:$A$304,0)))</f>
        <v/>
      </c>
      <c r="E123" s="39" t="str">
        <f>IF($B123="","",SUMIFS(Kho_NL!$B$5:$B$304,Kho_NL!$A$5:$A$304,$B123))</f>
        <v/>
      </c>
      <c r="F123" s="39" t="str">
        <f>IF($B123="","",SUMIFS(Kho_NL!$C$5:$C$304,Kho_NL!$A$5:$A$304,$B123))</f>
        <v/>
      </c>
      <c r="G123" s="39" t="str">
        <f>IF($B123="","",SUMIFS(Kho_NL!$D$5:$D$304,Kho_NL!$A$5:$A$304,$B123))</f>
        <v/>
      </c>
      <c r="H123" s="39" t="str">
        <f>IF($B123="","",SUMIFS(Kho_NL!$E$5:$E$304,Kho_NL!$A$5:$A$304,$B123))</f>
        <v/>
      </c>
      <c r="I123" s="39" t="str">
        <f>IF($B123="","",SUMIFS(Kho_NL!$F$5:$F$304,Kho_NL!$A$5:$A$304,$B123))</f>
        <v/>
      </c>
      <c r="J123" s="39" t="str">
        <f>IF($B123="","",SUMIFS(Kho_NL!$G$5:$G$304,Kho_NL!$A$5:$A$304,$B123))</f>
        <v/>
      </c>
      <c r="K123" s="39" t="str">
        <f t="shared" si="6"/>
        <v/>
      </c>
      <c r="L123" s="31" t="str">
        <f>IF($B123="","",IFERROR(INDEX(Kho_NL!$I$5:$I$304,MATCH(B123,Kho_NL!$A$5:$A$304,0))&amp;"",""))</f>
        <v/>
      </c>
      <c r="M123" s="44" t="str">
        <f>IF($B123="","",SUMIFS(Kho_NL!$H$5:$H$304,Kho_NL!$A$5:$A$304,$B123))</f>
        <v/>
      </c>
      <c r="N123" s="44" t="str">
        <f t="shared" si="7"/>
        <v/>
      </c>
      <c r="O123" s="45" t="str">
        <f t="shared" si="8"/>
        <v/>
      </c>
      <c r="P123" s="44" t="str">
        <f>IF($B123="","",SUMIFS(TK_Nhap!$E$5:$E$1004,TK_Nhap!$D$5:$D$1004,$B123,TK_Nhap!$H$5:$H$1004,1))</f>
        <v/>
      </c>
      <c r="Q123" s="44" t="str">
        <f t="shared" si="9"/>
        <v/>
      </c>
    </row>
    <row r="124" spans="1:17" x14ac:dyDescent="0.25">
      <c r="A124" s="36" t="str">
        <f t="shared" si="5"/>
        <v/>
      </c>
      <c r="B124" s="35" t="str">
        <f>IFERROR(INDEX(DM_NL!$A$5:$A$304,MATCH(ROW()-10,DM_NL!$G$5:$G$304,0)),"")</f>
        <v/>
      </c>
      <c r="C124" s="35" t="str">
        <f>IF(B124="","",INDEX(DM_NL!$B$5:$B$304,MATCH(B124,DM_NL!$A$5:$A$304,0)))</f>
        <v/>
      </c>
      <c r="D124" s="35" t="str">
        <f>IF(B124="","",INDEX(DM_NL!$C$5:$C$304,MATCH(B124,DM_NL!$A$5:$A$304,0)))</f>
        <v/>
      </c>
      <c r="E124" s="39" t="str">
        <f>IF($B124="","",SUMIFS(Kho_NL!$B$5:$B$304,Kho_NL!$A$5:$A$304,$B124))</f>
        <v/>
      </c>
      <c r="F124" s="39" t="str">
        <f>IF($B124="","",SUMIFS(Kho_NL!$C$5:$C$304,Kho_NL!$A$5:$A$304,$B124))</f>
        <v/>
      </c>
      <c r="G124" s="39" t="str">
        <f>IF($B124="","",SUMIFS(Kho_NL!$D$5:$D$304,Kho_NL!$A$5:$A$304,$B124))</f>
        <v/>
      </c>
      <c r="H124" s="39" t="str">
        <f>IF($B124="","",SUMIFS(Kho_NL!$E$5:$E$304,Kho_NL!$A$5:$A$304,$B124))</f>
        <v/>
      </c>
      <c r="I124" s="39" t="str">
        <f>IF($B124="","",SUMIFS(Kho_NL!$F$5:$F$304,Kho_NL!$A$5:$A$304,$B124))</f>
        <v/>
      </c>
      <c r="J124" s="39" t="str">
        <f>IF($B124="","",SUMIFS(Kho_NL!$G$5:$G$304,Kho_NL!$A$5:$A$304,$B124))</f>
        <v/>
      </c>
      <c r="K124" s="39" t="str">
        <f t="shared" si="6"/>
        <v/>
      </c>
      <c r="L124" s="31" t="str">
        <f>IF($B124="","",IFERROR(INDEX(Kho_NL!$I$5:$I$304,MATCH(B124,Kho_NL!$A$5:$A$304,0))&amp;"",""))</f>
        <v/>
      </c>
      <c r="M124" s="44" t="str">
        <f>IF($B124="","",SUMIFS(Kho_NL!$H$5:$H$304,Kho_NL!$A$5:$A$304,$B124))</f>
        <v/>
      </c>
      <c r="N124" s="44" t="str">
        <f t="shared" si="7"/>
        <v/>
      </c>
      <c r="O124" s="45" t="str">
        <f t="shared" si="8"/>
        <v/>
      </c>
      <c r="P124" s="44" t="str">
        <f>IF($B124="","",SUMIFS(TK_Nhap!$E$5:$E$1004,TK_Nhap!$D$5:$D$1004,$B124,TK_Nhap!$H$5:$H$1004,1))</f>
        <v/>
      </c>
      <c r="Q124" s="44" t="str">
        <f t="shared" si="9"/>
        <v/>
      </c>
    </row>
    <row r="125" spans="1:17" x14ac:dyDescent="0.25">
      <c r="A125" s="36" t="str">
        <f t="shared" si="5"/>
        <v/>
      </c>
      <c r="B125" s="35" t="str">
        <f>IFERROR(INDEX(DM_NL!$A$5:$A$304,MATCH(ROW()-10,DM_NL!$G$5:$G$304,0)),"")</f>
        <v/>
      </c>
      <c r="C125" s="35" t="str">
        <f>IF(B125="","",INDEX(DM_NL!$B$5:$B$304,MATCH(B125,DM_NL!$A$5:$A$304,0)))</f>
        <v/>
      </c>
      <c r="D125" s="35" t="str">
        <f>IF(B125="","",INDEX(DM_NL!$C$5:$C$304,MATCH(B125,DM_NL!$A$5:$A$304,0)))</f>
        <v/>
      </c>
      <c r="E125" s="39" t="str">
        <f>IF($B125="","",SUMIFS(Kho_NL!$B$5:$B$304,Kho_NL!$A$5:$A$304,$B125))</f>
        <v/>
      </c>
      <c r="F125" s="39" t="str">
        <f>IF($B125="","",SUMIFS(Kho_NL!$C$5:$C$304,Kho_NL!$A$5:$A$304,$B125))</f>
        <v/>
      </c>
      <c r="G125" s="39" t="str">
        <f>IF($B125="","",SUMIFS(Kho_NL!$D$5:$D$304,Kho_NL!$A$5:$A$304,$B125))</f>
        <v/>
      </c>
      <c r="H125" s="39" t="str">
        <f>IF($B125="","",SUMIFS(Kho_NL!$E$5:$E$304,Kho_NL!$A$5:$A$304,$B125))</f>
        <v/>
      </c>
      <c r="I125" s="39" t="str">
        <f>IF($B125="","",SUMIFS(Kho_NL!$F$5:$F$304,Kho_NL!$A$5:$A$304,$B125))</f>
        <v/>
      </c>
      <c r="J125" s="39" t="str">
        <f>IF($B125="","",SUMIFS(Kho_NL!$G$5:$G$304,Kho_NL!$A$5:$A$304,$B125))</f>
        <v/>
      </c>
      <c r="K125" s="39" t="str">
        <f t="shared" si="6"/>
        <v/>
      </c>
      <c r="L125" s="31" t="str">
        <f>IF($B125="","",IFERROR(INDEX(Kho_NL!$I$5:$I$304,MATCH(B125,Kho_NL!$A$5:$A$304,0))&amp;"",""))</f>
        <v/>
      </c>
      <c r="M125" s="44" t="str">
        <f>IF($B125="","",SUMIFS(Kho_NL!$H$5:$H$304,Kho_NL!$A$5:$A$304,$B125))</f>
        <v/>
      </c>
      <c r="N125" s="44" t="str">
        <f t="shared" si="7"/>
        <v/>
      </c>
      <c r="O125" s="45" t="str">
        <f t="shared" si="8"/>
        <v/>
      </c>
      <c r="P125" s="44" t="str">
        <f>IF($B125="","",SUMIFS(TK_Nhap!$E$5:$E$1004,TK_Nhap!$D$5:$D$1004,$B125,TK_Nhap!$H$5:$H$1004,1))</f>
        <v/>
      </c>
      <c r="Q125" s="44" t="str">
        <f t="shared" si="9"/>
        <v/>
      </c>
    </row>
    <row r="126" spans="1:17" x14ac:dyDescent="0.25">
      <c r="A126" s="36" t="str">
        <f t="shared" si="5"/>
        <v/>
      </c>
      <c r="B126" s="35" t="str">
        <f>IFERROR(INDEX(DM_NL!$A$5:$A$304,MATCH(ROW()-10,DM_NL!$G$5:$G$304,0)),"")</f>
        <v/>
      </c>
      <c r="C126" s="35" t="str">
        <f>IF(B126="","",INDEX(DM_NL!$B$5:$B$304,MATCH(B126,DM_NL!$A$5:$A$304,0)))</f>
        <v/>
      </c>
      <c r="D126" s="35" t="str">
        <f>IF(B126="","",INDEX(DM_NL!$C$5:$C$304,MATCH(B126,DM_NL!$A$5:$A$304,0)))</f>
        <v/>
      </c>
      <c r="E126" s="39" t="str">
        <f>IF($B126="","",SUMIFS(Kho_NL!$B$5:$B$304,Kho_NL!$A$5:$A$304,$B126))</f>
        <v/>
      </c>
      <c r="F126" s="39" t="str">
        <f>IF($B126="","",SUMIFS(Kho_NL!$C$5:$C$304,Kho_NL!$A$5:$A$304,$B126))</f>
        <v/>
      </c>
      <c r="G126" s="39" t="str">
        <f>IF($B126="","",SUMIFS(Kho_NL!$D$5:$D$304,Kho_NL!$A$5:$A$304,$B126))</f>
        <v/>
      </c>
      <c r="H126" s="39" t="str">
        <f>IF($B126="","",SUMIFS(Kho_NL!$E$5:$E$304,Kho_NL!$A$5:$A$304,$B126))</f>
        <v/>
      </c>
      <c r="I126" s="39" t="str">
        <f>IF($B126="","",SUMIFS(Kho_NL!$F$5:$F$304,Kho_NL!$A$5:$A$304,$B126))</f>
        <v/>
      </c>
      <c r="J126" s="39" t="str">
        <f>IF($B126="","",SUMIFS(Kho_NL!$G$5:$G$304,Kho_NL!$A$5:$A$304,$B126))</f>
        <v/>
      </c>
      <c r="K126" s="39" t="str">
        <f t="shared" si="6"/>
        <v/>
      </c>
      <c r="L126" s="31" t="str">
        <f>IF($B126="","",IFERROR(INDEX(Kho_NL!$I$5:$I$304,MATCH(B126,Kho_NL!$A$5:$A$304,0))&amp;"",""))</f>
        <v/>
      </c>
      <c r="M126" s="44" t="str">
        <f>IF($B126="","",SUMIFS(Kho_NL!$H$5:$H$304,Kho_NL!$A$5:$A$304,$B126))</f>
        <v/>
      </c>
      <c r="N126" s="44" t="str">
        <f t="shared" si="7"/>
        <v/>
      </c>
      <c r="O126" s="45" t="str">
        <f t="shared" si="8"/>
        <v/>
      </c>
      <c r="P126" s="44" t="str">
        <f>IF($B126="","",SUMIFS(TK_Nhap!$E$5:$E$1004,TK_Nhap!$D$5:$D$1004,$B126,TK_Nhap!$H$5:$H$1004,1))</f>
        <v/>
      </c>
      <c r="Q126" s="44" t="str">
        <f t="shared" si="9"/>
        <v/>
      </c>
    </row>
    <row r="127" spans="1:17" x14ac:dyDescent="0.25">
      <c r="A127" s="36" t="str">
        <f t="shared" si="5"/>
        <v/>
      </c>
      <c r="B127" s="35" t="str">
        <f>IFERROR(INDEX(DM_NL!$A$5:$A$304,MATCH(ROW()-10,DM_NL!$G$5:$G$304,0)),"")</f>
        <v/>
      </c>
      <c r="C127" s="35" t="str">
        <f>IF(B127="","",INDEX(DM_NL!$B$5:$B$304,MATCH(B127,DM_NL!$A$5:$A$304,0)))</f>
        <v/>
      </c>
      <c r="D127" s="35" t="str">
        <f>IF(B127="","",INDEX(DM_NL!$C$5:$C$304,MATCH(B127,DM_NL!$A$5:$A$304,0)))</f>
        <v/>
      </c>
      <c r="E127" s="39" t="str">
        <f>IF($B127="","",SUMIFS(Kho_NL!$B$5:$B$304,Kho_NL!$A$5:$A$304,$B127))</f>
        <v/>
      </c>
      <c r="F127" s="39" t="str">
        <f>IF($B127="","",SUMIFS(Kho_NL!$C$5:$C$304,Kho_NL!$A$5:$A$304,$B127))</f>
        <v/>
      </c>
      <c r="G127" s="39" t="str">
        <f>IF($B127="","",SUMIFS(Kho_NL!$D$5:$D$304,Kho_NL!$A$5:$A$304,$B127))</f>
        <v/>
      </c>
      <c r="H127" s="39" t="str">
        <f>IF($B127="","",SUMIFS(Kho_NL!$E$5:$E$304,Kho_NL!$A$5:$A$304,$B127))</f>
        <v/>
      </c>
      <c r="I127" s="39" t="str">
        <f>IF($B127="","",SUMIFS(Kho_NL!$F$5:$F$304,Kho_NL!$A$5:$A$304,$B127))</f>
        <v/>
      </c>
      <c r="J127" s="39" t="str">
        <f>IF($B127="","",SUMIFS(Kho_NL!$G$5:$G$304,Kho_NL!$A$5:$A$304,$B127))</f>
        <v/>
      </c>
      <c r="K127" s="39" t="str">
        <f t="shared" si="6"/>
        <v/>
      </c>
      <c r="L127" s="31" t="str">
        <f>IF($B127="","",IFERROR(INDEX(Kho_NL!$I$5:$I$304,MATCH(B127,Kho_NL!$A$5:$A$304,0))&amp;"",""))</f>
        <v/>
      </c>
      <c r="M127" s="44" t="str">
        <f>IF($B127="","",SUMIFS(Kho_NL!$H$5:$H$304,Kho_NL!$A$5:$A$304,$B127))</f>
        <v/>
      </c>
      <c r="N127" s="44" t="str">
        <f t="shared" si="7"/>
        <v/>
      </c>
      <c r="O127" s="45" t="str">
        <f t="shared" si="8"/>
        <v/>
      </c>
      <c r="P127" s="44" t="str">
        <f>IF($B127="","",SUMIFS(TK_Nhap!$E$5:$E$1004,TK_Nhap!$D$5:$D$1004,$B127,TK_Nhap!$H$5:$H$1004,1))</f>
        <v/>
      </c>
      <c r="Q127" s="44" t="str">
        <f t="shared" si="9"/>
        <v/>
      </c>
    </row>
    <row r="128" spans="1:17" x14ac:dyDescent="0.25">
      <c r="A128" s="36" t="str">
        <f t="shared" si="5"/>
        <v/>
      </c>
      <c r="B128" s="35" t="str">
        <f>IFERROR(INDEX(DM_NL!$A$5:$A$304,MATCH(ROW()-10,DM_NL!$G$5:$G$304,0)),"")</f>
        <v/>
      </c>
      <c r="C128" s="35" t="str">
        <f>IF(B128="","",INDEX(DM_NL!$B$5:$B$304,MATCH(B128,DM_NL!$A$5:$A$304,0)))</f>
        <v/>
      </c>
      <c r="D128" s="35" t="str">
        <f>IF(B128="","",INDEX(DM_NL!$C$5:$C$304,MATCH(B128,DM_NL!$A$5:$A$304,0)))</f>
        <v/>
      </c>
      <c r="E128" s="39" t="str">
        <f>IF($B128="","",SUMIFS(Kho_NL!$B$5:$B$304,Kho_NL!$A$5:$A$304,$B128))</f>
        <v/>
      </c>
      <c r="F128" s="39" t="str">
        <f>IF($B128="","",SUMIFS(Kho_NL!$C$5:$C$304,Kho_NL!$A$5:$A$304,$B128))</f>
        <v/>
      </c>
      <c r="G128" s="39" t="str">
        <f>IF($B128="","",SUMIFS(Kho_NL!$D$5:$D$304,Kho_NL!$A$5:$A$304,$B128))</f>
        <v/>
      </c>
      <c r="H128" s="39" t="str">
        <f>IF($B128="","",SUMIFS(Kho_NL!$E$5:$E$304,Kho_NL!$A$5:$A$304,$B128))</f>
        <v/>
      </c>
      <c r="I128" s="39" t="str">
        <f>IF($B128="","",SUMIFS(Kho_NL!$F$5:$F$304,Kho_NL!$A$5:$A$304,$B128))</f>
        <v/>
      </c>
      <c r="J128" s="39" t="str">
        <f>IF($B128="","",SUMIFS(Kho_NL!$G$5:$G$304,Kho_NL!$A$5:$A$304,$B128))</f>
        <v/>
      </c>
      <c r="K128" s="39" t="str">
        <f t="shared" si="6"/>
        <v/>
      </c>
      <c r="L128" s="31" t="str">
        <f>IF($B128="","",IFERROR(INDEX(Kho_NL!$I$5:$I$304,MATCH(B128,Kho_NL!$A$5:$A$304,0))&amp;"",""))</f>
        <v/>
      </c>
      <c r="M128" s="44" t="str">
        <f>IF($B128="","",SUMIFS(Kho_NL!$H$5:$H$304,Kho_NL!$A$5:$A$304,$B128))</f>
        <v/>
      </c>
      <c r="N128" s="44" t="str">
        <f t="shared" si="7"/>
        <v/>
      </c>
      <c r="O128" s="45" t="str">
        <f t="shared" si="8"/>
        <v/>
      </c>
      <c r="P128" s="44" t="str">
        <f>IF($B128="","",SUMIFS(TK_Nhap!$E$5:$E$1004,TK_Nhap!$D$5:$D$1004,$B128,TK_Nhap!$H$5:$H$1004,1))</f>
        <v/>
      </c>
      <c r="Q128" s="44" t="str">
        <f t="shared" si="9"/>
        <v/>
      </c>
    </row>
    <row r="129" spans="1:17" x14ac:dyDescent="0.25">
      <c r="A129" s="36" t="str">
        <f t="shared" si="5"/>
        <v/>
      </c>
      <c r="B129" s="35" t="str">
        <f>IFERROR(INDEX(DM_NL!$A$5:$A$304,MATCH(ROW()-10,DM_NL!$G$5:$G$304,0)),"")</f>
        <v/>
      </c>
      <c r="C129" s="35" t="str">
        <f>IF(B129="","",INDEX(DM_NL!$B$5:$B$304,MATCH(B129,DM_NL!$A$5:$A$304,0)))</f>
        <v/>
      </c>
      <c r="D129" s="35" t="str">
        <f>IF(B129="","",INDEX(DM_NL!$C$5:$C$304,MATCH(B129,DM_NL!$A$5:$A$304,0)))</f>
        <v/>
      </c>
      <c r="E129" s="39" t="str">
        <f>IF($B129="","",SUMIFS(Kho_NL!$B$5:$B$304,Kho_NL!$A$5:$A$304,$B129))</f>
        <v/>
      </c>
      <c r="F129" s="39" t="str">
        <f>IF($B129="","",SUMIFS(Kho_NL!$C$5:$C$304,Kho_NL!$A$5:$A$304,$B129))</f>
        <v/>
      </c>
      <c r="G129" s="39" t="str">
        <f>IF($B129="","",SUMIFS(Kho_NL!$D$5:$D$304,Kho_NL!$A$5:$A$304,$B129))</f>
        <v/>
      </c>
      <c r="H129" s="39" t="str">
        <f>IF($B129="","",SUMIFS(Kho_NL!$E$5:$E$304,Kho_NL!$A$5:$A$304,$B129))</f>
        <v/>
      </c>
      <c r="I129" s="39" t="str">
        <f>IF($B129="","",SUMIFS(Kho_NL!$F$5:$F$304,Kho_NL!$A$5:$A$304,$B129))</f>
        <v/>
      </c>
      <c r="J129" s="39" t="str">
        <f>IF($B129="","",SUMIFS(Kho_NL!$G$5:$G$304,Kho_NL!$A$5:$A$304,$B129))</f>
        <v/>
      </c>
      <c r="K129" s="39" t="str">
        <f t="shared" si="6"/>
        <v/>
      </c>
      <c r="L129" s="31" t="str">
        <f>IF($B129="","",IFERROR(INDEX(Kho_NL!$I$5:$I$304,MATCH(B129,Kho_NL!$A$5:$A$304,0))&amp;"",""))</f>
        <v/>
      </c>
      <c r="M129" s="44" t="str">
        <f>IF($B129="","",SUMIFS(Kho_NL!$H$5:$H$304,Kho_NL!$A$5:$A$304,$B129))</f>
        <v/>
      </c>
      <c r="N129" s="44" t="str">
        <f t="shared" si="7"/>
        <v/>
      </c>
      <c r="O129" s="45" t="str">
        <f t="shared" si="8"/>
        <v/>
      </c>
      <c r="P129" s="44" t="str">
        <f>IF($B129="","",SUMIFS(TK_Nhap!$E$5:$E$1004,TK_Nhap!$D$5:$D$1004,$B129,TK_Nhap!$H$5:$H$1004,1))</f>
        <v/>
      </c>
      <c r="Q129" s="44" t="str">
        <f t="shared" si="9"/>
        <v/>
      </c>
    </row>
    <row r="130" spans="1:17" x14ac:dyDescent="0.25">
      <c r="A130" s="36" t="str">
        <f t="shared" si="5"/>
        <v/>
      </c>
      <c r="B130" s="35" t="str">
        <f>IFERROR(INDEX(DM_NL!$A$5:$A$304,MATCH(ROW()-10,DM_NL!$G$5:$G$304,0)),"")</f>
        <v/>
      </c>
      <c r="C130" s="35" t="str">
        <f>IF(B130="","",INDEX(DM_NL!$B$5:$B$304,MATCH(B130,DM_NL!$A$5:$A$304,0)))</f>
        <v/>
      </c>
      <c r="D130" s="35" t="str">
        <f>IF(B130="","",INDEX(DM_NL!$C$5:$C$304,MATCH(B130,DM_NL!$A$5:$A$304,0)))</f>
        <v/>
      </c>
      <c r="E130" s="39" t="str">
        <f>IF($B130="","",SUMIFS(Kho_NL!$B$5:$B$304,Kho_NL!$A$5:$A$304,$B130))</f>
        <v/>
      </c>
      <c r="F130" s="39" t="str">
        <f>IF($B130="","",SUMIFS(Kho_NL!$C$5:$C$304,Kho_NL!$A$5:$A$304,$B130))</f>
        <v/>
      </c>
      <c r="G130" s="39" t="str">
        <f>IF($B130="","",SUMIFS(Kho_NL!$D$5:$D$304,Kho_NL!$A$5:$A$304,$B130))</f>
        <v/>
      </c>
      <c r="H130" s="39" t="str">
        <f>IF($B130="","",SUMIFS(Kho_NL!$E$5:$E$304,Kho_NL!$A$5:$A$304,$B130))</f>
        <v/>
      </c>
      <c r="I130" s="39" t="str">
        <f>IF($B130="","",SUMIFS(Kho_NL!$F$5:$F$304,Kho_NL!$A$5:$A$304,$B130))</f>
        <v/>
      </c>
      <c r="J130" s="39" t="str">
        <f>IF($B130="","",SUMIFS(Kho_NL!$G$5:$G$304,Kho_NL!$A$5:$A$304,$B130))</f>
        <v/>
      </c>
      <c r="K130" s="39" t="str">
        <f t="shared" si="6"/>
        <v/>
      </c>
      <c r="L130" s="31" t="str">
        <f>IF($B130="","",IFERROR(INDEX(Kho_NL!$I$5:$I$304,MATCH(B130,Kho_NL!$A$5:$A$304,0))&amp;"",""))</f>
        <v/>
      </c>
      <c r="M130" s="44" t="str">
        <f>IF($B130="","",SUMIFS(Kho_NL!$H$5:$H$304,Kho_NL!$A$5:$A$304,$B130))</f>
        <v/>
      </c>
      <c r="N130" s="44" t="str">
        <f t="shared" si="7"/>
        <v/>
      </c>
      <c r="O130" s="45" t="str">
        <f t="shared" si="8"/>
        <v/>
      </c>
      <c r="P130" s="44" t="str">
        <f>IF($B130="","",SUMIFS(TK_Nhap!$E$5:$E$1004,TK_Nhap!$D$5:$D$1004,$B130,TK_Nhap!$H$5:$H$1004,1))</f>
        <v/>
      </c>
      <c r="Q130" s="44" t="str">
        <f t="shared" si="9"/>
        <v/>
      </c>
    </row>
    <row r="131" spans="1:17" x14ac:dyDescent="0.25">
      <c r="A131" s="36" t="str">
        <f t="shared" si="5"/>
        <v/>
      </c>
      <c r="B131" s="35" t="str">
        <f>IFERROR(INDEX(DM_NL!$A$5:$A$304,MATCH(ROW()-10,DM_NL!$G$5:$G$304,0)),"")</f>
        <v/>
      </c>
      <c r="C131" s="35" t="str">
        <f>IF(B131="","",INDEX(DM_NL!$B$5:$B$304,MATCH(B131,DM_NL!$A$5:$A$304,0)))</f>
        <v/>
      </c>
      <c r="D131" s="35" t="str">
        <f>IF(B131="","",INDEX(DM_NL!$C$5:$C$304,MATCH(B131,DM_NL!$A$5:$A$304,0)))</f>
        <v/>
      </c>
      <c r="E131" s="39" t="str">
        <f>IF($B131="","",SUMIFS(Kho_NL!$B$5:$B$304,Kho_NL!$A$5:$A$304,$B131))</f>
        <v/>
      </c>
      <c r="F131" s="39" t="str">
        <f>IF($B131="","",SUMIFS(Kho_NL!$C$5:$C$304,Kho_NL!$A$5:$A$304,$B131))</f>
        <v/>
      </c>
      <c r="G131" s="39" t="str">
        <f>IF($B131="","",SUMIFS(Kho_NL!$D$5:$D$304,Kho_NL!$A$5:$A$304,$B131))</f>
        <v/>
      </c>
      <c r="H131" s="39" t="str">
        <f>IF($B131="","",SUMIFS(Kho_NL!$E$5:$E$304,Kho_NL!$A$5:$A$304,$B131))</f>
        <v/>
      </c>
      <c r="I131" s="39" t="str">
        <f>IF($B131="","",SUMIFS(Kho_NL!$F$5:$F$304,Kho_NL!$A$5:$A$304,$B131))</f>
        <v/>
      </c>
      <c r="J131" s="39" t="str">
        <f>IF($B131="","",SUMIFS(Kho_NL!$G$5:$G$304,Kho_NL!$A$5:$A$304,$B131))</f>
        <v/>
      </c>
      <c r="K131" s="39" t="str">
        <f t="shared" si="6"/>
        <v/>
      </c>
      <c r="L131" s="31" t="str">
        <f>IF($B131="","",IFERROR(INDEX(Kho_NL!$I$5:$I$304,MATCH(B131,Kho_NL!$A$5:$A$304,0))&amp;"",""))</f>
        <v/>
      </c>
      <c r="M131" s="44" t="str">
        <f>IF($B131="","",SUMIFS(Kho_NL!$H$5:$H$304,Kho_NL!$A$5:$A$304,$B131))</f>
        <v/>
      </c>
      <c r="N131" s="44" t="str">
        <f t="shared" si="7"/>
        <v/>
      </c>
      <c r="O131" s="45" t="str">
        <f t="shared" si="8"/>
        <v/>
      </c>
      <c r="P131" s="44" t="str">
        <f>IF($B131="","",SUMIFS(TK_Nhap!$E$5:$E$1004,TK_Nhap!$D$5:$D$1004,$B131,TK_Nhap!$H$5:$H$1004,1))</f>
        <v/>
      </c>
      <c r="Q131" s="44" t="str">
        <f t="shared" si="9"/>
        <v/>
      </c>
    </row>
    <row r="132" spans="1:17" x14ac:dyDescent="0.25">
      <c r="A132" s="36" t="str">
        <f t="shared" si="5"/>
        <v/>
      </c>
      <c r="B132" s="35" t="str">
        <f>IFERROR(INDEX(DM_NL!$A$5:$A$304,MATCH(ROW()-10,DM_NL!$G$5:$G$304,0)),"")</f>
        <v/>
      </c>
      <c r="C132" s="35" t="str">
        <f>IF(B132="","",INDEX(DM_NL!$B$5:$B$304,MATCH(B132,DM_NL!$A$5:$A$304,0)))</f>
        <v/>
      </c>
      <c r="D132" s="35" t="str">
        <f>IF(B132="","",INDEX(DM_NL!$C$5:$C$304,MATCH(B132,DM_NL!$A$5:$A$304,0)))</f>
        <v/>
      </c>
      <c r="E132" s="39" t="str">
        <f>IF($B132="","",SUMIFS(Kho_NL!$B$5:$B$304,Kho_NL!$A$5:$A$304,$B132))</f>
        <v/>
      </c>
      <c r="F132" s="39" t="str">
        <f>IF($B132="","",SUMIFS(Kho_NL!$C$5:$C$304,Kho_NL!$A$5:$A$304,$B132))</f>
        <v/>
      </c>
      <c r="G132" s="39" t="str">
        <f>IF($B132="","",SUMIFS(Kho_NL!$D$5:$D$304,Kho_NL!$A$5:$A$304,$B132))</f>
        <v/>
      </c>
      <c r="H132" s="39" t="str">
        <f>IF($B132="","",SUMIFS(Kho_NL!$E$5:$E$304,Kho_NL!$A$5:$A$304,$B132))</f>
        <v/>
      </c>
      <c r="I132" s="39" t="str">
        <f>IF($B132="","",SUMIFS(Kho_NL!$F$5:$F$304,Kho_NL!$A$5:$A$304,$B132))</f>
        <v/>
      </c>
      <c r="J132" s="39" t="str">
        <f>IF($B132="","",SUMIFS(Kho_NL!$G$5:$G$304,Kho_NL!$A$5:$A$304,$B132))</f>
        <v/>
      </c>
      <c r="K132" s="39" t="str">
        <f t="shared" si="6"/>
        <v/>
      </c>
      <c r="L132" s="31" t="str">
        <f>IF($B132="","",IFERROR(INDEX(Kho_NL!$I$5:$I$304,MATCH(B132,Kho_NL!$A$5:$A$304,0))&amp;"",""))</f>
        <v/>
      </c>
      <c r="M132" s="44" t="str">
        <f>IF($B132="","",SUMIFS(Kho_NL!$H$5:$H$304,Kho_NL!$A$5:$A$304,$B132))</f>
        <v/>
      </c>
      <c r="N132" s="44" t="str">
        <f t="shared" si="7"/>
        <v/>
      </c>
      <c r="O132" s="45" t="str">
        <f t="shared" si="8"/>
        <v/>
      </c>
      <c r="P132" s="44" t="str">
        <f>IF($B132="","",SUMIFS(TK_Nhap!$E$5:$E$1004,TK_Nhap!$D$5:$D$1004,$B132,TK_Nhap!$H$5:$H$1004,1))</f>
        <v/>
      </c>
      <c r="Q132" s="44" t="str">
        <f t="shared" si="9"/>
        <v/>
      </c>
    </row>
    <row r="133" spans="1:17" x14ac:dyDescent="0.25">
      <c r="A133" s="36" t="str">
        <f t="shared" si="5"/>
        <v/>
      </c>
      <c r="B133" s="35" t="str">
        <f>IFERROR(INDEX(DM_NL!$A$5:$A$304,MATCH(ROW()-10,DM_NL!$G$5:$G$304,0)),"")</f>
        <v/>
      </c>
      <c r="C133" s="35" t="str">
        <f>IF(B133="","",INDEX(DM_NL!$B$5:$B$304,MATCH(B133,DM_NL!$A$5:$A$304,0)))</f>
        <v/>
      </c>
      <c r="D133" s="35" t="str">
        <f>IF(B133="","",INDEX(DM_NL!$C$5:$C$304,MATCH(B133,DM_NL!$A$5:$A$304,0)))</f>
        <v/>
      </c>
      <c r="E133" s="39" t="str">
        <f>IF($B133="","",SUMIFS(Kho_NL!$B$5:$B$304,Kho_NL!$A$5:$A$304,$B133))</f>
        <v/>
      </c>
      <c r="F133" s="39" t="str">
        <f>IF($B133="","",SUMIFS(Kho_NL!$C$5:$C$304,Kho_NL!$A$5:$A$304,$B133))</f>
        <v/>
      </c>
      <c r="G133" s="39" t="str">
        <f>IF($B133="","",SUMIFS(Kho_NL!$D$5:$D$304,Kho_NL!$A$5:$A$304,$B133))</f>
        <v/>
      </c>
      <c r="H133" s="39" t="str">
        <f>IF($B133="","",SUMIFS(Kho_NL!$E$5:$E$304,Kho_NL!$A$5:$A$304,$B133))</f>
        <v/>
      </c>
      <c r="I133" s="39" t="str">
        <f>IF($B133="","",SUMIFS(Kho_NL!$F$5:$F$304,Kho_NL!$A$5:$A$304,$B133))</f>
        <v/>
      </c>
      <c r="J133" s="39" t="str">
        <f>IF($B133="","",SUMIFS(Kho_NL!$G$5:$G$304,Kho_NL!$A$5:$A$304,$B133))</f>
        <v/>
      </c>
      <c r="K133" s="39" t="str">
        <f t="shared" si="6"/>
        <v/>
      </c>
      <c r="L133" s="31" t="str">
        <f>IF($B133="","",IFERROR(INDEX(Kho_NL!$I$5:$I$304,MATCH(B133,Kho_NL!$A$5:$A$304,0))&amp;"",""))</f>
        <v/>
      </c>
      <c r="M133" s="44" t="str">
        <f>IF($B133="","",SUMIFS(Kho_NL!$H$5:$H$304,Kho_NL!$A$5:$A$304,$B133))</f>
        <v/>
      </c>
      <c r="N133" s="44" t="str">
        <f t="shared" si="7"/>
        <v/>
      </c>
      <c r="O133" s="45" t="str">
        <f t="shared" si="8"/>
        <v/>
      </c>
      <c r="P133" s="44" t="str">
        <f>IF($B133="","",SUMIFS(TK_Nhap!$E$5:$E$1004,TK_Nhap!$D$5:$D$1004,$B133,TK_Nhap!$H$5:$H$1004,1))</f>
        <v/>
      </c>
      <c r="Q133" s="44" t="str">
        <f t="shared" si="9"/>
        <v/>
      </c>
    </row>
    <row r="134" spans="1:17" x14ac:dyDescent="0.25">
      <c r="A134" s="36" t="str">
        <f t="shared" si="5"/>
        <v/>
      </c>
      <c r="B134" s="35" t="str">
        <f>IFERROR(INDEX(DM_NL!$A$5:$A$304,MATCH(ROW()-10,DM_NL!$G$5:$G$304,0)),"")</f>
        <v/>
      </c>
      <c r="C134" s="35" t="str">
        <f>IF(B134="","",INDEX(DM_NL!$B$5:$B$304,MATCH(B134,DM_NL!$A$5:$A$304,0)))</f>
        <v/>
      </c>
      <c r="D134" s="35" t="str">
        <f>IF(B134="","",INDEX(DM_NL!$C$5:$C$304,MATCH(B134,DM_NL!$A$5:$A$304,0)))</f>
        <v/>
      </c>
      <c r="E134" s="39" t="str">
        <f>IF($B134="","",SUMIFS(Kho_NL!$B$5:$B$304,Kho_NL!$A$5:$A$304,$B134))</f>
        <v/>
      </c>
      <c r="F134" s="39" t="str">
        <f>IF($B134="","",SUMIFS(Kho_NL!$C$5:$C$304,Kho_NL!$A$5:$A$304,$B134))</f>
        <v/>
      </c>
      <c r="G134" s="39" t="str">
        <f>IF($B134="","",SUMIFS(Kho_NL!$D$5:$D$304,Kho_NL!$A$5:$A$304,$B134))</f>
        <v/>
      </c>
      <c r="H134" s="39" t="str">
        <f>IF($B134="","",SUMIFS(Kho_NL!$E$5:$E$304,Kho_NL!$A$5:$A$304,$B134))</f>
        <v/>
      </c>
      <c r="I134" s="39" t="str">
        <f>IF($B134="","",SUMIFS(Kho_NL!$F$5:$F$304,Kho_NL!$A$5:$A$304,$B134))</f>
        <v/>
      </c>
      <c r="J134" s="39" t="str">
        <f>IF($B134="","",SUMIFS(Kho_NL!$G$5:$G$304,Kho_NL!$A$5:$A$304,$B134))</f>
        <v/>
      </c>
      <c r="K134" s="39" t="str">
        <f t="shared" si="6"/>
        <v/>
      </c>
      <c r="L134" s="31" t="str">
        <f>IF($B134="","",IFERROR(INDEX(Kho_NL!$I$5:$I$304,MATCH(B134,Kho_NL!$A$5:$A$304,0))&amp;"",""))</f>
        <v/>
      </c>
      <c r="M134" s="44" t="str">
        <f>IF($B134="","",SUMIFS(Kho_NL!$H$5:$H$304,Kho_NL!$A$5:$A$304,$B134))</f>
        <v/>
      </c>
      <c r="N134" s="44" t="str">
        <f t="shared" si="7"/>
        <v/>
      </c>
      <c r="O134" s="45" t="str">
        <f t="shared" si="8"/>
        <v/>
      </c>
      <c r="P134" s="44" t="str">
        <f>IF($B134="","",SUMIFS(TK_Nhap!$E$5:$E$1004,TK_Nhap!$D$5:$D$1004,$B134,TK_Nhap!$H$5:$H$1004,1))</f>
        <v/>
      </c>
      <c r="Q134" s="44" t="str">
        <f t="shared" si="9"/>
        <v/>
      </c>
    </row>
    <row r="135" spans="1:17" x14ac:dyDescent="0.25">
      <c r="A135" s="36" t="str">
        <f t="shared" si="5"/>
        <v/>
      </c>
      <c r="B135" s="35" t="str">
        <f>IFERROR(INDEX(DM_NL!$A$5:$A$304,MATCH(ROW()-10,DM_NL!$G$5:$G$304,0)),"")</f>
        <v/>
      </c>
      <c r="C135" s="35" t="str">
        <f>IF(B135="","",INDEX(DM_NL!$B$5:$B$304,MATCH(B135,DM_NL!$A$5:$A$304,0)))</f>
        <v/>
      </c>
      <c r="D135" s="35" t="str">
        <f>IF(B135="","",INDEX(DM_NL!$C$5:$C$304,MATCH(B135,DM_NL!$A$5:$A$304,0)))</f>
        <v/>
      </c>
      <c r="E135" s="39" t="str">
        <f>IF($B135="","",SUMIFS(Kho_NL!$B$5:$B$304,Kho_NL!$A$5:$A$304,$B135))</f>
        <v/>
      </c>
      <c r="F135" s="39" t="str">
        <f>IF($B135="","",SUMIFS(Kho_NL!$C$5:$C$304,Kho_NL!$A$5:$A$304,$B135))</f>
        <v/>
      </c>
      <c r="G135" s="39" t="str">
        <f>IF($B135="","",SUMIFS(Kho_NL!$D$5:$D$304,Kho_NL!$A$5:$A$304,$B135))</f>
        <v/>
      </c>
      <c r="H135" s="39" t="str">
        <f>IF($B135="","",SUMIFS(Kho_NL!$E$5:$E$304,Kho_NL!$A$5:$A$304,$B135))</f>
        <v/>
      </c>
      <c r="I135" s="39" t="str">
        <f>IF($B135="","",SUMIFS(Kho_NL!$F$5:$F$304,Kho_NL!$A$5:$A$304,$B135))</f>
        <v/>
      </c>
      <c r="J135" s="39" t="str">
        <f>IF($B135="","",SUMIFS(Kho_NL!$G$5:$G$304,Kho_NL!$A$5:$A$304,$B135))</f>
        <v/>
      </c>
      <c r="K135" s="39" t="str">
        <f t="shared" si="6"/>
        <v/>
      </c>
      <c r="L135" s="31" t="str">
        <f>IF($B135="","",IFERROR(INDEX(Kho_NL!$I$5:$I$304,MATCH(B135,Kho_NL!$A$5:$A$304,0))&amp;"",""))</f>
        <v/>
      </c>
      <c r="M135" s="44" t="str">
        <f>IF($B135="","",SUMIFS(Kho_NL!$H$5:$H$304,Kho_NL!$A$5:$A$304,$B135))</f>
        <v/>
      </c>
      <c r="N135" s="44" t="str">
        <f t="shared" si="7"/>
        <v/>
      </c>
      <c r="O135" s="45" t="str">
        <f t="shared" si="8"/>
        <v/>
      </c>
      <c r="P135" s="44" t="str">
        <f>IF($B135="","",SUMIFS(TK_Nhap!$E$5:$E$1004,TK_Nhap!$D$5:$D$1004,$B135,TK_Nhap!$H$5:$H$1004,1))</f>
        <v/>
      </c>
      <c r="Q135" s="44" t="str">
        <f t="shared" si="9"/>
        <v/>
      </c>
    </row>
    <row r="136" spans="1:17" x14ac:dyDescent="0.25">
      <c r="A136" s="36" t="str">
        <f t="shared" si="5"/>
        <v/>
      </c>
      <c r="B136" s="35" t="str">
        <f>IFERROR(INDEX(DM_NL!$A$5:$A$304,MATCH(ROW()-10,DM_NL!$G$5:$G$304,0)),"")</f>
        <v/>
      </c>
      <c r="C136" s="35" t="str">
        <f>IF(B136="","",INDEX(DM_NL!$B$5:$B$304,MATCH(B136,DM_NL!$A$5:$A$304,0)))</f>
        <v/>
      </c>
      <c r="D136" s="35" t="str">
        <f>IF(B136="","",INDEX(DM_NL!$C$5:$C$304,MATCH(B136,DM_NL!$A$5:$A$304,0)))</f>
        <v/>
      </c>
      <c r="E136" s="39" t="str">
        <f>IF($B136="","",SUMIFS(Kho_NL!$B$5:$B$304,Kho_NL!$A$5:$A$304,$B136))</f>
        <v/>
      </c>
      <c r="F136" s="39" t="str">
        <f>IF($B136="","",SUMIFS(Kho_NL!$C$5:$C$304,Kho_NL!$A$5:$A$304,$B136))</f>
        <v/>
      </c>
      <c r="G136" s="39" t="str">
        <f>IF($B136="","",SUMIFS(Kho_NL!$D$5:$D$304,Kho_NL!$A$5:$A$304,$B136))</f>
        <v/>
      </c>
      <c r="H136" s="39" t="str">
        <f>IF($B136="","",SUMIFS(Kho_NL!$E$5:$E$304,Kho_NL!$A$5:$A$304,$B136))</f>
        <v/>
      </c>
      <c r="I136" s="39" t="str">
        <f>IF($B136="","",SUMIFS(Kho_NL!$F$5:$F$304,Kho_NL!$A$5:$A$304,$B136))</f>
        <v/>
      </c>
      <c r="J136" s="39" t="str">
        <f>IF($B136="","",SUMIFS(Kho_NL!$G$5:$G$304,Kho_NL!$A$5:$A$304,$B136))</f>
        <v/>
      </c>
      <c r="K136" s="39" t="str">
        <f t="shared" si="6"/>
        <v/>
      </c>
      <c r="L136" s="31" t="str">
        <f>IF($B136="","",IFERROR(INDEX(Kho_NL!$I$5:$I$304,MATCH(B136,Kho_NL!$A$5:$A$304,0))&amp;"",""))</f>
        <v/>
      </c>
      <c r="M136" s="44" t="str">
        <f>IF($B136="","",SUMIFS(Kho_NL!$H$5:$H$304,Kho_NL!$A$5:$A$304,$B136))</f>
        <v/>
      </c>
      <c r="N136" s="44" t="str">
        <f t="shared" si="7"/>
        <v/>
      </c>
      <c r="O136" s="45" t="str">
        <f t="shared" si="8"/>
        <v/>
      </c>
      <c r="P136" s="44" t="str">
        <f>IF($B136="","",SUMIFS(TK_Nhap!$E$5:$E$1004,TK_Nhap!$D$5:$D$1004,$B136,TK_Nhap!$H$5:$H$1004,1))</f>
        <v/>
      </c>
      <c r="Q136" s="44" t="str">
        <f t="shared" si="9"/>
        <v/>
      </c>
    </row>
    <row r="137" spans="1:17" x14ac:dyDescent="0.25">
      <c r="A137" s="36" t="str">
        <f t="shared" si="5"/>
        <v/>
      </c>
      <c r="B137" s="35" t="str">
        <f>IFERROR(INDEX(DM_NL!$A$5:$A$304,MATCH(ROW()-10,DM_NL!$G$5:$G$304,0)),"")</f>
        <v/>
      </c>
      <c r="C137" s="35" t="str">
        <f>IF(B137="","",INDEX(DM_NL!$B$5:$B$304,MATCH(B137,DM_NL!$A$5:$A$304,0)))</f>
        <v/>
      </c>
      <c r="D137" s="35" t="str">
        <f>IF(B137="","",INDEX(DM_NL!$C$5:$C$304,MATCH(B137,DM_NL!$A$5:$A$304,0)))</f>
        <v/>
      </c>
      <c r="E137" s="39" t="str">
        <f>IF($B137="","",SUMIFS(Kho_NL!$B$5:$B$304,Kho_NL!$A$5:$A$304,$B137))</f>
        <v/>
      </c>
      <c r="F137" s="39" t="str">
        <f>IF($B137="","",SUMIFS(Kho_NL!$C$5:$C$304,Kho_NL!$A$5:$A$304,$B137))</f>
        <v/>
      </c>
      <c r="G137" s="39" t="str">
        <f>IF($B137="","",SUMIFS(Kho_NL!$D$5:$D$304,Kho_NL!$A$5:$A$304,$B137))</f>
        <v/>
      </c>
      <c r="H137" s="39" t="str">
        <f>IF($B137="","",SUMIFS(Kho_NL!$E$5:$E$304,Kho_NL!$A$5:$A$304,$B137))</f>
        <v/>
      </c>
      <c r="I137" s="39" t="str">
        <f>IF($B137="","",SUMIFS(Kho_NL!$F$5:$F$304,Kho_NL!$A$5:$A$304,$B137))</f>
        <v/>
      </c>
      <c r="J137" s="39" t="str">
        <f>IF($B137="","",SUMIFS(Kho_NL!$G$5:$G$304,Kho_NL!$A$5:$A$304,$B137))</f>
        <v/>
      </c>
      <c r="K137" s="39" t="str">
        <f t="shared" si="6"/>
        <v/>
      </c>
      <c r="L137" s="31" t="str">
        <f>IF($B137="","",IFERROR(INDEX(Kho_NL!$I$5:$I$304,MATCH(B137,Kho_NL!$A$5:$A$304,0))&amp;"",""))</f>
        <v/>
      </c>
      <c r="M137" s="44" t="str">
        <f>IF($B137="","",SUMIFS(Kho_NL!$H$5:$H$304,Kho_NL!$A$5:$A$304,$B137))</f>
        <v/>
      </c>
      <c r="N137" s="44" t="str">
        <f t="shared" si="7"/>
        <v/>
      </c>
      <c r="O137" s="45" t="str">
        <f t="shared" si="8"/>
        <v/>
      </c>
      <c r="P137" s="44" t="str">
        <f>IF($B137="","",SUMIFS(TK_Nhap!$E$5:$E$1004,TK_Nhap!$D$5:$D$1004,$B137,TK_Nhap!$H$5:$H$1004,1))</f>
        <v/>
      </c>
      <c r="Q137" s="44" t="str">
        <f t="shared" si="9"/>
        <v/>
      </c>
    </row>
    <row r="138" spans="1:17" x14ac:dyDescent="0.25">
      <c r="A138" s="36" t="str">
        <f t="shared" si="5"/>
        <v/>
      </c>
      <c r="B138" s="35" t="str">
        <f>IFERROR(INDEX(DM_NL!$A$5:$A$304,MATCH(ROW()-10,DM_NL!$G$5:$G$304,0)),"")</f>
        <v/>
      </c>
      <c r="C138" s="35" t="str">
        <f>IF(B138="","",INDEX(DM_NL!$B$5:$B$304,MATCH(B138,DM_NL!$A$5:$A$304,0)))</f>
        <v/>
      </c>
      <c r="D138" s="35" t="str">
        <f>IF(B138="","",INDEX(DM_NL!$C$5:$C$304,MATCH(B138,DM_NL!$A$5:$A$304,0)))</f>
        <v/>
      </c>
      <c r="E138" s="39" t="str">
        <f>IF($B138="","",SUMIFS(Kho_NL!$B$5:$B$304,Kho_NL!$A$5:$A$304,$B138))</f>
        <v/>
      </c>
      <c r="F138" s="39" t="str">
        <f>IF($B138="","",SUMIFS(Kho_NL!$C$5:$C$304,Kho_NL!$A$5:$A$304,$B138))</f>
        <v/>
      </c>
      <c r="G138" s="39" t="str">
        <f>IF($B138="","",SUMIFS(Kho_NL!$D$5:$D$304,Kho_NL!$A$5:$A$304,$B138))</f>
        <v/>
      </c>
      <c r="H138" s="39" t="str">
        <f>IF($B138="","",SUMIFS(Kho_NL!$E$5:$E$304,Kho_NL!$A$5:$A$304,$B138))</f>
        <v/>
      </c>
      <c r="I138" s="39" t="str">
        <f>IF($B138="","",SUMIFS(Kho_NL!$F$5:$F$304,Kho_NL!$A$5:$A$304,$B138))</f>
        <v/>
      </c>
      <c r="J138" s="39" t="str">
        <f>IF($B138="","",SUMIFS(Kho_NL!$G$5:$G$304,Kho_NL!$A$5:$A$304,$B138))</f>
        <v/>
      </c>
      <c r="K138" s="39" t="str">
        <f t="shared" si="6"/>
        <v/>
      </c>
      <c r="L138" s="31" t="str">
        <f>IF($B138="","",IFERROR(INDEX(Kho_NL!$I$5:$I$304,MATCH(B138,Kho_NL!$A$5:$A$304,0))&amp;"",""))</f>
        <v/>
      </c>
      <c r="M138" s="44" t="str">
        <f>IF($B138="","",SUMIFS(Kho_NL!$H$5:$H$304,Kho_NL!$A$5:$A$304,$B138))</f>
        <v/>
      </c>
      <c r="N138" s="44" t="str">
        <f t="shared" si="7"/>
        <v/>
      </c>
      <c r="O138" s="45" t="str">
        <f t="shared" si="8"/>
        <v/>
      </c>
      <c r="P138" s="44" t="str">
        <f>IF($B138="","",SUMIFS(TK_Nhap!$E$5:$E$1004,TK_Nhap!$D$5:$D$1004,$B138,TK_Nhap!$H$5:$H$1004,1))</f>
        <v/>
      </c>
      <c r="Q138" s="44" t="str">
        <f t="shared" si="9"/>
        <v/>
      </c>
    </row>
    <row r="139" spans="1:17" x14ac:dyDescent="0.25">
      <c r="A139" s="36" t="str">
        <f t="shared" ref="A139:A202" si="10">IF(B139="","",ROW()-10)</f>
        <v/>
      </c>
      <c r="B139" s="35" t="str">
        <f>IFERROR(INDEX(DM_NL!$A$5:$A$304,MATCH(ROW()-10,DM_NL!$G$5:$G$304,0)),"")</f>
        <v/>
      </c>
      <c r="C139" s="35" t="str">
        <f>IF(B139="","",INDEX(DM_NL!$B$5:$B$304,MATCH(B139,DM_NL!$A$5:$A$304,0)))</f>
        <v/>
      </c>
      <c r="D139" s="35" t="str">
        <f>IF(B139="","",INDEX(DM_NL!$C$5:$C$304,MATCH(B139,DM_NL!$A$5:$A$304,0)))</f>
        <v/>
      </c>
      <c r="E139" s="39" t="str">
        <f>IF($B139="","",SUMIFS(Kho_NL!$B$5:$B$304,Kho_NL!$A$5:$A$304,$B139))</f>
        <v/>
      </c>
      <c r="F139" s="39" t="str">
        <f>IF($B139="","",SUMIFS(Kho_NL!$C$5:$C$304,Kho_NL!$A$5:$A$304,$B139))</f>
        <v/>
      </c>
      <c r="G139" s="39" t="str">
        <f>IF($B139="","",SUMIFS(Kho_NL!$D$5:$D$304,Kho_NL!$A$5:$A$304,$B139))</f>
        <v/>
      </c>
      <c r="H139" s="39" t="str">
        <f>IF($B139="","",SUMIFS(Kho_NL!$E$5:$E$304,Kho_NL!$A$5:$A$304,$B139))</f>
        <v/>
      </c>
      <c r="I139" s="39" t="str">
        <f>IF($B139="","",SUMIFS(Kho_NL!$F$5:$F$304,Kho_NL!$A$5:$A$304,$B139))</f>
        <v/>
      </c>
      <c r="J139" s="39" t="str">
        <f>IF($B139="","",SUMIFS(Kho_NL!$G$5:$G$304,Kho_NL!$A$5:$A$304,$B139))</f>
        <v/>
      </c>
      <c r="K139" s="39" t="str">
        <f t="shared" ref="K139:K202" si="11">IF($B139="","",E139+F139-G139-H139-I139-J139)</f>
        <v/>
      </c>
      <c r="L139" s="31" t="str">
        <f>IF($B139="","",IFERROR(INDEX(Kho_NL!$I$5:$I$304,MATCH(B139,Kho_NL!$A$5:$A$304,0))&amp;"",""))</f>
        <v/>
      </c>
      <c r="M139" s="44" t="str">
        <f>IF($B139="","",SUMIFS(Kho_NL!$H$5:$H$304,Kho_NL!$A$5:$A$304,$B139))</f>
        <v/>
      </c>
      <c r="N139" s="44" t="str">
        <f t="shared" ref="N139:N202" si="12">IF($B139="","",K139-M139)</f>
        <v/>
      </c>
      <c r="O139" s="45" t="str">
        <f t="shared" ref="O139:O202" si="13">IF($B139="","",IF(ABS(N139)&lt;0.000001,"Khớp","Lệch"))</f>
        <v/>
      </c>
      <c r="P139" s="44" t="str">
        <f>IF($B139="","",SUMIFS(TK_Nhap!$E$5:$E$1004,TK_Nhap!$D$5:$D$1004,$B139,TK_Nhap!$H$5:$H$1004,1))</f>
        <v/>
      </c>
      <c r="Q139" s="44" t="str">
        <f t="shared" ref="Q139:Q202" si="14">IF($B139="","",F139-P139)</f>
        <v/>
      </c>
    </row>
    <row r="140" spans="1:17" x14ac:dyDescent="0.25">
      <c r="A140" s="36" t="str">
        <f t="shared" si="10"/>
        <v/>
      </c>
      <c r="B140" s="35" t="str">
        <f>IFERROR(INDEX(DM_NL!$A$5:$A$304,MATCH(ROW()-10,DM_NL!$G$5:$G$304,0)),"")</f>
        <v/>
      </c>
      <c r="C140" s="35" t="str">
        <f>IF(B140="","",INDEX(DM_NL!$B$5:$B$304,MATCH(B140,DM_NL!$A$5:$A$304,0)))</f>
        <v/>
      </c>
      <c r="D140" s="35" t="str">
        <f>IF(B140="","",INDEX(DM_NL!$C$5:$C$304,MATCH(B140,DM_NL!$A$5:$A$304,0)))</f>
        <v/>
      </c>
      <c r="E140" s="39" t="str">
        <f>IF($B140="","",SUMIFS(Kho_NL!$B$5:$B$304,Kho_NL!$A$5:$A$304,$B140))</f>
        <v/>
      </c>
      <c r="F140" s="39" t="str">
        <f>IF($B140="","",SUMIFS(Kho_NL!$C$5:$C$304,Kho_NL!$A$5:$A$304,$B140))</f>
        <v/>
      </c>
      <c r="G140" s="39" t="str">
        <f>IF($B140="","",SUMIFS(Kho_NL!$D$5:$D$304,Kho_NL!$A$5:$A$304,$B140))</f>
        <v/>
      </c>
      <c r="H140" s="39" t="str">
        <f>IF($B140="","",SUMIFS(Kho_NL!$E$5:$E$304,Kho_NL!$A$5:$A$304,$B140))</f>
        <v/>
      </c>
      <c r="I140" s="39" t="str">
        <f>IF($B140="","",SUMIFS(Kho_NL!$F$5:$F$304,Kho_NL!$A$5:$A$304,$B140))</f>
        <v/>
      </c>
      <c r="J140" s="39" t="str">
        <f>IF($B140="","",SUMIFS(Kho_NL!$G$5:$G$304,Kho_NL!$A$5:$A$304,$B140))</f>
        <v/>
      </c>
      <c r="K140" s="39" t="str">
        <f t="shared" si="11"/>
        <v/>
      </c>
      <c r="L140" s="31" t="str">
        <f>IF($B140="","",IFERROR(INDEX(Kho_NL!$I$5:$I$304,MATCH(B140,Kho_NL!$A$5:$A$304,0))&amp;"",""))</f>
        <v/>
      </c>
      <c r="M140" s="44" t="str">
        <f>IF($B140="","",SUMIFS(Kho_NL!$H$5:$H$304,Kho_NL!$A$5:$A$304,$B140))</f>
        <v/>
      </c>
      <c r="N140" s="44" t="str">
        <f t="shared" si="12"/>
        <v/>
      </c>
      <c r="O140" s="45" t="str">
        <f t="shared" si="13"/>
        <v/>
      </c>
      <c r="P140" s="44" t="str">
        <f>IF($B140="","",SUMIFS(TK_Nhap!$E$5:$E$1004,TK_Nhap!$D$5:$D$1004,$B140,TK_Nhap!$H$5:$H$1004,1))</f>
        <v/>
      </c>
      <c r="Q140" s="44" t="str">
        <f t="shared" si="14"/>
        <v/>
      </c>
    </row>
    <row r="141" spans="1:17" x14ac:dyDescent="0.25">
      <c r="A141" s="36" t="str">
        <f t="shared" si="10"/>
        <v/>
      </c>
      <c r="B141" s="35" t="str">
        <f>IFERROR(INDEX(DM_NL!$A$5:$A$304,MATCH(ROW()-10,DM_NL!$G$5:$G$304,0)),"")</f>
        <v/>
      </c>
      <c r="C141" s="35" t="str">
        <f>IF(B141="","",INDEX(DM_NL!$B$5:$B$304,MATCH(B141,DM_NL!$A$5:$A$304,0)))</f>
        <v/>
      </c>
      <c r="D141" s="35" t="str">
        <f>IF(B141="","",INDEX(DM_NL!$C$5:$C$304,MATCH(B141,DM_NL!$A$5:$A$304,0)))</f>
        <v/>
      </c>
      <c r="E141" s="39" t="str">
        <f>IF($B141="","",SUMIFS(Kho_NL!$B$5:$B$304,Kho_NL!$A$5:$A$304,$B141))</f>
        <v/>
      </c>
      <c r="F141" s="39" t="str">
        <f>IF($B141="","",SUMIFS(Kho_NL!$C$5:$C$304,Kho_NL!$A$5:$A$304,$B141))</f>
        <v/>
      </c>
      <c r="G141" s="39" t="str">
        <f>IF($B141="","",SUMIFS(Kho_NL!$D$5:$D$304,Kho_NL!$A$5:$A$304,$B141))</f>
        <v/>
      </c>
      <c r="H141" s="39" t="str">
        <f>IF($B141="","",SUMIFS(Kho_NL!$E$5:$E$304,Kho_NL!$A$5:$A$304,$B141))</f>
        <v/>
      </c>
      <c r="I141" s="39" t="str">
        <f>IF($B141="","",SUMIFS(Kho_NL!$F$5:$F$304,Kho_NL!$A$5:$A$304,$B141))</f>
        <v/>
      </c>
      <c r="J141" s="39" t="str">
        <f>IF($B141="","",SUMIFS(Kho_NL!$G$5:$G$304,Kho_NL!$A$5:$A$304,$B141))</f>
        <v/>
      </c>
      <c r="K141" s="39" t="str">
        <f t="shared" si="11"/>
        <v/>
      </c>
      <c r="L141" s="31" t="str">
        <f>IF($B141="","",IFERROR(INDEX(Kho_NL!$I$5:$I$304,MATCH(B141,Kho_NL!$A$5:$A$304,0))&amp;"",""))</f>
        <v/>
      </c>
      <c r="M141" s="44" t="str">
        <f>IF($B141="","",SUMIFS(Kho_NL!$H$5:$H$304,Kho_NL!$A$5:$A$304,$B141))</f>
        <v/>
      </c>
      <c r="N141" s="44" t="str">
        <f t="shared" si="12"/>
        <v/>
      </c>
      <c r="O141" s="45" t="str">
        <f t="shared" si="13"/>
        <v/>
      </c>
      <c r="P141" s="44" t="str">
        <f>IF($B141="","",SUMIFS(TK_Nhap!$E$5:$E$1004,TK_Nhap!$D$5:$D$1004,$B141,TK_Nhap!$H$5:$H$1004,1))</f>
        <v/>
      </c>
      <c r="Q141" s="44" t="str">
        <f t="shared" si="14"/>
        <v/>
      </c>
    </row>
    <row r="142" spans="1:17" x14ac:dyDescent="0.25">
      <c r="A142" s="36" t="str">
        <f t="shared" si="10"/>
        <v/>
      </c>
      <c r="B142" s="35" t="str">
        <f>IFERROR(INDEX(DM_NL!$A$5:$A$304,MATCH(ROW()-10,DM_NL!$G$5:$G$304,0)),"")</f>
        <v/>
      </c>
      <c r="C142" s="35" t="str">
        <f>IF(B142="","",INDEX(DM_NL!$B$5:$B$304,MATCH(B142,DM_NL!$A$5:$A$304,0)))</f>
        <v/>
      </c>
      <c r="D142" s="35" t="str">
        <f>IF(B142="","",INDEX(DM_NL!$C$5:$C$304,MATCH(B142,DM_NL!$A$5:$A$304,0)))</f>
        <v/>
      </c>
      <c r="E142" s="39" t="str">
        <f>IF($B142="","",SUMIFS(Kho_NL!$B$5:$B$304,Kho_NL!$A$5:$A$304,$B142))</f>
        <v/>
      </c>
      <c r="F142" s="39" t="str">
        <f>IF($B142="","",SUMIFS(Kho_NL!$C$5:$C$304,Kho_NL!$A$5:$A$304,$B142))</f>
        <v/>
      </c>
      <c r="G142" s="39" t="str">
        <f>IF($B142="","",SUMIFS(Kho_NL!$D$5:$D$304,Kho_NL!$A$5:$A$304,$B142))</f>
        <v/>
      </c>
      <c r="H142" s="39" t="str">
        <f>IF($B142="","",SUMIFS(Kho_NL!$E$5:$E$304,Kho_NL!$A$5:$A$304,$B142))</f>
        <v/>
      </c>
      <c r="I142" s="39" t="str">
        <f>IF($B142="","",SUMIFS(Kho_NL!$F$5:$F$304,Kho_NL!$A$5:$A$304,$B142))</f>
        <v/>
      </c>
      <c r="J142" s="39" t="str">
        <f>IF($B142="","",SUMIFS(Kho_NL!$G$5:$G$304,Kho_NL!$A$5:$A$304,$B142))</f>
        <v/>
      </c>
      <c r="K142" s="39" t="str">
        <f t="shared" si="11"/>
        <v/>
      </c>
      <c r="L142" s="31" t="str">
        <f>IF($B142="","",IFERROR(INDEX(Kho_NL!$I$5:$I$304,MATCH(B142,Kho_NL!$A$5:$A$304,0))&amp;"",""))</f>
        <v/>
      </c>
      <c r="M142" s="44" t="str">
        <f>IF($B142="","",SUMIFS(Kho_NL!$H$5:$H$304,Kho_NL!$A$5:$A$304,$B142))</f>
        <v/>
      </c>
      <c r="N142" s="44" t="str">
        <f t="shared" si="12"/>
        <v/>
      </c>
      <c r="O142" s="45" t="str">
        <f t="shared" si="13"/>
        <v/>
      </c>
      <c r="P142" s="44" t="str">
        <f>IF($B142="","",SUMIFS(TK_Nhap!$E$5:$E$1004,TK_Nhap!$D$5:$D$1004,$B142,TK_Nhap!$H$5:$H$1004,1))</f>
        <v/>
      </c>
      <c r="Q142" s="44" t="str">
        <f t="shared" si="14"/>
        <v/>
      </c>
    </row>
    <row r="143" spans="1:17" x14ac:dyDescent="0.25">
      <c r="A143" s="36" t="str">
        <f t="shared" si="10"/>
        <v/>
      </c>
      <c r="B143" s="35" t="str">
        <f>IFERROR(INDEX(DM_NL!$A$5:$A$304,MATCH(ROW()-10,DM_NL!$G$5:$G$304,0)),"")</f>
        <v/>
      </c>
      <c r="C143" s="35" t="str">
        <f>IF(B143="","",INDEX(DM_NL!$B$5:$B$304,MATCH(B143,DM_NL!$A$5:$A$304,0)))</f>
        <v/>
      </c>
      <c r="D143" s="35" t="str">
        <f>IF(B143="","",INDEX(DM_NL!$C$5:$C$304,MATCH(B143,DM_NL!$A$5:$A$304,0)))</f>
        <v/>
      </c>
      <c r="E143" s="39" t="str">
        <f>IF($B143="","",SUMIFS(Kho_NL!$B$5:$B$304,Kho_NL!$A$5:$A$304,$B143))</f>
        <v/>
      </c>
      <c r="F143" s="39" t="str">
        <f>IF($B143="","",SUMIFS(Kho_NL!$C$5:$C$304,Kho_NL!$A$5:$A$304,$B143))</f>
        <v/>
      </c>
      <c r="G143" s="39" t="str">
        <f>IF($B143="","",SUMIFS(Kho_NL!$D$5:$D$304,Kho_NL!$A$5:$A$304,$B143))</f>
        <v/>
      </c>
      <c r="H143" s="39" t="str">
        <f>IF($B143="","",SUMIFS(Kho_NL!$E$5:$E$304,Kho_NL!$A$5:$A$304,$B143))</f>
        <v/>
      </c>
      <c r="I143" s="39" t="str">
        <f>IF($B143="","",SUMIFS(Kho_NL!$F$5:$F$304,Kho_NL!$A$5:$A$304,$B143))</f>
        <v/>
      </c>
      <c r="J143" s="39" t="str">
        <f>IF($B143="","",SUMIFS(Kho_NL!$G$5:$G$304,Kho_NL!$A$5:$A$304,$B143))</f>
        <v/>
      </c>
      <c r="K143" s="39" t="str">
        <f t="shared" si="11"/>
        <v/>
      </c>
      <c r="L143" s="31" t="str">
        <f>IF($B143="","",IFERROR(INDEX(Kho_NL!$I$5:$I$304,MATCH(B143,Kho_NL!$A$5:$A$304,0))&amp;"",""))</f>
        <v/>
      </c>
      <c r="M143" s="44" t="str">
        <f>IF($B143="","",SUMIFS(Kho_NL!$H$5:$H$304,Kho_NL!$A$5:$A$304,$B143))</f>
        <v/>
      </c>
      <c r="N143" s="44" t="str">
        <f t="shared" si="12"/>
        <v/>
      </c>
      <c r="O143" s="45" t="str">
        <f t="shared" si="13"/>
        <v/>
      </c>
      <c r="P143" s="44" t="str">
        <f>IF($B143="","",SUMIFS(TK_Nhap!$E$5:$E$1004,TK_Nhap!$D$5:$D$1004,$B143,TK_Nhap!$H$5:$H$1004,1))</f>
        <v/>
      </c>
      <c r="Q143" s="44" t="str">
        <f t="shared" si="14"/>
        <v/>
      </c>
    </row>
    <row r="144" spans="1:17" x14ac:dyDescent="0.25">
      <c r="A144" s="36" t="str">
        <f t="shared" si="10"/>
        <v/>
      </c>
      <c r="B144" s="35" t="str">
        <f>IFERROR(INDEX(DM_NL!$A$5:$A$304,MATCH(ROW()-10,DM_NL!$G$5:$G$304,0)),"")</f>
        <v/>
      </c>
      <c r="C144" s="35" t="str">
        <f>IF(B144="","",INDEX(DM_NL!$B$5:$B$304,MATCH(B144,DM_NL!$A$5:$A$304,0)))</f>
        <v/>
      </c>
      <c r="D144" s="35" t="str">
        <f>IF(B144="","",INDEX(DM_NL!$C$5:$C$304,MATCH(B144,DM_NL!$A$5:$A$304,0)))</f>
        <v/>
      </c>
      <c r="E144" s="39" t="str">
        <f>IF($B144="","",SUMIFS(Kho_NL!$B$5:$B$304,Kho_NL!$A$5:$A$304,$B144))</f>
        <v/>
      </c>
      <c r="F144" s="39" t="str">
        <f>IF($B144="","",SUMIFS(Kho_NL!$C$5:$C$304,Kho_NL!$A$5:$A$304,$B144))</f>
        <v/>
      </c>
      <c r="G144" s="39" t="str">
        <f>IF($B144="","",SUMIFS(Kho_NL!$D$5:$D$304,Kho_NL!$A$5:$A$304,$B144))</f>
        <v/>
      </c>
      <c r="H144" s="39" t="str">
        <f>IF($B144="","",SUMIFS(Kho_NL!$E$5:$E$304,Kho_NL!$A$5:$A$304,$B144))</f>
        <v/>
      </c>
      <c r="I144" s="39" t="str">
        <f>IF($B144="","",SUMIFS(Kho_NL!$F$5:$F$304,Kho_NL!$A$5:$A$304,$B144))</f>
        <v/>
      </c>
      <c r="J144" s="39" t="str">
        <f>IF($B144="","",SUMIFS(Kho_NL!$G$5:$G$304,Kho_NL!$A$5:$A$304,$B144))</f>
        <v/>
      </c>
      <c r="K144" s="39" t="str">
        <f t="shared" si="11"/>
        <v/>
      </c>
      <c r="L144" s="31" t="str">
        <f>IF($B144="","",IFERROR(INDEX(Kho_NL!$I$5:$I$304,MATCH(B144,Kho_NL!$A$5:$A$304,0))&amp;"",""))</f>
        <v/>
      </c>
      <c r="M144" s="44" t="str">
        <f>IF($B144="","",SUMIFS(Kho_NL!$H$5:$H$304,Kho_NL!$A$5:$A$304,$B144))</f>
        <v/>
      </c>
      <c r="N144" s="44" t="str">
        <f t="shared" si="12"/>
        <v/>
      </c>
      <c r="O144" s="45" t="str">
        <f t="shared" si="13"/>
        <v/>
      </c>
      <c r="P144" s="44" t="str">
        <f>IF($B144="","",SUMIFS(TK_Nhap!$E$5:$E$1004,TK_Nhap!$D$5:$D$1004,$B144,TK_Nhap!$H$5:$H$1004,1))</f>
        <v/>
      </c>
      <c r="Q144" s="44" t="str">
        <f t="shared" si="14"/>
        <v/>
      </c>
    </row>
    <row r="145" spans="1:17" x14ac:dyDescent="0.25">
      <c r="A145" s="36" t="str">
        <f t="shared" si="10"/>
        <v/>
      </c>
      <c r="B145" s="35" t="str">
        <f>IFERROR(INDEX(DM_NL!$A$5:$A$304,MATCH(ROW()-10,DM_NL!$G$5:$G$304,0)),"")</f>
        <v/>
      </c>
      <c r="C145" s="35" t="str">
        <f>IF(B145="","",INDEX(DM_NL!$B$5:$B$304,MATCH(B145,DM_NL!$A$5:$A$304,0)))</f>
        <v/>
      </c>
      <c r="D145" s="35" t="str">
        <f>IF(B145="","",INDEX(DM_NL!$C$5:$C$304,MATCH(B145,DM_NL!$A$5:$A$304,0)))</f>
        <v/>
      </c>
      <c r="E145" s="39" t="str">
        <f>IF($B145="","",SUMIFS(Kho_NL!$B$5:$B$304,Kho_NL!$A$5:$A$304,$B145))</f>
        <v/>
      </c>
      <c r="F145" s="39" t="str">
        <f>IF($B145="","",SUMIFS(Kho_NL!$C$5:$C$304,Kho_NL!$A$5:$A$304,$B145))</f>
        <v/>
      </c>
      <c r="G145" s="39" t="str">
        <f>IF($B145="","",SUMIFS(Kho_NL!$D$5:$D$304,Kho_NL!$A$5:$A$304,$B145))</f>
        <v/>
      </c>
      <c r="H145" s="39" t="str">
        <f>IF($B145="","",SUMIFS(Kho_NL!$E$5:$E$304,Kho_NL!$A$5:$A$304,$B145))</f>
        <v/>
      </c>
      <c r="I145" s="39" t="str">
        <f>IF($B145="","",SUMIFS(Kho_NL!$F$5:$F$304,Kho_NL!$A$5:$A$304,$B145))</f>
        <v/>
      </c>
      <c r="J145" s="39" t="str">
        <f>IF($B145="","",SUMIFS(Kho_NL!$G$5:$G$304,Kho_NL!$A$5:$A$304,$B145))</f>
        <v/>
      </c>
      <c r="K145" s="39" t="str">
        <f t="shared" si="11"/>
        <v/>
      </c>
      <c r="L145" s="31" t="str">
        <f>IF($B145="","",IFERROR(INDEX(Kho_NL!$I$5:$I$304,MATCH(B145,Kho_NL!$A$5:$A$304,0))&amp;"",""))</f>
        <v/>
      </c>
      <c r="M145" s="44" t="str">
        <f>IF($B145="","",SUMIFS(Kho_NL!$H$5:$H$304,Kho_NL!$A$5:$A$304,$B145))</f>
        <v/>
      </c>
      <c r="N145" s="44" t="str">
        <f t="shared" si="12"/>
        <v/>
      </c>
      <c r="O145" s="45" t="str">
        <f t="shared" si="13"/>
        <v/>
      </c>
      <c r="P145" s="44" t="str">
        <f>IF($B145="","",SUMIFS(TK_Nhap!$E$5:$E$1004,TK_Nhap!$D$5:$D$1004,$B145,TK_Nhap!$H$5:$H$1004,1))</f>
        <v/>
      </c>
      <c r="Q145" s="44" t="str">
        <f t="shared" si="14"/>
        <v/>
      </c>
    </row>
    <row r="146" spans="1:17" x14ac:dyDescent="0.25">
      <c r="A146" s="36" t="str">
        <f t="shared" si="10"/>
        <v/>
      </c>
      <c r="B146" s="35" t="str">
        <f>IFERROR(INDEX(DM_NL!$A$5:$A$304,MATCH(ROW()-10,DM_NL!$G$5:$G$304,0)),"")</f>
        <v/>
      </c>
      <c r="C146" s="35" t="str">
        <f>IF(B146="","",INDEX(DM_NL!$B$5:$B$304,MATCH(B146,DM_NL!$A$5:$A$304,0)))</f>
        <v/>
      </c>
      <c r="D146" s="35" t="str">
        <f>IF(B146="","",INDEX(DM_NL!$C$5:$C$304,MATCH(B146,DM_NL!$A$5:$A$304,0)))</f>
        <v/>
      </c>
      <c r="E146" s="39" t="str">
        <f>IF($B146="","",SUMIFS(Kho_NL!$B$5:$B$304,Kho_NL!$A$5:$A$304,$B146))</f>
        <v/>
      </c>
      <c r="F146" s="39" t="str">
        <f>IF($B146="","",SUMIFS(Kho_NL!$C$5:$C$304,Kho_NL!$A$5:$A$304,$B146))</f>
        <v/>
      </c>
      <c r="G146" s="39" t="str">
        <f>IF($B146="","",SUMIFS(Kho_NL!$D$5:$D$304,Kho_NL!$A$5:$A$304,$B146))</f>
        <v/>
      </c>
      <c r="H146" s="39" t="str">
        <f>IF($B146="","",SUMIFS(Kho_NL!$E$5:$E$304,Kho_NL!$A$5:$A$304,$B146))</f>
        <v/>
      </c>
      <c r="I146" s="39" t="str">
        <f>IF($B146="","",SUMIFS(Kho_NL!$F$5:$F$304,Kho_NL!$A$5:$A$304,$B146))</f>
        <v/>
      </c>
      <c r="J146" s="39" t="str">
        <f>IF($B146="","",SUMIFS(Kho_NL!$G$5:$G$304,Kho_NL!$A$5:$A$304,$B146))</f>
        <v/>
      </c>
      <c r="K146" s="39" t="str">
        <f t="shared" si="11"/>
        <v/>
      </c>
      <c r="L146" s="31" t="str">
        <f>IF($B146="","",IFERROR(INDEX(Kho_NL!$I$5:$I$304,MATCH(B146,Kho_NL!$A$5:$A$304,0))&amp;"",""))</f>
        <v/>
      </c>
      <c r="M146" s="44" t="str">
        <f>IF($B146="","",SUMIFS(Kho_NL!$H$5:$H$304,Kho_NL!$A$5:$A$304,$B146))</f>
        <v/>
      </c>
      <c r="N146" s="44" t="str">
        <f t="shared" si="12"/>
        <v/>
      </c>
      <c r="O146" s="45" t="str">
        <f t="shared" si="13"/>
        <v/>
      </c>
      <c r="P146" s="44" t="str">
        <f>IF($B146="","",SUMIFS(TK_Nhap!$E$5:$E$1004,TK_Nhap!$D$5:$D$1004,$B146,TK_Nhap!$H$5:$H$1004,1))</f>
        <v/>
      </c>
      <c r="Q146" s="44" t="str">
        <f t="shared" si="14"/>
        <v/>
      </c>
    </row>
    <row r="147" spans="1:17" x14ac:dyDescent="0.25">
      <c r="A147" s="36" t="str">
        <f t="shared" si="10"/>
        <v/>
      </c>
      <c r="B147" s="35" t="str">
        <f>IFERROR(INDEX(DM_NL!$A$5:$A$304,MATCH(ROW()-10,DM_NL!$G$5:$G$304,0)),"")</f>
        <v/>
      </c>
      <c r="C147" s="35" t="str">
        <f>IF(B147="","",INDEX(DM_NL!$B$5:$B$304,MATCH(B147,DM_NL!$A$5:$A$304,0)))</f>
        <v/>
      </c>
      <c r="D147" s="35" t="str">
        <f>IF(B147="","",INDEX(DM_NL!$C$5:$C$304,MATCH(B147,DM_NL!$A$5:$A$304,0)))</f>
        <v/>
      </c>
      <c r="E147" s="39" t="str">
        <f>IF($B147="","",SUMIFS(Kho_NL!$B$5:$B$304,Kho_NL!$A$5:$A$304,$B147))</f>
        <v/>
      </c>
      <c r="F147" s="39" t="str">
        <f>IF($B147="","",SUMIFS(Kho_NL!$C$5:$C$304,Kho_NL!$A$5:$A$304,$B147))</f>
        <v/>
      </c>
      <c r="G147" s="39" t="str">
        <f>IF($B147="","",SUMIFS(Kho_NL!$D$5:$D$304,Kho_NL!$A$5:$A$304,$B147))</f>
        <v/>
      </c>
      <c r="H147" s="39" t="str">
        <f>IF($B147="","",SUMIFS(Kho_NL!$E$5:$E$304,Kho_NL!$A$5:$A$304,$B147))</f>
        <v/>
      </c>
      <c r="I147" s="39" t="str">
        <f>IF($B147="","",SUMIFS(Kho_NL!$F$5:$F$304,Kho_NL!$A$5:$A$304,$B147))</f>
        <v/>
      </c>
      <c r="J147" s="39" t="str">
        <f>IF($B147="","",SUMIFS(Kho_NL!$G$5:$G$304,Kho_NL!$A$5:$A$304,$B147))</f>
        <v/>
      </c>
      <c r="K147" s="39" t="str">
        <f t="shared" si="11"/>
        <v/>
      </c>
      <c r="L147" s="31" t="str">
        <f>IF($B147="","",IFERROR(INDEX(Kho_NL!$I$5:$I$304,MATCH(B147,Kho_NL!$A$5:$A$304,0))&amp;"",""))</f>
        <v/>
      </c>
      <c r="M147" s="44" t="str">
        <f>IF($B147="","",SUMIFS(Kho_NL!$H$5:$H$304,Kho_NL!$A$5:$A$304,$B147))</f>
        <v/>
      </c>
      <c r="N147" s="44" t="str">
        <f t="shared" si="12"/>
        <v/>
      </c>
      <c r="O147" s="45" t="str">
        <f t="shared" si="13"/>
        <v/>
      </c>
      <c r="P147" s="44" t="str">
        <f>IF($B147="","",SUMIFS(TK_Nhap!$E$5:$E$1004,TK_Nhap!$D$5:$D$1004,$B147,TK_Nhap!$H$5:$H$1004,1))</f>
        <v/>
      </c>
      <c r="Q147" s="44" t="str">
        <f t="shared" si="14"/>
        <v/>
      </c>
    </row>
    <row r="148" spans="1:17" x14ac:dyDescent="0.25">
      <c r="A148" s="36" t="str">
        <f t="shared" si="10"/>
        <v/>
      </c>
      <c r="B148" s="35" t="str">
        <f>IFERROR(INDEX(DM_NL!$A$5:$A$304,MATCH(ROW()-10,DM_NL!$G$5:$G$304,0)),"")</f>
        <v/>
      </c>
      <c r="C148" s="35" t="str">
        <f>IF(B148="","",INDEX(DM_NL!$B$5:$B$304,MATCH(B148,DM_NL!$A$5:$A$304,0)))</f>
        <v/>
      </c>
      <c r="D148" s="35" t="str">
        <f>IF(B148="","",INDEX(DM_NL!$C$5:$C$304,MATCH(B148,DM_NL!$A$5:$A$304,0)))</f>
        <v/>
      </c>
      <c r="E148" s="39" t="str">
        <f>IF($B148="","",SUMIFS(Kho_NL!$B$5:$B$304,Kho_NL!$A$5:$A$304,$B148))</f>
        <v/>
      </c>
      <c r="F148" s="39" t="str">
        <f>IF($B148="","",SUMIFS(Kho_NL!$C$5:$C$304,Kho_NL!$A$5:$A$304,$B148))</f>
        <v/>
      </c>
      <c r="G148" s="39" t="str">
        <f>IF($B148="","",SUMIFS(Kho_NL!$D$5:$D$304,Kho_NL!$A$5:$A$304,$B148))</f>
        <v/>
      </c>
      <c r="H148" s="39" t="str">
        <f>IF($B148="","",SUMIFS(Kho_NL!$E$5:$E$304,Kho_NL!$A$5:$A$304,$B148))</f>
        <v/>
      </c>
      <c r="I148" s="39" t="str">
        <f>IF($B148="","",SUMIFS(Kho_NL!$F$5:$F$304,Kho_NL!$A$5:$A$304,$B148))</f>
        <v/>
      </c>
      <c r="J148" s="39" t="str">
        <f>IF($B148="","",SUMIFS(Kho_NL!$G$5:$G$304,Kho_NL!$A$5:$A$304,$B148))</f>
        <v/>
      </c>
      <c r="K148" s="39" t="str">
        <f t="shared" si="11"/>
        <v/>
      </c>
      <c r="L148" s="31" t="str">
        <f>IF($B148="","",IFERROR(INDEX(Kho_NL!$I$5:$I$304,MATCH(B148,Kho_NL!$A$5:$A$304,0))&amp;"",""))</f>
        <v/>
      </c>
      <c r="M148" s="44" t="str">
        <f>IF($B148="","",SUMIFS(Kho_NL!$H$5:$H$304,Kho_NL!$A$5:$A$304,$B148))</f>
        <v/>
      </c>
      <c r="N148" s="44" t="str">
        <f t="shared" si="12"/>
        <v/>
      </c>
      <c r="O148" s="45" t="str">
        <f t="shared" si="13"/>
        <v/>
      </c>
      <c r="P148" s="44" t="str">
        <f>IF($B148="","",SUMIFS(TK_Nhap!$E$5:$E$1004,TK_Nhap!$D$5:$D$1004,$B148,TK_Nhap!$H$5:$H$1004,1))</f>
        <v/>
      </c>
      <c r="Q148" s="44" t="str">
        <f t="shared" si="14"/>
        <v/>
      </c>
    </row>
    <row r="149" spans="1:17" x14ac:dyDescent="0.25">
      <c r="A149" s="36" t="str">
        <f t="shared" si="10"/>
        <v/>
      </c>
      <c r="B149" s="35" t="str">
        <f>IFERROR(INDEX(DM_NL!$A$5:$A$304,MATCH(ROW()-10,DM_NL!$G$5:$G$304,0)),"")</f>
        <v/>
      </c>
      <c r="C149" s="35" t="str">
        <f>IF(B149="","",INDEX(DM_NL!$B$5:$B$304,MATCH(B149,DM_NL!$A$5:$A$304,0)))</f>
        <v/>
      </c>
      <c r="D149" s="35" t="str">
        <f>IF(B149="","",INDEX(DM_NL!$C$5:$C$304,MATCH(B149,DM_NL!$A$5:$A$304,0)))</f>
        <v/>
      </c>
      <c r="E149" s="39" t="str">
        <f>IF($B149="","",SUMIFS(Kho_NL!$B$5:$B$304,Kho_NL!$A$5:$A$304,$B149))</f>
        <v/>
      </c>
      <c r="F149" s="39" t="str">
        <f>IF($B149="","",SUMIFS(Kho_NL!$C$5:$C$304,Kho_NL!$A$5:$A$304,$B149))</f>
        <v/>
      </c>
      <c r="G149" s="39" t="str">
        <f>IF($B149="","",SUMIFS(Kho_NL!$D$5:$D$304,Kho_NL!$A$5:$A$304,$B149))</f>
        <v/>
      </c>
      <c r="H149" s="39" t="str">
        <f>IF($B149="","",SUMIFS(Kho_NL!$E$5:$E$304,Kho_NL!$A$5:$A$304,$B149))</f>
        <v/>
      </c>
      <c r="I149" s="39" t="str">
        <f>IF($B149="","",SUMIFS(Kho_NL!$F$5:$F$304,Kho_NL!$A$5:$A$304,$B149))</f>
        <v/>
      </c>
      <c r="J149" s="39" t="str">
        <f>IF($B149="","",SUMIFS(Kho_NL!$G$5:$G$304,Kho_NL!$A$5:$A$304,$B149))</f>
        <v/>
      </c>
      <c r="K149" s="39" t="str">
        <f t="shared" si="11"/>
        <v/>
      </c>
      <c r="L149" s="31" t="str">
        <f>IF($B149="","",IFERROR(INDEX(Kho_NL!$I$5:$I$304,MATCH(B149,Kho_NL!$A$5:$A$304,0))&amp;"",""))</f>
        <v/>
      </c>
      <c r="M149" s="44" t="str">
        <f>IF($B149="","",SUMIFS(Kho_NL!$H$5:$H$304,Kho_NL!$A$5:$A$304,$B149))</f>
        <v/>
      </c>
      <c r="N149" s="44" t="str">
        <f t="shared" si="12"/>
        <v/>
      </c>
      <c r="O149" s="45" t="str">
        <f t="shared" si="13"/>
        <v/>
      </c>
      <c r="P149" s="44" t="str">
        <f>IF($B149="","",SUMIFS(TK_Nhap!$E$5:$E$1004,TK_Nhap!$D$5:$D$1004,$B149,TK_Nhap!$H$5:$H$1004,1))</f>
        <v/>
      </c>
      <c r="Q149" s="44" t="str">
        <f t="shared" si="14"/>
        <v/>
      </c>
    </row>
    <row r="150" spans="1:17" x14ac:dyDescent="0.25">
      <c r="A150" s="36" t="str">
        <f t="shared" si="10"/>
        <v/>
      </c>
      <c r="B150" s="35" t="str">
        <f>IFERROR(INDEX(DM_NL!$A$5:$A$304,MATCH(ROW()-10,DM_NL!$G$5:$G$304,0)),"")</f>
        <v/>
      </c>
      <c r="C150" s="35" t="str">
        <f>IF(B150="","",INDEX(DM_NL!$B$5:$B$304,MATCH(B150,DM_NL!$A$5:$A$304,0)))</f>
        <v/>
      </c>
      <c r="D150" s="35" t="str">
        <f>IF(B150="","",INDEX(DM_NL!$C$5:$C$304,MATCH(B150,DM_NL!$A$5:$A$304,0)))</f>
        <v/>
      </c>
      <c r="E150" s="39" t="str">
        <f>IF($B150="","",SUMIFS(Kho_NL!$B$5:$B$304,Kho_NL!$A$5:$A$304,$B150))</f>
        <v/>
      </c>
      <c r="F150" s="39" t="str">
        <f>IF($B150="","",SUMIFS(Kho_NL!$C$5:$C$304,Kho_NL!$A$5:$A$304,$B150))</f>
        <v/>
      </c>
      <c r="G150" s="39" t="str">
        <f>IF($B150="","",SUMIFS(Kho_NL!$D$5:$D$304,Kho_NL!$A$5:$A$304,$B150))</f>
        <v/>
      </c>
      <c r="H150" s="39" t="str">
        <f>IF($B150="","",SUMIFS(Kho_NL!$E$5:$E$304,Kho_NL!$A$5:$A$304,$B150))</f>
        <v/>
      </c>
      <c r="I150" s="39" t="str">
        <f>IF($B150="","",SUMIFS(Kho_NL!$F$5:$F$304,Kho_NL!$A$5:$A$304,$B150))</f>
        <v/>
      </c>
      <c r="J150" s="39" t="str">
        <f>IF($B150="","",SUMIFS(Kho_NL!$G$5:$G$304,Kho_NL!$A$5:$A$304,$B150))</f>
        <v/>
      </c>
      <c r="K150" s="39" t="str">
        <f t="shared" si="11"/>
        <v/>
      </c>
      <c r="L150" s="31" t="str">
        <f>IF($B150="","",IFERROR(INDEX(Kho_NL!$I$5:$I$304,MATCH(B150,Kho_NL!$A$5:$A$304,0))&amp;"",""))</f>
        <v/>
      </c>
      <c r="M150" s="44" t="str">
        <f>IF($B150="","",SUMIFS(Kho_NL!$H$5:$H$304,Kho_NL!$A$5:$A$304,$B150))</f>
        <v/>
      </c>
      <c r="N150" s="44" t="str">
        <f t="shared" si="12"/>
        <v/>
      </c>
      <c r="O150" s="45" t="str">
        <f t="shared" si="13"/>
        <v/>
      </c>
      <c r="P150" s="44" t="str">
        <f>IF($B150="","",SUMIFS(TK_Nhap!$E$5:$E$1004,TK_Nhap!$D$5:$D$1004,$B150,TK_Nhap!$H$5:$H$1004,1))</f>
        <v/>
      </c>
      <c r="Q150" s="44" t="str">
        <f t="shared" si="14"/>
        <v/>
      </c>
    </row>
    <row r="151" spans="1:17" x14ac:dyDescent="0.25">
      <c r="A151" s="36" t="str">
        <f t="shared" si="10"/>
        <v/>
      </c>
      <c r="B151" s="35" t="str">
        <f>IFERROR(INDEX(DM_NL!$A$5:$A$304,MATCH(ROW()-10,DM_NL!$G$5:$G$304,0)),"")</f>
        <v/>
      </c>
      <c r="C151" s="35" t="str">
        <f>IF(B151="","",INDEX(DM_NL!$B$5:$B$304,MATCH(B151,DM_NL!$A$5:$A$304,0)))</f>
        <v/>
      </c>
      <c r="D151" s="35" t="str">
        <f>IF(B151="","",INDEX(DM_NL!$C$5:$C$304,MATCH(B151,DM_NL!$A$5:$A$304,0)))</f>
        <v/>
      </c>
      <c r="E151" s="39" t="str">
        <f>IF($B151="","",SUMIFS(Kho_NL!$B$5:$B$304,Kho_NL!$A$5:$A$304,$B151))</f>
        <v/>
      </c>
      <c r="F151" s="39" t="str">
        <f>IF($B151="","",SUMIFS(Kho_NL!$C$5:$C$304,Kho_NL!$A$5:$A$304,$B151))</f>
        <v/>
      </c>
      <c r="G151" s="39" t="str">
        <f>IF($B151="","",SUMIFS(Kho_NL!$D$5:$D$304,Kho_NL!$A$5:$A$304,$B151))</f>
        <v/>
      </c>
      <c r="H151" s="39" t="str">
        <f>IF($B151="","",SUMIFS(Kho_NL!$E$5:$E$304,Kho_NL!$A$5:$A$304,$B151))</f>
        <v/>
      </c>
      <c r="I151" s="39" t="str">
        <f>IF($B151="","",SUMIFS(Kho_NL!$F$5:$F$304,Kho_NL!$A$5:$A$304,$B151))</f>
        <v/>
      </c>
      <c r="J151" s="39" t="str">
        <f>IF($B151="","",SUMIFS(Kho_NL!$G$5:$G$304,Kho_NL!$A$5:$A$304,$B151))</f>
        <v/>
      </c>
      <c r="K151" s="39" t="str">
        <f t="shared" si="11"/>
        <v/>
      </c>
      <c r="L151" s="31" t="str">
        <f>IF($B151="","",IFERROR(INDEX(Kho_NL!$I$5:$I$304,MATCH(B151,Kho_NL!$A$5:$A$304,0))&amp;"",""))</f>
        <v/>
      </c>
      <c r="M151" s="44" t="str">
        <f>IF($B151="","",SUMIFS(Kho_NL!$H$5:$H$304,Kho_NL!$A$5:$A$304,$B151))</f>
        <v/>
      </c>
      <c r="N151" s="44" t="str">
        <f t="shared" si="12"/>
        <v/>
      </c>
      <c r="O151" s="45" t="str">
        <f t="shared" si="13"/>
        <v/>
      </c>
      <c r="P151" s="44" t="str">
        <f>IF($B151="","",SUMIFS(TK_Nhap!$E$5:$E$1004,TK_Nhap!$D$5:$D$1004,$B151,TK_Nhap!$H$5:$H$1004,1))</f>
        <v/>
      </c>
      <c r="Q151" s="44" t="str">
        <f t="shared" si="14"/>
        <v/>
      </c>
    </row>
    <row r="152" spans="1:17" x14ac:dyDescent="0.25">
      <c r="A152" s="36" t="str">
        <f t="shared" si="10"/>
        <v/>
      </c>
      <c r="B152" s="35" t="str">
        <f>IFERROR(INDEX(DM_NL!$A$5:$A$304,MATCH(ROW()-10,DM_NL!$G$5:$G$304,0)),"")</f>
        <v/>
      </c>
      <c r="C152" s="35" t="str">
        <f>IF(B152="","",INDEX(DM_NL!$B$5:$B$304,MATCH(B152,DM_NL!$A$5:$A$304,0)))</f>
        <v/>
      </c>
      <c r="D152" s="35" t="str">
        <f>IF(B152="","",INDEX(DM_NL!$C$5:$C$304,MATCH(B152,DM_NL!$A$5:$A$304,0)))</f>
        <v/>
      </c>
      <c r="E152" s="39" t="str">
        <f>IF($B152="","",SUMIFS(Kho_NL!$B$5:$B$304,Kho_NL!$A$5:$A$304,$B152))</f>
        <v/>
      </c>
      <c r="F152" s="39" t="str">
        <f>IF($B152="","",SUMIFS(Kho_NL!$C$5:$C$304,Kho_NL!$A$5:$A$304,$B152))</f>
        <v/>
      </c>
      <c r="G152" s="39" t="str">
        <f>IF($B152="","",SUMIFS(Kho_NL!$D$5:$D$304,Kho_NL!$A$5:$A$304,$B152))</f>
        <v/>
      </c>
      <c r="H152" s="39" t="str">
        <f>IF($B152="","",SUMIFS(Kho_NL!$E$5:$E$304,Kho_NL!$A$5:$A$304,$B152))</f>
        <v/>
      </c>
      <c r="I152" s="39" t="str">
        <f>IF($B152="","",SUMIFS(Kho_NL!$F$5:$F$304,Kho_NL!$A$5:$A$304,$B152))</f>
        <v/>
      </c>
      <c r="J152" s="39" t="str">
        <f>IF($B152="","",SUMIFS(Kho_NL!$G$5:$G$304,Kho_NL!$A$5:$A$304,$B152))</f>
        <v/>
      </c>
      <c r="K152" s="39" t="str">
        <f t="shared" si="11"/>
        <v/>
      </c>
      <c r="L152" s="31" t="str">
        <f>IF($B152="","",IFERROR(INDEX(Kho_NL!$I$5:$I$304,MATCH(B152,Kho_NL!$A$5:$A$304,0))&amp;"",""))</f>
        <v/>
      </c>
      <c r="M152" s="44" t="str">
        <f>IF($B152="","",SUMIFS(Kho_NL!$H$5:$H$304,Kho_NL!$A$5:$A$304,$B152))</f>
        <v/>
      </c>
      <c r="N152" s="44" t="str">
        <f t="shared" si="12"/>
        <v/>
      </c>
      <c r="O152" s="45" t="str">
        <f t="shared" si="13"/>
        <v/>
      </c>
      <c r="P152" s="44" t="str">
        <f>IF($B152="","",SUMIFS(TK_Nhap!$E$5:$E$1004,TK_Nhap!$D$5:$D$1004,$B152,TK_Nhap!$H$5:$H$1004,1))</f>
        <v/>
      </c>
      <c r="Q152" s="44" t="str">
        <f t="shared" si="14"/>
        <v/>
      </c>
    </row>
    <row r="153" spans="1:17" x14ac:dyDescent="0.25">
      <c r="A153" s="36" t="str">
        <f t="shared" si="10"/>
        <v/>
      </c>
      <c r="B153" s="35" t="str">
        <f>IFERROR(INDEX(DM_NL!$A$5:$A$304,MATCH(ROW()-10,DM_NL!$G$5:$G$304,0)),"")</f>
        <v/>
      </c>
      <c r="C153" s="35" t="str">
        <f>IF(B153="","",INDEX(DM_NL!$B$5:$B$304,MATCH(B153,DM_NL!$A$5:$A$304,0)))</f>
        <v/>
      </c>
      <c r="D153" s="35" t="str">
        <f>IF(B153="","",INDEX(DM_NL!$C$5:$C$304,MATCH(B153,DM_NL!$A$5:$A$304,0)))</f>
        <v/>
      </c>
      <c r="E153" s="39" t="str">
        <f>IF($B153="","",SUMIFS(Kho_NL!$B$5:$B$304,Kho_NL!$A$5:$A$304,$B153))</f>
        <v/>
      </c>
      <c r="F153" s="39" t="str">
        <f>IF($B153="","",SUMIFS(Kho_NL!$C$5:$C$304,Kho_NL!$A$5:$A$304,$B153))</f>
        <v/>
      </c>
      <c r="G153" s="39" t="str">
        <f>IF($B153="","",SUMIFS(Kho_NL!$D$5:$D$304,Kho_NL!$A$5:$A$304,$B153))</f>
        <v/>
      </c>
      <c r="H153" s="39" t="str">
        <f>IF($B153="","",SUMIFS(Kho_NL!$E$5:$E$304,Kho_NL!$A$5:$A$304,$B153))</f>
        <v/>
      </c>
      <c r="I153" s="39" t="str">
        <f>IF($B153="","",SUMIFS(Kho_NL!$F$5:$F$304,Kho_NL!$A$5:$A$304,$B153))</f>
        <v/>
      </c>
      <c r="J153" s="39" t="str">
        <f>IF($B153="","",SUMIFS(Kho_NL!$G$5:$G$304,Kho_NL!$A$5:$A$304,$B153))</f>
        <v/>
      </c>
      <c r="K153" s="39" t="str">
        <f t="shared" si="11"/>
        <v/>
      </c>
      <c r="L153" s="31" t="str">
        <f>IF($B153="","",IFERROR(INDEX(Kho_NL!$I$5:$I$304,MATCH(B153,Kho_NL!$A$5:$A$304,0))&amp;"",""))</f>
        <v/>
      </c>
      <c r="M153" s="44" t="str">
        <f>IF($B153="","",SUMIFS(Kho_NL!$H$5:$H$304,Kho_NL!$A$5:$A$304,$B153))</f>
        <v/>
      </c>
      <c r="N153" s="44" t="str">
        <f t="shared" si="12"/>
        <v/>
      </c>
      <c r="O153" s="45" t="str">
        <f t="shared" si="13"/>
        <v/>
      </c>
      <c r="P153" s="44" t="str">
        <f>IF($B153="","",SUMIFS(TK_Nhap!$E$5:$E$1004,TK_Nhap!$D$5:$D$1004,$B153,TK_Nhap!$H$5:$H$1004,1))</f>
        <v/>
      </c>
      <c r="Q153" s="44" t="str">
        <f t="shared" si="14"/>
        <v/>
      </c>
    </row>
    <row r="154" spans="1:17" x14ac:dyDescent="0.25">
      <c r="A154" s="36" t="str">
        <f t="shared" si="10"/>
        <v/>
      </c>
      <c r="B154" s="35" t="str">
        <f>IFERROR(INDEX(DM_NL!$A$5:$A$304,MATCH(ROW()-10,DM_NL!$G$5:$G$304,0)),"")</f>
        <v/>
      </c>
      <c r="C154" s="35" t="str">
        <f>IF(B154="","",INDEX(DM_NL!$B$5:$B$304,MATCH(B154,DM_NL!$A$5:$A$304,0)))</f>
        <v/>
      </c>
      <c r="D154" s="35" t="str">
        <f>IF(B154="","",INDEX(DM_NL!$C$5:$C$304,MATCH(B154,DM_NL!$A$5:$A$304,0)))</f>
        <v/>
      </c>
      <c r="E154" s="39" t="str">
        <f>IF($B154="","",SUMIFS(Kho_NL!$B$5:$B$304,Kho_NL!$A$5:$A$304,$B154))</f>
        <v/>
      </c>
      <c r="F154" s="39" t="str">
        <f>IF($B154="","",SUMIFS(Kho_NL!$C$5:$C$304,Kho_NL!$A$5:$A$304,$B154))</f>
        <v/>
      </c>
      <c r="G154" s="39" t="str">
        <f>IF($B154="","",SUMIFS(Kho_NL!$D$5:$D$304,Kho_NL!$A$5:$A$304,$B154))</f>
        <v/>
      </c>
      <c r="H154" s="39" t="str">
        <f>IF($B154="","",SUMIFS(Kho_NL!$E$5:$E$304,Kho_NL!$A$5:$A$304,$B154))</f>
        <v/>
      </c>
      <c r="I154" s="39" t="str">
        <f>IF($B154="","",SUMIFS(Kho_NL!$F$5:$F$304,Kho_NL!$A$5:$A$304,$B154))</f>
        <v/>
      </c>
      <c r="J154" s="39" t="str">
        <f>IF($B154="","",SUMIFS(Kho_NL!$G$5:$G$304,Kho_NL!$A$5:$A$304,$B154))</f>
        <v/>
      </c>
      <c r="K154" s="39" t="str">
        <f t="shared" si="11"/>
        <v/>
      </c>
      <c r="L154" s="31" t="str">
        <f>IF($B154="","",IFERROR(INDEX(Kho_NL!$I$5:$I$304,MATCH(B154,Kho_NL!$A$5:$A$304,0))&amp;"",""))</f>
        <v/>
      </c>
      <c r="M154" s="44" t="str">
        <f>IF($B154="","",SUMIFS(Kho_NL!$H$5:$H$304,Kho_NL!$A$5:$A$304,$B154))</f>
        <v/>
      </c>
      <c r="N154" s="44" t="str">
        <f t="shared" si="12"/>
        <v/>
      </c>
      <c r="O154" s="45" t="str">
        <f t="shared" si="13"/>
        <v/>
      </c>
      <c r="P154" s="44" t="str">
        <f>IF($B154="","",SUMIFS(TK_Nhap!$E$5:$E$1004,TK_Nhap!$D$5:$D$1004,$B154,TK_Nhap!$H$5:$H$1004,1))</f>
        <v/>
      </c>
      <c r="Q154" s="44" t="str">
        <f t="shared" si="14"/>
        <v/>
      </c>
    </row>
    <row r="155" spans="1:17" x14ac:dyDescent="0.25">
      <c r="A155" s="36" t="str">
        <f t="shared" si="10"/>
        <v/>
      </c>
      <c r="B155" s="35" t="str">
        <f>IFERROR(INDEX(DM_NL!$A$5:$A$304,MATCH(ROW()-10,DM_NL!$G$5:$G$304,0)),"")</f>
        <v/>
      </c>
      <c r="C155" s="35" t="str">
        <f>IF(B155="","",INDEX(DM_NL!$B$5:$B$304,MATCH(B155,DM_NL!$A$5:$A$304,0)))</f>
        <v/>
      </c>
      <c r="D155" s="35" t="str">
        <f>IF(B155="","",INDEX(DM_NL!$C$5:$C$304,MATCH(B155,DM_NL!$A$5:$A$304,0)))</f>
        <v/>
      </c>
      <c r="E155" s="39" t="str">
        <f>IF($B155="","",SUMIFS(Kho_NL!$B$5:$B$304,Kho_NL!$A$5:$A$304,$B155))</f>
        <v/>
      </c>
      <c r="F155" s="39" t="str">
        <f>IF($B155="","",SUMIFS(Kho_NL!$C$5:$C$304,Kho_NL!$A$5:$A$304,$B155))</f>
        <v/>
      </c>
      <c r="G155" s="39" t="str">
        <f>IF($B155="","",SUMIFS(Kho_NL!$D$5:$D$304,Kho_NL!$A$5:$A$304,$B155))</f>
        <v/>
      </c>
      <c r="H155" s="39" t="str">
        <f>IF($B155="","",SUMIFS(Kho_NL!$E$5:$E$304,Kho_NL!$A$5:$A$304,$B155))</f>
        <v/>
      </c>
      <c r="I155" s="39" t="str">
        <f>IF($B155="","",SUMIFS(Kho_NL!$F$5:$F$304,Kho_NL!$A$5:$A$304,$B155))</f>
        <v/>
      </c>
      <c r="J155" s="39" t="str">
        <f>IF($B155="","",SUMIFS(Kho_NL!$G$5:$G$304,Kho_NL!$A$5:$A$304,$B155))</f>
        <v/>
      </c>
      <c r="K155" s="39" t="str">
        <f t="shared" si="11"/>
        <v/>
      </c>
      <c r="L155" s="31" t="str">
        <f>IF($B155="","",IFERROR(INDEX(Kho_NL!$I$5:$I$304,MATCH(B155,Kho_NL!$A$5:$A$304,0))&amp;"",""))</f>
        <v/>
      </c>
      <c r="M155" s="44" t="str">
        <f>IF($B155="","",SUMIFS(Kho_NL!$H$5:$H$304,Kho_NL!$A$5:$A$304,$B155))</f>
        <v/>
      </c>
      <c r="N155" s="44" t="str">
        <f t="shared" si="12"/>
        <v/>
      </c>
      <c r="O155" s="45" t="str">
        <f t="shared" si="13"/>
        <v/>
      </c>
      <c r="P155" s="44" t="str">
        <f>IF($B155="","",SUMIFS(TK_Nhap!$E$5:$E$1004,TK_Nhap!$D$5:$D$1004,$B155,TK_Nhap!$H$5:$H$1004,1))</f>
        <v/>
      </c>
      <c r="Q155" s="44" t="str">
        <f t="shared" si="14"/>
        <v/>
      </c>
    </row>
    <row r="156" spans="1:17" x14ac:dyDescent="0.25">
      <c r="A156" s="36" t="str">
        <f t="shared" si="10"/>
        <v/>
      </c>
      <c r="B156" s="35" t="str">
        <f>IFERROR(INDEX(DM_NL!$A$5:$A$304,MATCH(ROW()-10,DM_NL!$G$5:$G$304,0)),"")</f>
        <v/>
      </c>
      <c r="C156" s="35" t="str">
        <f>IF(B156="","",INDEX(DM_NL!$B$5:$B$304,MATCH(B156,DM_NL!$A$5:$A$304,0)))</f>
        <v/>
      </c>
      <c r="D156" s="35" t="str">
        <f>IF(B156="","",INDEX(DM_NL!$C$5:$C$304,MATCH(B156,DM_NL!$A$5:$A$304,0)))</f>
        <v/>
      </c>
      <c r="E156" s="39" t="str">
        <f>IF($B156="","",SUMIFS(Kho_NL!$B$5:$B$304,Kho_NL!$A$5:$A$304,$B156))</f>
        <v/>
      </c>
      <c r="F156" s="39" t="str">
        <f>IF($B156="","",SUMIFS(Kho_NL!$C$5:$C$304,Kho_NL!$A$5:$A$304,$B156))</f>
        <v/>
      </c>
      <c r="G156" s="39" t="str">
        <f>IF($B156="","",SUMIFS(Kho_NL!$D$5:$D$304,Kho_NL!$A$5:$A$304,$B156))</f>
        <v/>
      </c>
      <c r="H156" s="39" t="str">
        <f>IF($B156="","",SUMIFS(Kho_NL!$E$5:$E$304,Kho_NL!$A$5:$A$304,$B156))</f>
        <v/>
      </c>
      <c r="I156" s="39" t="str">
        <f>IF($B156="","",SUMIFS(Kho_NL!$F$5:$F$304,Kho_NL!$A$5:$A$304,$B156))</f>
        <v/>
      </c>
      <c r="J156" s="39" t="str">
        <f>IF($B156="","",SUMIFS(Kho_NL!$G$5:$G$304,Kho_NL!$A$5:$A$304,$B156))</f>
        <v/>
      </c>
      <c r="K156" s="39" t="str">
        <f t="shared" si="11"/>
        <v/>
      </c>
      <c r="L156" s="31" t="str">
        <f>IF($B156="","",IFERROR(INDEX(Kho_NL!$I$5:$I$304,MATCH(B156,Kho_NL!$A$5:$A$304,0))&amp;"",""))</f>
        <v/>
      </c>
      <c r="M156" s="44" t="str">
        <f>IF($B156="","",SUMIFS(Kho_NL!$H$5:$H$304,Kho_NL!$A$5:$A$304,$B156))</f>
        <v/>
      </c>
      <c r="N156" s="44" t="str">
        <f t="shared" si="12"/>
        <v/>
      </c>
      <c r="O156" s="45" t="str">
        <f t="shared" si="13"/>
        <v/>
      </c>
      <c r="P156" s="44" t="str">
        <f>IF($B156="","",SUMIFS(TK_Nhap!$E$5:$E$1004,TK_Nhap!$D$5:$D$1004,$B156,TK_Nhap!$H$5:$H$1004,1))</f>
        <v/>
      </c>
      <c r="Q156" s="44" t="str">
        <f t="shared" si="14"/>
        <v/>
      </c>
    </row>
    <row r="157" spans="1:17" x14ac:dyDescent="0.25">
      <c r="A157" s="36" t="str">
        <f t="shared" si="10"/>
        <v/>
      </c>
      <c r="B157" s="35" t="str">
        <f>IFERROR(INDEX(DM_NL!$A$5:$A$304,MATCH(ROW()-10,DM_NL!$G$5:$G$304,0)),"")</f>
        <v/>
      </c>
      <c r="C157" s="35" t="str">
        <f>IF(B157="","",INDEX(DM_NL!$B$5:$B$304,MATCH(B157,DM_NL!$A$5:$A$304,0)))</f>
        <v/>
      </c>
      <c r="D157" s="35" t="str">
        <f>IF(B157="","",INDEX(DM_NL!$C$5:$C$304,MATCH(B157,DM_NL!$A$5:$A$304,0)))</f>
        <v/>
      </c>
      <c r="E157" s="39" t="str">
        <f>IF($B157="","",SUMIFS(Kho_NL!$B$5:$B$304,Kho_NL!$A$5:$A$304,$B157))</f>
        <v/>
      </c>
      <c r="F157" s="39" t="str">
        <f>IF($B157="","",SUMIFS(Kho_NL!$C$5:$C$304,Kho_NL!$A$5:$A$304,$B157))</f>
        <v/>
      </c>
      <c r="G157" s="39" t="str">
        <f>IF($B157="","",SUMIFS(Kho_NL!$D$5:$D$304,Kho_NL!$A$5:$A$304,$B157))</f>
        <v/>
      </c>
      <c r="H157" s="39" t="str">
        <f>IF($B157="","",SUMIFS(Kho_NL!$E$5:$E$304,Kho_NL!$A$5:$A$304,$B157))</f>
        <v/>
      </c>
      <c r="I157" s="39" t="str">
        <f>IF($B157="","",SUMIFS(Kho_NL!$F$5:$F$304,Kho_NL!$A$5:$A$304,$B157))</f>
        <v/>
      </c>
      <c r="J157" s="39" t="str">
        <f>IF($B157="","",SUMIFS(Kho_NL!$G$5:$G$304,Kho_NL!$A$5:$A$304,$B157))</f>
        <v/>
      </c>
      <c r="K157" s="39" t="str">
        <f t="shared" si="11"/>
        <v/>
      </c>
      <c r="L157" s="31" t="str">
        <f>IF($B157="","",IFERROR(INDEX(Kho_NL!$I$5:$I$304,MATCH(B157,Kho_NL!$A$5:$A$304,0))&amp;"",""))</f>
        <v/>
      </c>
      <c r="M157" s="44" t="str">
        <f>IF($B157="","",SUMIFS(Kho_NL!$H$5:$H$304,Kho_NL!$A$5:$A$304,$B157))</f>
        <v/>
      </c>
      <c r="N157" s="44" t="str">
        <f t="shared" si="12"/>
        <v/>
      </c>
      <c r="O157" s="45" t="str">
        <f t="shared" si="13"/>
        <v/>
      </c>
      <c r="P157" s="44" t="str">
        <f>IF($B157="","",SUMIFS(TK_Nhap!$E$5:$E$1004,TK_Nhap!$D$5:$D$1004,$B157,TK_Nhap!$H$5:$H$1004,1))</f>
        <v/>
      </c>
      <c r="Q157" s="44" t="str">
        <f t="shared" si="14"/>
        <v/>
      </c>
    </row>
    <row r="158" spans="1:17" x14ac:dyDescent="0.25">
      <c r="A158" s="36" t="str">
        <f t="shared" si="10"/>
        <v/>
      </c>
      <c r="B158" s="35" t="str">
        <f>IFERROR(INDEX(DM_NL!$A$5:$A$304,MATCH(ROW()-10,DM_NL!$G$5:$G$304,0)),"")</f>
        <v/>
      </c>
      <c r="C158" s="35" t="str">
        <f>IF(B158="","",INDEX(DM_NL!$B$5:$B$304,MATCH(B158,DM_NL!$A$5:$A$304,0)))</f>
        <v/>
      </c>
      <c r="D158" s="35" t="str">
        <f>IF(B158="","",INDEX(DM_NL!$C$5:$C$304,MATCH(B158,DM_NL!$A$5:$A$304,0)))</f>
        <v/>
      </c>
      <c r="E158" s="39" t="str">
        <f>IF($B158="","",SUMIFS(Kho_NL!$B$5:$B$304,Kho_NL!$A$5:$A$304,$B158))</f>
        <v/>
      </c>
      <c r="F158" s="39" t="str">
        <f>IF($B158="","",SUMIFS(Kho_NL!$C$5:$C$304,Kho_NL!$A$5:$A$304,$B158))</f>
        <v/>
      </c>
      <c r="G158" s="39" t="str">
        <f>IF($B158="","",SUMIFS(Kho_NL!$D$5:$D$304,Kho_NL!$A$5:$A$304,$B158))</f>
        <v/>
      </c>
      <c r="H158" s="39" t="str">
        <f>IF($B158="","",SUMIFS(Kho_NL!$E$5:$E$304,Kho_NL!$A$5:$A$304,$B158))</f>
        <v/>
      </c>
      <c r="I158" s="39" t="str">
        <f>IF($B158="","",SUMIFS(Kho_NL!$F$5:$F$304,Kho_NL!$A$5:$A$304,$B158))</f>
        <v/>
      </c>
      <c r="J158" s="39" t="str">
        <f>IF($B158="","",SUMIFS(Kho_NL!$G$5:$G$304,Kho_NL!$A$5:$A$304,$B158))</f>
        <v/>
      </c>
      <c r="K158" s="39" t="str">
        <f t="shared" si="11"/>
        <v/>
      </c>
      <c r="L158" s="31" t="str">
        <f>IF($B158="","",IFERROR(INDEX(Kho_NL!$I$5:$I$304,MATCH(B158,Kho_NL!$A$5:$A$304,0))&amp;"",""))</f>
        <v/>
      </c>
      <c r="M158" s="44" t="str">
        <f>IF($B158="","",SUMIFS(Kho_NL!$H$5:$H$304,Kho_NL!$A$5:$A$304,$B158))</f>
        <v/>
      </c>
      <c r="N158" s="44" t="str">
        <f t="shared" si="12"/>
        <v/>
      </c>
      <c r="O158" s="45" t="str">
        <f t="shared" si="13"/>
        <v/>
      </c>
      <c r="P158" s="44" t="str">
        <f>IF($B158="","",SUMIFS(TK_Nhap!$E$5:$E$1004,TK_Nhap!$D$5:$D$1004,$B158,TK_Nhap!$H$5:$H$1004,1))</f>
        <v/>
      </c>
      <c r="Q158" s="44" t="str">
        <f t="shared" si="14"/>
        <v/>
      </c>
    </row>
    <row r="159" spans="1:17" x14ac:dyDescent="0.25">
      <c r="A159" s="36" t="str">
        <f t="shared" si="10"/>
        <v/>
      </c>
      <c r="B159" s="35" t="str">
        <f>IFERROR(INDEX(DM_NL!$A$5:$A$304,MATCH(ROW()-10,DM_NL!$G$5:$G$304,0)),"")</f>
        <v/>
      </c>
      <c r="C159" s="35" t="str">
        <f>IF(B159="","",INDEX(DM_NL!$B$5:$B$304,MATCH(B159,DM_NL!$A$5:$A$304,0)))</f>
        <v/>
      </c>
      <c r="D159" s="35" t="str">
        <f>IF(B159="","",INDEX(DM_NL!$C$5:$C$304,MATCH(B159,DM_NL!$A$5:$A$304,0)))</f>
        <v/>
      </c>
      <c r="E159" s="39" t="str">
        <f>IF($B159="","",SUMIFS(Kho_NL!$B$5:$B$304,Kho_NL!$A$5:$A$304,$B159))</f>
        <v/>
      </c>
      <c r="F159" s="39" t="str">
        <f>IF($B159="","",SUMIFS(Kho_NL!$C$5:$C$304,Kho_NL!$A$5:$A$304,$B159))</f>
        <v/>
      </c>
      <c r="G159" s="39" t="str">
        <f>IF($B159="","",SUMIFS(Kho_NL!$D$5:$D$304,Kho_NL!$A$5:$A$304,$B159))</f>
        <v/>
      </c>
      <c r="H159" s="39" t="str">
        <f>IF($B159="","",SUMIFS(Kho_NL!$E$5:$E$304,Kho_NL!$A$5:$A$304,$B159))</f>
        <v/>
      </c>
      <c r="I159" s="39" t="str">
        <f>IF($B159="","",SUMIFS(Kho_NL!$F$5:$F$304,Kho_NL!$A$5:$A$304,$B159))</f>
        <v/>
      </c>
      <c r="J159" s="39" t="str">
        <f>IF($B159="","",SUMIFS(Kho_NL!$G$5:$G$304,Kho_NL!$A$5:$A$304,$B159))</f>
        <v/>
      </c>
      <c r="K159" s="39" t="str">
        <f t="shared" si="11"/>
        <v/>
      </c>
      <c r="L159" s="31" t="str">
        <f>IF($B159="","",IFERROR(INDEX(Kho_NL!$I$5:$I$304,MATCH(B159,Kho_NL!$A$5:$A$304,0))&amp;"",""))</f>
        <v/>
      </c>
      <c r="M159" s="44" t="str">
        <f>IF($B159="","",SUMIFS(Kho_NL!$H$5:$H$304,Kho_NL!$A$5:$A$304,$B159))</f>
        <v/>
      </c>
      <c r="N159" s="44" t="str">
        <f t="shared" si="12"/>
        <v/>
      </c>
      <c r="O159" s="45" t="str">
        <f t="shared" si="13"/>
        <v/>
      </c>
      <c r="P159" s="44" t="str">
        <f>IF($B159="","",SUMIFS(TK_Nhap!$E$5:$E$1004,TK_Nhap!$D$5:$D$1004,$B159,TK_Nhap!$H$5:$H$1004,1))</f>
        <v/>
      </c>
      <c r="Q159" s="44" t="str">
        <f t="shared" si="14"/>
        <v/>
      </c>
    </row>
    <row r="160" spans="1:17" x14ac:dyDescent="0.25">
      <c r="A160" s="36" t="str">
        <f t="shared" si="10"/>
        <v/>
      </c>
      <c r="B160" s="35" t="str">
        <f>IFERROR(INDEX(DM_NL!$A$5:$A$304,MATCH(ROW()-10,DM_NL!$G$5:$G$304,0)),"")</f>
        <v/>
      </c>
      <c r="C160" s="35" t="str">
        <f>IF(B160="","",INDEX(DM_NL!$B$5:$B$304,MATCH(B160,DM_NL!$A$5:$A$304,0)))</f>
        <v/>
      </c>
      <c r="D160" s="35" t="str">
        <f>IF(B160="","",INDEX(DM_NL!$C$5:$C$304,MATCH(B160,DM_NL!$A$5:$A$304,0)))</f>
        <v/>
      </c>
      <c r="E160" s="39" t="str">
        <f>IF($B160="","",SUMIFS(Kho_NL!$B$5:$B$304,Kho_NL!$A$5:$A$304,$B160))</f>
        <v/>
      </c>
      <c r="F160" s="39" t="str">
        <f>IF($B160="","",SUMIFS(Kho_NL!$C$5:$C$304,Kho_NL!$A$5:$A$304,$B160))</f>
        <v/>
      </c>
      <c r="G160" s="39" t="str">
        <f>IF($B160="","",SUMIFS(Kho_NL!$D$5:$D$304,Kho_NL!$A$5:$A$304,$B160))</f>
        <v/>
      </c>
      <c r="H160" s="39" t="str">
        <f>IF($B160="","",SUMIFS(Kho_NL!$E$5:$E$304,Kho_NL!$A$5:$A$304,$B160))</f>
        <v/>
      </c>
      <c r="I160" s="39" t="str">
        <f>IF($B160="","",SUMIFS(Kho_NL!$F$5:$F$304,Kho_NL!$A$5:$A$304,$B160))</f>
        <v/>
      </c>
      <c r="J160" s="39" t="str">
        <f>IF($B160="","",SUMIFS(Kho_NL!$G$5:$G$304,Kho_NL!$A$5:$A$304,$B160))</f>
        <v/>
      </c>
      <c r="K160" s="39" t="str">
        <f t="shared" si="11"/>
        <v/>
      </c>
      <c r="L160" s="31" t="str">
        <f>IF($B160="","",IFERROR(INDEX(Kho_NL!$I$5:$I$304,MATCH(B160,Kho_NL!$A$5:$A$304,0))&amp;"",""))</f>
        <v/>
      </c>
      <c r="M160" s="44" t="str">
        <f>IF($B160="","",SUMIFS(Kho_NL!$H$5:$H$304,Kho_NL!$A$5:$A$304,$B160))</f>
        <v/>
      </c>
      <c r="N160" s="44" t="str">
        <f t="shared" si="12"/>
        <v/>
      </c>
      <c r="O160" s="45" t="str">
        <f t="shared" si="13"/>
        <v/>
      </c>
      <c r="P160" s="44" t="str">
        <f>IF($B160="","",SUMIFS(TK_Nhap!$E$5:$E$1004,TK_Nhap!$D$5:$D$1004,$B160,TK_Nhap!$H$5:$H$1004,1))</f>
        <v/>
      </c>
      <c r="Q160" s="44" t="str">
        <f t="shared" si="14"/>
        <v/>
      </c>
    </row>
    <row r="161" spans="1:17" x14ac:dyDescent="0.25">
      <c r="A161" s="36" t="str">
        <f t="shared" si="10"/>
        <v/>
      </c>
      <c r="B161" s="35" t="str">
        <f>IFERROR(INDEX(DM_NL!$A$5:$A$304,MATCH(ROW()-10,DM_NL!$G$5:$G$304,0)),"")</f>
        <v/>
      </c>
      <c r="C161" s="35" t="str">
        <f>IF(B161="","",INDEX(DM_NL!$B$5:$B$304,MATCH(B161,DM_NL!$A$5:$A$304,0)))</f>
        <v/>
      </c>
      <c r="D161" s="35" t="str">
        <f>IF(B161="","",INDEX(DM_NL!$C$5:$C$304,MATCH(B161,DM_NL!$A$5:$A$304,0)))</f>
        <v/>
      </c>
      <c r="E161" s="39" t="str">
        <f>IF($B161="","",SUMIFS(Kho_NL!$B$5:$B$304,Kho_NL!$A$5:$A$304,$B161))</f>
        <v/>
      </c>
      <c r="F161" s="39" t="str">
        <f>IF($B161="","",SUMIFS(Kho_NL!$C$5:$C$304,Kho_NL!$A$5:$A$304,$B161))</f>
        <v/>
      </c>
      <c r="G161" s="39" t="str">
        <f>IF($B161="","",SUMIFS(Kho_NL!$D$5:$D$304,Kho_NL!$A$5:$A$304,$B161))</f>
        <v/>
      </c>
      <c r="H161" s="39" t="str">
        <f>IF($B161="","",SUMIFS(Kho_NL!$E$5:$E$304,Kho_NL!$A$5:$A$304,$B161))</f>
        <v/>
      </c>
      <c r="I161" s="39" t="str">
        <f>IF($B161="","",SUMIFS(Kho_NL!$F$5:$F$304,Kho_NL!$A$5:$A$304,$B161))</f>
        <v/>
      </c>
      <c r="J161" s="39" t="str">
        <f>IF($B161="","",SUMIFS(Kho_NL!$G$5:$G$304,Kho_NL!$A$5:$A$304,$B161))</f>
        <v/>
      </c>
      <c r="K161" s="39" t="str">
        <f t="shared" si="11"/>
        <v/>
      </c>
      <c r="L161" s="31" t="str">
        <f>IF($B161="","",IFERROR(INDEX(Kho_NL!$I$5:$I$304,MATCH(B161,Kho_NL!$A$5:$A$304,0))&amp;"",""))</f>
        <v/>
      </c>
      <c r="M161" s="44" t="str">
        <f>IF($B161="","",SUMIFS(Kho_NL!$H$5:$H$304,Kho_NL!$A$5:$A$304,$B161))</f>
        <v/>
      </c>
      <c r="N161" s="44" t="str">
        <f t="shared" si="12"/>
        <v/>
      </c>
      <c r="O161" s="45" t="str">
        <f t="shared" si="13"/>
        <v/>
      </c>
      <c r="P161" s="44" t="str">
        <f>IF($B161="","",SUMIFS(TK_Nhap!$E$5:$E$1004,TK_Nhap!$D$5:$D$1004,$B161,TK_Nhap!$H$5:$H$1004,1))</f>
        <v/>
      </c>
      <c r="Q161" s="44" t="str">
        <f t="shared" si="14"/>
        <v/>
      </c>
    </row>
    <row r="162" spans="1:17" x14ac:dyDescent="0.25">
      <c r="A162" s="36" t="str">
        <f t="shared" si="10"/>
        <v/>
      </c>
      <c r="B162" s="35" t="str">
        <f>IFERROR(INDEX(DM_NL!$A$5:$A$304,MATCH(ROW()-10,DM_NL!$G$5:$G$304,0)),"")</f>
        <v/>
      </c>
      <c r="C162" s="35" t="str">
        <f>IF(B162="","",INDEX(DM_NL!$B$5:$B$304,MATCH(B162,DM_NL!$A$5:$A$304,0)))</f>
        <v/>
      </c>
      <c r="D162" s="35" t="str">
        <f>IF(B162="","",INDEX(DM_NL!$C$5:$C$304,MATCH(B162,DM_NL!$A$5:$A$304,0)))</f>
        <v/>
      </c>
      <c r="E162" s="39" t="str">
        <f>IF($B162="","",SUMIFS(Kho_NL!$B$5:$B$304,Kho_NL!$A$5:$A$304,$B162))</f>
        <v/>
      </c>
      <c r="F162" s="39" t="str">
        <f>IF($B162="","",SUMIFS(Kho_NL!$C$5:$C$304,Kho_NL!$A$5:$A$304,$B162))</f>
        <v/>
      </c>
      <c r="G162" s="39" t="str">
        <f>IF($B162="","",SUMIFS(Kho_NL!$D$5:$D$304,Kho_NL!$A$5:$A$304,$B162))</f>
        <v/>
      </c>
      <c r="H162" s="39" t="str">
        <f>IF($B162="","",SUMIFS(Kho_NL!$E$5:$E$304,Kho_NL!$A$5:$A$304,$B162))</f>
        <v/>
      </c>
      <c r="I162" s="39" t="str">
        <f>IF($B162="","",SUMIFS(Kho_NL!$F$5:$F$304,Kho_NL!$A$5:$A$304,$B162))</f>
        <v/>
      </c>
      <c r="J162" s="39" t="str">
        <f>IF($B162="","",SUMIFS(Kho_NL!$G$5:$G$304,Kho_NL!$A$5:$A$304,$B162))</f>
        <v/>
      </c>
      <c r="K162" s="39" t="str">
        <f t="shared" si="11"/>
        <v/>
      </c>
      <c r="L162" s="31" t="str">
        <f>IF($B162="","",IFERROR(INDEX(Kho_NL!$I$5:$I$304,MATCH(B162,Kho_NL!$A$5:$A$304,0))&amp;"",""))</f>
        <v/>
      </c>
      <c r="M162" s="44" t="str">
        <f>IF($B162="","",SUMIFS(Kho_NL!$H$5:$H$304,Kho_NL!$A$5:$A$304,$B162))</f>
        <v/>
      </c>
      <c r="N162" s="44" t="str">
        <f t="shared" si="12"/>
        <v/>
      </c>
      <c r="O162" s="45" t="str">
        <f t="shared" si="13"/>
        <v/>
      </c>
      <c r="P162" s="44" t="str">
        <f>IF($B162="","",SUMIFS(TK_Nhap!$E$5:$E$1004,TK_Nhap!$D$5:$D$1004,$B162,TK_Nhap!$H$5:$H$1004,1))</f>
        <v/>
      </c>
      <c r="Q162" s="44" t="str">
        <f t="shared" si="14"/>
        <v/>
      </c>
    </row>
    <row r="163" spans="1:17" x14ac:dyDescent="0.25">
      <c r="A163" s="36" t="str">
        <f t="shared" si="10"/>
        <v/>
      </c>
      <c r="B163" s="35" t="str">
        <f>IFERROR(INDEX(DM_NL!$A$5:$A$304,MATCH(ROW()-10,DM_NL!$G$5:$G$304,0)),"")</f>
        <v/>
      </c>
      <c r="C163" s="35" t="str">
        <f>IF(B163="","",INDEX(DM_NL!$B$5:$B$304,MATCH(B163,DM_NL!$A$5:$A$304,0)))</f>
        <v/>
      </c>
      <c r="D163" s="35" t="str">
        <f>IF(B163="","",INDEX(DM_NL!$C$5:$C$304,MATCH(B163,DM_NL!$A$5:$A$304,0)))</f>
        <v/>
      </c>
      <c r="E163" s="39" t="str">
        <f>IF($B163="","",SUMIFS(Kho_NL!$B$5:$B$304,Kho_NL!$A$5:$A$304,$B163))</f>
        <v/>
      </c>
      <c r="F163" s="39" t="str">
        <f>IF($B163="","",SUMIFS(Kho_NL!$C$5:$C$304,Kho_NL!$A$5:$A$304,$B163))</f>
        <v/>
      </c>
      <c r="G163" s="39" t="str">
        <f>IF($B163="","",SUMIFS(Kho_NL!$D$5:$D$304,Kho_NL!$A$5:$A$304,$B163))</f>
        <v/>
      </c>
      <c r="H163" s="39" t="str">
        <f>IF($B163="","",SUMIFS(Kho_NL!$E$5:$E$304,Kho_NL!$A$5:$A$304,$B163))</f>
        <v/>
      </c>
      <c r="I163" s="39" t="str">
        <f>IF($B163="","",SUMIFS(Kho_NL!$F$5:$F$304,Kho_NL!$A$5:$A$304,$B163))</f>
        <v/>
      </c>
      <c r="J163" s="39" t="str">
        <f>IF($B163="","",SUMIFS(Kho_NL!$G$5:$G$304,Kho_NL!$A$5:$A$304,$B163))</f>
        <v/>
      </c>
      <c r="K163" s="39" t="str">
        <f t="shared" si="11"/>
        <v/>
      </c>
      <c r="L163" s="31" t="str">
        <f>IF($B163="","",IFERROR(INDEX(Kho_NL!$I$5:$I$304,MATCH(B163,Kho_NL!$A$5:$A$304,0))&amp;"",""))</f>
        <v/>
      </c>
      <c r="M163" s="44" t="str">
        <f>IF($B163="","",SUMIFS(Kho_NL!$H$5:$H$304,Kho_NL!$A$5:$A$304,$B163))</f>
        <v/>
      </c>
      <c r="N163" s="44" t="str">
        <f t="shared" si="12"/>
        <v/>
      </c>
      <c r="O163" s="45" t="str">
        <f t="shared" si="13"/>
        <v/>
      </c>
      <c r="P163" s="44" t="str">
        <f>IF($B163="","",SUMIFS(TK_Nhap!$E$5:$E$1004,TK_Nhap!$D$5:$D$1004,$B163,TK_Nhap!$H$5:$H$1004,1))</f>
        <v/>
      </c>
      <c r="Q163" s="44" t="str">
        <f t="shared" si="14"/>
        <v/>
      </c>
    </row>
    <row r="164" spans="1:17" x14ac:dyDescent="0.25">
      <c r="A164" s="36" t="str">
        <f t="shared" si="10"/>
        <v/>
      </c>
      <c r="B164" s="35" t="str">
        <f>IFERROR(INDEX(DM_NL!$A$5:$A$304,MATCH(ROW()-10,DM_NL!$G$5:$G$304,0)),"")</f>
        <v/>
      </c>
      <c r="C164" s="35" t="str">
        <f>IF(B164="","",INDEX(DM_NL!$B$5:$B$304,MATCH(B164,DM_NL!$A$5:$A$304,0)))</f>
        <v/>
      </c>
      <c r="D164" s="35" t="str">
        <f>IF(B164="","",INDEX(DM_NL!$C$5:$C$304,MATCH(B164,DM_NL!$A$5:$A$304,0)))</f>
        <v/>
      </c>
      <c r="E164" s="39" t="str">
        <f>IF($B164="","",SUMIFS(Kho_NL!$B$5:$B$304,Kho_NL!$A$5:$A$304,$B164))</f>
        <v/>
      </c>
      <c r="F164" s="39" t="str">
        <f>IF($B164="","",SUMIFS(Kho_NL!$C$5:$C$304,Kho_NL!$A$5:$A$304,$B164))</f>
        <v/>
      </c>
      <c r="G164" s="39" t="str">
        <f>IF($B164="","",SUMIFS(Kho_NL!$D$5:$D$304,Kho_NL!$A$5:$A$304,$B164))</f>
        <v/>
      </c>
      <c r="H164" s="39" t="str">
        <f>IF($B164="","",SUMIFS(Kho_NL!$E$5:$E$304,Kho_NL!$A$5:$A$304,$B164))</f>
        <v/>
      </c>
      <c r="I164" s="39" t="str">
        <f>IF($B164="","",SUMIFS(Kho_NL!$F$5:$F$304,Kho_NL!$A$5:$A$304,$B164))</f>
        <v/>
      </c>
      <c r="J164" s="39" t="str">
        <f>IF($B164="","",SUMIFS(Kho_NL!$G$5:$G$304,Kho_NL!$A$5:$A$304,$B164))</f>
        <v/>
      </c>
      <c r="K164" s="39" t="str">
        <f t="shared" si="11"/>
        <v/>
      </c>
      <c r="L164" s="31" t="str">
        <f>IF($B164="","",IFERROR(INDEX(Kho_NL!$I$5:$I$304,MATCH(B164,Kho_NL!$A$5:$A$304,0))&amp;"",""))</f>
        <v/>
      </c>
      <c r="M164" s="44" t="str">
        <f>IF($B164="","",SUMIFS(Kho_NL!$H$5:$H$304,Kho_NL!$A$5:$A$304,$B164))</f>
        <v/>
      </c>
      <c r="N164" s="44" t="str">
        <f t="shared" si="12"/>
        <v/>
      </c>
      <c r="O164" s="45" t="str">
        <f t="shared" si="13"/>
        <v/>
      </c>
      <c r="P164" s="44" t="str">
        <f>IF($B164="","",SUMIFS(TK_Nhap!$E$5:$E$1004,TK_Nhap!$D$5:$D$1004,$B164,TK_Nhap!$H$5:$H$1004,1))</f>
        <v/>
      </c>
      <c r="Q164" s="44" t="str">
        <f t="shared" si="14"/>
        <v/>
      </c>
    </row>
    <row r="165" spans="1:17" x14ac:dyDescent="0.25">
      <c r="A165" s="36" t="str">
        <f t="shared" si="10"/>
        <v/>
      </c>
      <c r="B165" s="35" t="str">
        <f>IFERROR(INDEX(DM_NL!$A$5:$A$304,MATCH(ROW()-10,DM_NL!$G$5:$G$304,0)),"")</f>
        <v/>
      </c>
      <c r="C165" s="35" t="str">
        <f>IF(B165="","",INDEX(DM_NL!$B$5:$B$304,MATCH(B165,DM_NL!$A$5:$A$304,0)))</f>
        <v/>
      </c>
      <c r="D165" s="35" t="str">
        <f>IF(B165="","",INDEX(DM_NL!$C$5:$C$304,MATCH(B165,DM_NL!$A$5:$A$304,0)))</f>
        <v/>
      </c>
      <c r="E165" s="39" t="str">
        <f>IF($B165="","",SUMIFS(Kho_NL!$B$5:$B$304,Kho_NL!$A$5:$A$304,$B165))</f>
        <v/>
      </c>
      <c r="F165" s="39" t="str">
        <f>IF($B165="","",SUMIFS(Kho_NL!$C$5:$C$304,Kho_NL!$A$5:$A$304,$B165))</f>
        <v/>
      </c>
      <c r="G165" s="39" t="str">
        <f>IF($B165="","",SUMIFS(Kho_NL!$D$5:$D$304,Kho_NL!$A$5:$A$304,$B165))</f>
        <v/>
      </c>
      <c r="H165" s="39" t="str">
        <f>IF($B165="","",SUMIFS(Kho_NL!$E$5:$E$304,Kho_NL!$A$5:$A$304,$B165))</f>
        <v/>
      </c>
      <c r="I165" s="39" t="str">
        <f>IF($B165="","",SUMIFS(Kho_NL!$F$5:$F$304,Kho_NL!$A$5:$A$304,$B165))</f>
        <v/>
      </c>
      <c r="J165" s="39" t="str">
        <f>IF($B165="","",SUMIFS(Kho_NL!$G$5:$G$304,Kho_NL!$A$5:$A$304,$B165))</f>
        <v/>
      </c>
      <c r="K165" s="39" t="str">
        <f t="shared" si="11"/>
        <v/>
      </c>
      <c r="L165" s="31" t="str">
        <f>IF($B165="","",IFERROR(INDEX(Kho_NL!$I$5:$I$304,MATCH(B165,Kho_NL!$A$5:$A$304,0))&amp;"",""))</f>
        <v/>
      </c>
      <c r="M165" s="44" t="str">
        <f>IF($B165="","",SUMIFS(Kho_NL!$H$5:$H$304,Kho_NL!$A$5:$A$304,$B165))</f>
        <v/>
      </c>
      <c r="N165" s="44" t="str">
        <f t="shared" si="12"/>
        <v/>
      </c>
      <c r="O165" s="45" t="str">
        <f t="shared" si="13"/>
        <v/>
      </c>
      <c r="P165" s="44" t="str">
        <f>IF($B165="","",SUMIFS(TK_Nhap!$E$5:$E$1004,TK_Nhap!$D$5:$D$1004,$B165,TK_Nhap!$H$5:$H$1004,1))</f>
        <v/>
      </c>
      <c r="Q165" s="44" t="str">
        <f t="shared" si="14"/>
        <v/>
      </c>
    </row>
    <row r="166" spans="1:17" x14ac:dyDescent="0.25">
      <c r="A166" s="36" t="str">
        <f t="shared" si="10"/>
        <v/>
      </c>
      <c r="B166" s="35" t="str">
        <f>IFERROR(INDEX(DM_NL!$A$5:$A$304,MATCH(ROW()-10,DM_NL!$G$5:$G$304,0)),"")</f>
        <v/>
      </c>
      <c r="C166" s="35" t="str">
        <f>IF(B166="","",INDEX(DM_NL!$B$5:$B$304,MATCH(B166,DM_NL!$A$5:$A$304,0)))</f>
        <v/>
      </c>
      <c r="D166" s="35" t="str">
        <f>IF(B166="","",INDEX(DM_NL!$C$5:$C$304,MATCH(B166,DM_NL!$A$5:$A$304,0)))</f>
        <v/>
      </c>
      <c r="E166" s="39" t="str">
        <f>IF($B166="","",SUMIFS(Kho_NL!$B$5:$B$304,Kho_NL!$A$5:$A$304,$B166))</f>
        <v/>
      </c>
      <c r="F166" s="39" t="str">
        <f>IF($B166="","",SUMIFS(Kho_NL!$C$5:$C$304,Kho_NL!$A$5:$A$304,$B166))</f>
        <v/>
      </c>
      <c r="G166" s="39" t="str">
        <f>IF($B166="","",SUMIFS(Kho_NL!$D$5:$D$304,Kho_NL!$A$5:$A$304,$B166))</f>
        <v/>
      </c>
      <c r="H166" s="39" t="str">
        <f>IF($B166="","",SUMIFS(Kho_NL!$E$5:$E$304,Kho_NL!$A$5:$A$304,$B166))</f>
        <v/>
      </c>
      <c r="I166" s="39" t="str">
        <f>IF($B166="","",SUMIFS(Kho_NL!$F$5:$F$304,Kho_NL!$A$5:$A$304,$B166))</f>
        <v/>
      </c>
      <c r="J166" s="39" t="str">
        <f>IF($B166="","",SUMIFS(Kho_NL!$G$5:$G$304,Kho_NL!$A$5:$A$304,$B166))</f>
        <v/>
      </c>
      <c r="K166" s="39" t="str">
        <f t="shared" si="11"/>
        <v/>
      </c>
      <c r="L166" s="31" t="str">
        <f>IF($B166="","",IFERROR(INDEX(Kho_NL!$I$5:$I$304,MATCH(B166,Kho_NL!$A$5:$A$304,0))&amp;"",""))</f>
        <v/>
      </c>
      <c r="M166" s="44" t="str">
        <f>IF($B166="","",SUMIFS(Kho_NL!$H$5:$H$304,Kho_NL!$A$5:$A$304,$B166))</f>
        <v/>
      </c>
      <c r="N166" s="44" t="str">
        <f t="shared" si="12"/>
        <v/>
      </c>
      <c r="O166" s="45" t="str">
        <f t="shared" si="13"/>
        <v/>
      </c>
      <c r="P166" s="44" t="str">
        <f>IF($B166="","",SUMIFS(TK_Nhap!$E$5:$E$1004,TK_Nhap!$D$5:$D$1004,$B166,TK_Nhap!$H$5:$H$1004,1))</f>
        <v/>
      </c>
      <c r="Q166" s="44" t="str">
        <f t="shared" si="14"/>
        <v/>
      </c>
    </row>
    <row r="167" spans="1:17" x14ac:dyDescent="0.25">
      <c r="A167" s="36" t="str">
        <f t="shared" si="10"/>
        <v/>
      </c>
      <c r="B167" s="35" t="str">
        <f>IFERROR(INDEX(DM_NL!$A$5:$A$304,MATCH(ROW()-10,DM_NL!$G$5:$G$304,0)),"")</f>
        <v/>
      </c>
      <c r="C167" s="35" t="str">
        <f>IF(B167="","",INDEX(DM_NL!$B$5:$B$304,MATCH(B167,DM_NL!$A$5:$A$304,0)))</f>
        <v/>
      </c>
      <c r="D167" s="35" t="str">
        <f>IF(B167="","",INDEX(DM_NL!$C$5:$C$304,MATCH(B167,DM_NL!$A$5:$A$304,0)))</f>
        <v/>
      </c>
      <c r="E167" s="39" t="str">
        <f>IF($B167="","",SUMIFS(Kho_NL!$B$5:$B$304,Kho_NL!$A$5:$A$304,$B167))</f>
        <v/>
      </c>
      <c r="F167" s="39" t="str">
        <f>IF($B167="","",SUMIFS(Kho_NL!$C$5:$C$304,Kho_NL!$A$5:$A$304,$B167))</f>
        <v/>
      </c>
      <c r="G167" s="39" t="str">
        <f>IF($B167="","",SUMIFS(Kho_NL!$D$5:$D$304,Kho_NL!$A$5:$A$304,$B167))</f>
        <v/>
      </c>
      <c r="H167" s="39" t="str">
        <f>IF($B167="","",SUMIFS(Kho_NL!$E$5:$E$304,Kho_NL!$A$5:$A$304,$B167))</f>
        <v/>
      </c>
      <c r="I167" s="39" t="str">
        <f>IF($B167="","",SUMIFS(Kho_NL!$F$5:$F$304,Kho_NL!$A$5:$A$304,$B167))</f>
        <v/>
      </c>
      <c r="J167" s="39" t="str">
        <f>IF($B167="","",SUMIFS(Kho_NL!$G$5:$G$304,Kho_NL!$A$5:$A$304,$B167))</f>
        <v/>
      </c>
      <c r="K167" s="39" t="str">
        <f t="shared" si="11"/>
        <v/>
      </c>
      <c r="L167" s="31" t="str">
        <f>IF($B167="","",IFERROR(INDEX(Kho_NL!$I$5:$I$304,MATCH(B167,Kho_NL!$A$5:$A$304,0))&amp;"",""))</f>
        <v/>
      </c>
      <c r="M167" s="44" t="str">
        <f>IF($B167="","",SUMIFS(Kho_NL!$H$5:$H$304,Kho_NL!$A$5:$A$304,$B167))</f>
        <v/>
      </c>
      <c r="N167" s="44" t="str">
        <f t="shared" si="12"/>
        <v/>
      </c>
      <c r="O167" s="45" t="str">
        <f t="shared" si="13"/>
        <v/>
      </c>
      <c r="P167" s="44" t="str">
        <f>IF($B167="","",SUMIFS(TK_Nhap!$E$5:$E$1004,TK_Nhap!$D$5:$D$1004,$B167,TK_Nhap!$H$5:$H$1004,1))</f>
        <v/>
      </c>
      <c r="Q167" s="44" t="str">
        <f t="shared" si="14"/>
        <v/>
      </c>
    </row>
    <row r="168" spans="1:17" x14ac:dyDescent="0.25">
      <c r="A168" s="36" t="str">
        <f t="shared" si="10"/>
        <v/>
      </c>
      <c r="B168" s="35" t="str">
        <f>IFERROR(INDEX(DM_NL!$A$5:$A$304,MATCH(ROW()-10,DM_NL!$G$5:$G$304,0)),"")</f>
        <v/>
      </c>
      <c r="C168" s="35" t="str">
        <f>IF(B168="","",INDEX(DM_NL!$B$5:$B$304,MATCH(B168,DM_NL!$A$5:$A$304,0)))</f>
        <v/>
      </c>
      <c r="D168" s="35" t="str">
        <f>IF(B168="","",INDEX(DM_NL!$C$5:$C$304,MATCH(B168,DM_NL!$A$5:$A$304,0)))</f>
        <v/>
      </c>
      <c r="E168" s="39" t="str">
        <f>IF($B168="","",SUMIFS(Kho_NL!$B$5:$B$304,Kho_NL!$A$5:$A$304,$B168))</f>
        <v/>
      </c>
      <c r="F168" s="39" t="str">
        <f>IF($B168="","",SUMIFS(Kho_NL!$C$5:$C$304,Kho_NL!$A$5:$A$304,$B168))</f>
        <v/>
      </c>
      <c r="G168" s="39" t="str">
        <f>IF($B168="","",SUMIFS(Kho_NL!$D$5:$D$304,Kho_NL!$A$5:$A$304,$B168))</f>
        <v/>
      </c>
      <c r="H168" s="39" t="str">
        <f>IF($B168="","",SUMIFS(Kho_NL!$E$5:$E$304,Kho_NL!$A$5:$A$304,$B168))</f>
        <v/>
      </c>
      <c r="I168" s="39" t="str">
        <f>IF($B168="","",SUMIFS(Kho_NL!$F$5:$F$304,Kho_NL!$A$5:$A$304,$B168))</f>
        <v/>
      </c>
      <c r="J168" s="39" t="str">
        <f>IF($B168="","",SUMIFS(Kho_NL!$G$5:$G$304,Kho_NL!$A$5:$A$304,$B168))</f>
        <v/>
      </c>
      <c r="K168" s="39" t="str">
        <f t="shared" si="11"/>
        <v/>
      </c>
      <c r="L168" s="31" t="str">
        <f>IF($B168="","",IFERROR(INDEX(Kho_NL!$I$5:$I$304,MATCH(B168,Kho_NL!$A$5:$A$304,0))&amp;"",""))</f>
        <v/>
      </c>
      <c r="M168" s="44" t="str">
        <f>IF($B168="","",SUMIFS(Kho_NL!$H$5:$H$304,Kho_NL!$A$5:$A$304,$B168))</f>
        <v/>
      </c>
      <c r="N168" s="44" t="str">
        <f t="shared" si="12"/>
        <v/>
      </c>
      <c r="O168" s="45" t="str">
        <f t="shared" si="13"/>
        <v/>
      </c>
      <c r="P168" s="44" t="str">
        <f>IF($B168="","",SUMIFS(TK_Nhap!$E$5:$E$1004,TK_Nhap!$D$5:$D$1004,$B168,TK_Nhap!$H$5:$H$1004,1))</f>
        <v/>
      </c>
      <c r="Q168" s="44" t="str">
        <f t="shared" si="14"/>
        <v/>
      </c>
    </row>
    <row r="169" spans="1:17" x14ac:dyDescent="0.25">
      <c r="A169" s="36" t="str">
        <f t="shared" si="10"/>
        <v/>
      </c>
      <c r="B169" s="35" t="str">
        <f>IFERROR(INDEX(DM_NL!$A$5:$A$304,MATCH(ROW()-10,DM_NL!$G$5:$G$304,0)),"")</f>
        <v/>
      </c>
      <c r="C169" s="35" t="str">
        <f>IF(B169="","",INDEX(DM_NL!$B$5:$B$304,MATCH(B169,DM_NL!$A$5:$A$304,0)))</f>
        <v/>
      </c>
      <c r="D169" s="35" t="str">
        <f>IF(B169="","",INDEX(DM_NL!$C$5:$C$304,MATCH(B169,DM_NL!$A$5:$A$304,0)))</f>
        <v/>
      </c>
      <c r="E169" s="39" t="str">
        <f>IF($B169="","",SUMIFS(Kho_NL!$B$5:$B$304,Kho_NL!$A$5:$A$304,$B169))</f>
        <v/>
      </c>
      <c r="F169" s="39" t="str">
        <f>IF($B169="","",SUMIFS(Kho_NL!$C$5:$C$304,Kho_NL!$A$5:$A$304,$B169))</f>
        <v/>
      </c>
      <c r="G169" s="39" t="str">
        <f>IF($B169="","",SUMIFS(Kho_NL!$D$5:$D$304,Kho_NL!$A$5:$A$304,$B169))</f>
        <v/>
      </c>
      <c r="H169" s="39" t="str">
        <f>IF($B169="","",SUMIFS(Kho_NL!$E$5:$E$304,Kho_NL!$A$5:$A$304,$B169))</f>
        <v/>
      </c>
      <c r="I169" s="39" t="str">
        <f>IF($B169="","",SUMIFS(Kho_NL!$F$5:$F$304,Kho_NL!$A$5:$A$304,$B169))</f>
        <v/>
      </c>
      <c r="J169" s="39" t="str">
        <f>IF($B169="","",SUMIFS(Kho_NL!$G$5:$G$304,Kho_NL!$A$5:$A$304,$B169))</f>
        <v/>
      </c>
      <c r="K169" s="39" t="str">
        <f t="shared" si="11"/>
        <v/>
      </c>
      <c r="L169" s="31" t="str">
        <f>IF($B169="","",IFERROR(INDEX(Kho_NL!$I$5:$I$304,MATCH(B169,Kho_NL!$A$5:$A$304,0))&amp;"",""))</f>
        <v/>
      </c>
      <c r="M169" s="44" t="str">
        <f>IF($B169="","",SUMIFS(Kho_NL!$H$5:$H$304,Kho_NL!$A$5:$A$304,$B169))</f>
        <v/>
      </c>
      <c r="N169" s="44" t="str">
        <f t="shared" si="12"/>
        <v/>
      </c>
      <c r="O169" s="45" t="str">
        <f t="shared" si="13"/>
        <v/>
      </c>
      <c r="P169" s="44" t="str">
        <f>IF($B169="","",SUMIFS(TK_Nhap!$E$5:$E$1004,TK_Nhap!$D$5:$D$1004,$B169,TK_Nhap!$H$5:$H$1004,1))</f>
        <v/>
      </c>
      <c r="Q169" s="44" t="str">
        <f t="shared" si="14"/>
        <v/>
      </c>
    </row>
    <row r="170" spans="1:17" x14ac:dyDescent="0.25">
      <c r="A170" s="36" t="str">
        <f t="shared" si="10"/>
        <v/>
      </c>
      <c r="B170" s="35" t="str">
        <f>IFERROR(INDEX(DM_NL!$A$5:$A$304,MATCH(ROW()-10,DM_NL!$G$5:$G$304,0)),"")</f>
        <v/>
      </c>
      <c r="C170" s="35" t="str">
        <f>IF(B170="","",INDEX(DM_NL!$B$5:$B$304,MATCH(B170,DM_NL!$A$5:$A$304,0)))</f>
        <v/>
      </c>
      <c r="D170" s="35" t="str">
        <f>IF(B170="","",INDEX(DM_NL!$C$5:$C$304,MATCH(B170,DM_NL!$A$5:$A$304,0)))</f>
        <v/>
      </c>
      <c r="E170" s="39" t="str">
        <f>IF($B170="","",SUMIFS(Kho_NL!$B$5:$B$304,Kho_NL!$A$5:$A$304,$B170))</f>
        <v/>
      </c>
      <c r="F170" s="39" t="str">
        <f>IF($B170="","",SUMIFS(Kho_NL!$C$5:$C$304,Kho_NL!$A$5:$A$304,$B170))</f>
        <v/>
      </c>
      <c r="G170" s="39" t="str">
        <f>IF($B170="","",SUMIFS(Kho_NL!$D$5:$D$304,Kho_NL!$A$5:$A$304,$B170))</f>
        <v/>
      </c>
      <c r="H170" s="39" t="str">
        <f>IF($B170="","",SUMIFS(Kho_NL!$E$5:$E$304,Kho_NL!$A$5:$A$304,$B170))</f>
        <v/>
      </c>
      <c r="I170" s="39" t="str">
        <f>IF($B170="","",SUMIFS(Kho_NL!$F$5:$F$304,Kho_NL!$A$5:$A$304,$B170))</f>
        <v/>
      </c>
      <c r="J170" s="39" t="str">
        <f>IF($B170="","",SUMIFS(Kho_NL!$G$5:$G$304,Kho_NL!$A$5:$A$304,$B170))</f>
        <v/>
      </c>
      <c r="K170" s="39" t="str">
        <f t="shared" si="11"/>
        <v/>
      </c>
      <c r="L170" s="31" t="str">
        <f>IF($B170="","",IFERROR(INDEX(Kho_NL!$I$5:$I$304,MATCH(B170,Kho_NL!$A$5:$A$304,0))&amp;"",""))</f>
        <v/>
      </c>
      <c r="M170" s="44" t="str">
        <f>IF($B170="","",SUMIFS(Kho_NL!$H$5:$H$304,Kho_NL!$A$5:$A$304,$B170))</f>
        <v/>
      </c>
      <c r="N170" s="44" t="str">
        <f t="shared" si="12"/>
        <v/>
      </c>
      <c r="O170" s="45" t="str">
        <f t="shared" si="13"/>
        <v/>
      </c>
      <c r="P170" s="44" t="str">
        <f>IF($B170="","",SUMIFS(TK_Nhap!$E$5:$E$1004,TK_Nhap!$D$5:$D$1004,$B170,TK_Nhap!$H$5:$H$1004,1))</f>
        <v/>
      </c>
      <c r="Q170" s="44" t="str">
        <f t="shared" si="14"/>
        <v/>
      </c>
    </row>
    <row r="171" spans="1:17" x14ac:dyDescent="0.25">
      <c r="A171" s="36" t="str">
        <f t="shared" si="10"/>
        <v/>
      </c>
      <c r="B171" s="35" t="str">
        <f>IFERROR(INDEX(DM_NL!$A$5:$A$304,MATCH(ROW()-10,DM_NL!$G$5:$G$304,0)),"")</f>
        <v/>
      </c>
      <c r="C171" s="35" t="str">
        <f>IF(B171="","",INDEX(DM_NL!$B$5:$B$304,MATCH(B171,DM_NL!$A$5:$A$304,0)))</f>
        <v/>
      </c>
      <c r="D171" s="35" t="str">
        <f>IF(B171="","",INDEX(DM_NL!$C$5:$C$304,MATCH(B171,DM_NL!$A$5:$A$304,0)))</f>
        <v/>
      </c>
      <c r="E171" s="39" t="str">
        <f>IF($B171="","",SUMIFS(Kho_NL!$B$5:$B$304,Kho_NL!$A$5:$A$304,$B171))</f>
        <v/>
      </c>
      <c r="F171" s="39" t="str">
        <f>IF($B171="","",SUMIFS(Kho_NL!$C$5:$C$304,Kho_NL!$A$5:$A$304,$B171))</f>
        <v/>
      </c>
      <c r="G171" s="39" t="str">
        <f>IF($B171="","",SUMIFS(Kho_NL!$D$5:$D$304,Kho_NL!$A$5:$A$304,$B171))</f>
        <v/>
      </c>
      <c r="H171" s="39" t="str">
        <f>IF($B171="","",SUMIFS(Kho_NL!$E$5:$E$304,Kho_NL!$A$5:$A$304,$B171))</f>
        <v/>
      </c>
      <c r="I171" s="39" t="str">
        <f>IF($B171="","",SUMIFS(Kho_NL!$F$5:$F$304,Kho_NL!$A$5:$A$304,$B171))</f>
        <v/>
      </c>
      <c r="J171" s="39" t="str">
        <f>IF($B171="","",SUMIFS(Kho_NL!$G$5:$G$304,Kho_NL!$A$5:$A$304,$B171))</f>
        <v/>
      </c>
      <c r="K171" s="39" t="str">
        <f t="shared" si="11"/>
        <v/>
      </c>
      <c r="L171" s="31" t="str">
        <f>IF($B171="","",IFERROR(INDEX(Kho_NL!$I$5:$I$304,MATCH(B171,Kho_NL!$A$5:$A$304,0))&amp;"",""))</f>
        <v/>
      </c>
      <c r="M171" s="44" t="str">
        <f>IF($B171="","",SUMIFS(Kho_NL!$H$5:$H$304,Kho_NL!$A$5:$A$304,$B171))</f>
        <v/>
      </c>
      <c r="N171" s="44" t="str">
        <f t="shared" si="12"/>
        <v/>
      </c>
      <c r="O171" s="45" t="str">
        <f t="shared" si="13"/>
        <v/>
      </c>
      <c r="P171" s="44" t="str">
        <f>IF($B171="","",SUMIFS(TK_Nhap!$E$5:$E$1004,TK_Nhap!$D$5:$D$1004,$B171,TK_Nhap!$H$5:$H$1004,1))</f>
        <v/>
      </c>
      <c r="Q171" s="44" t="str">
        <f t="shared" si="14"/>
        <v/>
      </c>
    </row>
    <row r="172" spans="1:17" x14ac:dyDescent="0.25">
      <c r="A172" s="36" t="str">
        <f t="shared" si="10"/>
        <v/>
      </c>
      <c r="B172" s="35" t="str">
        <f>IFERROR(INDEX(DM_NL!$A$5:$A$304,MATCH(ROW()-10,DM_NL!$G$5:$G$304,0)),"")</f>
        <v/>
      </c>
      <c r="C172" s="35" t="str">
        <f>IF(B172="","",INDEX(DM_NL!$B$5:$B$304,MATCH(B172,DM_NL!$A$5:$A$304,0)))</f>
        <v/>
      </c>
      <c r="D172" s="35" t="str">
        <f>IF(B172="","",INDEX(DM_NL!$C$5:$C$304,MATCH(B172,DM_NL!$A$5:$A$304,0)))</f>
        <v/>
      </c>
      <c r="E172" s="39" t="str">
        <f>IF($B172="","",SUMIFS(Kho_NL!$B$5:$B$304,Kho_NL!$A$5:$A$304,$B172))</f>
        <v/>
      </c>
      <c r="F172" s="39" t="str">
        <f>IF($B172="","",SUMIFS(Kho_NL!$C$5:$C$304,Kho_NL!$A$5:$A$304,$B172))</f>
        <v/>
      </c>
      <c r="G172" s="39" t="str">
        <f>IF($B172="","",SUMIFS(Kho_NL!$D$5:$D$304,Kho_NL!$A$5:$A$304,$B172))</f>
        <v/>
      </c>
      <c r="H172" s="39" t="str">
        <f>IF($B172="","",SUMIFS(Kho_NL!$E$5:$E$304,Kho_NL!$A$5:$A$304,$B172))</f>
        <v/>
      </c>
      <c r="I172" s="39" t="str">
        <f>IF($B172="","",SUMIFS(Kho_NL!$F$5:$F$304,Kho_NL!$A$5:$A$304,$B172))</f>
        <v/>
      </c>
      <c r="J172" s="39" t="str">
        <f>IF($B172="","",SUMIFS(Kho_NL!$G$5:$G$304,Kho_NL!$A$5:$A$304,$B172))</f>
        <v/>
      </c>
      <c r="K172" s="39" t="str">
        <f t="shared" si="11"/>
        <v/>
      </c>
      <c r="L172" s="31" t="str">
        <f>IF($B172="","",IFERROR(INDEX(Kho_NL!$I$5:$I$304,MATCH(B172,Kho_NL!$A$5:$A$304,0))&amp;"",""))</f>
        <v/>
      </c>
      <c r="M172" s="44" t="str">
        <f>IF($B172="","",SUMIFS(Kho_NL!$H$5:$H$304,Kho_NL!$A$5:$A$304,$B172))</f>
        <v/>
      </c>
      <c r="N172" s="44" t="str">
        <f t="shared" si="12"/>
        <v/>
      </c>
      <c r="O172" s="45" t="str">
        <f t="shared" si="13"/>
        <v/>
      </c>
      <c r="P172" s="44" t="str">
        <f>IF($B172="","",SUMIFS(TK_Nhap!$E$5:$E$1004,TK_Nhap!$D$5:$D$1004,$B172,TK_Nhap!$H$5:$H$1004,1))</f>
        <v/>
      </c>
      <c r="Q172" s="44" t="str">
        <f t="shared" si="14"/>
        <v/>
      </c>
    </row>
    <row r="173" spans="1:17" x14ac:dyDescent="0.25">
      <c r="A173" s="36" t="str">
        <f t="shared" si="10"/>
        <v/>
      </c>
      <c r="B173" s="35" t="str">
        <f>IFERROR(INDEX(DM_NL!$A$5:$A$304,MATCH(ROW()-10,DM_NL!$G$5:$G$304,0)),"")</f>
        <v/>
      </c>
      <c r="C173" s="35" t="str">
        <f>IF(B173="","",INDEX(DM_NL!$B$5:$B$304,MATCH(B173,DM_NL!$A$5:$A$304,0)))</f>
        <v/>
      </c>
      <c r="D173" s="35" t="str">
        <f>IF(B173="","",INDEX(DM_NL!$C$5:$C$304,MATCH(B173,DM_NL!$A$5:$A$304,0)))</f>
        <v/>
      </c>
      <c r="E173" s="39" t="str">
        <f>IF($B173="","",SUMIFS(Kho_NL!$B$5:$B$304,Kho_NL!$A$5:$A$304,$B173))</f>
        <v/>
      </c>
      <c r="F173" s="39" t="str">
        <f>IF($B173="","",SUMIFS(Kho_NL!$C$5:$C$304,Kho_NL!$A$5:$A$304,$B173))</f>
        <v/>
      </c>
      <c r="G173" s="39" t="str">
        <f>IF($B173="","",SUMIFS(Kho_NL!$D$5:$D$304,Kho_NL!$A$5:$A$304,$B173))</f>
        <v/>
      </c>
      <c r="H173" s="39" t="str">
        <f>IF($B173="","",SUMIFS(Kho_NL!$E$5:$E$304,Kho_NL!$A$5:$A$304,$B173))</f>
        <v/>
      </c>
      <c r="I173" s="39" t="str">
        <f>IF($B173="","",SUMIFS(Kho_NL!$F$5:$F$304,Kho_NL!$A$5:$A$304,$B173))</f>
        <v/>
      </c>
      <c r="J173" s="39" t="str">
        <f>IF($B173="","",SUMIFS(Kho_NL!$G$5:$G$304,Kho_NL!$A$5:$A$304,$B173))</f>
        <v/>
      </c>
      <c r="K173" s="39" t="str">
        <f t="shared" si="11"/>
        <v/>
      </c>
      <c r="L173" s="31" t="str">
        <f>IF($B173="","",IFERROR(INDEX(Kho_NL!$I$5:$I$304,MATCH(B173,Kho_NL!$A$5:$A$304,0))&amp;"",""))</f>
        <v/>
      </c>
      <c r="M173" s="44" t="str">
        <f>IF($B173="","",SUMIFS(Kho_NL!$H$5:$H$304,Kho_NL!$A$5:$A$304,$B173))</f>
        <v/>
      </c>
      <c r="N173" s="44" t="str">
        <f t="shared" si="12"/>
        <v/>
      </c>
      <c r="O173" s="45" t="str">
        <f t="shared" si="13"/>
        <v/>
      </c>
      <c r="P173" s="44" t="str">
        <f>IF($B173="","",SUMIFS(TK_Nhap!$E$5:$E$1004,TK_Nhap!$D$5:$D$1004,$B173,TK_Nhap!$H$5:$H$1004,1))</f>
        <v/>
      </c>
      <c r="Q173" s="44" t="str">
        <f t="shared" si="14"/>
        <v/>
      </c>
    </row>
    <row r="174" spans="1:17" x14ac:dyDescent="0.25">
      <c r="A174" s="36" t="str">
        <f t="shared" si="10"/>
        <v/>
      </c>
      <c r="B174" s="35" t="str">
        <f>IFERROR(INDEX(DM_NL!$A$5:$A$304,MATCH(ROW()-10,DM_NL!$G$5:$G$304,0)),"")</f>
        <v/>
      </c>
      <c r="C174" s="35" t="str">
        <f>IF(B174="","",INDEX(DM_NL!$B$5:$B$304,MATCH(B174,DM_NL!$A$5:$A$304,0)))</f>
        <v/>
      </c>
      <c r="D174" s="35" t="str">
        <f>IF(B174="","",INDEX(DM_NL!$C$5:$C$304,MATCH(B174,DM_NL!$A$5:$A$304,0)))</f>
        <v/>
      </c>
      <c r="E174" s="39" t="str">
        <f>IF($B174="","",SUMIFS(Kho_NL!$B$5:$B$304,Kho_NL!$A$5:$A$304,$B174))</f>
        <v/>
      </c>
      <c r="F174" s="39" t="str">
        <f>IF($B174="","",SUMIFS(Kho_NL!$C$5:$C$304,Kho_NL!$A$5:$A$304,$B174))</f>
        <v/>
      </c>
      <c r="G174" s="39" t="str">
        <f>IF($B174="","",SUMIFS(Kho_NL!$D$5:$D$304,Kho_NL!$A$5:$A$304,$B174))</f>
        <v/>
      </c>
      <c r="H174" s="39" t="str">
        <f>IF($B174="","",SUMIFS(Kho_NL!$E$5:$E$304,Kho_NL!$A$5:$A$304,$B174))</f>
        <v/>
      </c>
      <c r="I174" s="39" t="str">
        <f>IF($B174="","",SUMIFS(Kho_NL!$F$5:$F$304,Kho_NL!$A$5:$A$304,$B174))</f>
        <v/>
      </c>
      <c r="J174" s="39" t="str">
        <f>IF($B174="","",SUMIFS(Kho_NL!$G$5:$G$304,Kho_NL!$A$5:$A$304,$B174))</f>
        <v/>
      </c>
      <c r="K174" s="39" t="str">
        <f t="shared" si="11"/>
        <v/>
      </c>
      <c r="L174" s="31" t="str">
        <f>IF($B174="","",IFERROR(INDEX(Kho_NL!$I$5:$I$304,MATCH(B174,Kho_NL!$A$5:$A$304,0))&amp;"",""))</f>
        <v/>
      </c>
      <c r="M174" s="44" t="str">
        <f>IF($B174="","",SUMIFS(Kho_NL!$H$5:$H$304,Kho_NL!$A$5:$A$304,$B174))</f>
        <v/>
      </c>
      <c r="N174" s="44" t="str">
        <f t="shared" si="12"/>
        <v/>
      </c>
      <c r="O174" s="45" t="str">
        <f t="shared" si="13"/>
        <v/>
      </c>
      <c r="P174" s="44" t="str">
        <f>IF($B174="","",SUMIFS(TK_Nhap!$E$5:$E$1004,TK_Nhap!$D$5:$D$1004,$B174,TK_Nhap!$H$5:$H$1004,1))</f>
        <v/>
      </c>
      <c r="Q174" s="44" t="str">
        <f t="shared" si="14"/>
        <v/>
      </c>
    </row>
    <row r="175" spans="1:17" x14ac:dyDescent="0.25">
      <c r="A175" s="36" t="str">
        <f t="shared" si="10"/>
        <v/>
      </c>
      <c r="B175" s="35" t="str">
        <f>IFERROR(INDEX(DM_NL!$A$5:$A$304,MATCH(ROW()-10,DM_NL!$G$5:$G$304,0)),"")</f>
        <v/>
      </c>
      <c r="C175" s="35" t="str">
        <f>IF(B175="","",INDEX(DM_NL!$B$5:$B$304,MATCH(B175,DM_NL!$A$5:$A$304,0)))</f>
        <v/>
      </c>
      <c r="D175" s="35" t="str">
        <f>IF(B175="","",INDEX(DM_NL!$C$5:$C$304,MATCH(B175,DM_NL!$A$5:$A$304,0)))</f>
        <v/>
      </c>
      <c r="E175" s="39" t="str">
        <f>IF($B175="","",SUMIFS(Kho_NL!$B$5:$B$304,Kho_NL!$A$5:$A$304,$B175))</f>
        <v/>
      </c>
      <c r="F175" s="39" t="str">
        <f>IF($B175="","",SUMIFS(Kho_NL!$C$5:$C$304,Kho_NL!$A$5:$A$304,$B175))</f>
        <v/>
      </c>
      <c r="G175" s="39" t="str">
        <f>IF($B175="","",SUMIFS(Kho_NL!$D$5:$D$304,Kho_NL!$A$5:$A$304,$B175))</f>
        <v/>
      </c>
      <c r="H175" s="39" t="str">
        <f>IF($B175="","",SUMIFS(Kho_NL!$E$5:$E$304,Kho_NL!$A$5:$A$304,$B175))</f>
        <v/>
      </c>
      <c r="I175" s="39" t="str">
        <f>IF($B175="","",SUMIFS(Kho_NL!$F$5:$F$304,Kho_NL!$A$5:$A$304,$B175))</f>
        <v/>
      </c>
      <c r="J175" s="39" t="str">
        <f>IF($B175="","",SUMIFS(Kho_NL!$G$5:$G$304,Kho_NL!$A$5:$A$304,$B175))</f>
        <v/>
      </c>
      <c r="K175" s="39" t="str">
        <f t="shared" si="11"/>
        <v/>
      </c>
      <c r="L175" s="31" t="str">
        <f>IF($B175="","",IFERROR(INDEX(Kho_NL!$I$5:$I$304,MATCH(B175,Kho_NL!$A$5:$A$304,0))&amp;"",""))</f>
        <v/>
      </c>
      <c r="M175" s="44" t="str">
        <f>IF($B175="","",SUMIFS(Kho_NL!$H$5:$H$304,Kho_NL!$A$5:$A$304,$B175))</f>
        <v/>
      </c>
      <c r="N175" s="44" t="str">
        <f t="shared" si="12"/>
        <v/>
      </c>
      <c r="O175" s="45" t="str">
        <f t="shared" si="13"/>
        <v/>
      </c>
      <c r="P175" s="44" t="str">
        <f>IF($B175="","",SUMIFS(TK_Nhap!$E$5:$E$1004,TK_Nhap!$D$5:$D$1004,$B175,TK_Nhap!$H$5:$H$1004,1))</f>
        <v/>
      </c>
      <c r="Q175" s="44" t="str">
        <f t="shared" si="14"/>
        <v/>
      </c>
    </row>
    <row r="176" spans="1:17" x14ac:dyDescent="0.25">
      <c r="A176" s="36" t="str">
        <f t="shared" si="10"/>
        <v/>
      </c>
      <c r="B176" s="35" t="str">
        <f>IFERROR(INDEX(DM_NL!$A$5:$A$304,MATCH(ROW()-10,DM_NL!$G$5:$G$304,0)),"")</f>
        <v/>
      </c>
      <c r="C176" s="35" t="str">
        <f>IF(B176="","",INDEX(DM_NL!$B$5:$B$304,MATCH(B176,DM_NL!$A$5:$A$304,0)))</f>
        <v/>
      </c>
      <c r="D176" s="35" t="str">
        <f>IF(B176="","",INDEX(DM_NL!$C$5:$C$304,MATCH(B176,DM_NL!$A$5:$A$304,0)))</f>
        <v/>
      </c>
      <c r="E176" s="39" t="str">
        <f>IF($B176="","",SUMIFS(Kho_NL!$B$5:$B$304,Kho_NL!$A$5:$A$304,$B176))</f>
        <v/>
      </c>
      <c r="F176" s="39" t="str">
        <f>IF($B176="","",SUMIFS(Kho_NL!$C$5:$C$304,Kho_NL!$A$5:$A$304,$B176))</f>
        <v/>
      </c>
      <c r="G176" s="39" t="str">
        <f>IF($B176="","",SUMIFS(Kho_NL!$D$5:$D$304,Kho_NL!$A$5:$A$304,$B176))</f>
        <v/>
      </c>
      <c r="H176" s="39" t="str">
        <f>IF($B176="","",SUMIFS(Kho_NL!$E$5:$E$304,Kho_NL!$A$5:$A$304,$B176))</f>
        <v/>
      </c>
      <c r="I176" s="39" t="str">
        <f>IF($B176="","",SUMIFS(Kho_NL!$F$5:$F$304,Kho_NL!$A$5:$A$304,$B176))</f>
        <v/>
      </c>
      <c r="J176" s="39" t="str">
        <f>IF($B176="","",SUMIFS(Kho_NL!$G$5:$G$304,Kho_NL!$A$5:$A$304,$B176))</f>
        <v/>
      </c>
      <c r="K176" s="39" t="str">
        <f t="shared" si="11"/>
        <v/>
      </c>
      <c r="L176" s="31" t="str">
        <f>IF($B176="","",IFERROR(INDEX(Kho_NL!$I$5:$I$304,MATCH(B176,Kho_NL!$A$5:$A$304,0))&amp;"",""))</f>
        <v/>
      </c>
      <c r="M176" s="44" t="str">
        <f>IF($B176="","",SUMIFS(Kho_NL!$H$5:$H$304,Kho_NL!$A$5:$A$304,$B176))</f>
        <v/>
      </c>
      <c r="N176" s="44" t="str">
        <f t="shared" si="12"/>
        <v/>
      </c>
      <c r="O176" s="45" t="str">
        <f t="shared" si="13"/>
        <v/>
      </c>
      <c r="P176" s="44" t="str">
        <f>IF($B176="","",SUMIFS(TK_Nhap!$E$5:$E$1004,TK_Nhap!$D$5:$D$1004,$B176,TK_Nhap!$H$5:$H$1004,1))</f>
        <v/>
      </c>
      <c r="Q176" s="44" t="str">
        <f t="shared" si="14"/>
        <v/>
      </c>
    </row>
    <row r="177" spans="1:17" x14ac:dyDescent="0.25">
      <c r="A177" s="36" t="str">
        <f t="shared" si="10"/>
        <v/>
      </c>
      <c r="B177" s="35" t="str">
        <f>IFERROR(INDEX(DM_NL!$A$5:$A$304,MATCH(ROW()-10,DM_NL!$G$5:$G$304,0)),"")</f>
        <v/>
      </c>
      <c r="C177" s="35" t="str">
        <f>IF(B177="","",INDEX(DM_NL!$B$5:$B$304,MATCH(B177,DM_NL!$A$5:$A$304,0)))</f>
        <v/>
      </c>
      <c r="D177" s="35" t="str">
        <f>IF(B177="","",INDEX(DM_NL!$C$5:$C$304,MATCH(B177,DM_NL!$A$5:$A$304,0)))</f>
        <v/>
      </c>
      <c r="E177" s="39" t="str">
        <f>IF($B177="","",SUMIFS(Kho_NL!$B$5:$B$304,Kho_NL!$A$5:$A$304,$B177))</f>
        <v/>
      </c>
      <c r="F177" s="39" t="str">
        <f>IF($B177="","",SUMIFS(Kho_NL!$C$5:$C$304,Kho_NL!$A$5:$A$304,$B177))</f>
        <v/>
      </c>
      <c r="G177" s="39" t="str">
        <f>IF($B177="","",SUMIFS(Kho_NL!$D$5:$D$304,Kho_NL!$A$5:$A$304,$B177))</f>
        <v/>
      </c>
      <c r="H177" s="39" t="str">
        <f>IF($B177="","",SUMIFS(Kho_NL!$E$5:$E$304,Kho_NL!$A$5:$A$304,$B177))</f>
        <v/>
      </c>
      <c r="I177" s="39" t="str">
        <f>IF($B177="","",SUMIFS(Kho_NL!$F$5:$F$304,Kho_NL!$A$5:$A$304,$B177))</f>
        <v/>
      </c>
      <c r="J177" s="39" t="str">
        <f>IF($B177="","",SUMIFS(Kho_NL!$G$5:$G$304,Kho_NL!$A$5:$A$304,$B177))</f>
        <v/>
      </c>
      <c r="K177" s="39" t="str">
        <f t="shared" si="11"/>
        <v/>
      </c>
      <c r="L177" s="31" t="str">
        <f>IF($B177="","",IFERROR(INDEX(Kho_NL!$I$5:$I$304,MATCH(B177,Kho_NL!$A$5:$A$304,0))&amp;"",""))</f>
        <v/>
      </c>
      <c r="M177" s="44" t="str">
        <f>IF($B177="","",SUMIFS(Kho_NL!$H$5:$H$304,Kho_NL!$A$5:$A$304,$B177))</f>
        <v/>
      </c>
      <c r="N177" s="44" t="str">
        <f t="shared" si="12"/>
        <v/>
      </c>
      <c r="O177" s="45" t="str">
        <f t="shared" si="13"/>
        <v/>
      </c>
      <c r="P177" s="44" t="str">
        <f>IF($B177="","",SUMIFS(TK_Nhap!$E$5:$E$1004,TK_Nhap!$D$5:$D$1004,$B177,TK_Nhap!$H$5:$H$1004,1))</f>
        <v/>
      </c>
      <c r="Q177" s="44" t="str">
        <f t="shared" si="14"/>
        <v/>
      </c>
    </row>
    <row r="178" spans="1:17" x14ac:dyDescent="0.25">
      <c r="A178" s="36" t="str">
        <f t="shared" si="10"/>
        <v/>
      </c>
      <c r="B178" s="35" t="str">
        <f>IFERROR(INDEX(DM_NL!$A$5:$A$304,MATCH(ROW()-10,DM_NL!$G$5:$G$304,0)),"")</f>
        <v/>
      </c>
      <c r="C178" s="35" t="str">
        <f>IF(B178="","",INDEX(DM_NL!$B$5:$B$304,MATCH(B178,DM_NL!$A$5:$A$304,0)))</f>
        <v/>
      </c>
      <c r="D178" s="35" t="str">
        <f>IF(B178="","",INDEX(DM_NL!$C$5:$C$304,MATCH(B178,DM_NL!$A$5:$A$304,0)))</f>
        <v/>
      </c>
      <c r="E178" s="39" t="str">
        <f>IF($B178="","",SUMIFS(Kho_NL!$B$5:$B$304,Kho_NL!$A$5:$A$304,$B178))</f>
        <v/>
      </c>
      <c r="F178" s="39" t="str">
        <f>IF($B178="","",SUMIFS(Kho_NL!$C$5:$C$304,Kho_NL!$A$5:$A$304,$B178))</f>
        <v/>
      </c>
      <c r="G178" s="39" t="str">
        <f>IF($B178="","",SUMIFS(Kho_NL!$D$5:$D$304,Kho_NL!$A$5:$A$304,$B178))</f>
        <v/>
      </c>
      <c r="H178" s="39" t="str">
        <f>IF($B178="","",SUMIFS(Kho_NL!$E$5:$E$304,Kho_NL!$A$5:$A$304,$B178))</f>
        <v/>
      </c>
      <c r="I178" s="39" t="str">
        <f>IF($B178="","",SUMIFS(Kho_NL!$F$5:$F$304,Kho_NL!$A$5:$A$304,$B178))</f>
        <v/>
      </c>
      <c r="J178" s="39" t="str">
        <f>IF($B178="","",SUMIFS(Kho_NL!$G$5:$G$304,Kho_NL!$A$5:$A$304,$B178))</f>
        <v/>
      </c>
      <c r="K178" s="39" t="str">
        <f t="shared" si="11"/>
        <v/>
      </c>
      <c r="L178" s="31" t="str">
        <f>IF($B178="","",IFERROR(INDEX(Kho_NL!$I$5:$I$304,MATCH(B178,Kho_NL!$A$5:$A$304,0))&amp;"",""))</f>
        <v/>
      </c>
      <c r="M178" s="44" t="str">
        <f>IF($B178="","",SUMIFS(Kho_NL!$H$5:$H$304,Kho_NL!$A$5:$A$304,$B178))</f>
        <v/>
      </c>
      <c r="N178" s="44" t="str">
        <f t="shared" si="12"/>
        <v/>
      </c>
      <c r="O178" s="45" t="str">
        <f t="shared" si="13"/>
        <v/>
      </c>
      <c r="P178" s="44" t="str">
        <f>IF($B178="","",SUMIFS(TK_Nhap!$E$5:$E$1004,TK_Nhap!$D$5:$D$1004,$B178,TK_Nhap!$H$5:$H$1004,1))</f>
        <v/>
      </c>
      <c r="Q178" s="44" t="str">
        <f t="shared" si="14"/>
        <v/>
      </c>
    </row>
    <row r="179" spans="1:17" x14ac:dyDescent="0.25">
      <c r="A179" s="36" t="str">
        <f t="shared" si="10"/>
        <v/>
      </c>
      <c r="B179" s="35" t="str">
        <f>IFERROR(INDEX(DM_NL!$A$5:$A$304,MATCH(ROW()-10,DM_NL!$G$5:$G$304,0)),"")</f>
        <v/>
      </c>
      <c r="C179" s="35" t="str">
        <f>IF(B179="","",INDEX(DM_NL!$B$5:$B$304,MATCH(B179,DM_NL!$A$5:$A$304,0)))</f>
        <v/>
      </c>
      <c r="D179" s="35" t="str">
        <f>IF(B179="","",INDEX(DM_NL!$C$5:$C$304,MATCH(B179,DM_NL!$A$5:$A$304,0)))</f>
        <v/>
      </c>
      <c r="E179" s="39" t="str">
        <f>IF($B179="","",SUMIFS(Kho_NL!$B$5:$B$304,Kho_NL!$A$5:$A$304,$B179))</f>
        <v/>
      </c>
      <c r="F179" s="39" t="str">
        <f>IF($B179="","",SUMIFS(Kho_NL!$C$5:$C$304,Kho_NL!$A$5:$A$304,$B179))</f>
        <v/>
      </c>
      <c r="G179" s="39" t="str">
        <f>IF($B179="","",SUMIFS(Kho_NL!$D$5:$D$304,Kho_NL!$A$5:$A$304,$B179))</f>
        <v/>
      </c>
      <c r="H179" s="39" t="str">
        <f>IF($B179="","",SUMIFS(Kho_NL!$E$5:$E$304,Kho_NL!$A$5:$A$304,$B179))</f>
        <v/>
      </c>
      <c r="I179" s="39" t="str">
        <f>IF($B179="","",SUMIFS(Kho_NL!$F$5:$F$304,Kho_NL!$A$5:$A$304,$B179))</f>
        <v/>
      </c>
      <c r="J179" s="39" t="str">
        <f>IF($B179="","",SUMIFS(Kho_NL!$G$5:$G$304,Kho_NL!$A$5:$A$304,$B179))</f>
        <v/>
      </c>
      <c r="K179" s="39" t="str">
        <f t="shared" si="11"/>
        <v/>
      </c>
      <c r="L179" s="31" t="str">
        <f>IF($B179="","",IFERROR(INDEX(Kho_NL!$I$5:$I$304,MATCH(B179,Kho_NL!$A$5:$A$304,0))&amp;"",""))</f>
        <v/>
      </c>
      <c r="M179" s="44" t="str">
        <f>IF($B179="","",SUMIFS(Kho_NL!$H$5:$H$304,Kho_NL!$A$5:$A$304,$B179))</f>
        <v/>
      </c>
      <c r="N179" s="44" t="str">
        <f t="shared" si="12"/>
        <v/>
      </c>
      <c r="O179" s="45" t="str">
        <f t="shared" si="13"/>
        <v/>
      </c>
      <c r="P179" s="44" t="str">
        <f>IF($B179="","",SUMIFS(TK_Nhap!$E$5:$E$1004,TK_Nhap!$D$5:$D$1004,$B179,TK_Nhap!$H$5:$H$1004,1))</f>
        <v/>
      </c>
      <c r="Q179" s="44" t="str">
        <f t="shared" si="14"/>
        <v/>
      </c>
    </row>
    <row r="180" spans="1:17" x14ac:dyDescent="0.25">
      <c r="A180" s="36" t="str">
        <f t="shared" si="10"/>
        <v/>
      </c>
      <c r="B180" s="35" t="str">
        <f>IFERROR(INDEX(DM_NL!$A$5:$A$304,MATCH(ROW()-10,DM_NL!$G$5:$G$304,0)),"")</f>
        <v/>
      </c>
      <c r="C180" s="35" t="str">
        <f>IF(B180="","",INDEX(DM_NL!$B$5:$B$304,MATCH(B180,DM_NL!$A$5:$A$304,0)))</f>
        <v/>
      </c>
      <c r="D180" s="35" t="str">
        <f>IF(B180="","",INDEX(DM_NL!$C$5:$C$304,MATCH(B180,DM_NL!$A$5:$A$304,0)))</f>
        <v/>
      </c>
      <c r="E180" s="39" t="str">
        <f>IF($B180="","",SUMIFS(Kho_NL!$B$5:$B$304,Kho_NL!$A$5:$A$304,$B180))</f>
        <v/>
      </c>
      <c r="F180" s="39" t="str">
        <f>IF($B180="","",SUMIFS(Kho_NL!$C$5:$C$304,Kho_NL!$A$5:$A$304,$B180))</f>
        <v/>
      </c>
      <c r="G180" s="39" t="str">
        <f>IF($B180="","",SUMIFS(Kho_NL!$D$5:$D$304,Kho_NL!$A$5:$A$304,$B180))</f>
        <v/>
      </c>
      <c r="H180" s="39" t="str">
        <f>IF($B180="","",SUMIFS(Kho_NL!$E$5:$E$304,Kho_NL!$A$5:$A$304,$B180))</f>
        <v/>
      </c>
      <c r="I180" s="39" t="str">
        <f>IF($B180="","",SUMIFS(Kho_NL!$F$5:$F$304,Kho_NL!$A$5:$A$304,$B180))</f>
        <v/>
      </c>
      <c r="J180" s="39" t="str">
        <f>IF($B180="","",SUMIFS(Kho_NL!$G$5:$G$304,Kho_NL!$A$5:$A$304,$B180))</f>
        <v/>
      </c>
      <c r="K180" s="39" t="str">
        <f t="shared" si="11"/>
        <v/>
      </c>
      <c r="L180" s="31" t="str">
        <f>IF($B180="","",IFERROR(INDEX(Kho_NL!$I$5:$I$304,MATCH(B180,Kho_NL!$A$5:$A$304,0))&amp;"",""))</f>
        <v/>
      </c>
      <c r="M180" s="44" t="str">
        <f>IF($B180="","",SUMIFS(Kho_NL!$H$5:$H$304,Kho_NL!$A$5:$A$304,$B180))</f>
        <v/>
      </c>
      <c r="N180" s="44" t="str">
        <f t="shared" si="12"/>
        <v/>
      </c>
      <c r="O180" s="45" t="str">
        <f t="shared" si="13"/>
        <v/>
      </c>
      <c r="P180" s="44" t="str">
        <f>IF($B180="","",SUMIFS(TK_Nhap!$E$5:$E$1004,TK_Nhap!$D$5:$D$1004,$B180,TK_Nhap!$H$5:$H$1004,1))</f>
        <v/>
      </c>
      <c r="Q180" s="44" t="str">
        <f t="shared" si="14"/>
        <v/>
      </c>
    </row>
    <row r="181" spans="1:17" x14ac:dyDescent="0.25">
      <c r="A181" s="36" t="str">
        <f t="shared" si="10"/>
        <v/>
      </c>
      <c r="B181" s="35" t="str">
        <f>IFERROR(INDEX(DM_NL!$A$5:$A$304,MATCH(ROW()-10,DM_NL!$G$5:$G$304,0)),"")</f>
        <v/>
      </c>
      <c r="C181" s="35" t="str">
        <f>IF(B181="","",INDEX(DM_NL!$B$5:$B$304,MATCH(B181,DM_NL!$A$5:$A$304,0)))</f>
        <v/>
      </c>
      <c r="D181" s="35" t="str">
        <f>IF(B181="","",INDEX(DM_NL!$C$5:$C$304,MATCH(B181,DM_NL!$A$5:$A$304,0)))</f>
        <v/>
      </c>
      <c r="E181" s="39" t="str">
        <f>IF($B181="","",SUMIFS(Kho_NL!$B$5:$B$304,Kho_NL!$A$5:$A$304,$B181))</f>
        <v/>
      </c>
      <c r="F181" s="39" t="str">
        <f>IF($B181="","",SUMIFS(Kho_NL!$C$5:$C$304,Kho_NL!$A$5:$A$304,$B181))</f>
        <v/>
      </c>
      <c r="G181" s="39" t="str">
        <f>IF($B181="","",SUMIFS(Kho_NL!$D$5:$D$304,Kho_NL!$A$5:$A$304,$B181))</f>
        <v/>
      </c>
      <c r="H181" s="39" t="str">
        <f>IF($B181="","",SUMIFS(Kho_NL!$E$5:$E$304,Kho_NL!$A$5:$A$304,$B181))</f>
        <v/>
      </c>
      <c r="I181" s="39" t="str">
        <f>IF($B181="","",SUMIFS(Kho_NL!$F$5:$F$304,Kho_NL!$A$5:$A$304,$B181))</f>
        <v/>
      </c>
      <c r="J181" s="39" t="str">
        <f>IF($B181="","",SUMIFS(Kho_NL!$G$5:$G$304,Kho_NL!$A$5:$A$304,$B181))</f>
        <v/>
      </c>
      <c r="K181" s="39" t="str">
        <f t="shared" si="11"/>
        <v/>
      </c>
      <c r="L181" s="31" t="str">
        <f>IF($B181="","",IFERROR(INDEX(Kho_NL!$I$5:$I$304,MATCH(B181,Kho_NL!$A$5:$A$304,0))&amp;"",""))</f>
        <v/>
      </c>
      <c r="M181" s="44" t="str">
        <f>IF($B181="","",SUMIFS(Kho_NL!$H$5:$H$304,Kho_NL!$A$5:$A$304,$B181))</f>
        <v/>
      </c>
      <c r="N181" s="44" t="str">
        <f t="shared" si="12"/>
        <v/>
      </c>
      <c r="O181" s="45" t="str">
        <f t="shared" si="13"/>
        <v/>
      </c>
      <c r="P181" s="44" t="str">
        <f>IF($B181="","",SUMIFS(TK_Nhap!$E$5:$E$1004,TK_Nhap!$D$5:$D$1004,$B181,TK_Nhap!$H$5:$H$1004,1))</f>
        <v/>
      </c>
      <c r="Q181" s="44" t="str">
        <f t="shared" si="14"/>
        <v/>
      </c>
    </row>
    <row r="182" spans="1:17" x14ac:dyDescent="0.25">
      <c r="A182" s="36" t="str">
        <f t="shared" si="10"/>
        <v/>
      </c>
      <c r="B182" s="35" t="str">
        <f>IFERROR(INDEX(DM_NL!$A$5:$A$304,MATCH(ROW()-10,DM_NL!$G$5:$G$304,0)),"")</f>
        <v/>
      </c>
      <c r="C182" s="35" t="str">
        <f>IF(B182="","",INDEX(DM_NL!$B$5:$B$304,MATCH(B182,DM_NL!$A$5:$A$304,0)))</f>
        <v/>
      </c>
      <c r="D182" s="35" t="str">
        <f>IF(B182="","",INDEX(DM_NL!$C$5:$C$304,MATCH(B182,DM_NL!$A$5:$A$304,0)))</f>
        <v/>
      </c>
      <c r="E182" s="39" t="str">
        <f>IF($B182="","",SUMIFS(Kho_NL!$B$5:$B$304,Kho_NL!$A$5:$A$304,$B182))</f>
        <v/>
      </c>
      <c r="F182" s="39" t="str">
        <f>IF($B182="","",SUMIFS(Kho_NL!$C$5:$C$304,Kho_NL!$A$5:$A$304,$B182))</f>
        <v/>
      </c>
      <c r="G182" s="39" t="str">
        <f>IF($B182="","",SUMIFS(Kho_NL!$D$5:$D$304,Kho_NL!$A$5:$A$304,$B182))</f>
        <v/>
      </c>
      <c r="H182" s="39" t="str">
        <f>IF($B182="","",SUMIFS(Kho_NL!$E$5:$E$304,Kho_NL!$A$5:$A$304,$B182))</f>
        <v/>
      </c>
      <c r="I182" s="39" t="str">
        <f>IF($B182="","",SUMIFS(Kho_NL!$F$5:$F$304,Kho_NL!$A$5:$A$304,$B182))</f>
        <v/>
      </c>
      <c r="J182" s="39" t="str">
        <f>IF($B182="","",SUMIFS(Kho_NL!$G$5:$G$304,Kho_NL!$A$5:$A$304,$B182))</f>
        <v/>
      </c>
      <c r="K182" s="39" t="str">
        <f t="shared" si="11"/>
        <v/>
      </c>
      <c r="L182" s="31" t="str">
        <f>IF($B182="","",IFERROR(INDEX(Kho_NL!$I$5:$I$304,MATCH(B182,Kho_NL!$A$5:$A$304,0))&amp;"",""))</f>
        <v/>
      </c>
      <c r="M182" s="44" t="str">
        <f>IF($B182="","",SUMIFS(Kho_NL!$H$5:$H$304,Kho_NL!$A$5:$A$304,$B182))</f>
        <v/>
      </c>
      <c r="N182" s="44" t="str">
        <f t="shared" si="12"/>
        <v/>
      </c>
      <c r="O182" s="45" t="str">
        <f t="shared" si="13"/>
        <v/>
      </c>
      <c r="P182" s="44" t="str">
        <f>IF($B182="","",SUMIFS(TK_Nhap!$E$5:$E$1004,TK_Nhap!$D$5:$D$1004,$B182,TK_Nhap!$H$5:$H$1004,1))</f>
        <v/>
      </c>
      <c r="Q182" s="44" t="str">
        <f t="shared" si="14"/>
        <v/>
      </c>
    </row>
    <row r="183" spans="1:17" x14ac:dyDescent="0.25">
      <c r="A183" s="36" t="str">
        <f t="shared" si="10"/>
        <v/>
      </c>
      <c r="B183" s="35" t="str">
        <f>IFERROR(INDEX(DM_NL!$A$5:$A$304,MATCH(ROW()-10,DM_NL!$G$5:$G$304,0)),"")</f>
        <v/>
      </c>
      <c r="C183" s="35" t="str">
        <f>IF(B183="","",INDEX(DM_NL!$B$5:$B$304,MATCH(B183,DM_NL!$A$5:$A$304,0)))</f>
        <v/>
      </c>
      <c r="D183" s="35" t="str">
        <f>IF(B183="","",INDEX(DM_NL!$C$5:$C$304,MATCH(B183,DM_NL!$A$5:$A$304,0)))</f>
        <v/>
      </c>
      <c r="E183" s="39" t="str">
        <f>IF($B183="","",SUMIFS(Kho_NL!$B$5:$B$304,Kho_NL!$A$5:$A$304,$B183))</f>
        <v/>
      </c>
      <c r="F183" s="39" t="str">
        <f>IF($B183="","",SUMIFS(Kho_NL!$C$5:$C$304,Kho_NL!$A$5:$A$304,$B183))</f>
        <v/>
      </c>
      <c r="G183" s="39" t="str">
        <f>IF($B183="","",SUMIFS(Kho_NL!$D$5:$D$304,Kho_NL!$A$5:$A$304,$B183))</f>
        <v/>
      </c>
      <c r="H183" s="39" t="str">
        <f>IF($B183="","",SUMIFS(Kho_NL!$E$5:$E$304,Kho_NL!$A$5:$A$304,$B183))</f>
        <v/>
      </c>
      <c r="I183" s="39" t="str">
        <f>IF($B183="","",SUMIFS(Kho_NL!$F$5:$F$304,Kho_NL!$A$5:$A$304,$B183))</f>
        <v/>
      </c>
      <c r="J183" s="39" t="str">
        <f>IF($B183="","",SUMIFS(Kho_NL!$G$5:$G$304,Kho_NL!$A$5:$A$304,$B183))</f>
        <v/>
      </c>
      <c r="K183" s="39" t="str">
        <f t="shared" si="11"/>
        <v/>
      </c>
      <c r="L183" s="31" t="str">
        <f>IF($B183="","",IFERROR(INDEX(Kho_NL!$I$5:$I$304,MATCH(B183,Kho_NL!$A$5:$A$304,0))&amp;"",""))</f>
        <v/>
      </c>
      <c r="M183" s="44" t="str">
        <f>IF($B183="","",SUMIFS(Kho_NL!$H$5:$H$304,Kho_NL!$A$5:$A$304,$B183))</f>
        <v/>
      </c>
      <c r="N183" s="44" t="str">
        <f t="shared" si="12"/>
        <v/>
      </c>
      <c r="O183" s="45" t="str">
        <f t="shared" si="13"/>
        <v/>
      </c>
      <c r="P183" s="44" t="str">
        <f>IF($B183="","",SUMIFS(TK_Nhap!$E$5:$E$1004,TK_Nhap!$D$5:$D$1004,$B183,TK_Nhap!$H$5:$H$1004,1))</f>
        <v/>
      </c>
      <c r="Q183" s="44" t="str">
        <f t="shared" si="14"/>
        <v/>
      </c>
    </row>
    <row r="184" spans="1:17" x14ac:dyDescent="0.25">
      <c r="A184" s="36" t="str">
        <f t="shared" si="10"/>
        <v/>
      </c>
      <c r="B184" s="35" t="str">
        <f>IFERROR(INDEX(DM_NL!$A$5:$A$304,MATCH(ROW()-10,DM_NL!$G$5:$G$304,0)),"")</f>
        <v/>
      </c>
      <c r="C184" s="35" t="str">
        <f>IF(B184="","",INDEX(DM_NL!$B$5:$B$304,MATCH(B184,DM_NL!$A$5:$A$304,0)))</f>
        <v/>
      </c>
      <c r="D184" s="35" t="str">
        <f>IF(B184="","",INDEX(DM_NL!$C$5:$C$304,MATCH(B184,DM_NL!$A$5:$A$304,0)))</f>
        <v/>
      </c>
      <c r="E184" s="39" t="str">
        <f>IF($B184="","",SUMIFS(Kho_NL!$B$5:$B$304,Kho_NL!$A$5:$A$304,$B184))</f>
        <v/>
      </c>
      <c r="F184" s="39" t="str">
        <f>IF($B184="","",SUMIFS(Kho_NL!$C$5:$C$304,Kho_NL!$A$5:$A$304,$B184))</f>
        <v/>
      </c>
      <c r="G184" s="39" t="str">
        <f>IF($B184="","",SUMIFS(Kho_NL!$D$5:$D$304,Kho_NL!$A$5:$A$304,$B184))</f>
        <v/>
      </c>
      <c r="H184" s="39" t="str">
        <f>IF($B184="","",SUMIFS(Kho_NL!$E$5:$E$304,Kho_NL!$A$5:$A$304,$B184))</f>
        <v/>
      </c>
      <c r="I184" s="39" t="str">
        <f>IF($B184="","",SUMIFS(Kho_NL!$F$5:$F$304,Kho_NL!$A$5:$A$304,$B184))</f>
        <v/>
      </c>
      <c r="J184" s="39" t="str">
        <f>IF($B184="","",SUMIFS(Kho_NL!$G$5:$G$304,Kho_NL!$A$5:$A$304,$B184))</f>
        <v/>
      </c>
      <c r="K184" s="39" t="str">
        <f t="shared" si="11"/>
        <v/>
      </c>
      <c r="L184" s="31" t="str">
        <f>IF($B184="","",IFERROR(INDEX(Kho_NL!$I$5:$I$304,MATCH(B184,Kho_NL!$A$5:$A$304,0))&amp;"",""))</f>
        <v/>
      </c>
      <c r="M184" s="44" t="str">
        <f>IF($B184="","",SUMIFS(Kho_NL!$H$5:$H$304,Kho_NL!$A$5:$A$304,$B184))</f>
        <v/>
      </c>
      <c r="N184" s="44" t="str">
        <f t="shared" si="12"/>
        <v/>
      </c>
      <c r="O184" s="45" t="str">
        <f t="shared" si="13"/>
        <v/>
      </c>
      <c r="P184" s="44" t="str">
        <f>IF($B184="","",SUMIFS(TK_Nhap!$E$5:$E$1004,TK_Nhap!$D$5:$D$1004,$B184,TK_Nhap!$H$5:$H$1004,1))</f>
        <v/>
      </c>
      <c r="Q184" s="44" t="str">
        <f t="shared" si="14"/>
        <v/>
      </c>
    </row>
    <row r="185" spans="1:17" x14ac:dyDescent="0.25">
      <c r="A185" s="36" t="str">
        <f t="shared" si="10"/>
        <v/>
      </c>
      <c r="B185" s="35" t="str">
        <f>IFERROR(INDEX(DM_NL!$A$5:$A$304,MATCH(ROW()-10,DM_NL!$G$5:$G$304,0)),"")</f>
        <v/>
      </c>
      <c r="C185" s="35" t="str">
        <f>IF(B185="","",INDEX(DM_NL!$B$5:$B$304,MATCH(B185,DM_NL!$A$5:$A$304,0)))</f>
        <v/>
      </c>
      <c r="D185" s="35" t="str">
        <f>IF(B185="","",INDEX(DM_NL!$C$5:$C$304,MATCH(B185,DM_NL!$A$5:$A$304,0)))</f>
        <v/>
      </c>
      <c r="E185" s="39" t="str">
        <f>IF($B185="","",SUMIFS(Kho_NL!$B$5:$B$304,Kho_NL!$A$5:$A$304,$B185))</f>
        <v/>
      </c>
      <c r="F185" s="39" t="str">
        <f>IF($B185="","",SUMIFS(Kho_NL!$C$5:$C$304,Kho_NL!$A$5:$A$304,$B185))</f>
        <v/>
      </c>
      <c r="G185" s="39" t="str">
        <f>IF($B185="","",SUMIFS(Kho_NL!$D$5:$D$304,Kho_NL!$A$5:$A$304,$B185))</f>
        <v/>
      </c>
      <c r="H185" s="39" t="str">
        <f>IF($B185="","",SUMIFS(Kho_NL!$E$5:$E$304,Kho_NL!$A$5:$A$304,$B185))</f>
        <v/>
      </c>
      <c r="I185" s="39" t="str">
        <f>IF($B185="","",SUMIFS(Kho_NL!$F$5:$F$304,Kho_NL!$A$5:$A$304,$B185))</f>
        <v/>
      </c>
      <c r="J185" s="39" t="str">
        <f>IF($B185="","",SUMIFS(Kho_NL!$G$5:$G$304,Kho_NL!$A$5:$A$304,$B185))</f>
        <v/>
      </c>
      <c r="K185" s="39" t="str">
        <f t="shared" si="11"/>
        <v/>
      </c>
      <c r="L185" s="31" t="str">
        <f>IF($B185="","",IFERROR(INDEX(Kho_NL!$I$5:$I$304,MATCH(B185,Kho_NL!$A$5:$A$304,0))&amp;"",""))</f>
        <v/>
      </c>
      <c r="M185" s="44" t="str">
        <f>IF($B185="","",SUMIFS(Kho_NL!$H$5:$H$304,Kho_NL!$A$5:$A$304,$B185))</f>
        <v/>
      </c>
      <c r="N185" s="44" t="str">
        <f t="shared" si="12"/>
        <v/>
      </c>
      <c r="O185" s="45" t="str">
        <f t="shared" si="13"/>
        <v/>
      </c>
      <c r="P185" s="44" t="str">
        <f>IF($B185="","",SUMIFS(TK_Nhap!$E$5:$E$1004,TK_Nhap!$D$5:$D$1004,$B185,TK_Nhap!$H$5:$H$1004,1))</f>
        <v/>
      </c>
      <c r="Q185" s="44" t="str">
        <f t="shared" si="14"/>
        <v/>
      </c>
    </row>
    <row r="186" spans="1:17" x14ac:dyDescent="0.25">
      <c r="A186" s="36" t="str">
        <f t="shared" si="10"/>
        <v/>
      </c>
      <c r="B186" s="35" t="str">
        <f>IFERROR(INDEX(DM_NL!$A$5:$A$304,MATCH(ROW()-10,DM_NL!$G$5:$G$304,0)),"")</f>
        <v/>
      </c>
      <c r="C186" s="35" t="str">
        <f>IF(B186="","",INDEX(DM_NL!$B$5:$B$304,MATCH(B186,DM_NL!$A$5:$A$304,0)))</f>
        <v/>
      </c>
      <c r="D186" s="35" t="str">
        <f>IF(B186="","",INDEX(DM_NL!$C$5:$C$304,MATCH(B186,DM_NL!$A$5:$A$304,0)))</f>
        <v/>
      </c>
      <c r="E186" s="39" t="str">
        <f>IF($B186="","",SUMIFS(Kho_NL!$B$5:$B$304,Kho_NL!$A$5:$A$304,$B186))</f>
        <v/>
      </c>
      <c r="F186" s="39" t="str">
        <f>IF($B186="","",SUMIFS(Kho_NL!$C$5:$C$304,Kho_NL!$A$5:$A$304,$B186))</f>
        <v/>
      </c>
      <c r="G186" s="39" t="str">
        <f>IF($B186="","",SUMIFS(Kho_NL!$D$5:$D$304,Kho_NL!$A$5:$A$304,$B186))</f>
        <v/>
      </c>
      <c r="H186" s="39" t="str">
        <f>IF($B186="","",SUMIFS(Kho_NL!$E$5:$E$304,Kho_NL!$A$5:$A$304,$B186))</f>
        <v/>
      </c>
      <c r="I186" s="39" t="str">
        <f>IF($B186="","",SUMIFS(Kho_NL!$F$5:$F$304,Kho_NL!$A$5:$A$304,$B186))</f>
        <v/>
      </c>
      <c r="J186" s="39" t="str">
        <f>IF($B186="","",SUMIFS(Kho_NL!$G$5:$G$304,Kho_NL!$A$5:$A$304,$B186))</f>
        <v/>
      </c>
      <c r="K186" s="39" t="str">
        <f t="shared" si="11"/>
        <v/>
      </c>
      <c r="L186" s="31" t="str">
        <f>IF($B186="","",IFERROR(INDEX(Kho_NL!$I$5:$I$304,MATCH(B186,Kho_NL!$A$5:$A$304,0))&amp;"",""))</f>
        <v/>
      </c>
      <c r="M186" s="44" t="str">
        <f>IF($B186="","",SUMIFS(Kho_NL!$H$5:$H$304,Kho_NL!$A$5:$A$304,$B186))</f>
        <v/>
      </c>
      <c r="N186" s="44" t="str">
        <f t="shared" si="12"/>
        <v/>
      </c>
      <c r="O186" s="45" t="str">
        <f t="shared" si="13"/>
        <v/>
      </c>
      <c r="P186" s="44" t="str">
        <f>IF($B186="","",SUMIFS(TK_Nhap!$E$5:$E$1004,TK_Nhap!$D$5:$D$1004,$B186,TK_Nhap!$H$5:$H$1004,1))</f>
        <v/>
      </c>
      <c r="Q186" s="44" t="str">
        <f t="shared" si="14"/>
        <v/>
      </c>
    </row>
    <row r="187" spans="1:17" x14ac:dyDescent="0.25">
      <c r="A187" s="36" t="str">
        <f t="shared" si="10"/>
        <v/>
      </c>
      <c r="B187" s="35" t="str">
        <f>IFERROR(INDEX(DM_NL!$A$5:$A$304,MATCH(ROW()-10,DM_NL!$G$5:$G$304,0)),"")</f>
        <v/>
      </c>
      <c r="C187" s="35" t="str">
        <f>IF(B187="","",INDEX(DM_NL!$B$5:$B$304,MATCH(B187,DM_NL!$A$5:$A$304,0)))</f>
        <v/>
      </c>
      <c r="D187" s="35" t="str">
        <f>IF(B187="","",INDEX(DM_NL!$C$5:$C$304,MATCH(B187,DM_NL!$A$5:$A$304,0)))</f>
        <v/>
      </c>
      <c r="E187" s="39" t="str">
        <f>IF($B187="","",SUMIFS(Kho_NL!$B$5:$B$304,Kho_NL!$A$5:$A$304,$B187))</f>
        <v/>
      </c>
      <c r="F187" s="39" t="str">
        <f>IF($B187="","",SUMIFS(Kho_NL!$C$5:$C$304,Kho_NL!$A$5:$A$304,$B187))</f>
        <v/>
      </c>
      <c r="G187" s="39" t="str">
        <f>IF($B187="","",SUMIFS(Kho_NL!$D$5:$D$304,Kho_NL!$A$5:$A$304,$B187))</f>
        <v/>
      </c>
      <c r="H187" s="39" t="str">
        <f>IF($B187="","",SUMIFS(Kho_NL!$E$5:$E$304,Kho_NL!$A$5:$A$304,$B187))</f>
        <v/>
      </c>
      <c r="I187" s="39" t="str">
        <f>IF($B187="","",SUMIFS(Kho_NL!$F$5:$F$304,Kho_NL!$A$5:$A$304,$B187))</f>
        <v/>
      </c>
      <c r="J187" s="39" t="str">
        <f>IF($B187="","",SUMIFS(Kho_NL!$G$5:$G$304,Kho_NL!$A$5:$A$304,$B187))</f>
        <v/>
      </c>
      <c r="K187" s="39" t="str">
        <f t="shared" si="11"/>
        <v/>
      </c>
      <c r="L187" s="31" t="str">
        <f>IF($B187="","",IFERROR(INDEX(Kho_NL!$I$5:$I$304,MATCH(B187,Kho_NL!$A$5:$A$304,0))&amp;"",""))</f>
        <v/>
      </c>
      <c r="M187" s="44" t="str">
        <f>IF($B187="","",SUMIFS(Kho_NL!$H$5:$H$304,Kho_NL!$A$5:$A$304,$B187))</f>
        <v/>
      </c>
      <c r="N187" s="44" t="str">
        <f t="shared" si="12"/>
        <v/>
      </c>
      <c r="O187" s="45" t="str">
        <f t="shared" si="13"/>
        <v/>
      </c>
      <c r="P187" s="44" t="str">
        <f>IF($B187="","",SUMIFS(TK_Nhap!$E$5:$E$1004,TK_Nhap!$D$5:$D$1004,$B187,TK_Nhap!$H$5:$H$1004,1))</f>
        <v/>
      </c>
      <c r="Q187" s="44" t="str">
        <f t="shared" si="14"/>
        <v/>
      </c>
    </row>
    <row r="188" spans="1:17" x14ac:dyDescent="0.25">
      <c r="A188" s="36" t="str">
        <f t="shared" si="10"/>
        <v/>
      </c>
      <c r="B188" s="35" t="str">
        <f>IFERROR(INDEX(DM_NL!$A$5:$A$304,MATCH(ROW()-10,DM_NL!$G$5:$G$304,0)),"")</f>
        <v/>
      </c>
      <c r="C188" s="35" t="str">
        <f>IF(B188="","",INDEX(DM_NL!$B$5:$B$304,MATCH(B188,DM_NL!$A$5:$A$304,0)))</f>
        <v/>
      </c>
      <c r="D188" s="35" t="str">
        <f>IF(B188="","",INDEX(DM_NL!$C$5:$C$304,MATCH(B188,DM_NL!$A$5:$A$304,0)))</f>
        <v/>
      </c>
      <c r="E188" s="39" t="str">
        <f>IF($B188="","",SUMIFS(Kho_NL!$B$5:$B$304,Kho_NL!$A$5:$A$304,$B188))</f>
        <v/>
      </c>
      <c r="F188" s="39" t="str">
        <f>IF($B188="","",SUMIFS(Kho_NL!$C$5:$C$304,Kho_NL!$A$5:$A$304,$B188))</f>
        <v/>
      </c>
      <c r="G188" s="39" t="str">
        <f>IF($B188="","",SUMIFS(Kho_NL!$D$5:$D$304,Kho_NL!$A$5:$A$304,$B188))</f>
        <v/>
      </c>
      <c r="H188" s="39" t="str">
        <f>IF($B188="","",SUMIFS(Kho_NL!$E$5:$E$304,Kho_NL!$A$5:$A$304,$B188))</f>
        <v/>
      </c>
      <c r="I188" s="39" t="str">
        <f>IF($B188="","",SUMIFS(Kho_NL!$F$5:$F$304,Kho_NL!$A$5:$A$304,$B188))</f>
        <v/>
      </c>
      <c r="J188" s="39" t="str">
        <f>IF($B188="","",SUMIFS(Kho_NL!$G$5:$G$304,Kho_NL!$A$5:$A$304,$B188))</f>
        <v/>
      </c>
      <c r="K188" s="39" t="str">
        <f t="shared" si="11"/>
        <v/>
      </c>
      <c r="L188" s="31" t="str">
        <f>IF($B188="","",IFERROR(INDEX(Kho_NL!$I$5:$I$304,MATCH(B188,Kho_NL!$A$5:$A$304,0))&amp;"",""))</f>
        <v/>
      </c>
      <c r="M188" s="44" t="str">
        <f>IF($B188="","",SUMIFS(Kho_NL!$H$5:$H$304,Kho_NL!$A$5:$A$304,$B188))</f>
        <v/>
      </c>
      <c r="N188" s="44" t="str">
        <f t="shared" si="12"/>
        <v/>
      </c>
      <c r="O188" s="45" t="str">
        <f t="shared" si="13"/>
        <v/>
      </c>
      <c r="P188" s="44" t="str">
        <f>IF($B188="","",SUMIFS(TK_Nhap!$E$5:$E$1004,TK_Nhap!$D$5:$D$1004,$B188,TK_Nhap!$H$5:$H$1004,1))</f>
        <v/>
      </c>
      <c r="Q188" s="44" t="str">
        <f t="shared" si="14"/>
        <v/>
      </c>
    </row>
    <row r="189" spans="1:17" x14ac:dyDescent="0.25">
      <c r="A189" s="36" t="str">
        <f t="shared" si="10"/>
        <v/>
      </c>
      <c r="B189" s="35" t="str">
        <f>IFERROR(INDEX(DM_NL!$A$5:$A$304,MATCH(ROW()-10,DM_NL!$G$5:$G$304,0)),"")</f>
        <v/>
      </c>
      <c r="C189" s="35" t="str">
        <f>IF(B189="","",INDEX(DM_NL!$B$5:$B$304,MATCH(B189,DM_NL!$A$5:$A$304,0)))</f>
        <v/>
      </c>
      <c r="D189" s="35" t="str">
        <f>IF(B189="","",INDEX(DM_NL!$C$5:$C$304,MATCH(B189,DM_NL!$A$5:$A$304,0)))</f>
        <v/>
      </c>
      <c r="E189" s="39" t="str">
        <f>IF($B189="","",SUMIFS(Kho_NL!$B$5:$B$304,Kho_NL!$A$5:$A$304,$B189))</f>
        <v/>
      </c>
      <c r="F189" s="39" t="str">
        <f>IF($B189="","",SUMIFS(Kho_NL!$C$5:$C$304,Kho_NL!$A$5:$A$304,$B189))</f>
        <v/>
      </c>
      <c r="G189" s="39" t="str">
        <f>IF($B189="","",SUMIFS(Kho_NL!$D$5:$D$304,Kho_NL!$A$5:$A$304,$B189))</f>
        <v/>
      </c>
      <c r="H189" s="39" t="str">
        <f>IF($B189="","",SUMIFS(Kho_NL!$E$5:$E$304,Kho_NL!$A$5:$A$304,$B189))</f>
        <v/>
      </c>
      <c r="I189" s="39" t="str">
        <f>IF($B189="","",SUMIFS(Kho_NL!$F$5:$F$304,Kho_NL!$A$5:$A$304,$B189))</f>
        <v/>
      </c>
      <c r="J189" s="39" t="str">
        <f>IF($B189="","",SUMIFS(Kho_NL!$G$5:$G$304,Kho_NL!$A$5:$A$304,$B189))</f>
        <v/>
      </c>
      <c r="K189" s="39" t="str">
        <f t="shared" si="11"/>
        <v/>
      </c>
      <c r="L189" s="31" t="str">
        <f>IF($B189="","",IFERROR(INDEX(Kho_NL!$I$5:$I$304,MATCH(B189,Kho_NL!$A$5:$A$304,0))&amp;"",""))</f>
        <v/>
      </c>
      <c r="M189" s="44" t="str">
        <f>IF($B189="","",SUMIFS(Kho_NL!$H$5:$H$304,Kho_NL!$A$5:$A$304,$B189))</f>
        <v/>
      </c>
      <c r="N189" s="44" t="str">
        <f t="shared" si="12"/>
        <v/>
      </c>
      <c r="O189" s="45" t="str">
        <f t="shared" si="13"/>
        <v/>
      </c>
      <c r="P189" s="44" t="str">
        <f>IF($B189="","",SUMIFS(TK_Nhap!$E$5:$E$1004,TK_Nhap!$D$5:$D$1004,$B189,TK_Nhap!$H$5:$H$1004,1))</f>
        <v/>
      </c>
      <c r="Q189" s="44" t="str">
        <f t="shared" si="14"/>
        <v/>
      </c>
    </row>
    <row r="190" spans="1:17" x14ac:dyDescent="0.25">
      <c r="A190" s="36" t="str">
        <f t="shared" si="10"/>
        <v/>
      </c>
      <c r="B190" s="35" t="str">
        <f>IFERROR(INDEX(DM_NL!$A$5:$A$304,MATCH(ROW()-10,DM_NL!$G$5:$G$304,0)),"")</f>
        <v/>
      </c>
      <c r="C190" s="35" t="str">
        <f>IF(B190="","",INDEX(DM_NL!$B$5:$B$304,MATCH(B190,DM_NL!$A$5:$A$304,0)))</f>
        <v/>
      </c>
      <c r="D190" s="35" t="str">
        <f>IF(B190="","",INDEX(DM_NL!$C$5:$C$304,MATCH(B190,DM_NL!$A$5:$A$304,0)))</f>
        <v/>
      </c>
      <c r="E190" s="39" t="str">
        <f>IF($B190="","",SUMIFS(Kho_NL!$B$5:$B$304,Kho_NL!$A$5:$A$304,$B190))</f>
        <v/>
      </c>
      <c r="F190" s="39" t="str">
        <f>IF($B190="","",SUMIFS(Kho_NL!$C$5:$C$304,Kho_NL!$A$5:$A$304,$B190))</f>
        <v/>
      </c>
      <c r="G190" s="39" t="str">
        <f>IF($B190="","",SUMIFS(Kho_NL!$D$5:$D$304,Kho_NL!$A$5:$A$304,$B190))</f>
        <v/>
      </c>
      <c r="H190" s="39" t="str">
        <f>IF($B190="","",SUMIFS(Kho_NL!$E$5:$E$304,Kho_NL!$A$5:$A$304,$B190))</f>
        <v/>
      </c>
      <c r="I190" s="39" t="str">
        <f>IF($B190="","",SUMIFS(Kho_NL!$F$5:$F$304,Kho_NL!$A$5:$A$304,$B190))</f>
        <v/>
      </c>
      <c r="J190" s="39" t="str">
        <f>IF($B190="","",SUMIFS(Kho_NL!$G$5:$G$304,Kho_NL!$A$5:$A$304,$B190))</f>
        <v/>
      </c>
      <c r="K190" s="39" t="str">
        <f t="shared" si="11"/>
        <v/>
      </c>
      <c r="L190" s="31" t="str">
        <f>IF($B190="","",IFERROR(INDEX(Kho_NL!$I$5:$I$304,MATCH(B190,Kho_NL!$A$5:$A$304,0))&amp;"",""))</f>
        <v/>
      </c>
      <c r="M190" s="44" t="str">
        <f>IF($B190="","",SUMIFS(Kho_NL!$H$5:$H$304,Kho_NL!$A$5:$A$304,$B190))</f>
        <v/>
      </c>
      <c r="N190" s="44" t="str">
        <f t="shared" si="12"/>
        <v/>
      </c>
      <c r="O190" s="45" t="str">
        <f t="shared" si="13"/>
        <v/>
      </c>
      <c r="P190" s="44" t="str">
        <f>IF($B190="","",SUMIFS(TK_Nhap!$E$5:$E$1004,TK_Nhap!$D$5:$D$1004,$B190,TK_Nhap!$H$5:$H$1004,1))</f>
        <v/>
      </c>
      <c r="Q190" s="44" t="str">
        <f t="shared" si="14"/>
        <v/>
      </c>
    </row>
    <row r="191" spans="1:17" x14ac:dyDescent="0.25">
      <c r="A191" s="36" t="str">
        <f t="shared" si="10"/>
        <v/>
      </c>
      <c r="B191" s="35" t="str">
        <f>IFERROR(INDEX(DM_NL!$A$5:$A$304,MATCH(ROW()-10,DM_NL!$G$5:$G$304,0)),"")</f>
        <v/>
      </c>
      <c r="C191" s="35" t="str">
        <f>IF(B191="","",INDEX(DM_NL!$B$5:$B$304,MATCH(B191,DM_NL!$A$5:$A$304,0)))</f>
        <v/>
      </c>
      <c r="D191" s="35" t="str">
        <f>IF(B191="","",INDEX(DM_NL!$C$5:$C$304,MATCH(B191,DM_NL!$A$5:$A$304,0)))</f>
        <v/>
      </c>
      <c r="E191" s="39" t="str">
        <f>IF($B191="","",SUMIFS(Kho_NL!$B$5:$B$304,Kho_NL!$A$5:$A$304,$B191))</f>
        <v/>
      </c>
      <c r="F191" s="39" t="str">
        <f>IF($B191="","",SUMIFS(Kho_NL!$C$5:$C$304,Kho_NL!$A$5:$A$304,$B191))</f>
        <v/>
      </c>
      <c r="G191" s="39" t="str">
        <f>IF($B191="","",SUMIFS(Kho_NL!$D$5:$D$304,Kho_NL!$A$5:$A$304,$B191))</f>
        <v/>
      </c>
      <c r="H191" s="39" t="str">
        <f>IF($B191="","",SUMIFS(Kho_NL!$E$5:$E$304,Kho_NL!$A$5:$A$304,$B191))</f>
        <v/>
      </c>
      <c r="I191" s="39" t="str">
        <f>IF($B191="","",SUMIFS(Kho_NL!$F$5:$F$304,Kho_NL!$A$5:$A$304,$B191))</f>
        <v/>
      </c>
      <c r="J191" s="39" t="str">
        <f>IF($B191="","",SUMIFS(Kho_NL!$G$5:$G$304,Kho_NL!$A$5:$A$304,$B191))</f>
        <v/>
      </c>
      <c r="K191" s="39" t="str">
        <f t="shared" si="11"/>
        <v/>
      </c>
      <c r="L191" s="31" t="str">
        <f>IF($B191="","",IFERROR(INDEX(Kho_NL!$I$5:$I$304,MATCH(B191,Kho_NL!$A$5:$A$304,0))&amp;"",""))</f>
        <v/>
      </c>
      <c r="M191" s="44" t="str">
        <f>IF($B191="","",SUMIFS(Kho_NL!$H$5:$H$304,Kho_NL!$A$5:$A$304,$B191))</f>
        <v/>
      </c>
      <c r="N191" s="44" t="str">
        <f t="shared" si="12"/>
        <v/>
      </c>
      <c r="O191" s="45" t="str">
        <f t="shared" si="13"/>
        <v/>
      </c>
      <c r="P191" s="44" t="str">
        <f>IF($B191="","",SUMIFS(TK_Nhap!$E$5:$E$1004,TK_Nhap!$D$5:$D$1004,$B191,TK_Nhap!$H$5:$H$1004,1))</f>
        <v/>
      </c>
      <c r="Q191" s="44" t="str">
        <f t="shared" si="14"/>
        <v/>
      </c>
    </row>
    <row r="192" spans="1:17" x14ac:dyDescent="0.25">
      <c r="A192" s="36" t="str">
        <f t="shared" si="10"/>
        <v/>
      </c>
      <c r="B192" s="35" t="str">
        <f>IFERROR(INDEX(DM_NL!$A$5:$A$304,MATCH(ROW()-10,DM_NL!$G$5:$G$304,0)),"")</f>
        <v/>
      </c>
      <c r="C192" s="35" t="str">
        <f>IF(B192="","",INDEX(DM_NL!$B$5:$B$304,MATCH(B192,DM_NL!$A$5:$A$304,0)))</f>
        <v/>
      </c>
      <c r="D192" s="35" t="str">
        <f>IF(B192="","",INDEX(DM_NL!$C$5:$C$304,MATCH(B192,DM_NL!$A$5:$A$304,0)))</f>
        <v/>
      </c>
      <c r="E192" s="39" t="str">
        <f>IF($B192="","",SUMIFS(Kho_NL!$B$5:$B$304,Kho_NL!$A$5:$A$304,$B192))</f>
        <v/>
      </c>
      <c r="F192" s="39" t="str">
        <f>IF($B192="","",SUMIFS(Kho_NL!$C$5:$C$304,Kho_NL!$A$5:$A$304,$B192))</f>
        <v/>
      </c>
      <c r="G192" s="39" t="str">
        <f>IF($B192="","",SUMIFS(Kho_NL!$D$5:$D$304,Kho_NL!$A$5:$A$304,$B192))</f>
        <v/>
      </c>
      <c r="H192" s="39" t="str">
        <f>IF($B192="","",SUMIFS(Kho_NL!$E$5:$E$304,Kho_NL!$A$5:$A$304,$B192))</f>
        <v/>
      </c>
      <c r="I192" s="39" t="str">
        <f>IF($B192="","",SUMIFS(Kho_NL!$F$5:$F$304,Kho_NL!$A$5:$A$304,$B192))</f>
        <v/>
      </c>
      <c r="J192" s="39" t="str">
        <f>IF($B192="","",SUMIFS(Kho_NL!$G$5:$G$304,Kho_NL!$A$5:$A$304,$B192))</f>
        <v/>
      </c>
      <c r="K192" s="39" t="str">
        <f t="shared" si="11"/>
        <v/>
      </c>
      <c r="L192" s="31" t="str">
        <f>IF($B192="","",IFERROR(INDEX(Kho_NL!$I$5:$I$304,MATCH(B192,Kho_NL!$A$5:$A$304,0))&amp;"",""))</f>
        <v/>
      </c>
      <c r="M192" s="44" t="str">
        <f>IF($B192="","",SUMIFS(Kho_NL!$H$5:$H$304,Kho_NL!$A$5:$A$304,$B192))</f>
        <v/>
      </c>
      <c r="N192" s="44" t="str">
        <f t="shared" si="12"/>
        <v/>
      </c>
      <c r="O192" s="45" t="str">
        <f t="shared" si="13"/>
        <v/>
      </c>
      <c r="P192" s="44" t="str">
        <f>IF($B192="","",SUMIFS(TK_Nhap!$E$5:$E$1004,TK_Nhap!$D$5:$D$1004,$B192,TK_Nhap!$H$5:$H$1004,1))</f>
        <v/>
      </c>
      <c r="Q192" s="44" t="str">
        <f t="shared" si="14"/>
        <v/>
      </c>
    </row>
    <row r="193" spans="1:17" x14ac:dyDescent="0.25">
      <c r="A193" s="36" t="str">
        <f t="shared" si="10"/>
        <v/>
      </c>
      <c r="B193" s="35" t="str">
        <f>IFERROR(INDEX(DM_NL!$A$5:$A$304,MATCH(ROW()-10,DM_NL!$G$5:$G$304,0)),"")</f>
        <v/>
      </c>
      <c r="C193" s="35" t="str">
        <f>IF(B193="","",INDEX(DM_NL!$B$5:$B$304,MATCH(B193,DM_NL!$A$5:$A$304,0)))</f>
        <v/>
      </c>
      <c r="D193" s="35" t="str">
        <f>IF(B193="","",INDEX(DM_NL!$C$5:$C$304,MATCH(B193,DM_NL!$A$5:$A$304,0)))</f>
        <v/>
      </c>
      <c r="E193" s="39" t="str">
        <f>IF($B193="","",SUMIFS(Kho_NL!$B$5:$B$304,Kho_NL!$A$5:$A$304,$B193))</f>
        <v/>
      </c>
      <c r="F193" s="39" t="str">
        <f>IF($B193="","",SUMIFS(Kho_NL!$C$5:$C$304,Kho_NL!$A$5:$A$304,$B193))</f>
        <v/>
      </c>
      <c r="G193" s="39" t="str">
        <f>IF($B193="","",SUMIFS(Kho_NL!$D$5:$D$304,Kho_NL!$A$5:$A$304,$B193))</f>
        <v/>
      </c>
      <c r="H193" s="39" t="str">
        <f>IF($B193="","",SUMIFS(Kho_NL!$E$5:$E$304,Kho_NL!$A$5:$A$304,$B193))</f>
        <v/>
      </c>
      <c r="I193" s="39" t="str">
        <f>IF($B193="","",SUMIFS(Kho_NL!$F$5:$F$304,Kho_NL!$A$5:$A$304,$B193))</f>
        <v/>
      </c>
      <c r="J193" s="39" t="str">
        <f>IF($B193="","",SUMIFS(Kho_NL!$G$5:$G$304,Kho_NL!$A$5:$A$304,$B193))</f>
        <v/>
      </c>
      <c r="K193" s="39" t="str">
        <f t="shared" si="11"/>
        <v/>
      </c>
      <c r="L193" s="31" t="str">
        <f>IF($B193="","",IFERROR(INDEX(Kho_NL!$I$5:$I$304,MATCH(B193,Kho_NL!$A$5:$A$304,0))&amp;"",""))</f>
        <v/>
      </c>
      <c r="M193" s="44" t="str">
        <f>IF($B193="","",SUMIFS(Kho_NL!$H$5:$H$304,Kho_NL!$A$5:$A$304,$B193))</f>
        <v/>
      </c>
      <c r="N193" s="44" t="str">
        <f t="shared" si="12"/>
        <v/>
      </c>
      <c r="O193" s="45" t="str">
        <f t="shared" si="13"/>
        <v/>
      </c>
      <c r="P193" s="44" t="str">
        <f>IF($B193="","",SUMIFS(TK_Nhap!$E$5:$E$1004,TK_Nhap!$D$5:$D$1004,$B193,TK_Nhap!$H$5:$H$1004,1))</f>
        <v/>
      </c>
      <c r="Q193" s="44" t="str">
        <f t="shared" si="14"/>
        <v/>
      </c>
    </row>
    <row r="194" spans="1:17" x14ac:dyDescent="0.25">
      <c r="A194" s="36" t="str">
        <f t="shared" si="10"/>
        <v/>
      </c>
      <c r="B194" s="35" t="str">
        <f>IFERROR(INDEX(DM_NL!$A$5:$A$304,MATCH(ROW()-10,DM_NL!$G$5:$G$304,0)),"")</f>
        <v/>
      </c>
      <c r="C194" s="35" t="str">
        <f>IF(B194="","",INDEX(DM_NL!$B$5:$B$304,MATCH(B194,DM_NL!$A$5:$A$304,0)))</f>
        <v/>
      </c>
      <c r="D194" s="35" t="str">
        <f>IF(B194="","",INDEX(DM_NL!$C$5:$C$304,MATCH(B194,DM_NL!$A$5:$A$304,0)))</f>
        <v/>
      </c>
      <c r="E194" s="39" t="str">
        <f>IF($B194="","",SUMIFS(Kho_NL!$B$5:$B$304,Kho_NL!$A$5:$A$304,$B194))</f>
        <v/>
      </c>
      <c r="F194" s="39" t="str">
        <f>IF($B194="","",SUMIFS(Kho_NL!$C$5:$C$304,Kho_NL!$A$5:$A$304,$B194))</f>
        <v/>
      </c>
      <c r="G194" s="39" t="str">
        <f>IF($B194="","",SUMIFS(Kho_NL!$D$5:$D$304,Kho_NL!$A$5:$A$304,$B194))</f>
        <v/>
      </c>
      <c r="H194" s="39" t="str">
        <f>IF($B194="","",SUMIFS(Kho_NL!$E$5:$E$304,Kho_NL!$A$5:$A$304,$B194))</f>
        <v/>
      </c>
      <c r="I194" s="39" t="str">
        <f>IF($B194="","",SUMIFS(Kho_NL!$F$5:$F$304,Kho_NL!$A$5:$A$304,$B194))</f>
        <v/>
      </c>
      <c r="J194" s="39" t="str">
        <f>IF($B194="","",SUMIFS(Kho_NL!$G$5:$G$304,Kho_NL!$A$5:$A$304,$B194))</f>
        <v/>
      </c>
      <c r="K194" s="39" t="str">
        <f t="shared" si="11"/>
        <v/>
      </c>
      <c r="L194" s="31" t="str">
        <f>IF($B194="","",IFERROR(INDEX(Kho_NL!$I$5:$I$304,MATCH(B194,Kho_NL!$A$5:$A$304,0))&amp;"",""))</f>
        <v/>
      </c>
      <c r="M194" s="44" t="str">
        <f>IF($B194="","",SUMIFS(Kho_NL!$H$5:$H$304,Kho_NL!$A$5:$A$304,$B194))</f>
        <v/>
      </c>
      <c r="N194" s="44" t="str">
        <f t="shared" si="12"/>
        <v/>
      </c>
      <c r="O194" s="45" t="str">
        <f t="shared" si="13"/>
        <v/>
      </c>
      <c r="P194" s="44" t="str">
        <f>IF($B194="","",SUMIFS(TK_Nhap!$E$5:$E$1004,TK_Nhap!$D$5:$D$1004,$B194,TK_Nhap!$H$5:$H$1004,1))</f>
        <v/>
      </c>
      <c r="Q194" s="44" t="str">
        <f t="shared" si="14"/>
        <v/>
      </c>
    </row>
    <row r="195" spans="1:17" x14ac:dyDescent="0.25">
      <c r="A195" s="36" t="str">
        <f t="shared" si="10"/>
        <v/>
      </c>
      <c r="B195" s="35" t="str">
        <f>IFERROR(INDEX(DM_NL!$A$5:$A$304,MATCH(ROW()-10,DM_NL!$G$5:$G$304,0)),"")</f>
        <v/>
      </c>
      <c r="C195" s="35" t="str">
        <f>IF(B195="","",INDEX(DM_NL!$B$5:$B$304,MATCH(B195,DM_NL!$A$5:$A$304,0)))</f>
        <v/>
      </c>
      <c r="D195" s="35" t="str">
        <f>IF(B195="","",INDEX(DM_NL!$C$5:$C$304,MATCH(B195,DM_NL!$A$5:$A$304,0)))</f>
        <v/>
      </c>
      <c r="E195" s="39" t="str">
        <f>IF($B195="","",SUMIFS(Kho_NL!$B$5:$B$304,Kho_NL!$A$5:$A$304,$B195))</f>
        <v/>
      </c>
      <c r="F195" s="39" t="str">
        <f>IF($B195="","",SUMIFS(Kho_NL!$C$5:$C$304,Kho_NL!$A$5:$A$304,$B195))</f>
        <v/>
      </c>
      <c r="G195" s="39" t="str">
        <f>IF($B195="","",SUMIFS(Kho_NL!$D$5:$D$304,Kho_NL!$A$5:$A$304,$B195))</f>
        <v/>
      </c>
      <c r="H195" s="39" t="str">
        <f>IF($B195="","",SUMIFS(Kho_NL!$E$5:$E$304,Kho_NL!$A$5:$A$304,$B195))</f>
        <v/>
      </c>
      <c r="I195" s="39" t="str">
        <f>IF($B195="","",SUMIFS(Kho_NL!$F$5:$F$304,Kho_NL!$A$5:$A$304,$B195))</f>
        <v/>
      </c>
      <c r="J195" s="39" t="str">
        <f>IF($B195="","",SUMIFS(Kho_NL!$G$5:$G$304,Kho_NL!$A$5:$A$304,$B195))</f>
        <v/>
      </c>
      <c r="K195" s="39" t="str">
        <f t="shared" si="11"/>
        <v/>
      </c>
      <c r="L195" s="31" t="str">
        <f>IF($B195="","",IFERROR(INDEX(Kho_NL!$I$5:$I$304,MATCH(B195,Kho_NL!$A$5:$A$304,0))&amp;"",""))</f>
        <v/>
      </c>
      <c r="M195" s="44" t="str">
        <f>IF($B195="","",SUMIFS(Kho_NL!$H$5:$H$304,Kho_NL!$A$5:$A$304,$B195))</f>
        <v/>
      </c>
      <c r="N195" s="44" t="str">
        <f t="shared" si="12"/>
        <v/>
      </c>
      <c r="O195" s="45" t="str">
        <f t="shared" si="13"/>
        <v/>
      </c>
      <c r="P195" s="44" t="str">
        <f>IF($B195="","",SUMIFS(TK_Nhap!$E$5:$E$1004,TK_Nhap!$D$5:$D$1004,$B195,TK_Nhap!$H$5:$H$1004,1))</f>
        <v/>
      </c>
      <c r="Q195" s="44" t="str">
        <f t="shared" si="14"/>
        <v/>
      </c>
    </row>
    <row r="196" spans="1:17" x14ac:dyDescent="0.25">
      <c r="A196" s="36" t="str">
        <f t="shared" si="10"/>
        <v/>
      </c>
      <c r="B196" s="35" t="str">
        <f>IFERROR(INDEX(DM_NL!$A$5:$A$304,MATCH(ROW()-10,DM_NL!$G$5:$G$304,0)),"")</f>
        <v/>
      </c>
      <c r="C196" s="35" t="str">
        <f>IF(B196="","",INDEX(DM_NL!$B$5:$B$304,MATCH(B196,DM_NL!$A$5:$A$304,0)))</f>
        <v/>
      </c>
      <c r="D196" s="35" t="str">
        <f>IF(B196="","",INDEX(DM_NL!$C$5:$C$304,MATCH(B196,DM_NL!$A$5:$A$304,0)))</f>
        <v/>
      </c>
      <c r="E196" s="39" t="str">
        <f>IF($B196="","",SUMIFS(Kho_NL!$B$5:$B$304,Kho_NL!$A$5:$A$304,$B196))</f>
        <v/>
      </c>
      <c r="F196" s="39" t="str">
        <f>IF($B196="","",SUMIFS(Kho_NL!$C$5:$C$304,Kho_NL!$A$5:$A$304,$B196))</f>
        <v/>
      </c>
      <c r="G196" s="39" t="str">
        <f>IF($B196="","",SUMIFS(Kho_NL!$D$5:$D$304,Kho_NL!$A$5:$A$304,$B196))</f>
        <v/>
      </c>
      <c r="H196" s="39" t="str">
        <f>IF($B196="","",SUMIFS(Kho_NL!$E$5:$E$304,Kho_NL!$A$5:$A$304,$B196))</f>
        <v/>
      </c>
      <c r="I196" s="39" t="str">
        <f>IF($B196="","",SUMIFS(Kho_NL!$F$5:$F$304,Kho_NL!$A$5:$A$304,$B196))</f>
        <v/>
      </c>
      <c r="J196" s="39" t="str">
        <f>IF($B196="","",SUMIFS(Kho_NL!$G$5:$G$304,Kho_NL!$A$5:$A$304,$B196))</f>
        <v/>
      </c>
      <c r="K196" s="39" t="str">
        <f t="shared" si="11"/>
        <v/>
      </c>
      <c r="L196" s="31" t="str">
        <f>IF($B196="","",IFERROR(INDEX(Kho_NL!$I$5:$I$304,MATCH(B196,Kho_NL!$A$5:$A$304,0))&amp;"",""))</f>
        <v/>
      </c>
      <c r="M196" s="44" t="str">
        <f>IF($B196="","",SUMIFS(Kho_NL!$H$5:$H$304,Kho_NL!$A$5:$A$304,$B196))</f>
        <v/>
      </c>
      <c r="N196" s="44" t="str">
        <f t="shared" si="12"/>
        <v/>
      </c>
      <c r="O196" s="45" t="str">
        <f t="shared" si="13"/>
        <v/>
      </c>
      <c r="P196" s="44" t="str">
        <f>IF($B196="","",SUMIFS(TK_Nhap!$E$5:$E$1004,TK_Nhap!$D$5:$D$1004,$B196,TK_Nhap!$H$5:$H$1004,1))</f>
        <v/>
      </c>
      <c r="Q196" s="44" t="str">
        <f t="shared" si="14"/>
        <v/>
      </c>
    </row>
    <row r="197" spans="1:17" x14ac:dyDescent="0.25">
      <c r="A197" s="36" t="str">
        <f t="shared" si="10"/>
        <v/>
      </c>
      <c r="B197" s="35" t="str">
        <f>IFERROR(INDEX(DM_NL!$A$5:$A$304,MATCH(ROW()-10,DM_NL!$G$5:$G$304,0)),"")</f>
        <v/>
      </c>
      <c r="C197" s="35" t="str">
        <f>IF(B197="","",INDEX(DM_NL!$B$5:$B$304,MATCH(B197,DM_NL!$A$5:$A$304,0)))</f>
        <v/>
      </c>
      <c r="D197" s="35" t="str">
        <f>IF(B197="","",INDEX(DM_NL!$C$5:$C$304,MATCH(B197,DM_NL!$A$5:$A$304,0)))</f>
        <v/>
      </c>
      <c r="E197" s="39" t="str">
        <f>IF($B197="","",SUMIFS(Kho_NL!$B$5:$B$304,Kho_NL!$A$5:$A$304,$B197))</f>
        <v/>
      </c>
      <c r="F197" s="39" t="str">
        <f>IF($B197="","",SUMIFS(Kho_NL!$C$5:$C$304,Kho_NL!$A$5:$A$304,$B197))</f>
        <v/>
      </c>
      <c r="G197" s="39" t="str">
        <f>IF($B197="","",SUMIFS(Kho_NL!$D$5:$D$304,Kho_NL!$A$5:$A$304,$B197))</f>
        <v/>
      </c>
      <c r="H197" s="39" t="str">
        <f>IF($B197="","",SUMIFS(Kho_NL!$E$5:$E$304,Kho_NL!$A$5:$A$304,$B197))</f>
        <v/>
      </c>
      <c r="I197" s="39" t="str">
        <f>IF($B197="","",SUMIFS(Kho_NL!$F$5:$F$304,Kho_NL!$A$5:$A$304,$B197))</f>
        <v/>
      </c>
      <c r="J197" s="39" t="str">
        <f>IF($B197="","",SUMIFS(Kho_NL!$G$5:$G$304,Kho_NL!$A$5:$A$304,$B197))</f>
        <v/>
      </c>
      <c r="K197" s="39" t="str">
        <f t="shared" si="11"/>
        <v/>
      </c>
      <c r="L197" s="31" t="str">
        <f>IF($B197="","",IFERROR(INDEX(Kho_NL!$I$5:$I$304,MATCH(B197,Kho_NL!$A$5:$A$304,0))&amp;"",""))</f>
        <v/>
      </c>
      <c r="M197" s="44" t="str">
        <f>IF($B197="","",SUMIFS(Kho_NL!$H$5:$H$304,Kho_NL!$A$5:$A$304,$B197))</f>
        <v/>
      </c>
      <c r="N197" s="44" t="str">
        <f t="shared" si="12"/>
        <v/>
      </c>
      <c r="O197" s="45" t="str">
        <f t="shared" si="13"/>
        <v/>
      </c>
      <c r="P197" s="44" t="str">
        <f>IF($B197="","",SUMIFS(TK_Nhap!$E$5:$E$1004,TK_Nhap!$D$5:$D$1004,$B197,TK_Nhap!$H$5:$H$1004,1))</f>
        <v/>
      </c>
      <c r="Q197" s="44" t="str">
        <f t="shared" si="14"/>
        <v/>
      </c>
    </row>
    <row r="198" spans="1:17" x14ac:dyDescent="0.25">
      <c r="A198" s="36" t="str">
        <f t="shared" si="10"/>
        <v/>
      </c>
      <c r="B198" s="35" t="str">
        <f>IFERROR(INDEX(DM_NL!$A$5:$A$304,MATCH(ROW()-10,DM_NL!$G$5:$G$304,0)),"")</f>
        <v/>
      </c>
      <c r="C198" s="35" t="str">
        <f>IF(B198="","",INDEX(DM_NL!$B$5:$B$304,MATCH(B198,DM_NL!$A$5:$A$304,0)))</f>
        <v/>
      </c>
      <c r="D198" s="35" t="str">
        <f>IF(B198="","",INDEX(DM_NL!$C$5:$C$304,MATCH(B198,DM_NL!$A$5:$A$304,0)))</f>
        <v/>
      </c>
      <c r="E198" s="39" t="str">
        <f>IF($B198="","",SUMIFS(Kho_NL!$B$5:$B$304,Kho_NL!$A$5:$A$304,$B198))</f>
        <v/>
      </c>
      <c r="F198" s="39" t="str">
        <f>IF($B198="","",SUMIFS(Kho_NL!$C$5:$C$304,Kho_NL!$A$5:$A$304,$B198))</f>
        <v/>
      </c>
      <c r="G198" s="39" t="str">
        <f>IF($B198="","",SUMIFS(Kho_NL!$D$5:$D$304,Kho_NL!$A$5:$A$304,$B198))</f>
        <v/>
      </c>
      <c r="H198" s="39" t="str">
        <f>IF($B198="","",SUMIFS(Kho_NL!$E$5:$E$304,Kho_NL!$A$5:$A$304,$B198))</f>
        <v/>
      </c>
      <c r="I198" s="39" t="str">
        <f>IF($B198="","",SUMIFS(Kho_NL!$F$5:$F$304,Kho_NL!$A$5:$A$304,$B198))</f>
        <v/>
      </c>
      <c r="J198" s="39" t="str">
        <f>IF($B198="","",SUMIFS(Kho_NL!$G$5:$G$304,Kho_NL!$A$5:$A$304,$B198))</f>
        <v/>
      </c>
      <c r="K198" s="39" t="str">
        <f t="shared" si="11"/>
        <v/>
      </c>
      <c r="L198" s="31" t="str">
        <f>IF($B198="","",IFERROR(INDEX(Kho_NL!$I$5:$I$304,MATCH(B198,Kho_NL!$A$5:$A$304,0))&amp;"",""))</f>
        <v/>
      </c>
      <c r="M198" s="44" t="str">
        <f>IF($B198="","",SUMIFS(Kho_NL!$H$5:$H$304,Kho_NL!$A$5:$A$304,$B198))</f>
        <v/>
      </c>
      <c r="N198" s="44" t="str">
        <f t="shared" si="12"/>
        <v/>
      </c>
      <c r="O198" s="45" t="str">
        <f t="shared" si="13"/>
        <v/>
      </c>
      <c r="P198" s="44" t="str">
        <f>IF($B198="","",SUMIFS(TK_Nhap!$E$5:$E$1004,TK_Nhap!$D$5:$D$1004,$B198,TK_Nhap!$H$5:$H$1004,1))</f>
        <v/>
      </c>
      <c r="Q198" s="44" t="str">
        <f t="shared" si="14"/>
        <v/>
      </c>
    </row>
    <row r="199" spans="1:17" x14ac:dyDescent="0.25">
      <c r="A199" s="36" t="str">
        <f t="shared" si="10"/>
        <v/>
      </c>
      <c r="B199" s="35" t="str">
        <f>IFERROR(INDEX(DM_NL!$A$5:$A$304,MATCH(ROW()-10,DM_NL!$G$5:$G$304,0)),"")</f>
        <v/>
      </c>
      <c r="C199" s="35" t="str">
        <f>IF(B199="","",INDEX(DM_NL!$B$5:$B$304,MATCH(B199,DM_NL!$A$5:$A$304,0)))</f>
        <v/>
      </c>
      <c r="D199" s="35" t="str">
        <f>IF(B199="","",INDEX(DM_NL!$C$5:$C$304,MATCH(B199,DM_NL!$A$5:$A$304,0)))</f>
        <v/>
      </c>
      <c r="E199" s="39" t="str">
        <f>IF($B199="","",SUMIFS(Kho_NL!$B$5:$B$304,Kho_NL!$A$5:$A$304,$B199))</f>
        <v/>
      </c>
      <c r="F199" s="39" t="str">
        <f>IF($B199="","",SUMIFS(Kho_NL!$C$5:$C$304,Kho_NL!$A$5:$A$304,$B199))</f>
        <v/>
      </c>
      <c r="G199" s="39" t="str">
        <f>IF($B199="","",SUMIFS(Kho_NL!$D$5:$D$304,Kho_NL!$A$5:$A$304,$B199))</f>
        <v/>
      </c>
      <c r="H199" s="39" t="str">
        <f>IF($B199="","",SUMIFS(Kho_NL!$E$5:$E$304,Kho_NL!$A$5:$A$304,$B199))</f>
        <v/>
      </c>
      <c r="I199" s="39" t="str">
        <f>IF($B199="","",SUMIFS(Kho_NL!$F$5:$F$304,Kho_NL!$A$5:$A$304,$B199))</f>
        <v/>
      </c>
      <c r="J199" s="39" t="str">
        <f>IF($B199="","",SUMIFS(Kho_NL!$G$5:$G$304,Kho_NL!$A$5:$A$304,$B199))</f>
        <v/>
      </c>
      <c r="K199" s="39" t="str">
        <f t="shared" si="11"/>
        <v/>
      </c>
      <c r="L199" s="31" t="str">
        <f>IF($B199="","",IFERROR(INDEX(Kho_NL!$I$5:$I$304,MATCH(B199,Kho_NL!$A$5:$A$304,0))&amp;"",""))</f>
        <v/>
      </c>
      <c r="M199" s="44" t="str">
        <f>IF($B199="","",SUMIFS(Kho_NL!$H$5:$H$304,Kho_NL!$A$5:$A$304,$B199))</f>
        <v/>
      </c>
      <c r="N199" s="44" t="str">
        <f t="shared" si="12"/>
        <v/>
      </c>
      <c r="O199" s="45" t="str">
        <f t="shared" si="13"/>
        <v/>
      </c>
      <c r="P199" s="44" t="str">
        <f>IF($B199="","",SUMIFS(TK_Nhap!$E$5:$E$1004,TK_Nhap!$D$5:$D$1004,$B199,TK_Nhap!$H$5:$H$1004,1))</f>
        <v/>
      </c>
      <c r="Q199" s="44" t="str">
        <f t="shared" si="14"/>
        <v/>
      </c>
    </row>
    <row r="200" spans="1:17" x14ac:dyDescent="0.25">
      <c r="A200" s="36" t="str">
        <f t="shared" si="10"/>
        <v/>
      </c>
      <c r="B200" s="35" t="str">
        <f>IFERROR(INDEX(DM_NL!$A$5:$A$304,MATCH(ROW()-10,DM_NL!$G$5:$G$304,0)),"")</f>
        <v/>
      </c>
      <c r="C200" s="35" t="str">
        <f>IF(B200="","",INDEX(DM_NL!$B$5:$B$304,MATCH(B200,DM_NL!$A$5:$A$304,0)))</f>
        <v/>
      </c>
      <c r="D200" s="35" t="str">
        <f>IF(B200="","",INDEX(DM_NL!$C$5:$C$304,MATCH(B200,DM_NL!$A$5:$A$304,0)))</f>
        <v/>
      </c>
      <c r="E200" s="39" t="str">
        <f>IF($B200="","",SUMIFS(Kho_NL!$B$5:$B$304,Kho_NL!$A$5:$A$304,$B200))</f>
        <v/>
      </c>
      <c r="F200" s="39" t="str">
        <f>IF($B200="","",SUMIFS(Kho_NL!$C$5:$C$304,Kho_NL!$A$5:$A$304,$B200))</f>
        <v/>
      </c>
      <c r="G200" s="39" t="str">
        <f>IF($B200="","",SUMIFS(Kho_NL!$D$5:$D$304,Kho_NL!$A$5:$A$304,$B200))</f>
        <v/>
      </c>
      <c r="H200" s="39" t="str">
        <f>IF($B200="","",SUMIFS(Kho_NL!$E$5:$E$304,Kho_NL!$A$5:$A$304,$B200))</f>
        <v/>
      </c>
      <c r="I200" s="39" t="str">
        <f>IF($B200="","",SUMIFS(Kho_NL!$F$5:$F$304,Kho_NL!$A$5:$A$304,$B200))</f>
        <v/>
      </c>
      <c r="J200" s="39" t="str">
        <f>IF($B200="","",SUMIFS(Kho_NL!$G$5:$G$304,Kho_NL!$A$5:$A$304,$B200))</f>
        <v/>
      </c>
      <c r="K200" s="39" t="str">
        <f t="shared" si="11"/>
        <v/>
      </c>
      <c r="L200" s="31" t="str">
        <f>IF($B200="","",IFERROR(INDEX(Kho_NL!$I$5:$I$304,MATCH(B200,Kho_NL!$A$5:$A$304,0))&amp;"",""))</f>
        <v/>
      </c>
      <c r="M200" s="44" t="str">
        <f>IF($B200="","",SUMIFS(Kho_NL!$H$5:$H$304,Kho_NL!$A$5:$A$304,$B200))</f>
        <v/>
      </c>
      <c r="N200" s="44" t="str">
        <f t="shared" si="12"/>
        <v/>
      </c>
      <c r="O200" s="45" t="str">
        <f t="shared" si="13"/>
        <v/>
      </c>
      <c r="P200" s="44" t="str">
        <f>IF($B200="","",SUMIFS(TK_Nhap!$E$5:$E$1004,TK_Nhap!$D$5:$D$1004,$B200,TK_Nhap!$H$5:$H$1004,1))</f>
        <v/>
      </c>
      <c r="Q200" s="44" t="str">
        <f t="shared" si="14"/>
        <v/>
      </c>
    </row>
    <row r="201" spans="1:17" x14ac:dyDescent="0.25">
      <c r="A201" s="36" t="str">
        <f t="shared" si="10"/>
        <v/>
      </c>
      <c r="B201" s="35" t="str">
        <f>IFERROR(INDEX(DM_NL!$A$5:$A$304,MATCH(ROW()-10,DM_NL!$G$5:$G$304,0)),"")</f>
        <v/>
      </c>
      <c r="C201" s="35" t="str">
        <f>IF(B201="","",INDEX(DM_NL!$B$5:$B$304,MATCH(B201,DM_NL!$A$5:$A$304,0)))</f>
        <v/>
      </c>
      <c r="D201" s="35" t="str">
        <f>IF(B201="","",INDEX(DM_NL!$C$5:$C$304,MATCH(B201,DM_NL!$A$5:$A$304,0)))</f>
        <v/>
      </c>
      <c r="E201" s="39" t="str">
        <f>IF($B201="","",SUMIFS(Kho_NL!$B$5:$B$304,Kho_NL!$A$5:$A$304,$B201))</f>
        <v/>
      </c>
      <c r="F201" s="39" t="str">
        <f>IF($B201="","",SUMIFS(Kho_NL!$C$5:$C$304,Kho_NL!$A$5:$A$304,$B201))</f>
        <v/>
      </c>
      <c r="G201" s="39" t="str">
        <f>IF($B201="","",SUMIFS(Kho_NL!$D$5:$D$304,Kho_NL!$A$5:$A$304,$B201))</f>
        <v/>
      </c>
      <c r="H201" s="39" t="str">
        <f>IF($B201="","",SUMIFS(Kho_NL!$E$5:$E$304,Kho_NL!$A$5:$A$304,$B201))</f>
        <v/>
      </c>
      <c r="I201" s="39" t="str">
        <f>IF($B201="","",SUMIFS(Kho_NL!$F$5:$F$304,Kho_NL!$A$5:$A$304,$B201))</f>
        <v/>
      </c>
      <c r="J201" s="39" t="str">
        <f>IF($B201="","",SUMIFS(Kho_NL!$G$5:$G$304,Kho_NL!$A$5:$A$304,$B201))</f>
        <v/>
      </c>
      <c r="K201" s="39" t="str">
        <f t="shared" si="11"/>
        <v/>
      </c>
      <c r="L201" s="31" t="str">
        <f>IF($B201="","",IFERROR(INDEX(Kho_NL!$I$5:$I$304,MATCH(B201,Kho_NL!$A$5:$A$304,0))&amp;"",""))</f>
        <v/>
      </c>
      <c r="M201" s="44" t="str">
        <f>IF($B201="","",SUMIFS(Kho_NL!$H$5:$H$304,Kho_NL!$A$5:$A$304,$B201))</f>
        <v/>
      </c>
      <c r="N201" s="44" t="str">
        <f t="shared" si="12"/>
        <v/>
      </c>
      <c r="O201" s="45" t="str">
        <f t="shared" si="13"/>
        <v/>
      </c>
      <c r="P201" s="44" t="str">
        <f>IF($B201="","",SUMIFS(TK_Nhap!$E$5:$E$1004,TK_Nhap!$D$5:$D$1004,$B201,TK_Nhap!$H$5:$H$1004,1))</f>
        <v/>
      </c>
      <c r="Q201" s="44" t="str">
        <f t="shared" si="14"/>
        <v/>
      </c>
    </row>
    <row r="202" spans="1:17" x14ac:dyDescent="0.25">
      <c r="A202" s="36" t="str">
        <f t="shared" si="10"/>
        <v/>
      </c>
      <c r="B202" s="35" t="str">
        <f>IFERROR(INDEX(DM_NL!$A$5:$A$304,MATCH(ROW()-10,DM_NL!$G$5:$G$304,0)),"")</f>
        <v/>
      </c>
      <c r="C202" s="35" t="str">
        <f>IF(B202="","",INDEX(DM_NL!$B$5:$B$304,MATCH(B202,DM_NL!$A$5:$A$304,0)))</f>
        <v/>
      </c>
      <c r="D202" s="35" t="str">
        <f>IF(B202="","",INDEX(DM_NL!$C$5:$C$304,MATCH(B202,DM_NL!$A$5:$A$304,0)))</f>
        <v/>
      </c>
      <c r="E202" s="39" t="str">
        <f>IF($B202="","",SUMIFS(Kho_NL!$B$5:$B$304,Kho_NL!$A$5:$A$304,$B202))</f>
        <v/>
      </c>
      <c r="F202" s="39" t="str">
        <f>IF($B202="","",SUMIFS(Kho_NL!$C$5:$C$304,Kho_NL!$A$5:$A$304,$B202))</f>
        <v/>
      </c>
      <c r="G202" s="39" t="str">
        <f>IF($B202="","",SUMIFS(Kho_NL!$D$5:$D$304,Kho_NL!$A$5:$A$304,$B202))</f>
        <v/>
      </c>
      <c r="H202" s="39" t="str">
        <f>IF($B202="","",SUMIFS(Kho_NL!$E$5:$E$304,Kho_NL!$A$5:$A$304,$B202))</f>
        <v/>
      </c>
      <c r="I202" s="39" t="str">
        <f>IF($B202="","",SUMIFS(Kho_NL!$F$5:$F$304,Kho_NL!$A$5:$A$304,$B202))</f>
        <v/>
      </c>
      <c r="J202" s="39" t="str">
        <f>IF($B202="","",SUMIFS(Kho_NL!$G$5:$G$304,Kho_NL!$A$5:$A$304,$B202))</f>
        <v/>
      </c>
      <c r="K202" s="39" t="str">
        <f t="shared" si="11"/>
        <v/>
      </c>
      <c r="L202" s="31" t="str">
        <f>IF($B202="","",IFERROR(INDEX(Kho_NL!$I$5:$I$304,MATCH(B202,Kho_NL!$A$5:$A$304,0))&amp;"",""))</f>
        <v/>
      </c>
      <c r="M202" s="44" t="str">
        <f>IF($B202="","",SUMIFS(Kho_NL!$H$5:$H$304,Kho_NL!$A$5:$A$304,$B202))</f>
        <v/>
      </c>
      <c r="N202" s="44" t="str">
        <f t="shared" si="12"/>
        <v/>
      </c>
      <c r="O202" s="45" t="str">
        <f t="shared" si="13"/>
        <v/>
      </c>
      <c r="P202" s="44" t="str">
        <f>IF($B202="","",SUMIFS(TK_Nhap!$E$5:$E$1004,TK_Nhap!$D$5:$D$1004,$B202,TK_Nhap!$H$5:$H$1004,1))</f>
        <v/>
      </c>
      <c r="Q202" s="44" t="str">
        <f t="shared" si="14"/>
        <v/>
      </c>
    </row>
    <row r="203" spans="1:17" x14ac:dyDescent="0.25">
      <c r="A203" s="36" t="str">
        <f t="shared" ref="A203:A266" si="15">IF(B203="","",ROW()-10)</f>
        <v/>
      </c>
      <c r="B203" s="35" t="str">
        <f>IFERROR(INDEX(DM_NL!$A$5:$A$304,MATCH(ROW()-10,DM_NL!$G$5:$G$304,0)),"")</f>
        <v/>
      </c>
      <c r="C203" s="35" t="str">
        <f>IF(B203="","",INDEX(DM_NL!$B$5:$B$304,MATCH(B203,DM_NL!$A$5:$A$304,0)))</f>
        <v/>
      </c>
      <c r="D203" s="35" t="str">
        <f>IF(B203="","",INDEX(DM_NL!$C$5:$C$304,MATCH(B203,DM_NL!$A$5:$A$304,0)))</f>
        <v/>
      </c>
      <c r="E203" s="39" t="str">
        <f>IF($B203="","",SUMIFS(Kho_NL!$B$5:$B$304,Kho_NL!$A$5:$A$304,$B203))</f>
        <v/>
      </c>
      <c r="F203" s="39" t="str">
        <f>IF($B203="","",SUMIFS(Kho_NL!$C$5:$C$304,Kho_NL!$A$5:$A$304,$B203))</f>
        <v/>
      </c>
      <c r="G203" s="39" t="str">
        <f>IF($B203="","",SUMIFS(Kho_NL!$D$5:$D$304,Kho_NL!$A$5:$A$304,$B203))</f>
        <v/>
      </c>
      <c r="H203" s="39" t="str">
        <f>IF($B203="","",SUMIFS(Kho_NL!$E$5:$E$304,Kho_NL!$A$5:$A$304,$B203))</f>
        <v/>
      </c>
      <c r="I203" s="39" t="str">
        <f>IF($B203="","",SUMIFS(Kho_NL!$F$5:$F$304,Kho_NL!$A$5:$A$304,$B203))</f>
        <v/>
      </c>
      <c r="J203" s="39" t="str">
        <f>IF($B203="","",SUMIFS(Kho_NL!$G$5:$G$304,Kho_NL!$A$5:$A$304,$B203))</f>
        <v/>
      </c>
      <c r="K203" s="39" t="str">
        <f t="shared" ref="K203:K266" si="16">IF($B203="","",E203+F203-G203-H203-I203-J203)</f>
        <v/>
      </c>
      <c r="L203" s="31" t="str">
        <f>IF($B203="","",IFERROR(INDEX(Kho_NL!$I$5:$I$304,MATCH(B203,Kho_NL!$A$5:$A$304,0))&amp;"",""))</f>
        <v/>
      </c>
      <c r="M203" s="44" t="str">
        <f>IF($B203="","",SUMIFS(Kho_NL!$H$5:$H$304,Kho_NL!$A$5:$A$304,$B203))</f>
        <v/>
      </c>
      <c r="N203" s="44" t="str">
        <f t="shared" ref="N203:N266" si="17">IF($B203="","",K203-M203)</f>
        <v/>
      </c>
      <c r="O203" s="45" t="str">
        <f t="shared" ref="O203:O266" si="18">IF($B203="","",IF(ABS(N203)&lt;0.000001,"Khớp","Lệch"))</f>
        <v/>
      </c>
      <c r="P203" s="44" t="str">
        <f>IF($B203="","",SUMIFS(TK_Nhap!$E$5:$E$1004,TK_Nhap!$D$5:$D$1004,$B203,TK_Nhap!$H$5:$H$1004,1))</f>
        <v/>
      </c>
      <c r="Q203" s="44" t="str">
        <f t="shared" ref="Q203:Q266" si="19">IF($B203="","",F203-P203)</f>
        <v/>
      </c>
    </row>
    <row r="204" spans="1:17" x14ac:dyDescent="0.25">
      <c r="A204" s="36" t="str">
        <f t="shared" si="15"/>
        <v/>
      </c>
      <c r="B204" s="35" t="str">
        <f>IFERROR(INDEX(DM_NL!$A$5:$A$304,MATCH(ROW()-10,DM_NL!$G$5:$G$304,0)),"")</f>
        <v/>
      </c>
      <c r="C204" s="35" t="str">
        <f>IF(B204="","",INDEX(DM_NL!$B$5:$B$304,MATCH(B204,DM_NL!$A$5:$A$304,0)))</f>
        <v/>
      </c>
      <c r="D204" s="35" t="str">
        <f>IF(B204="","",INDEX(DM_NL!$C$5:$C$304,MATCH(B204,DM_NL!$A$5:$A$304,0)))</f>
        <v/>
      </c>
      <c r="E204" s="39" t="str">
        <f>IF($B204="","",SUMIFS(Kho_NL!$B$5:$B$304,Kho_NL!$A$5:$A$304,$B204))</f>
        <v/>
      </c>
      <c r="F204" s="39" t="str">
        <f>IF($B204="","",SUMIFS(Kho_NL!$C$5:$C$304,Kho_NL!$A$5:$A$304,$B204))</f>
        <v/>
      </c>
      <c r="G204" s="39" t="str">
        <f>IF($B204="","",SUMIFS(Kho_NL!$D$5:$D$304,Kho_NL!$A$5:$A$304,$B204))</f>
        <v/>
      </c>
      <c r="H204" s="39" t="str">
        <f>IF($B204="","",SUMIFS(Kho_NL!$E$5:$E$304,Kho_NL!$A$5:$A$304,$B204))</f>
        <v/>
      </c>
      <c r="I204" s="39" t="str">
        <f>IF($B204="","",SUMIFS(Kho_NL!$F$5:$F$304,Kho_NL!$A$5:$A$304,$B204))</f>
        <v/>
      </c>
      <c r="J204" s="39" t="str">
        <f>IF($B204="","",SUMIFS(Kho_NL!$G$5:$G$304,Kho_NL!$A$5:$A$304,$B204))</f>
        <v/>
      </c>
      <c r="K204" s="39" t="str">
        <f t="shared" si="16"/>
        <v/>
      </c>
      <c r="L204" s="31" t="str">
        <f>IF($B204="","",IFERROR(INDEX(Kho_NL!$I$5:$I$304,MATCH(B204,Kho_NL!$A$5:$A$304,0))&amp;"",""))</f>
        <v/>
      </c>
      <c r="M204" s="44" t="str">
        <f>IF($B204="","",SUMIFS(Kho_NL!$H$5:$H$304,Kho_NL!$A$5:$A$304,$B204))</f>
        <v/>
      </c>
      <c r="N204" s="44" t="str">
        <f t="shared" si="17"/>
        <v/>
      </c>
      <c r="O204" s="45" t="str">
        <f t="shared" si="18"/>
        <v/>
      </c>
      <c r="P204" s="44" t="str">
        <f>IF($B204="","",SUMIFS(TK_Nhap!$E$5:$E$1004,TK_Nhap!$D$5:$D$1004,$B204,TK_Nhap!$H$5:$H$1004,1))</f>
        <v/>
      </c>
      <c r="Q204" s="44" t="str">
        <f t="shared" si="19"/>
        <v/>
      </c>
    </row>
    <row r="205" spans="1:17" x14ac:dyDescent="0.25">
      <c r="A205" s="36" t="str">
        <f t="shared" si="15"/>
        <v/>
      </c>
      <c r="B205" s="35" t="str">
        <f>IFERROR(INDEX(DM_NL!$A$5:$A$304,MATCH(ROW()-10,DM_NL!$G$5:$G$304,0)),"")</f>
        <v/>
      </c>
      <c r="C205" s="35" t="str">
        <f>IF(B205="","",INDEX(DM_NL!$B$5:$B$304,MATCH(B205,DM_NL!$A$5:$A$304,0)))</f>
        <v/>
      </c>
      <c r="D205" s="35" t="str">
        <f>IF(B205="","",INDEX(DM_NL!$C$5:$C$304,MATCH(B205,DM_NL!$A$5:$A$304,0)))</f>
        <v/>
      </c>
      <c r="E205" s="39" t="str">
        <f>IF($B205="","",SUMIFS(Kho_NL!$B$5:$B$304,Kho_NL!$A$5:$A$304,$B205))</f>
        <v/>
      </c>
      <c r="F205" s="39" t="str">
        <f>IF($B205="","",SUMIFS(Kho_NL!$C$5:$C$304,Kho_NL!$A$5:$A$304,$B205))</f>
        <v/>
      </c>
      <c r="G205" s="39" t="str">
        <f>IF($B205="","",SUMIFS(Kho_NL!$D$5:$D$304,Kho_NL!$A$5:$A$304,$B205))</f>
        <v/>
      </c>
      <c r="H205" s="39" t="str">
        <f>IF($B205="","",SUMIFS(Kho_NL!$E$5:$E$304,Kho_NL!$A$5:$A$304,$B205))</f>
        <v/>
      </c>
      <c r="I205" s="39" t="str">
        <f>IF($B205="","",SUMIFS(Kho_NL!$F$5:$F$304,Kho_NL!$A$5:$A$304,$B205))</f>
        <v/>
      </c>
      <c r="J205" s="39" t="str">
        <f>IF($B205="","",SUMIFS(Kho_NL!$G$5:$G$304,Kho_NL!$A$5:$A$304,$B205))</f>
        <v/>
      </c>
      <c r="K205" s="39" t="str">
        <f t="shared" si="16"/>
        <v/>
      </c>
      <c r="L205" s="31" t="str">
        <f>IF($B205="","",IFERROR(INDEX(Kho_NL!$I$5:$I$304,MATCH(B205,Kho_NL!$A$5:$A$304,0))&amp;"",""))</f>
        <v/>
      </c>
      <c r="M205" s="44" t="str">
        <f>IF($B205="","",SUMIFS(Kho_NL!$H$5:$H$304,Kho_NL!$A$5:$A$304,$B205))</f>
        <v/>
      </c>
      <c r="N205" s="44" t="str">
        <f t="shared" si="17"/>
        <v/>
      </c>
      <c r="O205" s="45" t="str">
        <f t="shared" si="18"/>
        <v/>
      </c>
      <c r="P205" s="44" t="str">
        <f>IF($B205="","",SUMIFS(TK_Nhap!$E$5:$E$1004,TK_Nhap!$D$5:$D$1004,$B205,TK_Nhap!$H$5:$H$1004,1))</f>
        <v/>
      </c>
      <c r="Q205" s="44" t="str">
        <f t="shared" si="19"/>
        <v/>
      </c>
    </row>
    <row r="206" spans="1:17" x14ac:dyDescent="0.25">
      <c r="A206" s="36" t="str">
        <f t="shared" si="15"/>
        <v/>
      </c>
      <c r="B206" s="35" t="str">
        <f>IFERROR(INDEX(DM_NL!$A$5:$A$304,MATCH(ROW()-10,DM_NL!$G$5:$G$304,0)),"")</f>
        <v/>
      </c>
      <c r="C206" s="35" t="str">
        <f>IF(B206="","",INDEX(DM_NL!$B$5:$B$304,MATCH(B206,DM_NL!$A$5:$A$304,0)))</f>
        <v/>
      </c>
      <c r="D206" s="35" t="str">
        <f>IF(B206="","",INDEX(DM_NL!$C$5:$C$304,MATCH(B206,DM_NL!$A$5:$A$304,0)))</f>
        <v/>
      </c>
      <c r="E206" s="39" t="str">
        <f>IF($B206="","",SUMIFS(Kho_NL!$B$5:$B$304,Kho_NL!$A$5:$A$304,$B206))</f>
        <v/>
      </c>
      <c r="F206" s="39" t="str">
        <f>IF($B206="","",SUMIFS(Kho_NL!$C$5:$C$304,Kho_NL!$A$5:$A$304,$B206))</f>
        <v/>
      </c>
      <c r="G206" s="39" t="str">
        <f>IF($B206="","",SUMIFS(Kho_NL!$D$5:$D$304,Kho_NL!$A$5:$A$304,$B206))</f>
        <v/>
      </c>
      <c r="H206" s="39" t="str">
        <f>IF($B206="","",SUMIFS(Kho_NL!$E$5:$E$304,Kho_NL!$A$5:$A$304,$B206))</f>
        <v/>
      </c>
      <c r="I206" s="39" t="str">
        <f>IF($B206="","",SUMIFS(Kho_NL!$F$5:$F$304,Kho_NL!$A$5:$A$304,$B206))</f>
        <v/>
      </c>
      <c r="J206" s="39" t="str">
        <f>IF($B206="","",SUMIFS(Kho_NL!$G$5:$G$304,Kho_NL!$A$5:$A$304,$B206))</f>
        <v/>
      </c>
      <c r="K206" s="39" t="str">
        <f t="shared" si="16"/>
        <v/>
      </c>
      <c r="L206" s="31" t="str">
        <f>IF($B206="","",IFERROR(INDEX(Kho_NL!$I$5:$I$304,MATCH(B206,Kho_NL!$A$5:$A$304,0))&amp;"",""))</f>
        <v/>
      </c>
      <c r="M206" s="44" t="str">
        <f>IF($B206="","",SUMIFS(Kho_NL!$H$5:$H$304,Kho_NL!$A$5:$A$304,$B206))</f>
        <v/>
      </c>
      <c r="N206" s="44" t="str">
        <f t="shared" si="17"/>
        <v/>
      </c>
      <c r="O206" s="45" t="str">
        <f t="shared" si="18"/>
        <v/>
      </c>
      <c r="P206" s="44" t="str">
        <f>IF($B206="","",SUMIFS(TK_Nhap!$E$5:$E$1004,TK_Nhap!$D$5:$D$1004,$B206,TK_Nhap!$H$5:$H$1004,1))</f>
        <v/>
      </c>
      <c r="Q206" s="44" t="str">
        <f t="shared" si="19"/>
        <v/>
      </c>
    </row>
    <row r="207" spans="1:17" x14ac:dyDescent="0.25">
      <c r="A207" s="36" t="str">
        <f t="shared" si="15"/>
        <v/>
      </c>
      <c r="B207" s="35" t="str">
        <f>IFERROR(INDEX(DM_NL!$A$5:$A$304,MATCH(ROW()-10,DM_NL!$G$5:$G$304,0)),"")</f>
        <v/>
      </c>
      <c r="C207" s="35" t="str">
        <f>IF(B207="","",INDEX(DM_NL!$B$5:$B$304,MATCH(B207,DM_NL!$A$5:$A$304,0)))</f>
        <v/>
      </c>
      <c r="D207" s="35" t="str">
        <f>IF(B207="","",INDEX(DM_NL!$C$5:$C$304,MATCH(B207,DM_NL!$A$5:$A$304,0)))</f>
        <v/>
      </c>
      <c r="E207" s="39" t="str">
        <f>IF($B207="","",SUMIFS(Kho_NL!$B$5:$B$304,Kho_NL!$A$5:$A$304,$B207))</f>
        <v/>
      </c>
      <c r="F207" s="39" t="str">
        <f>IF($B207="","",SUMIFS(Kho_NL!$C$5:$C$304,Kho_NL!$A$5:$A$304,$B207))</f>
        <v/>
      </c>
      <c r="G207" s="39" t="str">
        <f>IF($B207="","",SUMIFS(Kho_NL!$D$5:$D$304,Kho_NL!$A$5:$A$304,$B207))</f>
        <v/>
      </c>
      <c r="H207" s="39" t="str">
        <f>IF($B207="","",SUMIFS(Kho_NL!$E$5:$E$304,Kho_NL!$A$5:$A$304,$B207))</f>
        <v/>
      </c>
      <c r="I207" s="39" t="str">
        <f>IF($B207="","",SUMIFS(Kho_NL!$F$5:$F$304,Kho_NL!$A$5:$A$304,$B207))</f>
        <v/>
      </c>
      <c r="J207" s="39" t="str">
        <f>IF($B207="","",SUMIFS(Kho_NL!$G$5:$G$304,Kho_NL!$A$5:$A$304,$B207))</f>
        <v/>
      </c>
      <c r="K207" s="39" t="str">
        <f t="shared" si="16"/>
        <v/>
      </c>
      <c r="L207" s="31" t="str">
        <f>IF($B207="","",IFERROR(INDEX(Kho_NL!$I$5:$I$304,MATCH(B207,Kho_NL!$A$5:$A$304,0))&amp;"",""))</f>
        <v/>
      </c>
      <c r="M207" s="44" t="str">
        <f>IF($B207="","",SUMIFS(Kho_NL!$H$5:$H$304,Kho_NL!$A$5:$A$304,$B207))</f>
        <v/>
      </c>
      <c r="N207" s="44" t="str">
        <f t="shared" si="17"/>
        <v/>
      </c>
      <c r="O207" s="45" t="str">
        <f t="shared" si="18"/>
        <v/>
      </c>
      <c r="P207" s="44" t="str">
        <f>IF($B207="","",SUMIFS(TK_Nhap!$E$5:$E$1004,TK_Nhap!$D$5:$D$1004,$B207,TK_Nhap!$H$5:$H$1004,1))</f>
        <v/>
      </c>
      <c r="Q207" s="44" t="str">
        <f t="shared" si="19"/>
        <v/>
      </c>
    </row>
    <row r="208" spans="1:17" x14ac:dyDescent="0.25">
      <c r="A208" s="36" t="str">
        <f t="shared" si="15"/>
        <v/>
      </c>
      <c r="B208" s="35" t="str">
        <f>IFERROR(INDEX(DM_NL!$A$5:$A$304,MATCH(ROW()-10,DM_NL!$G$5:$G$304,0)),"")</f>
        <v/>
      </c>
      <c r="C208" s="35" t="str">
        <f>IF(B208="","",INDEX(DM_NL!$B$5:$B$304,MATCH(B208,DM_NL!$A$5:$A$304,0)))</f>
        <v/>
      </c>
      <c r="D208" s="35" t="str">
        <f>IF(B208="","",INDEX(DM_NL!$C$5:$C$304,MATCH(B208,DM_NL!$A$5:$A$304,0)))</f>
        <v/>
      </c>
      <c r="E208" s="39" t="str">
        <f>IF($B208="","",SUMIFS(Kho_NL!$B$5:$B$304,Kho_NL!$A$5:$A$304,$B208))</f>
        <v/>
      </c>
      <c r="F208" s="39" t="str">
        <f>IF($B208="","",SUMIFS(Kho_NL!$C$5:$C$304,Kho_NL!$A$5:$A$304,$B208))</f>
        <v/>
      </c>
      <c r="G208" s="39" t="str">
        <f>IF($B208="","",SUMIFS(Kho_NL!$D$5:$D$304,Kho_NL!$A$5:$A$304,$B208))</f>
        <v/>
      </c>
      <c r="H208" s="39" t="str">
        <f>IF($B208="","",SUMIFS(Kho_NL!$E$5:$E$304,Kho_NL!$A$5:$A$304,$B208))</f>
        <v/>
      </c>
      <c r="I208" s="39" t="str">
        <f>IF($B208="","",SUMIFS(Kho_NL!$F$5:$F$304,Kho_NL!$A$5:$A$304,$B208))</f>
        <v/>
      </c>
      <c r="J208" s="39" t="str">
        <f>IF($B208="","",SUMIFS(Kho_NL!$G$5:$G$304,Kho_NL!$A$5:$A$304,$B208))</f>
        <v/>
      </c>
      <c r="K208" s="39" t="str">
        <f t="shared" si="16"/>
        <v/>
      </c>
      <c r="L208" s="31" t="str">
        <f>IF($B208="","",IFERROR(INDEX(Kho_NL!$I$5:$I$304,MATCH(B208,Kho_NL!$A$5:$A$304,0))&amp;"",""))</f>
        <v/>
      </c>
      <c r="M208" s="44" t="str">
        <f>IF($B208="","",SUMIFS(Kho_NL!$H$5:$H$304,Kho_NL!$A$5:$A$304,$B208))</f>
        <v/>
      </c>
      <c r="N208" s="44" t="str">
        <f t="shared" si="17"/>
        <v/>
      </c>
      <c r="O208" s="45" t="str">
        <f t="shared" si="18"/>
        <v/>
      </c>
      <c r="P208" s="44" t="str">
        <f>IF($B208="","",SUMIFS(TK_Nhap!$E$5:$E$1004,TK_Nhap!$D$5:$D$1004,$B208,TK_Nhap!$H$5:$H$1004,1))</f>
        <v/>
      </c>
      <c r="Q208" s="44" t="str">
        <f t="shared" si="19"/>
        <v/>
      </c>
    </row>
    <row r="209" spans="1:17" x14ac:dyDescent="0.25">
      <c r="A209" s="36" t="str">
        <f t="shared" si="15"/>
        <v/>
      </c>
      <c r="B209" s="35" t="str">
        <f>IFERROR(INDEX(DM_NL!$A$5:$A$304,MATCH(ROW()-10,DM_NL!$G$5:$G$304,0)),"")</f>
        <v/>
      </c>
      <c r="C209" s="35" t="str">
        <f>IF(B209="","",INDEX(DM_NL!$B$5:$B$304,MATCH(B209,DM_NL!$A$5:$A$304,0)))</f>
        <v/>
      </c>
      <c r="D209" s="35" t="str">
        <f>IF(B209="","",INDEX(DM_NL!$C$5:$C$304,MATCH(B209,DM_NL!$A$5:$A$304,0)))</f>
        <v/>
      </c>
      <c r="E209" s="39" t="str">
        <f>IF($B209="","",SUMIFS(Kho_NL!$B$5:$B$304,Kho_NL!$A$5:$A$304,$B209))</f>
        <v/>
      </c>
      <c r="F209" s="39" t="str">
        <f>IF($B209="","",SUMIFS(Kho_NL!$C$5:$C$304,Kho_NL!$A$5:$A$304,$B209))</f>
        <v/>
      </c>
      <c r="G209" s="39" t="str">
        <f>IF($B209="","",SUMIFS(Kho_NL!$D$5:$D$304,Kho_NL!$A$5:$A$304,$B209))</f>
        <v/>
      </c>
      <c r="H209" s="39" t="str">
        <f>IF($B209="","",SUMIFS(Kho_NL!$E$5:$E$304,Kho_NL!$A$5:$A$304,$B209))</f>
        <v/>
      </c>
      <c r="I209" s="39" t="str">
        <f>IF($B209="","",SUMIFS(Kho_NL!$F$5:$F$304,Kho_NL!$A$5:$A$304,$B209))</f>
        <v/>
      </c>
      <c r="J209" s="39" t="str">
        <f>IF($B209="","",SUMIFS(Kho_NL!$G$5:$G$304,Kho_NL!$A$5:$A$304,$B209))</f>
        <v/>
      </c>
      <c r="K209" s="39" t="str">
        <f t="shared" si="16"/>
        <v/>
      </c>
      <c r="L209" s="31" t="str">
        <f>IF($B209="","",IFERROR(INDEX(Kho_NL!$I$5:$I$304,MATCH(B209,Kho_NL!$A$5:$A$304,0))&amp;"",""))</f>
        <v/>
      </c>
      <c r="M209" s="44" t="str">
        <f>IF($B209="","",SUMIFS(Kho_NL!$H$5:$H$304,Kho_NL!$A$5:$A$304,$B209))</f>
        <v/>
      </c>
      <c r="N209" s="44" t="str">
        <f t="shared" si="17"/>
        <v/>
      </c>
      <c r="O209" s="45" t="str">
        <f t="shared" si="18"/>
        <v/>
      </c>
      <c r="P209" s="44" t="str">
        <f>IF($B209="","",SUMIFS(TK_Nhap!$E$5:$E$1004,TK_Nhap!$D$5:$D$1004,$B209,TK_Nhap!$H$5:$H$1004,1))</f>
        <v/>
      </c>
      <c r="Q209" s="44" t="str">
        <f t="shared" si="19"/>
        <v/>
      </c>
    </row>
    <row r="210" spans="1:17" x14ac:dyDescent="0.25">
      <c r="A210" s="36" t="str">
        <f t="shared" si="15"/>
        <v/>
      </c>
      <c r="B210" s="35" t="str">
        <f>IFERROR(INDEX(DM_NL!$A$5:$A$304,MATCH(ROW()-10,DM_NL!$G$5:$G$304,0)),"")</f>
        <v/>
      </c>
      <c r="C210" s="35" t="str">
        <f>IF(B210="","",INDEX(DM_NL!$B$5:$B$304,MATCH(B210,DM_NL!$A$5:$A$304,0)))</f>
        <v/>
      </c>
      <c r="D210" s="35" t="str">
        <f>IF(B210="","",INDEX(DM_NL!$C$5:$C$304,MATCH(B210,DM_NL!$A$5:$A$304,0)))</f>
        <v/>
      </c>
      <c r="E210" s="39" t="str">
        <f>IF($B210="","",SUMIFS(Kho_NL!$B$5:$B$304,Kho_NL!$A$5:$A$304,$B210))</f>
        <v/>
      </c>
      <c r="F210" s="39" t="str">
        <f>IF($B210="","",SUMIFS(Kho_NL!$C$5:$C$304,Kho_NL!$A$5:$A$304,$B210))</f>
        <v/>
      </c>
      <c r="G210" s="39" t="str">
        <f>IF($B210="","",SUMIFS(Kho_NL!$D$5:$D$304,Kho_NL!$A$5:$A$304,$B210))</f>
        <v/>
      </c>
      <c r="H210" s="39" t="str">
        <f>IF($B210="","",SUMIFS(Kho_NL!$E$5:$E$304,Kho_NL!$A$5:$A$304,$B210))</f>
        <v/>
      </c>
      <c r="I210" s="39" t="str">
        <f>IF($B210="","",SUMIFS(Kho_NL!$F$5:$F$304,Kho_NL!$A$5:$A$304,$B210))</f>
        <v/>
      </c>
      <c r="J210" s="39" t="str">
        <f>IF($B210="","",SUMIFS(Kho_NL!$G$5:$G$304,Kho_NL!$A$5:$A$304,$B210))</f>
        <v/>
      </c>
      <c r="K210" s="39" t="str">
        <f t="shared" si="16"/>
        <v/>
      </c>
      <c r="L210" s="31" t="str">
        <f>IF($B210="","",IFERROR(INDEX(Kho_NL!$I$5:$I$304,MATCH(B210,Kho_NL!$A$5:$A$304,0))&amp;"",""))</f>
        <v/>
      </c>
      <c r="M210" s="44" t="str">
        <f>IF($B210="","",SUMIFS(Kho_NL!$H$5:$H$304,Kho_NL!$A$5:$A$304,$B210))</f>
        <v/>
      </c>
      <c r="N210" s="44" t="str">
        <f t="shared" si="17"/>
        <v/>
      </c>
      <c r="O210" s="45" t="str">
        <f t="shared" si="18"/>
        <v/>
      </c>
      <c r="P210" s="44" t="str">
        <f>IF($B210="","",SUMIFS(TK_Nhap!$E$5:$E$1004,TK_Nhap!$D$5:$D$1004,$B210,TK_Nhap!$H$5:$H$1004,1))</f>
        <v/>
      </c>
      <c r="Q210" s="44" t="str">
        <f t="shared" si="19"/>
        <v/>
      </c>
    </row>
    <row r="211" spans="1:17" x14ac:dyDescent="0.25">
      <c r="A211" s="36" t="str">
        <f t="shared" si="15"/>
        <v/>
      </c>
      <c r="B211" s="35" t="str">
        <f>IFERROR(INDEX(DM_NL!$A$5:$A$304,MATCH(ROW()-10,DM_NL!$G$5:$G$304,0)),"")</f>
        <v/>
      </c>
      <c r="C211" s="35" t="str">
        <f>IF(B211="","",INDEX(DM_NL!$B$5:$B$304,MATCH(B211,DM_NL!$A$5:$A$304,0)))</f>
        <v/>
      </c>
      <c r="D211" s="35" t="str">
        <f>IF(B211="","",INDEX(DM_NL!$C$5:$C$304,MATCH(B211,DM_NL!$A$5:$A$304,0)))</f>
        <v/>
      </c>
      <c r="E211" s="39" t="str">
        <f>IF($B211="","",SUMIFS(Kho_NL!$B$5:$B$304,Kho_NL!$A$5:$A$304,$B211))</f>
        <v/>
      </c>
      <c r="F211" s="39" t="str">
        <f>IF($B211="","",SUMIFS(Kho_NL!$C$5:$C$304,Kho_NL!$A$5:$A$304,$B211))</f>
        <v/>
      </c>
      <c r="G211" s="39" t="str">
        <f>IF($B211="","",SUMIFS(Kho_NL!$D$5:$D$304,Kho_NL!$A$5:$A$304,$B211))</f>
        <v/>
      </c>
      <c r="H211" s="39" t="str">
        <f>IF($B211="","",SUMIFS(Kho_NL!$E$5:$E$304,Kho_NL!$A$5:$A$304,$B211))</f>
        <v/>
      </c>
      <c r="I211" s="39" t="str">
        <f>IF($B211="","",SUMIFS(Kho_NL!$F$5:$F$304,Kho_NL!$A$5:$A$304,$B211))</f>
        <v/>
      </c>
      <c r="J211" s="39" t="str">
        <f>IF($B211="","",SUMIFS(Kho_NL!$G$5:$G$304,Kho_NL!$A$5:$A$304,$B211))</f>
        <v/>
      </c>
      <c r="K211" s="39" t="str">
        <f t="shared" si="16"/>
        <v/>
      </c>
      <c r="L211" s="31" t="str">
        <f>IF($B211="","",IFERROR(INDEX(Kho_NL!$I$5:$I$304,MATCH(B211,Kho_NL!$A$5:$A$304,0))&amp;"",""))</f>
        <v/>
      </c>
      <c r="M211" s="44" t="str">
        <f>IF($B211="","",SUMIFS(Kho_NL!$H$5:$H$304,Kho_NL!$A$5:$A$304,$B211))</f>
        <v/>
      </c>
      <c r="N211" s="44" t="str">
        <f t="shared" si="17"/>
        <v/>
      </c>
      <c r="O211" s="45" t="str">
        <f t="shared" si="18"/>
        <v/>
      </c>
      <c r="P211" s="44" t="str">
        <f>IF($B211="","",SUMIFS(TK_Nhap!$E$5:$E$1004,TK_Nhap!$D$5:$D$1004,$B211,TK_Nhap!$H$5:$H$1004,1))</f>
        <v/>
      </c>
      <c r="Q211" s="44" t="str">
        <f t="shared" si="19"/>
        <v/>
      </c>
    </row>
    <row r="212" spans="1:17" x14ac:dyDescent="0.25">
      <c r="A212" s="36" t="str">
        <f t="shared" si="15"/>
        <v/>
      </c>
      <c r="B212" s="35" t="str">
        <f>IFERROR(INDEX(DM_NL!$A$5:$A$304,MATCH(ROW()-10,DM_NL!$G$5:$G$304,0)),"")</f>
        <v/>
      </c>
      <c r="C212" s="35" t="str">
        <f>IF(B212="","",INDEX(DM_NL!$B$5:$B$304,MATCH(B212,DM_NL!$A$5:$A$304,0)))</f>
        <v/>
      </c>
      <c r="D212" s="35" t="str">
        <f>IF(B212="","",INDEX(DM_NL!$C$5:$C$304,MATCH(B212,DM_NL!$A$5:$A$304,0)))</f>
        <v/>
      </c>
      <c r="E212" s="39" t="str">
        <f>IF($B212="","",SUMIFS(Kho_NL!$B$5:$B$304,Kho_NL!$A$5:$A$304,$B212))</f>
        <v/>
      </c>
      <c r="F212" s="39" t="str">
        <f>IF($B212="","",SUMIFS(Kho_NL!$C$5:$C$304,Kho_NL!$A$5:$A$304,$B212))</f>
        <v/>
      </c>
      <c r="G212" s="39" t="str">
        <f>IF($B212="","",SUMIFS(Kho_NL!$D$5:$D$304,Kho_NL!$A$5:$A$304,$B212))</f>
        <v/>
      </c>
      <c r="H212" s="39" t="str">
        <f>IF($B212="","",SUMIFS(Kho_NL!$E$5:$E$304,Kho_NL!$A$5:$A$304,$B212))</f>
        <v/>
      </c>
      <c r="I212" s="39" t="str">
        <f>IF($B212="","",SUMIFS(Kho_NL!$F$5:$F$304,Kho_NL!$A$5:$A$304,$B212))</f>
        <v/>
      </c>
      <c r="J212" s="39" t="str">
        <f>IF($B212="","",SUMIFS(Kho_NL!$G$5:$G$304,Kho_NL!$A$5:$A$304,$B212))</f>
        <v/>
      </c>
      <c r="K212" s="39" t="str">
        <f t="shared" si="16"/>
        <v/>
      </c>
      <c r="L212" s="31" t="str">
        <f>IF($B212="","",IFERROR(INDEX(Kho_NL!$I$5:$I$304,MATCH(B212,Kho_NL!$A$5:$A$304,0))&amp;"",""))</f>
        <v/>
      </c>
      <c r="M212" s="44" t="str">
        <f>IF($B212="","",SUMIFS(Kho_NL!$H$5:$H$304,Kho_NL!$A$5:$A$304,$B212))</f>
        <v/>
      </c>
      <c r="N212" s="44" t="str">
        <f t="shared" si="17"/>
        <v/>
      </c>
      <c r="O212" s="45" t="str">
        <f t="shared" si="18"/>
        <v/>
      </c>
      <c r="P212" s="44" t="str">
        <f>IF($B212="","",SUMIFS(TK_Nhap!$E$5:$E$1004,TK_Nhap!$D$5:$D$1004,$B212,TK_Nhap!$H$5:$H$1004,1))</f>
        <v/>
      </c>
      <c r="Q212" s="44" t="str">
        <f t="shared" si="19"/>
        <v/>
      </c>
    </row>
    <row r="213" spans="1:17" x14ac:dyDescent="0.25">
      <c r="A213" s="36" t="str">
        <f t="shared" si="15"/>
        <v/>
      </c>
      <c r="B213" s="35" t="str">
        <f>IFERROR(INDEX(DM_NL!$A$5:$A$304,MATCH(ROW()-10,DM_NL!$G$5:$G$304,0)),"")</f>
        <v/>
      </c>
      <c r="C213" s="35" t="str">
        <f>IF(B213="","",INDEX(DM_NL!$B$5:$B$304,MATCH(B213,DM_NL!$A$5:$A$304,0)))</f>
        <v/>
      </c>
      <c r="D213" s="35" t="str">
        <f>IF(B213="","",INDEX(DM_NL!$C$5:$C$304,MATCH(B213,DM_NL!$A$5:$A$304,0)))</f>
        <v/>
      </c>
      <c r="E213" s="39" t="str">
        <f>IF($B213="","",SUMIFS(Kho_NL!$B$5:$B$304,Kho_NL!$A$5:$A$304,$B213))</f>
        <v/>
      </c>
      <c r="F213" s="39" t="str">
        <f>IF($B213="","",SUMIFS(Kho_NL!$C$5:$C$304,Kho_NL!$A$5:$A$304,$B213))</f>
        <v/>
      </c>
      <c r="G213" s="39" t="str">
        <f>IF($B213="","",SUMIFS(Kho_NL!$D$5:$D$304,Kho_NL!$A$5:$A$304,$B213))</f>
        <v/>
      </c>
      <c r="H213" s="39" t="str">
        <f>IF($B213="","",SUMIFS(Kho_NL!$E$5:$E$304,Kho_NL!$A$5:$A$304,$B213))</f>
        <v/>
      </c>
      <c r="I213" s="39" t="str">
        <f>IF($B213="","",SUMIFS(Kho_NL!$F$5:$F$304,Kho_NL!$A$5:$A$304,$B213))</f>
        <v/>
      </c>
      <c r="J213" s="39" t="str">
        <f>IF($B213="","",SUMIFS(Kho_NL!$G$5:$G$304,Kho_NL!$A$5:$A$304,$B213))</f>
        <v/>
      </c>
      <c r="K213" s="39" t="str">
        <f t="shared" si="16"/>
        <v/>
      </c>
      <c r="L213" s="31" t="str">
        <f>IF($B213="","",IFERROR(INDEX(Kho_NL!$I$5:$I$304,MATCH(B213,Kho_NL!$A$5:$A$304,0))&amp;"",""))</f>
        <v/>
      </c>
      <c r="M213" s="44" t="str">
        <f>IF($B213="","",SUMIFS(Kho_NL!$H$5:$H$304,Kho_NL!$A$5:$A$304,$B213))</f>
        <v/>
      </c>
      <c r="N213" s="44" t="str">
        <f t="shared" si="17"/>
        <v/>
      </c>
      <c r="O213" s="45" t="str">
        <f t="shared" si="18"/>
        <v/>
      </c>
      <c r="P213" s="44" t="str">
        <f>IF($B213="","",SUMIFS(TK_Nhap!$E$5:$E$1004,TK_Nhap!$D$5:$D$1004,$B213,TK_Nhap!$H$5:$H$1004,1))</f>
        <v/>
      </c>
      <c r="Q213" s="44" t="str">
        <f t="shared" si="19"/>
        <v/>
      </c>
    </row>
    <row r="214" spans="1:17" x14ac:dyDescent="0.25">
      <c r="A214" s="36" t="str">
        <f t="shared" si="15"/>
        <v/>
      </c>
      <c r="B214" s="35" t="str">
        <f>IFERROR(INDEX(DM_NL!$A$5:$A$304,MATCH(ROW()-10,DM_NL!$G$5:$G$304,0)),"")</f>
        <v/>
      </c>
      <c r="C214" s="35" t="str">
        <f>IF(B214="","",INDEX(DM_NL!$B$5:$B$304,MATCH(B214,DM_NL!$A$5:$A$304,0)))</f>
        <v/>
      </c>
      <c r="D214" s="35" t="str">
        <f>IF(B214="","",INDEX(DM_NL!$C$5:$C$304,MATCH(B214,DM_NL!$A$5:$A$304,0)))</f>
        <v/>
      </c>
      <c r="E214" s="39" t="str">
        <f>IF($B214="","",SUMIFS(Kho_NL!$B$5:$B$304,Kho_NL!$A$5:$A$304,$B214))</f>
        <v/>
      </c>
      <c r="F214" s="39" t="str">
        <f>IF($B214="","",SUMIFS(Kho_NL!$C$5:$C$304,Kho_NL!$A$5:$A$304,$B214))</f>
        <v/>
      </c>
      <c r="G214" s="39" t="str">
        <f>IF($B214="","",SUMIFS(Kho_NL!$D$5:$D$304,Kho_NL!$A$5:$A$304,$B214))</f>
        <v/>
      </c>
      <c r="H214" s="39" t="str">
        <f>IF($B214="","",SUMIFS(Kho_NL!$E$5:$E$304,Kho_NL!$A$5:$A$304,$B214))</f>
        <v/>
      </c>
      <c r="I214" s="39" t="str">
        <f>IF($B214="","",SUMIFS(Kho_NL!$F$5:$F$304,Kho_NL!$A$5:$A$304,$B214))</f>
        <v/>
      </c>
      <c r="J214" s="39" t="str">
        <f>IF($B214="","",SUMIFS(Kho_NL!$G$5:$G$304,Kho_NL!$A$5:$A$304,$B214))</f>
        <v/>
      </c>
      <c r="K214" s="39" t="str">
        <f t="shared" si="16"/>
        <v/>
      </c>
      <c r="L214" s="31" t="str">
        <f>IF($B214="","",IFERROR(INDEX(Kho_NL!$I$5:$I$304,MATCH(B214,Kho_NL!$A$5:$A$304,0))&amp;"",""))</f>
        <v/>
      </c>
      <c r="M214" s="44" t="str">
        <f>IF($B214="","",SUMIFS(Kho_NL!$H$5:$H$304,Kho_NL!$A$5:$A$304,$B214))</f>
        <v/>
      </c>
      <c r="N214" s="44" t="str">
        <f t="shared" si="17"/>
        <v/>
      </c>
      <c r="O214" s="45" t="str">
        <f t="shared" si="18"/>
        <v/>
      </c>
      <c r="P214" s="44" t="str">
        <f>IF($B214="","",SUMIFS(TK_Nhap!$E$5:$E$1004,TK_Nhap!$D$5:$D$1004,$B214,TK_Nhap!$H$5:$H$1004,1))</f>
        <v/>
      </c>
      <c r="Q214" s="44" t="str">
        <f t="shared" si="19"/>
        <v/>
      </c>
    </row>
    <row r="215" spans="1:17" x14ac:dyDescent="0.25">
      <c r="A215" s="36" t="str">
        <f t="shared" si="15"/>
        <v/>
      </c>
      <c r="B215" s="35" t="str">
        <f>IFERROR(INDEX(DM_NL!$A$5:$A$304,MATCH(ROW()-10,DM_NL!$G$5:$G$304,0)),"")</f>
        <v/>
      </c>
      <c r="C215" s="35" t="str">
        <f>IF(B215="","",INDEX(DM_NL!$B$5:$B$304,MATCH(B215,DM_NL!$A$5:$A$304,0)))</f>
        <v/>
      </c>
      <c r="D215" s="35" t="str">
        <f>IF(B215="","",INDEX(DM_NL!$C$5:$C$304,MATCH(B215,DM_NL!$A$5:$A$304,0)))</f>
        <v/>
      </c>
      <c r="E215" s="39" t="str">
        <f>IF($B215="","",SUMIFS(Kho_NL!$B$5:$B$304,Kho_NL!$A$5:$A$304,$B215))</f>
        <v/>
      </c>
      <c r="F215" s="39" t="str">
        <f>IF($B215="","",SUMIFS(Kho_NL!$C$5:$C$304,Kho_NL!$A$5:$A$304,$B215))</f>
        <v/>
      </c>
      <c r="G215" s="39" t="str">
        <f>IF($B215="","",SUMIFS(Kho_NL!$D$5:$D$304,Kho_NL!$A$5:$A$304,$B215))</f>
        <v/>
      </c>
      <c r="H215" s="39" t="str">
        <f>IF($B215="","",SUMIFS(Kho_NL!$E$5:$E$304,Kho_NL!$A$5:$A$304,$B215))</f>
        <v/>
      </c>
      <c r="I215" s="39" t="str">
        <f>IF($B215="","",SUMIFS(Kho_NL!$F$5:$F$304,Kho_NL!$A$5:$A$304,$B215))</f>
        <v/>
      </c>
      <c r="J215" s="39" t="str">
        <f>IF($B215="","",SUMIFS(Kho_NL!$G$5:$G$304,Kho_NL!$A$5:$A$304,$B215))</f>
        <v/>
      </c>
      <c r="K215" s="39" t="str">
        <f t="shared" si="16"/>
        <v/>
      </c>
      <c r="L215" s="31" t="str">
        <f>IF($B215="","",IFERROR(INDEX(Kho_NL!$I$5:$I$304,MATCH(B215,Kho_NL!$A$5:$A$304,0))&amp;"",""))</f>
        <v/>
      </c>
      <c r="M215" s="44" t="str">
        <f>IF($B215="","",SUMIFS(Kho_NL!$H$5:$H$304,Kho_NL!$A$5:$A$304,$B215))</f>
        <v/>
      </c>
      <c r="N215" s="44" t="str">
        <f t="shared" si="17"/>
        <v/>
      </c>
      <c r="O215" s="45" t="str">
        <f t="shared" si="18"/>
        <v/>
      </c>
      <c r="P215" s="44" t="str">
        <f>IF($B215="","",SUMIFS(TK_Nhap!$E$5:$E$1004,TK_Nhap!$D$5:$D$1004,$B215,TK_Nhap!$H$5:$H$1004,1))</f>
        <v/>
      </c>
      <c r="Q215" s="44" t="str">
        <f t="shared" si="19"/>
        <v/>
      </c>
    </row>
    <row r="216" spans="1:17" x14ac:dyDescent="0.25">
      <c r="A216" s="36" t="str">
        <f t="shared" si="15"/>
        <v/>
      </c>
      <c r="B216" s="35" t="str">
        <f>IFERROR(INDEX(DM_NL!$A$5:$A$304,MATCH(ROW()-10,DM_NL!$G$5:$G$304,0)),"")</f>
        <v/>
      </c>
      <c r="C216" s="35" t="str">
        <f>IF(B216="","",INDEX(DM_NL!$B$5:$B$304,MATCH(B216,DM_NL!$A$5:$A$304,0)))</f>
        <v/>
      </c>
      <c r="D216" s="35" t="str">
        <f>IF(B216="","",INDEX(DM_NL!$C$5:$C$304,MATCH(B216,DM_NL!$A$5:$A$304,0)))</f>
        <v/>
      </c>
      <c r="E216" s="39" t="str">
        <f>IF($B216="","",SUMIFS(Kho_NL!$B$5:$B$304,Kho_NL!$A$5:$A$304,$B216))</f>
        <v/>
      </c>
      <c r="F216" s="39" t="str">
        <f>IF($B216="","",SUMIFS(Kho_NL!$C$5:$C$304,Kho_NL!$A$5:$A$304,$B216))</f>
        <v/>
      </c>
      <c r="G216" s="39" t="str">
        <f>IF($B216="","",SUMIFS(Kho_NL!$D$5:$D$304,Kho_NL!$A$5:$A$304,$B216))</f>
        <v/>
      </c>
      <c r="H216" s="39" t="str">
        <f>IF($B216="","",SUMIFS(Kho_NL!$E$5:$E$304,Kho_NL!$A$5:$A$304,$B216))</f>
        <v/>
      </c>
      <c r="I216" s="39" t="str">
        <f>IF($B216="","",SUMIFS(Kho_NL!$F$5:$F$304,Kho_NL!$A$5:$A$304,$B216))</f>
        <v/>
      </c>
      <c r="J216" s="39" t="str">
        <f>IF($B216="","",SUMIFS(Kho_NL!$G$5:$G$304,Kho_NL!$A$5:$A$304,$B216))</f>
        <v/>
      </c>
      <c r="K216" s="39" t="str">
        <f t="shared" si="16"/>
        <v/>
      </c>
      <c r="L216" s="31" t="str">
        <f>IF($B216="","",IFERROR(INDEX(Kho_NL!$I$5:$I$304,MATCH(B216,Kho_NL!$A$5:$A$304,0))&amp;"",""))</f>
        <v/>
      </c>
      <c r="M216" s="44" t="str">
        <f>IF($B216="","",SUMIFS(Kho_NL!$H$5:$H$304,Kho_NL!$A$5:$A$304,$B216))</f>
        <v/>
      </c>
      <c r="N216" s="44" t="str">
        <f t="shared" si="17"/>
        <v/>
      </c>
      <c r="O216" s="45" t="str">
        <f t="shared" si="18"/>
        <v/>
      </c>
      <c r="P216" s="44" t="str">
        <f>IF($B216="","",SUMIFS(TK_Nhap!$E$5:$E$1004,TK_Nhap!$D$5:$D$1004,$B216,TK_Nhap!$H$5:$H$1004,1))</f>
        <v/>
      </c>
      <c r="Q216" s="44" t="str">
        <f t="shared" si="19"/>
        <v/>
      </c>
    </row>
    <row r="217" spans="1:17" x14ac:dyDescent="0.25">
      <c r="A217" s="36" t="str">
        <f t="shared" si="15"/>
        <v/>
      </c>
      <c r="B217" s="35" t="str">
        <f>IFERROR(INDEX(DM_NL!$A$5:$A$304,MATCH(ROW()-10,DM_NL!$G$5:$G$304,0)),"")</f>
        <v/>
      </c>
      <c r="C217" s="35" t="str">
        <f>IF(B217="","",INDEX(DM_NL!$B$5:$B$304,MATCH(B217,DM_NL!$A$5:$A$304,0)))</f>
        <v/>
      </c>
      <c r="D217" s="35" t="str">
        <f>IF(B217="","",INDEX(DM_NL!$C$5:$C$304,MATCH(B217,DM_NL!$A$5:$A$304,0)))</f>
        <v/>
      </c>
      <c r="E217" s="39" t="str">
        <f>IF($B217="","",SUMIFS(Kho_NL!$B$5:$B$304,Kho_NL!$A$5:$A$304,$B217))</f>
        <v/>
      </c>
      <c r="F217" s="39" t="str">
        <f>IF($B217="","",SUMIFS(Kho_NL!$C$5:$C$304,Kho_NL!$A$5:$A$304,$B217))</f>
        <v/>
      </c>
      <c r="G217" s="39" t="str">
        <f>IF($B217="","",SUMIFS(Kho_NL!$D$5:$D$304,Kho_NL!$A$5:$A$304,$B217))</f>
        <v/>
      </c>
      <c r="H217" s="39" t="str">
        <f>IF($B217="","",SUMIFS(Kho_NL!$E$5:$E$304,Kho_NL!$A$5:$A$304,$B217))</f>
        <v/>
      </c>
      <c r="I217" s="39" t="str">
        <f>IF($B217="","",SUMIFS(Kho_NL!$F$5:$F$304,Kho_NL!$A$5:$A$304,$B217))</f>
        <v/>
      </c>
      <c r="J217" s="39" t="str">
        <f>IF($B217="","",SUMIFS(Kho_NL!$G$5:$G$304,Kho_NL!$A$5:$A$304,$B217))</f>
        <v/>
      </c>
      <c r="K217" s="39" t="str">
        <f t="shared" si="16"/>
        <v/>
      </c>
      <c r="L217" s="31" t="str">
        <f>IF($B217="","",IFERROR(INDEX(Kho_NL!$I$5:$I$304,MATCH(B217,Kho_NL!$A$5:$A$304,0))&amp;"",""))</f>
        <v/>
      </c>
      <c r="M217" s="44" t="str">
        <f>IF($B217="","",SUMIFS(Kho_NL!$H$5:$H$304,Kho_NL!$A$5:$A$304,$B217))</f>
        <v/>
      </c>
      <c r="N217" s="44" t="str">
        <f t="shared" si="17"/>
        <v/>
      </c>
      <c r="O217" s="45" t="str">
        <f t="shared" si="18"/>
        <v/>
      </c>
      <c r="P217" s="44" t="str">
        <f>IF($B217="","",SUMIFS(TK_Nhap!$E$5:$E$1004,TK_Nhap!$D$5:$D$1004,$B217,TK_Nhap!$H$5:$H$1004,1))</f>
        <v/>
      </c>
      <c r="Q217" s="44" t="str">
        <f t="shared" si="19"/>
        <v/>
      </c>
    </row>
    <row r="218" spans="1:17" x14ac:dyDescent="0.25">
      <c r="A218" s="36" t="str">
        <f t="shared" si="15"/>
        <v/>
      </c>
      <c r="B218" s="35" t="str">
        <f>IFERROR(INDEX(DM_NL!$A$5:$A$304,MATCH(ROW()-10,DM_NL!$G$5:$G$304,0)),"")</f>
        <v/>
      </c>
      <c r="C218" s="35" t="str">
        <f>IF(B218="","",INDEX(DM_NL!$B$5:$B$304,MATCH(B218,DM_NL!$A$5:$A$304,0)))</f>
        <v/>
      </c>
      <c r="D218" s="35" t="str">
        <f>IF(B218="","",INDEX(DM_NL!$C$5:$C$304,MATCH(B218,DM_NL!$A$5:$A$304,0)))</f>
        <v/>
      </c>
      <c r="E218" s="39" t="str">
        <f>IF($B218="","",SUMIFS(Kho_NL!$B$5:$B$304,Kho_NL!$A$5:$A$304,$B218))</f>
        <v/>
      </c>
      <c r="F218" s="39" t="str">
        <f>IF($B218="","",SUMIFS(Kho_NL!$C$5:$C$304,Kho_NL!$A$5:$A$304,$B218))</f>
        <v/>
      </c>
      <c r="G218" s="39" t="str">
        <f>IF($B218="","",SUMIFS(Kho_NL!$D$5:$D$304,Kho_NL!$A$5:$A$304,$B218))</f>
        <v/>
      </c>
      <c r="H218" s="39" t="str">
        <f>IF($B218="","",SUMIFS(Kho_NL!$E$5:$E$304,Kho_NL!$A$5:$A$304,$B218))</f>
        <v/>
      </c>
      <c r="I218" s="39" t="str">
        <f>IF($B218="","",SUMIFS(Kho_NL!$F$5:$F$304,Kho_NL!$A$5:$A$304,$B218))</f>
        <v/>
      </c>
      <c r="J218" s="39" t="str">
        <f>IF($B218="","",SUMIFS(Kho_NL!$G$5:$G$304,Kho_NL!$A$5:$A$304,$B218))</f>
        <v/>
      </c>
      <c r="K218" s="39" t="str">
        <f t="shared" si="16"/>
        <v/>
      </c>
      <c r="L218" s="31" t="str">
        <f>IF($B218="","",IFERROR(INDEX(Kho_NL!$I$5:$I$304,MATCH(B218,Kho_NL!$A$5:$A$304,0))&amp;"",""))</f>
        <v/>
      </c>
      <c r="M218" s="44" t="str">
        <f>IF($B218="","",SUMIFS(Kho_NL!$H$5:$H$304,Kho_NL!$A$5:$A$304,$B218))</f>
        <v/>
      </c>
      <c r="N218" s="44" t="str">
        <f t="shared" si="17"/>
        <v/>
      </c>
      <c r="O218" s="45" t="str">
        <f t="shared" si="18"/>
        <v/>
      </c>
      <c r="P218" s="44" t="str">
        <f>IF($B218="","",SUMIFS(TK_Nhap!$E$5:$E$1004,TK_Nhap!$D$5:$D$1004,$B218,TK_Nhap!$H$5:$H$1004,1))</f>
        <v/>
      </c>
      <c r="Q218" s="44" t="str">
        <f t="shared" si="19"/>
        <v/>
      </c>
    </row>
    <row r="219" spans="1:17" x14ac:dyDescent="0.25">
      <c r="A219" s="36" t="str">
        <f t="shared" si="15"/>
        <v/>
      </c>
      <c r="B219" s="35" t="str">
        <f>IFERROR(INDEX(DM_NL!$A$5:$A$304,MATCH(ROW()-10,DM_NL!$G$5:$G$304,0)),"")</f>
        <v/>
      </c>
      <c r="C219" s="35" t="str">
        <f>IF(B219="","",INDEX(DM_NL!$B$5:$B$304,MATCH(B219,DM_NL!$A$5:$A$304,0)))</f>
        <v/>
      </c>
      <c r="D219" s="35" t="str">
        <f>IF(B219="","",INDEX(DM_NL!$C$5:$C$304,MATCH(B219,DM_NL!$A$5:$A$304,0)))</f>
        <v/>
      </c>
      <c r="E219" s="39" t="str">
        <f>IF($B219="","",SUMIFS(Kho_NL!$B$5:$B$304,Kho_NL!$A$5:$A$304,$B219))</f>
        <v/>
      </c>
      <c r="F219" s="39" t="str">
        <f>IF($B219="","",SUMIFS(Kho_NL!$C$5:$C$304,Kho_NL!$A$5:$A$304,$B219))</f>
        <v/>
      </c>
      <c r="G219" s="39" t="str">
        <f>IF($B219="","",SUMIFS(Kho_NL!$D$5:$D$304,Kho_NL!$A$5:$A$304,$B219))</f>
        <v/>
      </c>
      <c r="H219" s="39" t="str">
        <f>IF($B219="","",SUMIFS(Kho_NL!$E$5:$E$304,Kho_NL!$A$5:$A$304,$B219))</f>
        <v/>
      </c>
      <c r="I219" s="39" t="str">
        <f>IF($B219="","",SUMIFS(Kho_NL!$F$5:$F$304,Kho_NL!$A$5:$A$304,$B219))</f>
        <v/>
      </c>
      <c r="J219" s="39" t="str">
        <f>IF($B219="","",SUMIFS(Kho_NL!$G$5:$G$304,Kho_NL!$A$5:$A$304,$B219))</f>
        <v/>
      </c>
      <c r="K219" s="39" t="str">
        <f t="shared" si="16"/>
        <v/>
      </c>
      <c r="L219" s="31" t="str">
        <f>IF($B219="","",IFERROR(INDEX(Kho_NL!$I$5:$I$304,MATCH(B219,Kho_NL!$A$5:$A$304,0))&amp;"",""))</f>
        <v/>
      </c>
      <c r="M219" s="44" t="str">
        <f>IF($B219="","",SUMIFS(Kho_NL!$H$5:$H$304,Kho_NL!$A$5:$A$304,$B219))</f>
        <v/>
      </c>
      <c r="N219" s="44" t="str">
        <f t="shared" si="17"/>
        <v/>
      </c>
      <c r="O219" s="45" t="str">
        <f t="shared" si="18"/>
        <v/>
      </c>
      <c r="P219" s="44" t="str">
        <f>IF($B219="","",SUMIFS(TK_Nhap!$E$5:$E$1004,TK_Nhap!$D$5:$D$1004,$B219,TK_Nhap!$H$5:$H$1004,1))</f>
        <v/>
      </c>
      <c r="Q219" s="44" t="str">
        <f t="shared" si="19"/>
        <v/>
      </c>
    </row>
    <row r="220" spans="1:17" x14ac:dyDescent="0.25">
      <c r="A220" s="36" t="str">
        <f t="shared" si="15"/>
        <v/>
      </c>
      <c r="B220" s="35" t="str">
        <f>IFERROR(INDEX(DM_NL!$A$5:$A$304,MATCH(ROW()-10,DM_NL!$G$5:$G$304,0)),"")</f>
        <v/>
      </c>
      <c r="C220" s="35" t="str">
        <f>IF(B220="","",INDEX(DM_NL!$B$5:$B$304,MATCH(B220,DM_NL!$A$5:$A$304,0)))</f>
        <v/>
      </c>
      <c r="D220" s="35" t="str">
        <f>IF(B220="","",INDEX(DM_NL!$C$5:$C$304,MATCH(B220,DM_NL!$A$5:$A$304,0)))</f>
        <v/>
      </c>
      <c r="E220" s="39" t="str">
        <f>IF($B220="","",SUMIFS(Kho_NL!$B$5:$B$304,Kho_NL!$A$5:$A$304,$B220))</f>
        <v/>
      </c>
      <c r="F220" s="39" t="str">
        <f>IF($B220="","",SUMIFS(Kho_NL!$C$5:$C$304,Kho_NL!$A$5:$A$304,$B220))</f>
        <v/>
      </c>
      <c r="G220" s="39" t="str">
        <f>IF($B220="","",SUMIFS(Kho_NL!$D$5:$D$304,Kho_NL!$A$5:$A$304,$B220))</f>
        <v/>
      </c>
      <c r="H220" s="39" t="str">
        <f>IF($B220="","",SUMIFS(Kho_NL!$E$5:$E$304,Kho_NL!$A$5:$A$304,$B220))</f>
        <v/>
      </c>
      <c r="I220" s="39" t="str">
        <f>IF($B220="","",SUMIFS(Kho_NL!$F$5:$F$304,Kho_NL!$A$5:$A$304,$B220))</f>
        <v/>
      </c>
      <c r="J220" s="39" t="str">
        <f>IF($B220="","",SUMIFS(Kho_NL!$G$5:$G$304,Kho_NL!$A$5:$A$304,$B220))</f>
        <v/>
      </c>
      <c r="K220" s="39" t="str">
        <f t="shared" si="16"/>
        <v/>
      </c>
      <c r="L220" s="31" t="str">
        <f>IF($B220="","",IFERROR(INDEX(Kho_NL!$I$5:$I$304,MATCH(B220,Kho_NL!$A$5:$A$304,0))&amp;"",""))</f>
        <v/>
      </c>
      <c r="M220" s="44" t="str">
        <f>IF($B220="","",SUMIFS(Kho_NL!$H$5:$H$304,Kho_NL!$A$5:$A$304,$B220))</f>
        <v/>
      </c>
      <c r="N220" s="44" t="str">
        <f t="shared" si="17"/>
        <v/>
      </c>
      <c r="O220" s="45" t="str">
        <f t="shared" si="18"/>
        <v/>
      </c>
      <c r="P220" s="44" t="str">
        <f>IF($B220="","",SUMIFS(TK_Nhap!$E$5:$E$1004,TK_Nhap!$D$5:$D$1004,$B220,TK_Nhap!$H$5:$H$1004,1))</f>
        <v/>
      </c>
      <c r="Q220" s="44" t="str">
        <f t="shared" si="19"/>
        <v/>
      </c>
    </row>
    <row r="221" spans="1:17" x14ac:dyDescent="0.25">
      <c r="A221" s="36" t="str">
        <f t="shared" si="15"/>
        <v/>
      </c>
      <c r="B221" s="35" t="str">
        <f>IFERROR(INDEX(DM_NL!$A$5:$A$304,MATCH(ROW()-10,DM_NL!$G$5:$G$304,0)),"")</f>
        <v/>
      </c>
      <c r="C221" s="35" t="str">
        <f>IF(B221="","",INDEX(DM_NL!$B$5:$B$304,MATCH(B221,DM_NL!$A$5:$A$304,0)))</f>
        <v/>
      </c>
      <c r="D221" s="35" t="str">
        <f>IF(B221="","",INDEX(DM_NL!$C$5:$C$304,MATCH(B221,DM_NL!$A$5:$A$304,0)))</f>
        <v/>
      </c>
      <c r="E221" s="39" t="str">
        <f>IF($B221="","",SUMIFS(Kho_NL!$B$5:$B$304,Kho_NL!$A$5:$A$304,$B221))</f>
        <v/>
      </c>
      <c r="F221" s="39" t="str">
        <f>IF($B221="","",SUMIFS(Kho_NL!$C$5:$C$304,Kho_NL!$A$5:$A$304,$B221))</f>
        <v/>
      </c>
      <c r="G221" s="39" t="str">
        <f>IF($B221="","",SUMIFS(Kho_NL!$D$5:$D$304,Kho_NL!$A$5:$A$304,$B221))</f>
        <v/>
      </c>
      <c r="H221" s="39" t="str">
        <f>IF($B221="","",SUMIFS(Kho_NL!$E$5:$E$304,Kho_NL!$A$5:$A$304,$B221))</f>
        <v/>
      </c>
      <c r="I221" s="39" t="str">
        <f>IF($B221="","",SUMIFS(Kho_NL!$F$5:$F$304,Kho_NL!$A$5:$A$304,$B221))</f>
        <v/>
      </c>
      <c r="J221" s="39" t="str">
        <f>IF($B221="","",SUMIFS(Kho_NL!$G$5:$G$304,Kho_NL!$A$5:$A$304,$B221))</f>
        <v/>
      </c>
      <c r="K221" s="39" t="str">
        <f t="shared" si="16"/>
        <v/>
      </c>
      <c r="L221" s="31" t="str">
        <f>IF($B221="","",IFERROR(INDEX(Kho_NL!$I$5:$I$304,MATCH(B221,Kho_NL!$A$5:$A$304,0))&amp;"",""))</f>
        <v/>
      </c>
      <c r="M221" s="44" t="str">
        <f>IF($B221="","",SUMIFS(Kho_NL!$H$5:$H$304,Kho_NL!$A$5:$A$304,$B221))</f>
        <v/>
      </c>
      <c r="N221" s="44" t="str">
        <f t="shared" si="17"/>
        <v/>
      </c>
      <c r="O221" s="45" t="str">
        <f t="shared" si="18"/>
        <v/>
      </c>
      <c r="P221" s="44" t="str">
        <f>IF($B221="","",SUMIFS(TK_Nhap!$E$5:$E$1004,TK_Nhap!$D$5:$D$1004,$B221,TK_Nhap!$H$5:$H$1004,1))</f>
        <v/>
      </c>
      <c r="Q221" s="44" t="str">
        <f t="shared" si="19"/>
        <v/>
      </c>
    </row>
    <row r="222" spans="1:17" x14ac:dyDescent="0.25">
      <c r="A222" s="36" t="str">
        <f t="shared" si="15"/>
        <v/>
      </c>
      <c r="B222" s="35" t="str">
        <f>IFERROR(INDEX(DM_NL!$A$5:$A$304,MATCH(ROW()-10,DM_NL!$G$5:$G$304,0)),"")</f>
        <v/>
      </c>
      <c r="C222" s="35" t="str">
        <f>IF(B222="","",INDEX(DM_NL!$B$5:$B$304,MATCH(B222,DM_NL!$A$5:$A$304,0)))</f>
        <v/>
      </c>
      <c r="D222" s="35" t="str">
        <f>IF(B222="","",INDEX(DM_NL!$C$5:$C$304,MATCH(B222,DM_NL!$A$5:$A$304,0)))</f>
        <v/>
      </c>
      <c r="E222" s="39" t="str">
        <f>IF($B222="","",SUMIFS(Kho_NL!$B$5:$B$304,Kho_NL!$A$5:$A$304,$B222))</f>
        <v/>
      </c>
      <c r="F222" s="39" t="str">
        <f>IF($B222="","",SUMIFS(Kho_NL!$C$5:$C$304,Kho_NL!$A$5:$A$304,$B222))</f>
        <v/>
      </c>
      <c r="G222" s="39" t="str">
        <f>IF($B222="","",SUMIFS(Kho_NL!$D$5:$D$304,Kho_NL!$A$5:$A$304,$B222))</f>
        <v/>
      </c>
      <c r="H222" s="39" t="str">
        <f>IF($B222="","",SUMIFS(Kho_NL!$E$5:$E$304,Kho_NL!$A$5:$A$304,$B222))</f>
        <v/>
      </c>
      <c r="I222" s="39" t="str">
        <f>IF($B222="","",SUMIFS(Kho_NL!$F$5:$F$304,Kho_NL!$A$5:$A$304,$B222))</f>
        <v/>
      </c>
      <c r="J222" s="39" t="str">
        <f>IF($B222="","",SUMIFS(Kho_NL!$G$5:$G$304,Kho_NL!$A$5:$A$304,$B222))</f>
        <v/>
      </c>
      <c r="K222" s="39" t="str">
        <f t="shared" si="16"/>
        <v/>
      </c>
      <c r="L222" s="31" t="str">
        <f>IF($B222="","",IFERROR(INDEX(Kho_NL!$I$5:$I$304,MATCH(B222,Kho_NL!$A$5:$A$304,0))&amp;"",""))</f>
        <v/>
      </c>
      <c r="M222" s="44" t="str">
        <f>IF($B222="","",SUMIFS(Kho_NL!$H$5:$H$304,Kho_NL!$A$5:$A$304,$B222))</f>
        <v/>
      </c>
      <c r="N222" s="44" t="str">
        <f t="shared" si="17"/>
        <v/>
      </c>
      <c r="O222" s="45" t="str">
        <f t="shared" si="18"/>
        <v/>
      </c>
      <c r="P222" s="44" t="str">
        <f>IF($B222="","",SUMIFS(TK_Nhap!$E$5:$E$1004,TK_Nhap!$D$5:$D$1004,$B222,TK_Nhap!$H$5:$H$1004,1))</f>
        <v/>
      </c>
      <c r="Q222" s="44" t="str">
        <f t="shared" si="19"/>
        <v/>
      </c>
    </row>
    <row r="223" spans="1:17" x14ac:dyDescent="0.25">
      <c r="A223" s="36" t="str">
        <f t="shared" si="15"/>
        <v/>
      </c>
      <c r="B223" s="35" t="str">
        <f>IFERROR(INDEX(DM_NL!$A$5:$A$304,MATCH(ROW()-10,DM_NL!$G$5:$G$304,0)),"")</f>
        <v/>
      </c>
      <c r="C223" s="35" t="str">
        <f>IF(B223="","",INDEX(DM_NL!$B$5:$B$304,MATCH(B223,DM_NL!$A$5:$A$304,0)))</f>
        <v/>
      </c>
      <c r="D223" s="35" t="str">
        <f>IF(B223="","",INDEX(DM_NL!$C$5:$C$304,MATCH(B223,DM_NL!$A$5:$A$304,0)))</f>
        <v/>
      </c>
      <c r="E223" s="39" t="str">
        <f>IF($B223="","",SUMIFS(Kho_NL!$B$5:$B$304,Kho_NL!$A$5:$A$304,$B223))</f>
        <v/>
      </c>
      <c r="F223" s="39" t="str">
        <f>IF($B223="","",SUMIFS(Kho_NL!$C$5:$C$304,Kho_NL!$A$5:$A$304,$B223))</f>
        <v/>
      </c>
      <c r="G223" s="39" t="str">
        <f>IF($B223="","",SUMIFS(Kho_NL!$D$5:$D$304,Kho_NL!$A$5:$A$304,$B223))</f>
        <v/>
      </c>
      <c r="H223" s="39" t="str">
        <f>IF($B223="","",SUMIFS(Kho_NL!$E$5:$E$304,Kho_NL!$A$5:$A$304,$B223))</f>
        <v/>
      </c>
      <c r="I223" s="39" t="str">
        <f>IF($B223="","",SUMIFS(Kho_NL!$F$5:$F$304,Kho_NL!$A$5:$A$304,$B223))</f>
        <v/>
      </c>
      <c r="J223" s="39" t="str">
        <f>IF($B223="","",SUMIFS(Kho_NL!$G$5:$G$304,Kho_NL!$A$5:$A$304,$B223))</f>
        <v/>
      </c>
      <c r="K223" s="39" t="str">
        <f t="shared" si="16"/>
        <v/>
      </c>
      <c r="L223" s="31" t="str">
        <f>IF($B223="","",IFERROR(INDEX(Kho_NL!$I$5:$I$304,MATCH(B223,Kho_NL!$A$5:$A$304,0))&amp;"",""))</f>
        <v/>
      </c>
      <c r="M223" s="44" t="str">
        <f>IF($B223="","",SUMIFS(Kho_NL!$H$5:$H$304,Kho_NL!$A$5:$A$304,$B223))</f>
        <v/>
      </c>
      <c r="N223" s="44" t="str">
        <f t="shared" si="17"/>
        <v/>
      </c>
      <c r="O223" s="45" t="str">
        <f t="shared" si="18"/>
        <v/>
      </c>
      <c r="P223" s="44" t="str">
        <f>IF($B223="","",SUMIFS(TK_Nhap!$E$5:$E$1004,TK_Nhap!$D$5:$D$1004,$B223,TK_Nhap!$H$5:$H$1004,1))</f>
        <v/>
      </c>
      <c r="Q223" s="44" t="str">
        <f t="shared" si="19"/>
        <v/>
      </c>
    </row>
    <row r="224" spans="1:17" x14ac:dyDescent="0.25">
      <c r="A224" s="36" t="str">
        <f t="shared" si="15"/>
        <v/>
      </c>
      <c r="B224" s="35" t="str">
        <f>IFERROR(INDEX(DM_NL!$A$5:$A$304,MATCH(ROW()-10,DM_NL!$G$5:$G$304,0)),"")</f>
        <v/>
      </c>
      <c r="C224" s="35" t="str">
        <f>IF(B224="","",INDEX(DM_NL!$B$5:$B$304,MATCH(B224,DM_NL!$A$5:$A$304,0)))</f>
        <v/>
      </c>
      <c r="D224" s="35" t="str">
        <f>IF(B224="","",INDEX(DM_NL!$C$5:$C$304,MATCH(B224,DM_NL!$A$5:$A$304,0)))</f>
        <v/>
      </c>
      <c r="E224" s="39" t="str">
        <f>IF($B224="","",SUMIFS(Kho_NL!$B$5:$B$304,Kho_NL!$A$5:$A$304,$B224))</f>
        <v/>
      </c>
      <c r="F224" s="39" t="str">
        <f>IF($B224="","",SUMIFS(Kho_NL!$C$5:$C$304,Kho_NL!$A$5:$A$304,$B224))</f>
        <v/>
      </c>
      <c r="G224" s="39" t="str">
        <f>IF($B224="","",SUMIFS(Kho_NL!$D$5:$D$304,Kho_NL!$A$5:$A$304,$B224))</f>
        <v/>
      </c>
      <c r="H224" s="39" t="str">
        <f>IF($B224="","",SUMIFS(Kho_NL!$E$5:$E$304,Kho_NL!$A$5:$A$304,$B224))</f>
        <v/>
      </c>
      <c r="I224" s="39" t="str">
        <f>IF($B224="","",SUMIFS(Kho_NL!$F$5:$F$304,Kho_NL!$A$5:$A$304,$B224))</f>
        <v/>
      </c>
      <c r="J224" s="39" t="str">
        <f>IF($B224="","",SUMIFS(Kho_NL!$G$5:$G$304,Kho_NL!$A$5:$A$304,$B224))</f>
        <v/>
      </c>
      <c r="K224" s="39" t="str">
        <f t="shared" si="16"/>
        <v/>
      </c>
      <c r="L224" s="31" t="str">
        <f>IF($B224="","",IFERROR(INDEX(Kho_NL!$I$5:$I$304,MATCH(B224,Kho_NL!$A$5:$A$304,0))&amp;"",""))</f>
        <v/>
      </c>
      <c r="M224" s="44" t="str">
        <f>IF($B224="","",SUMIFS(Kho_NL!$H$5:$H$304,Kho_NL!$A$5:$A$304,$B224))</f>
        <v/>
      </c>
      <c r="N224" s="44" t="str">
        <f t="shared" si="17"/>
        <v/>
      </c>
      <c r="O224" s="45" t="str">
        <f t="shared" si="18"/>
        <v/>
      </c>
      <c r="P224" s="44" t="str">
        <f>IF($B224="","",SUMIFS(TK_Nhap!$E$5:$E$1004,TK_Nhap!$D$5:$D$1004,$B224,TK_Nhap!$H$5:$H$1004,1))</f>
        <v/>
      </c>
      <c r="Q224" s="44" t="str">
        <f t="shared" si="19"/>
        <v/>
      </c>
    </row>
    <row r="225" spans="1:17" x14ac:dyDescent="0.25">
      <c r="A225" s="36" t="str">
        <f t="shared" si="15"/>
        <v/>
      </c>
      <c r="B225" s="35" t="str">
        <f>IFERROR(INDEX(DM_NL!$A$5:$A$304,MATCH(ROW()-10,DM_NL!$G$5:$G$304,0)),"")</f>
        <v/>
      </c>
      <c r="C225" s="35" t="str">
        <f>IF(B225="","",INDEX(DM_NL!$B$5:$B$304,MATCH(B225,DM_NL!$A$5:$A$304,0)))</f>
        <v/>
      </c>
      <c r="D225" s="35" t="str">
        <f>IF(B225="","",INDEX(DM_NL!$C$5:$C$304,MATCH(B225,DM_NL!$A$5:$A$304,0)))</f>
        <v/>
      </c>
      <c r="E225" s="39" t="str">
        <f>IF($B225="","",SUMIFS(Kho_NL!$B$5:$B$304,Kho_NL!$A$5:$A$304,$B225))</f>
        <v/>
      </c>
      <c r="F225" s="39" t="str">
        <f>IF($B225="","",SUMIFS(Kho_NL!$C$5:$C$304,Kho_NL!$A$5:$A$304,$B225))</f>
        <v/>
      </c>
      <c r="G225" s="39" t="str">
        <f>IF($B225="","",SUMIFS(Kho_NL!$D$5:$D$304,Kho_NL!$A$5:$A$304,$B225))</f>
        <v/>
      </c>
      <c r="H225" s="39" t="str">
        <f>IF($B225="","",SUMIFS(Kho_NL!$E$5:$E$304,Kho_NL!$A$5:$A$304,$B225))</f>
        <v/>
      </c>
      <c r="I225" s="39" t="str">
        <f>IF($B225="","",SUMIFS(Kho_NL!$F$5:$F$304,Kho_NL!$A$5:$A$304,$B225))</f>
        <v/>
      </c>
      <c r="J225" s="39" t="str">
        <f>IF($B225="","",SUMIFS(Kho_NL!$G$5:$G$304,Kho_NL!$A$5:$A$304,$B225))</f>
        <v/>
      </c>
      <c r="K225" s="39" t="str">
        <f t="shared" si="16"/>
        <v/>
      </c>
      <c r="L225" s="31" t="str">
        <f>IF($B225="","",IFERROR(INDEX(Kho_NL!$I$5:$I$304,MATCH(B225,Kho_NL!$A$5:$A$304,0))&amp;"",""))</f>
        <v/>
      </c>
      <c r="M225" s="44" t="str">
        <f>IF($B225="","",SUMIFS(Kho_NL!$H$5:$H$304,Kho_NL!$A$5:$A$304,$B225))</f>
        <v/>
      </c>
      <c r="N225" s="44" t="str">
        <f t="shared" si="17"/>
        <v/>
      </c>
      <c r="O225" s="45" t="str">
        <f t="shared" si="18"/>
        <v/>
      </c>
      <c r="P225" s="44" t="str">
        <f>IF($B225="","",SUMIFS(TK_Nhap!$E$5:$E$1004,TK_Nhap!$D$5:$D$1004,$B225,TK_Nhap!$H$5:$H$1004,1))</f>
        <v/>
      </c>
      <c r="Q225" s="44" t="str">
        <f t="shared" si="19"/>
        <v/>
      </c>
    </row>
    <row r="226" spans="1:17" x14ac:dyDescent="0.25">
      <c r="A226" s="36" t="str">
        <f t="shared" si="15"/>
        <v/>
      </c>
      <c r="B226" s="35" t="str">
        <f>IFERROR(INDEX(DM_NL!$A$5:$A$304,MATCH(ROW()-10,DM_NL!$G$5:$G$304,0)),"")</f>
        <v/>
      </c>
      <c r="C226" s="35" t="str">
        <f>IF(B226="","",INDEX(DM_NL!$B$5:$B$304,MATCH(B226,DM_NL!$A$5:$A$304,0)))</f>
        <v/>
      </c>
      <c r="D226" s="35" t="str">
        <f>IF(B226="","",INDEX(DM_NL!$C$5:$C$304,MATCH(B226,DM_NL!$A$5:$A$304,0)))</f>
        <v/>
      </c>
      <c r="E226" s="39" t="str">
        <f>IF($B226="","",SUMIFS(Kho_NL!$B$5:$B$304,Kho_NL!$A$5:$A$304,$B226))</f>
        <v/>
      </c>
      <c r="F226" s="39" t="str">
        <f>IF($B226="","",SUMIFS(Kho_NL!$C$5:$C$304,Kho_NL!$A$5:$A$304,$B226))</f>
        <v/>
      </c>
      <c r="G226" s="39" t="str">
        <f>IF($B226="","",SUMIFS(Kho_NL!$D$5:$D$304,Kho_NL!$A$5:$A$304,$B226))</f>
        <v/>
      </c>
      <c r="H226" s="39" t="str">
        <f>IF($B226="","",SUMIFS(Kho_NL!$E$5:$E$304,Kho_NL!$A$5:$A$304,$B226))</f>
        <v/>
      </c>
      <c r="I226" s="39" t="str">
        <f>IF($B226="","",SUMIFS(Kho_NL!$F$5:$F$304,Kho_NL!$A$5:$A$304,$B226))</f>
        <v/>
      </c>
      <c r="J226" s="39" t="str">
        <f>IF($B226="","",SUMIFS(Kho_NL!$G$5:$G$304,Kho_NL!$A$5:$A$304,$B226))</f>
        <v/>
      </c>
      <c r="K226" s="39" t="str">
        <f t="shared" si="16"/>
        <v/>
      </c>
      <c r="L226" s="31" t="str">
        <f>IF($B226="","",IFERROR(INDEX(Kho_NL!$I$5:$I$304,MATCH(B226,Kho_NL!$A$5:$A$304,0))&amp;"",""))</f>
        <v/>
      </c>
      <c r="M226" s="44" t="str">
        <f>IF($B226="","",SUMIFS(Kho_NL!$H$5:$H$304,Kho_NL!$A$5:$A$304,$B226))</f>
        <v/>
      </c>
      <c r="N226" s="44" t="str">
        <f t="shared" si="17"/>
        <v/>
      </c>
      <c r="O226" s="45" t="str">
        <f t="shared" si="18"/>
        <v/>
      </c>
      <c r="P226" s="44" t="str">
        <f>IF($B226="","",SUMIFS(TK_Nhap!$E$5:$E$1004,TK_Nhap!$D$5:$D$1004,$B226,TK_Nhap!$H$5:$H$1004,1))</f>
        <v/>
      </c>
      <c r="Q226" s="44" t="str">
        <f t="shared" si="19"/>
        <v/>
      </c>
    </row>
    <row r="227" spans="1:17" x14ac:dyDescent="0.25">
      <c r="A227" s="36" t="str">
        <f t="shared" si="15"/>
        <v/>
      </c>
      <c r="B227" s="35" t="str">
        <f>IFERROR(INDEX(DM_NL!$A$5:$A$304,MATCH(ROW()-10,DM_NL!$G$5:$G$304,0)),"")</f>
        <v/>
      </c>
      <c r="C227" s="35" t="str">
        <f>IF(B227="","",INDEX(DM_NL!$B$5:$B$304,MATCH(B227,DM_NL!$A$5:$A$304,0)))</f>
        <v/>
      </c>
      <c r="D227" s="35" t="str">
        <f>IF(B227="","",INDEX(DM_NL!$C$5:$C$304,MATCH(B227,DM_NL!$A$5:$A$304,0)))</f>
        <v/>
      </c>
      <c r="E227" s="39" t="str">
        <f>IF($B227="","",SUMIFS(Kho_NL!$B$5:$B$304,Kho_NL!$A$5:$A$304,$B227))</f>
        <v/>
      </c>
      <c r="F227" s="39" t="str">
        <f>IF($B227="","",SUMIFS(Kho_NL!$C$5:$C$304,Kho_NL!$A$5:$A$304,$B227))</f>
        <v/>
      </c>
      <c r="G227" s="39" t="str">
        <f>IF($B227="","",SUMIFS(Kho_NL!$D$5:$D$304,Kho_NL!$A$5:$A$304,$B227))</f>
        <v/>
      </c>
      <c r="H227" s="39" t="str">
        <f>IF($B227="","",SUMIFS(Kho_NL!$E$5:$E$304,Kho_NL!$A$5:$A$304,$B227))</f>
        <v/>
      </c>
      <c r="I227" s="39" t="str">
        <f>IF($B227="","",SUMIFS(Kho_NL!$F$5:$F$304,Kho_NL!$A$5:$A$304,$B227))</f>
        <v/>
      </c>
      <c r="J227" s="39" t="str">
        <f>IF($B227="","",SUMIFS(Kho_NL!$G$5:$G$304,Kho_NL!$A$5:$A$304,$B227))</f>
        <v/>
      </c>
      <c r="K227" s="39" t="str">
        <f t="shared" si="16"/>
        <v/>
      </c>
      <c r="L227" s="31" t="str">
        <f>IF($B227="","",IFERROR(INDEX(Kho_NL!$I$5:$I$304,MATCH(B227,Kho_NL!$A$5:$A$304,0))&amp;"",""))</f>
        <v/>
      </c>
      <c r="M227" s="44" t="str">
        <f>IF($B227="","",SUMIFS(Kho_NL!$H$5:$H$304,Kho_NL!$A$5:$A$304,$B227))</f>
        <v/>
      </c>
      <c r="N227" s="44" t="str">
        <f t="shared" si="17"/>
        <v/>
      </c>
      <c r="O227" s="45" t="str">
        <f t="shared" si="18"/>
        <v/>
      </c>
      <c r="P227" s="44" t="str">
        <f>IF($B227="","",SUMIFS(TK_Nhap!$E$5:$E$1004,TK_Nhap!$D$5:$D$1004,$B227,TK_Nhap!$H$5:$H$1004,1))</f>
        <v/>
      </c>
      <c r="Q227" s="44" t="str">
        <f t="shared" si="19"/>
        <v/>
      </c>
    </row>
    <row r="228" spans="1:17" x14ac:dyDescent="0.25">
      <c r="A228" s="36" t="str">
        <f t="shared" si="15"/>
        <v/>
      </c>
      <c r="B228" s="35" t="str">
        <f>IFERROR(INDEX(DM_NL!$A$5:$A$304,MATCH(ROW()-10,DM_NL!$G$5:$G$304,0)),"")</f>
        <v/>
      </c>
      <c r="C228" s="35" t="str">
        <f>IF(B228="","",INDEX(DM_NL!$B$5:$B$304,MATCH(B228,DM_NL!$A$5:$A$304,0)))</f>
        <v/>
      </c>
      <c r="D228" s="35" t="str">
        <f>IF(B228="","",INDEX(DM_NL!$C$5:$C$304,MATCH(B228,DM_NL!$A$5:$A$304,0)))</f>
        <v/>
      </c>
      <c r="E228" s="39" t="str">
        <f>IF($B228="","",SUMIFS(Kho_NL!$B$5:$B$304,Kho_NL!$A$5:$A$304,$B228))</f>
        <v/>
      </c>
      <c r="F228" s="39" t="str">
        <f>IF($B228="","",SUMIFS(Kho_NL!$C$5:$C$304,Kho_NL!$A$5:$A$304,$B228))</f>
        <v/>
      </c>
      <c r="G228" s="39" t="str">
        <f>IF($B228="","",SUMIFS(Kho_NL!$D$5:$D$304,Kho_NL!$A$5:$A$304,$B228))</f>
        <v/>
      </c>
      <c r="H228" s="39" t="str">
        <f>IF($B228="","",SUMIFS(Kho_NL!$E$5:$E$304,Kho_NL!$A$5:$A$304,$B228))</f>
        <v/>
      </c>
      <c r="I228" s="39" t="str">
        <f>IF($B228="","",SUMIFS(Kho_NL!$F$5:$F$304,Kho_NL!$A$5:$A$304,$B228))</f>
        <v/>
      </c>
      <c r="J228" s="39" t="str">
        <f>IF($B228="","",SUMIFS(Kho_NL!$G$5:$G$304,Kho_NL!$A$5:$A$304,$B228))</f>
        <v/>
      </c>
      <c r="K228" s="39" t="str">
        <f t="shared" si="16"/>
        <v/>
      </c>
      <c r="L228" s="31" t="str">
        <f>IF($B228="","",IFERROR(INDEX(Kho_NL!$I$5:$I$304,MATCH(B228,Kho_NL!$A$5:$A$304,0))&amp;"",""))</f>
        <v/>
      </c>
      <c r="M228" s="44" t="str">
        <f>IF($B228="","",SUMIFS(Kho_NL!$H$5:$H$304,Kho_NL!$A$5:$A$304,$B228))</f>
        <v/>
      </c>
      <c r="N228" s="44" t="str">
        <f t="shared" si="17"/>
        <v/>
      </c>
      <c r="O228" s="45" t="str">
        <f t="shared" si="18"/>
        <v/>
      </c>
      <c r="P228" s="44" t="str">
        <f>IF($B228="","",SUMIFS(TK_Nhap!$E$5:$E$1004,TK_Nhap!$D$5:$D$1004,$B228,TK_Nhap!$H$5:$H$1004,1))</f>
        <v/>
      </c>
      <c r="Q228" s="44" t="str">
        <f t="shared" si="19"/>
        <v/>
      </c>
    </row>
    <row r="229" spans="1:17" x14ac:dyDescent="0.25">
      <c r="A229" s="36" t="str">
        <f t="shared" si="15"/>
        <v/>
      </c>
      <c r="B229" s="35" t="str">
        <f>IFERROR(INDEX(DM_NL!$A$5:$A$304,MATCH(ROW()-10,DM_NL!$G$5:$G$304,0)),"")</f>
        <v/>
      </c>
      <c r="C229" s="35" t="str">
        <f>IF(B229="","",INDEX(DM_NL!$B$5:$B$304,MATCH(B229,DM_NL!$A$5:$A$304,0)))</f>
        <v/>
      </c>
      <c r="D229" s="35" t="str">
        <f>IF(B229="","",INDEX(DM_NL!$C$5:$C$304,MATCH(B229,DM_NL!$A$5:$A$304,0)))</f>
        <v/>
      </c>
      <c r="E229" s="39" t="str">
        <f>IF($B229="","",SUMIFS(Kho_NL!$B$5:$B$304,Kho_NL!$A$5:$A$304,$B229))</f>
        <v/>
      </c>
      <c r="F229" s="39" t="str">
        <f>IF($B229="","",SUMIFS(Kho_NL!$C$5:$C$304,Kho_NL!$A$5:$A$304,$B229))</f>
        <v/>
      </c>
      <c r="G229" s="39" t="str">
        <f>IF($B229="","",SUMIFS(Kho_NL!$D$5:$D$304,Kho_NL!$A$5:$A$304,$B229))</f>
        <v/>
      </c>
      <c r="H229" s="39" t="str">
        <f>IF($B229="","",SUMIFS(Kho_NL!$E$5:$E$304,Kho_NL!$A$5:$A$304,$B229))</f>
        <v/>
      </c>
      <c r="I229" s="39" t="str">
        <f>IF($B229="","",SUMIFS(Kho_NL!$F$5:$F$304,Kho_NL!$A$5:$A$304,$B229))</f>
        <v/>
      </c>
      <c r="J229" s="39" t="str">
        <f>IF($B229="","",SUMIFS(Kho_NL!$G$5:$G$304,Kho_NL!$A$5:$A$304,$B229))</f>
        <v/>
      </c>
      <c r="K229" s="39" t="str">
        <f t="shared" si="16"/>
        <v/>
      </c>
      <c r="L229" s="31" t="str">
        <f>IF($B229="","",IFERROR(INDEX(Kho_NL!$I$5:$I$304,MATCH(B229,Kho_NL!$A$5:$A$304,0))&amp;"",""))</f>
        <v/>
      </c>
      <c r="M229" s="44" t="str">
        <f>IF($B229="","",SUMIFS(Kho_NL!$H$5:$H$304,Kho_NL!$A$5:$A$304,$B229))</f>
        <v/>
      </c>
      <c r="N229" s="44" t="str">
        <f t="shared" si="17"/>
        <v/>
      </c>
      <c r="O229" s="45" t="str">
        <f t="shared" si="18"/>
        <v/>
      </c>
      <c r="P229" s="44" t="str">
        <f>IF($B229="","",SUMIFS(TK_Nhap!$E$5:$E$1004,TK_Nhap!$D$5:$D$1004,$B229,TK_Nhap!$H$5:$H$1004,1))</f>
        <v/>
      </c>
      <c r="Q229" s="44" t="str">
        <f t="shared" si="19"/>
        <v/>
      </c>
    </row>
    <row r="230" spans="1:17" x14ac:dyDescent="0.25">
      <c r="A230" s="36" t="str">
        <f t="shared" si="15"/>
        <v/>
      </c>
      <c r="B230" s="35" t="str">
        <f>IFERROR(INDEX(DM_NL!$A$5:$A$304,MATCH(ROW()-10,DM_NL!$G$5:$G$304,0)),"")</f>
        <v/>
      </c>
      <c r="C230" s="35" t="str">
        <f>IF(B230="","",INDEX(DM_NL!$B$5:$B$304,MATCH(B230,DM_NL!$A$5:$A$304,0)))</f>
        <v/>
      </c>
      <c r="D230" s="35" t="str">
        <f>IF(B230="","",INDEX(DM_NL!$C$5:$C$304,MATCH(B230,DM_NL!$A$5:$A$304,0)))</f>
        <v/>
      </c>
      <c r="E230" s="39" t="str">
        <f>IF($B230="","",SUMIFS(Kho_NL!$B$5:$B$304,Kho_NL!$A$5:$A$304,$B230))</f>
        <v/>
      </c>
      <c r="F230" s="39" t="str">
        <f>IF($B230="","",SUMIFS(Kho_NL!$C$5:$C$304,Kho_NL!$A$5:$A$304,$B230))</f>
        <v/>
      </c>
      <c r="G230" s="39" t="str">
        <f>IF($B230="","",SUMIFS(Kho_NL!$D$5:$D$304,Kho_NL!$A$5:$A$304,$B230))</f>
        <v/>
      </c>
      <c r="H230" s="39" t="str">
        <f>IF($B230="","",SUMIFS(Kho_NL!$E$5:$E$304,Kho_NL!$A$5:$A$304,$B230))</f>
        <v/>
      </c>
      <c r="I230" s="39" t="str">
        <f>IF($B230="","",SUMIFS(Kho_NL!$F$5:$F$304,Kho_NL!$A$5:$A$304,$B230))</f>
        <v/>
      </c>
      <c r="J230" s="39" t="str">
        <f>IF($B230="","",SUMIFS(Kho_NL!$G$5:$G$304,Kho_NL!$A$5:$A$304,$B230))</f>
        <v/>
      </c>
      <c r="K230" s="39" t="str">
        <f t="shared" si="16"/>
        <v/>
      </c>
      <c r="L230" s="31" t="str">
        <f>IF($B230="","",IFERROR(INDEX(Kho_NL!$I$5:$I$304,MATCH(B230,Kho_NL!$A$5:$A$304,0))&amp;"",""))</f>
        <v/>
      </c>
      <c r="M230" s="44" t="str">
        <f>IF($B230="","",SUMIFS(Kho_NL!$H$5:$H$304,Kho_NL!$A$5:$A$304,$B230))</f>
        <v/>
      </c>
      <c r="N230" s="44" t="str">
        <f t="shared" si="17"/>
        <v/>
      </c>
      <c r="O230" s="45" t="str">
        <f t="shared" si="18"/>
        <v/>
      </c>
      <c r="P230" s="44" t="str">
        <f>IF($B230="","",SUMIFS(TK_Nhap!$E$5:$E$1004,TK_Nhap!$D$5:$D$1004,$B230,TK_Nhap!$H$5:$H$1004,1))</f>
        <v/>
      </c>
      <c r="Q230" s="44" t="str">
        <f t="shared" si="19"/>
        <v/>
      </c>
    </row>
    <row r="231" spans="1:17" x14ac:dyDescent="0.25">
      <c r="A231" s="36" t="str">
        <f t="shared" si="15"/>
        <v/>
      </c>
      <c r="B231" s="35" t="str">
        <f>IFERROR(INDEX(DM_NL!$A$5:$A$304,MATCH(ROW()-10,DM_NL!$G$5:$G$304,0)),"")</f>
        <v/>
      </c>
      <c r="C231" s="35" t="str">
        <f>IF(B231="","",INDEX(DM_NL!$B$5:$B$304,MATCH(B231,DM_NL!$A$5:$A$304,0)))</f>
        <v/>
      </c>
      <c r="D231" s="35" t="str">
        <f>IF(B231="","",INDEX(DM_NL!$C$5:$C$304,MATCH(B231,DM_NL!$A$5:$A$304,0)))</f>
        <v/>
      </c>
      <c r="E231" s="39" t="str">
        <f>IF($B231="","",SUMIFS(Kho_NL!$B$5:$B$304,Kho_NL!$A$5:$A$304,$B231))</f>
        <v/>
      </c>
      <c r="F231" s="39" t="str">
        <f>IF($B231="","",SUMIFS(Kho_NL!$C$5:$C$304,Kho_NL!$A$5:$A$304,$B231))</f>
        <v/>
      </c>
      <c r="G231" s="39" t="str">
        <f>IF($B231="","",SUMIFS(Kho_NL!$D$5:$D$304,Kho_NL!$A$5:$A$304,$B231))</f>
        <v/>
      </c>
      <c r="H231" s="39" t="str">
        <f>IF($B231="","",SUMIFS(Kho_NL!$E$5:$E$304,Kho_NL!$A$5:$A$304,$B231))</f>
        <v/>
      </c>
      <c r="I231" s="39" t="str">
        <f>IF($B231="","",SUMIFS(Kho_NL!$F$5:$F$304,Kho_NL!$A$5:$A$304,$B231))</f>
        <v/>
      </c>
      <c r="J231" s="39" t="str">
        <f>IF($B231="","",SUMIFS(Kho_NL!$G$5:$G$304,Kho_NL!$A$5:$A$304,$B231))</f>
        <v/>
      </c>
      <c r="K231" s="39" t="str">
        <f t="shared" si="16"/>
        <v/>
      </c>
      <c r="L231" s="31" t="str">
        <f>IF($B231="","",IFERROR(INDEX(Kho_NL!$I$5:$I$304,MATCH(B231,Kho_NL!$A$5:$A$304,0))&amp;"",""))</f>
        <v/>
      </c>
      <c r="M231" s="44" t="str">
        <f>IF($B231="","",SUMIFS(Kho_NL!$H$5:$H$304,Kho_NL!$A$5:$A$304,$B231))</f>
        <v/>
      </c>
      <c r="N231" s="44" t="str">
        <f t="shared" si="17"/>
        <v/>
      </c>
      <c r="O231" s="45" t="str">
        <f t="shared" si="18"/>
        <v/>
      </c>
      <c r="P231" s="44" t="str">
        <f>IF($B231="","",SUMIFS(TK_Nhap!$E$5:$E$1004,TK_Nhap!$D$5:$D$1004,$B231,TK_Nhap!$H$5:$H$1004,1))</f>
        <v/>
      </c>
      <c r="Q231" s="44" t="str">
        <f t="shared" si="19"/>
        <v/>
      </c>
    </row>
    <row r="232" spans="1:17" x14ac:dyDescent="0.25">
      <c r="A232" s="36" t="str">
        <f t="shared" si="15"/>
        <v/>
      </c>
      <c r="B232" s="35" t="str">
        <f>IFERROR(INDEX(DM_NL!$A$5:$A$304,MATCH(ROW()-10,DM_NL!$G$5:$G$304,0)),"")</f>
        <v/>
      </c>
      <c r="C232" s="35" t="str">
        <f>IF(B232="","",INDEX(DM_NL!$B$5:$B$304,MATCH(B232,DM_NL!$A$5:$A$304,0)))</f>
        <v/>
      </c>
      <c r="D232" s="35" t="str">
        <f>IF(B232="","",INDEX(DM_NL!$C$5:$C$304,MATCH(B232,DM_NL!$A$5:$A$304,0)))</f>
        <v/>
      </c>
      <c r="E232" s="39" t="str">
        <f>IF($B232="","",SUMIFS(Kho_NL!$B$5:$B$304,Kho_NL!$A$5:$A$304,$B232))</f>
        <v/>
      </c>
      <c r="F232" s="39" t="str">
        <f>IF($B232="","",SUMIFS(Kho_NL!$C$5:$C$304,Kho_NL!$A$5:$A$304,$B232))</f>
        <v/>
      </c>
      <c r="G232" s="39" t="str">
        <f>IF($B232="","",SUMIFS(Kho_NL!$D$5:$D$304,Kho_NL!$A$5:$A$304,$B232))</f>
        <v/>
      </c>
      <c r="H232" s="39" t="str">
        <f>IF($B232="","",SUMIFS(Kho_NL!$E$5:$E$304,Kho_NL!$A$5:$A$304,$B232))</f>
        <v/>
      </c>
      <c r="I232" s="39" t="str">
        <f>IF($B232="","",SUMIFS(Kho_NL!$F$5:$F$304,Kho_NL!$A$5:$A$304,$B232))</f>
        <v/>
      </c>
      <c r="J232" s="39" t="str">
        <f>IF($B232="","",SUMIFS(Kho_NL!$G$5:$G$304,Kho_NL!$A$5:$A$304,$B232))</f>
        <v/>
      </c>
      <c r="K232" s="39" t="str">
        <f t="shared" si="16"/>
        <v/>
      </c>
      <c r="L232" s="31" t="str">
        <f>IF($B232="","",IFERROR(INDEX(Kho_NL!$I$5:$I$304,MATCH(B232,Kho_NL!$A$5:$A$304,0))&amp;"",""))</f>
        <v/>
      </c>
      <c r="M232" s="44" t="str">
        <f>IF($B232="","",SUMIFS(Kho_NL!$H$5:$H$304,Kho_NL!$A$5:$A$304,$B232))</f>
        <v/>
      </c>
      <c r="N232" s="44" t="str">
        <f t="shared" si="17"/>
        <v/>
      </c>
      <c r="O232" s="45" t="str">
        <f t="shared" si="18"/>
        <v/>
      </c>
      <c r="P232" s="44" t="str">
        <f>IF($B232="","",SUMIFS(TK_Nhap!$E$5:$E$1004,TK_Nhap!$D$5:$D$1004,$B232,TK_Nhap!$H$5:$H$1004,1))</f>
        <v/>
      </c>
      <c r="Q232" s="44" t="str">
        <f t="shared" si="19"/>
        <v/>
      </c>
    </row>
    <row r="233" spans="1:17" x14ac:dyDescent="0.25">
      <c r="A233" s="36" t="str">
        <f t="shared" si="15"/>
        <v/>
      </c>
      <c r="B233" s="35" t="str">
        <f>IFERROR(INDEX(DM_NL!$A$5:$A$304,MATCH(ROW()-10,DM_NL!$G$5:$G$304,0)),"")</f>
        <v/>
      </c>
      <c r="C233" s="35" t="str">
        <f>IF(B233="","",INDEX(DM_NL!$B$5:$B$304,MATCH(B233,DM_NL!$A$5:$A$304,0)))</f>
        <v/>
      </c>
      <c r="D233" s="35" t="str">
        <f>IF(B233="","",INDEX(DM_NL!$C$5:$C$304,MATCH(B233,DM_NL!$A$5:$A$304,0)))</f>
        <v/>
      </c>
      <c r="E233" s="39" t="str">
        <f>IF($B233="","",SUMIFS(Kho_NL!$B$5:$B$304,Kho_NL!$A$5:$A$304,$B233))</f>
        <v/>
      </c>
      <c r="F233" s="39" t="str">
        <f>IF($B233="","",SUMIFS(Kho_NL!$C$5:$C$304,Kho_NL!$A$5:$A$304,$B233))</f>
        <v/>
      </c>
      <c r="G233" s="39" t="str">
        <f>IF($B233="","",SUMIFS(Kho_NL!$D$5:$D$304,Kho_NL!$A$5:$A$304,$B233))</f>
        <v/>
      </c>
      <c r="H233" s="39" t="str">
        <f>IF($B233="","",SUMIFS(Kho_NL!$E$5:$E$304,Kho_NL!$A$5:$A$304,$B233))</f>
        <v/>
      </c>
      <c r="I233" s="39" t="str">
        <f>IF($B233="","",SUMIFS(Kho_NL!$F$5:$F$304,Kho_NL!$A$5:$A$304,$B233))</f>
        <v/>
      </c>
      <c r="J233" s="39" t="str">
        <f>IF($B233="","",SUMIFS(Kho_NL!$G$5:$G$304,Kho_NL!$A$5:$A$304,$B233))</f>
        <v/>
      </c>
      <c r="K233" s="39" t="str">
        <f t="shared" si="16"/>
        <v/>
      </c>
      <c r="L233" s="31" t="str">
        <f>IF($B233="","",IFERROR(INDEX(Kho_NL!$I$5:$I$304,MATCH(B233,Kho_NL!$A$5:$A$304,0))&amp;"",""))</f>
        <v/>
      </c>
      <c r="M233" s="44" t="str">
        <f>IF($B233="","",SUMIFS(Kho_NL!$H$5:$H$304,Kho_NL!$A$5:$A$304,$B233))</f>
        <v/>
      </c>
      <c r="N233" s="44" t="str">
        <f t="shared" si="17"/>
        <v/>
      </c>
      <c r="O233" s="45" t="str">
        <f t="shared" si="18"/>
        <v/>
      </c>
      <c r="P233" s="44" t="str">
        <f>IF($B233="","",SUMIFS(TK_Nhap!$E$5:$E$1004,TK_Nhap!$D$5:$D$1004,$B233,TK_Nhap!$H$5:$H$1004,1))</f>
        <v/>
      </c>
      <c r="Q233" s="44" t="str">
        <f t="shared" si="19"/>
        <v/>
      </c>
    </row>
    <row r="234" spans="1:17" x14ac:dyDescent="0.25">
      <c r="A234" s="36" t="str">
        <f t="shared" si="15"/>
        <v/>
      </c>
      <c r="B234" s="35" t="str">
        <f>IFERROR(INDEX(DM_NL!$A$5:$A$304,MATCH(ROW()-10,DM_NL!$G$5:$G$304,0)),"")</f>
        <v/>
      </c>
      <c r="C234" s="35" t="str">
        <f>IF(B234="","",INDEX(DM_NL!$B$5:$B$304,MATCH(B234,DM_NL!$A$5:$A$304,0)))</f>
        <v/>
      </c>
      <c r="D234" s="35" t="str">
        <f>IF(B234="","",INDEX(DM_NL!$C$5:$C$304,MATCH(B234,DM_NL!$A$5:$A$304,0)))</f>
        <v/>
      </c>
      <c r="E234" s="39" t="str">
        <f>IF($B234="","",SUMIFS(Kho_NL!$B$5:$B$304,Kho_NL!$A$5:$A$304,$B234))</f>
        <v/>
      </c>
      <c r="F234" s="39" t="str">
        <f>IF($B234="","",SUMIFS(Kho_NL!$C$5:$C$304,Kho_NL!$A$5:$A$304,$B234))</f>
        <v/>
      </c>
      <c r="G234" s="39" t="str">
        <f>IF($B234="","",SUMIFS(Kho_NL!$D$5:$D$304,Kho_NL!$A$5:$A$304,$B234))</f>
        <v/>
      </c>
      <c r="H234" s="39" t="str">
        <f>IF($B234="","",SUMIFS(Kho_NL!$E$5:$E$304,Kho_NL!$A$5:$A$304,$B234))</f>
        <v/>
      </c>
      <c r="I234" s="39" t="str">
        <f>IF($B234="","",SUMIFS(Kho_NL!$F$5:$F$304,Kho_NL!$A$5:$A$304,$B234))</f>
        <v/>
      </c>
      <c r="J234" s="39" t="str">
        <f>IF($B234="","",SUMIFS(Kho_NL!$G$5:$G$304,Kho_NL!$A$5:$A$304,$B234))</f>
        <v/>
      </c>
      <c r="K234" s="39" t="str">
        <f t="shared" si="16"/>
        <v/>
      </c>
      <c r="L234" s="31" t="str">
        <f>IF($B234="","",IFERROR(INDEX(Kho_NL!$I$5:$I$304,MATCH(B234,Kho_NL!$A$5:$A$304,0))&amp;"",""))</f>
        <v/>
      </c>
      <c r="M234" s="44" t="str">
        <f>IF($B234="","",SUMIFS(Kho_NL!$H$5:$H$304,Kho_NL!$A$5:$A$304,$B234))</f>
        <v/>
      </c>
      <c r="N234" s="44" t="str">
        <f t="shared" si="17"/>
        <v/>
      </c>
      <c r="O234" s="45" t="str">
        <f t="shared" si="18"/>
        <v/>
      </c>
      <c r="P234" s="44" t="str">
        <f>IF($B234="","",SUMIFS(TK_Nhap!$E$5:$E$1004,TK_Nhap!$D$5:$D$1004,$B234,TK_Nhap!$H$5:$H$1004,1))</f>
        <v/>
      </c>
      <c r="Q234" s="44" t="str">
        <f t="shared" si="19"/>
        <v/>
      </c>
    </row>
    <row r="235" spans="1:17" x14ac:dyDescent="0.25">
      <c r="A235" s="36" t="str">
        <f t="shared" si="15"/>
        <v/>
      </c>
      <c r="B235" s="35" t="str">
        <f>IFERROR(INDEX(DM_NL!$A$5:$A$304,MATCH(ROW()-10,DM_NL!$G$5:$G$304,0)),"")</f>
        <v/>
      </c>
      <c r="C235" s="35" t="str">
        <f>IF(B235="","",INDEX(DM_NL!$B$5:$B$304,MATCH(B235,DM_NL!$A$5:$A$304,0)))</f>
        <v/>
      </c>
      <c r="D235" s="35" t="str">
        <f>IF(B235="","",INDEX(DM_NL!$C$5:$C$304,MATCH(B235,DM_NL!$A$5:$A$304,0)))</f>
        <v/>
      </c>
      <c r="E235" s="39" t="str">
        <f>IF($B235="","",SUMIFS(Kho_NL!$B$5:$B$304,Kho_NL!$A$5:$A$304,$B235))</f>
        <v/>
      </c>
      <c r="F235" s="39" t="str">
        <f>IF($B235="","",SUMIFS(Kho_NL!$C$5:$C$304,Kho_NL!$A$5:$A$304,$B235))</f>
        <v/>
      </c>
      <c r="G235" s="39" t="str">
        <f>IF($B235="","",SUMIFS(Kho_NL!$D$5:$D$304,Kho_NL!$A$5:$A$304,$B235))</f>
        <v/>
      </c>
      <c r="H235" s="39" t="str">
        <f>IF($B235="","",SUMIFS(Kho_NL!$E$5:$E$304,Kho_NL!$A$5:$A$304,$B235))</f>
        <v/>
      </c>
      <c r="I235" s="39" t="str">
        <f>IF($B235="","",SUMIFS(Kho_NL!$F$5:$F$304,Kho_NL!$A$5:$A$304,$B235))</f>
        <v/>
      </c>
      <c r="J235" s="39" t="str">
        <f>IF($B235="","",SUMIFS(Kho_NL!$G$5:$G$304,Kho_NL!$A$5:$A$304,$B235))</f>
        <v/>
      </c>
      <c r="K235" s="39" t="str">
        <f t="shared" si="16"/>
        <v/>
      </c>
      <c r="L235" s="31" t="str">
        <f>IF($B235="","",IFERROR(INDEX(Kho_NL!$I$5:$I$304,MATCH(B235,Kho_NL!$A$5:$A$304,0))&amp;"",""))</f>
        <v/>
      </c>
      <c r="M235" s="44" t="str">
        <f>IF($B235="","",SUMIFS(Kho_NL!$H$5:$H$304,Kho_NL!$A$5:$A$304,$B235))</f>
        <v/>
      </c>
      <c r="N235" s="44" t="str">
        <f t="shared" si="17"/>
        <v/>
      </c>
      <c r="O235" s="45" t="str">
        <f t="shared" si="18"/>
        <v/>
      </c>
      <c r="P235" s="44" t="str">
        <f>IF($B235="","",SUMIFS(TK_Nhap!$E$5:$E$1004,TK_Nhap!$D$5:$D$1004,$B235,TK_Nhap!$H$5:$H$1004,1))</f>
        <v/>
      </c>
      <c r="Q235" s="44" t="str">
        <f t="shared" si="19"/>
        <v/>
      </c>
    </row>
    <row r="236" spans="1:17" x14ac:dyDescent="0.25">
      <c r="A236" s="36" t="str">
        <f t="shared" si="15"/>
        <v/>
      </c>
      <c r="B236" s="35" t="str">
        <f>IFERROR(INDEX(DM_NL!$A$5:$A$304,MATCH(ROW()-10,DM_NL!$G$5:$G$304,0)),"")</f>
        <v/>
      </c>
      <c r="C236" s="35" t="str">
        <f>IF(B236="","",INDEX(DM_NL!$B$5:$B$304,MATCH(B236,DM_NL!$A$5:$A$304,0)))</f>
        <v/>
      </c>
      <c r="D236" s="35" t="str">
        <f>IF(B236="","",INDEX(DM_NL!$C$5:$C$304,MATCH(B236,DM_NL!$A$5:$A$304,0)))</f>
        <v/>
      </c>
      <c r="E236" s="39" t="str">
        <f>IF($B236="","",SUMIFS(Kho_NL!$B$5:$B$304,Kho_NL!$A$5:$A$304,$B236))</f>
        <v/>
      </c>
      <c r="F236" s="39" t="str">
        <f>IF($B236="","",SUMIFS(Kho_NL!$C$5:$C$304,Kho_NL!$A$5:$A$304,$B236))</f>
        <v/>
      </c>
      <c r="G236" s="39" t="str">
        <f>IF($B236="","",SUMIFS(Kho_NL!$D$5:$D$304,Kho_NL!$A$5:$A$304,$B236))</f>
        <v/>
      </c>
      <c r="H236" s="39" t="str">
        <f>IF($B236="","",SUMIFS(Kho_NL!$E$5:$E$304,Kho_NL!$A$5:$A$304,$B236))</f>
        <v/>
      </c>
      <c r="I236" s="39" t="str">
        <f>IF($B236="","",SUMIFS(Kho_NL!$F$5:$F$304,Kho_NL!$A$5:$A$304,$B236))</f>
        <v/>
      </c>
      <c r="J236" s="39" t="str">
        <f>IF($B236="","",SUMIFS(Kho_NL!$G$5:$G$304,Kho_NL!$A$5:$A$304,$B236))</f>
        <v/>
      </c>
      <c r="K236" s="39" t="str">
        <f t="shared" si="16"/>
        <v/>
      </c>
      <c r="L236" s="31" t="str">
        <f>IF($B236="","",IFERROR(INDEX(Kho_NL!$I$5:$I$304,MATCH(B236,Kho_NL!$A$5:$A$304,0))&amp;"",""))</f>
        <v/>
      </c>
      <c r="M236" s="44" t="str">
        <f>IF($B236="","",SUMIFS(Kho_NL!$H$5:$H$304,Kho_NL!$A$5:$A$304,$B236))</f>
        <v/>
      </c>
      <c r="N236" s="44" t="str">
        <f t="shared" si="17"/>
        <v/>
      </c>
      <c r="O236" s="45" t="str">
        <f t="shared" si="18"/>
        <v/>
      </c>
      <c r="P236" s="44" t="str">
        <f>IF($B236="","",SUMIFS(TK_Nhap!$E$5:$E$1004,TK_Nhap!$D$5:$D$1004,$B236,TK_Nhap!$H$5:$H$1004,1))</f>
        <v/>
      </c>
      <c r="Q236" s="44" t="str">
        <f t="shared" si="19"/>
        <v/>
      </c>
    </row>
    <row r="237" spans="1:17" x14ac:dyDescent="0.25">
      <c r="A237" s="36" t="str">
        <f t="shared" si="15"/>
        <v/>
      </c>
      <c r="B237" s="35" t="str">
        <f>IFERROR(INDEX(DM_NL!$A$5:$A$304,MATCH(ROW()-10,DM_NL!$G$5:$G$304,0)),"")</f>
        <v/>
      </c>
      <c r="C237" s="35" t="str">
        <f>IF(B237="","",INDEX(DM_NL!$B$5:$B$304,MATCH(B237,DM_NL!$A$5:$A$304,0)))</f>
        <v/>
      </c>
      <c r="D237" s="35" t="str">
        <f>IF(B237="","",INDEX(DM_NL!$C$5:$C$304,MATCH(B237,DM_NL!$A$5:$A$304,0)))</f>
        <v/>
      </c>
      <c r="E237" s="39" t="str">
        <f>IF($B237="","",SUMIFS(Kho_NL!$B$5:$B$304,Kho_NL!$A$5:$A$304,$B237))</f>
        <v/>
      </c>
      <c r="F237" s="39" t="str">
        <f>IF($B237="","",SUMIFS(Kho_NL!$C$5:$C$304,Kho_NL!$A$5:$A$304,$B237))</f>
        <v/>
      </c>
      <c r="G237" s="39" t="str">
        <f>IF($B237="","",SUMIFS(Kho_NL!$D$5:$D$304,Kho_NL!$A$5:$A$304,$B237))</f>
        <v/>
      </c>
      <c r="H237" s="39" t="str">
        <f>IF($B237="","",SUMIFS(Kho_NL!$E$5:$E$304,Kho_NL!$A$5:$A$304,$B237))</f>
        <v/>
      </c>
      <c r="I237" s="39" t="str">
        <f>IF($B237="","",SUMIFS(Kho_NL!$F$5:$F$304,Kho_NL!$A$5:$A$304,$B237))</f>
        <v/>
      </c>
      <c r="J237" s="39" t="str">
        <f>IF($B237="","",SUMIFS(Kho_NL!$G$5:$G$304,Kho_NL!$A$5:$A$304,$B237))</f>
        <v/>
      </c>
      <c r="K237" s="39" t="str">
        <f t="shared" si="16"/>
        <v/>
      </c>
      <c r="L237" s="31" t="str">
        <f>IF($B237="","",IFERROR(INDEX(Kho_NL!$I$5:$I$304,MATCH(B237,Kho_NL!$A$5:$A$304,0))&amp;"",""))</f>
        <v/>
      </c>
      <c r="M237" s="44" t="str">
        <f>IF($B237="","",SUMIFS(Kho_NL!$H$5:$H$304,Kho_NL!$A$5:$A$304,$B237))</f>
        <v/>
      </c>
      <c r="N237" s="44" t="str">
        <f t="shared" si="17"/>
        <v/>
      </c>
      <c r="O237" s="45" t="str">
        <f t="shared" si="18"/>
        <v/>
      </c>
      <c r="P237" s="44" t="str">
        <f>IF($B237="","",SUMIFS(TK_Nhap!$E$5:$E$1004,TK_Nhap!$D$5:$D$1004,$B237,TK_Nhap!$H$5:$H$1004,1))</f>
        <v/>
      </c>
      <c r="Q237" s="44" t="str">
        <f t="shared" si="19"/>
        <v/>
      </c>
    </row>
    <row r="238" spans="1:17" x14ac:dyDescent="0.25">
      <c r="A238" s="36" t="str">
        <f t="shared" si="15"/>
        <v/>
      </c>
      <c r="B238" s="35" t="str">
        <f>IFERROR(INDEX(DM_NL!$A$5:$A$304,MATCH(ROW()-10,DM_NL!$G$5:$G$304,0)),"")</f>
        <v/>
      </c>
      <c r="C238" s="35" t="str">
        <f>IF(B238="","",INDEX(DM_NL!$B$5:$B$304,MATCH(B238,DM_NL!$A$5:$A$304,0)))</f>
        <v/>
      </c>
      <c r="D238" s="35" t="str">
        <f>IF(B238="","",INDEX(DM_NL!$C$5:$C$304,MATCH(B238,DM_NL!$A$5:$A$304,0)))</f>
        <v/>
      </c>
      <c r="E238" s="39" t="str">
        <f>IF($B238="","",SUMIFS(Kho_NL!$B$5:$B$304,Kho_NL!$A$5:$A$304,$B238))</f>
        <v/>
      </c>
      <c r="F238" s="39" t="str">
        <f>IF($B238="","",SUMIFS(Kho_NL!$C$5:$C$304,Kho_NL!$A$5:$A$304,$B238))</f>
        <v/>
      </c>
      <c r="G238" s="39" t="str">
        <f>IF($B238="","",SUMIFS(Kho_NL!$D$5:$D$304,Kho_NL!$A$5:$A$304,$B238))</f>
        <v/>
      </c>
      <c r="H238" s="39" t="str">
        <f>IF($B238="","",SUMIFS(Kho_NL!$E$5:$E$304,Kho_NL!$A$5:$A$304,$B238))</f>
        <v/>
      </c>
      <c r="I238" s="39" t="str">
        <f>IF($B238="","",SUMIFS(Kho_NL!$F$5:$F$304,Kho_NL!$A$5:$A$304,$B238))</f>
        <v/>
      </c>
      <c r="J238" s="39" t="str">
        <f>IF($B238="","",SUMIFS(Kho_NL!$G$5:$G$304,Kho_NL!$A$5:$A$304,$B238))</f>
        <v/>
      </c>
      <c r="K238" s="39" t="str">
        <f t="shared" si="16"/>
        <v/>
      </c>
      <c r="L238" s="31" t="str">
        <f>IF($B238="","",IFERROR(INDEX(Kho_NL!$I$5:$I$304,MATCH(B238,Kho_NL!$A$5:$A$304,0))&amp;"",""))</f>
        <v/>
      </c>
      <c r="M238" s="44" t="str">
        <f>IF($B238="","",SUMIFS(Kho_NL!$H$5:$H$304,Kho_NL!$A$5:$A$304,$B238))</f>
        <v/>
      </c>
      <c r="N238" s="44" t="str">
        <f t="shared" si="17"/>
        <v/>
      </c>
      <c r="O238" s="45" t="str">
        <f t="shared" si="18"/>
        <v/>
      </c>
      <c r="P238" s="44" t="str">
        <f>IF($B238="","",SUMIFS(TK_Nhap!$E$5:$E$1004,TK_Nhap!$D$5:$D$1004,$B238,TK_Nhap!$H$5:$H$1004,1))</f>
        <v/>
      </c>
      <c r="Q238" s="44" t="str">
        <f t="shared" si="19"/>
        <v/>
      </c>
    </row>
    <row r="239" spans="1:17" x14ac:dyDescent="0.25">
      <c r="A239" s="36" t="str">
        <f t="shared" si="15"/>
        <v/>
      </c>
      <c r="B239" s="35" t="str">
        <f>IFERROR(INDEX(DM_NL!$A$5:$A$304,MATCH(ROW()-10,DM_NL!$G$5:$G$304,0)),"")</f>
        <v/>
      </c>
      <c r="C239" s="35" t="str">
        <f>IF(B239="","",INDEX(DM_NL!$B$5:$B$304,MATCH(B239,DM_NL!$A$5:$A$304,0)))</f>
        <v/>
      </c>
      <c r="D239" s="35" t="str">
        <f>IF(B239="","",INDEX(DM_NL!$C$5:$C$304,MATCH(B239,DM_NL!$A$5:$A$304,0)))</f>
        <v/>
      </c>
      <c r="E239" s="39" t="str">
        <f>IF($B239="","",SUMIFS(Kho_NL!$B$5:$B$304,Kho_NL!$A$5:$A$304,$B239))</f>
        <v/>
      </c>
      <c r="F239" s="39" t="str">
        <f>IF($B239="","",SUMIFS(Kho_NL!$C$5:$C$304,Kho_NL!$A$5:$A$304,$B239))</f>
        <v/>
      </c>
      <c r="G239" s="39" t="str">
        <f>IF($B239="","",SUMIFS(Kho_NL!$D$5:$D$304,Kho_NL!$A$5:$A$304,$B239))</f>
        <v/>
      </c>
      <c r="H239" s="39" t="str">
        <f>IF($B239="","",SUMIFS(Kho_NL!$E$5:$E$304,Kho_NL!$A$5:$A$304,$B239))</f>
        <v/>
      </c>
      <c r="I239" s="39" t="str">
        <f>IF($B239="","",SUMIFS(Kho_NL!$F$5:$F$304,Kho_NL!$A$5:$A$304,$B239))</f>
        <v/>
      </c>
      <c r="J239" s="39" t="str">
        <f>IF($B239="","",SUMIFS(Kho_NL!$G$5:$G$304,Kho_NL!$A$5:$A$304,$B239))</f>
        <v/>
      </c>
      <c r="K239" s="39" t="str">
        <f t="shared" si="16"/>
        <v/>
      </c>
      <c r="L239" s="31" t="str">
        <f>IF($B239="","",IFERROR(INDEX(Kho_NL!$I$5:$I$304,MATCH(B239,Kho_NL!$A$5:$A$304,0))&amp;"",""))</f>
        <v/>
      </c>
      <c r="M239" s="44" t="str">
        <f>IF($B239="","",SUMIFS(Kho_NL!$H$5:$H$304,Kho_NL!$A$5:$A$304,$B239))</f>
        <v/>
      </c>
      <c r="N239" s="44" t="str">
        <f t="shared" si="17"/>
        <v/>
      </c>
      <c r="O239" s="45" t="str">
        <f t="shared" si="18"/>
        <v/>
      </c>
      <c r="P239" s="44" t="str">
        <f>IF($B239="","",SUMIFS(TK_Nhap!$E$5:$E$1004,TK_Nhap!$D$5:$D$1004,$B239,TK_Nhap!$H$5:$H$1004,1))</f>
        <v/>
      </c>
      <c r="Q239" s="44" t="str">
        <f t="shared" si="19"/>
        <v/>
      </c>
    </row>
    <row r="240" spans="1:17" x14ac:dyDescent="0.25">
      <c r="A240" s="36" t="str">
        <f t="shared" si="15"/>
        <v/>
      </c>
      <c r="B240" s="35" t="str">
        <f>IFERROR(INDEX(DM_NL!$A$5:$A$304,MATCH(ROW()-10,DM_NL!$G$5:$G$304,0)),"")</f>
        <v/>
      </c>
      <c r="C240" s="35" t="str">
        <f>IF(B240="","",INDEX(DM_NL!$B$5:$B$304,MATCH(B240,DM_NL!$A$5:$A$304,0)))</f>
        <v/>
      </c>
      <c r="D240" s="35" t="str">
        <f>IF(B240="","",INDEX(DM_NL!$C$5:$C$304,MATCH(B240,DM_NL!$A$5:$A$304,0)))</f>
        <v/>
      </c>
      <c r="E240" s="39" t="str">
        <f>IF($B240="","",SUMIFS(Kho_NL!$B$5:$B$304,Kho_NL!$A$5:$A$304,$B240))</f>
        <v/>
      </c>
      <c r="F240" s="39" t="str">
        <f>IF($B240="","",SUMIFS(Kho_NL!$C$5:$C$304,Kho_NL!$A$5:$A$304,$B240))</f>
        <v/>
      </c>
      <c r="G240" s="39" t="str">
        <f>IF($B240="","",SUMIFS(Kho_NL!$D$5:$D$304,Kho_NL!$A$5:$A$304,$B240))</f>
        <v/>
      </c>
      <c r="H240" s="39" t="str">
        <f>IF($B240="","",SUMIFS(Kho_NL!$E$5:$E$304,Kho_NL!$A$5:$A$304,$B240))</f>
        <v/>
      </c>
      <c r="I240" s="39" t="str">
        <f>IF($B240="","",SUMIFS(Kho_NL!$F$5:$F$304,Kho_NL!$A$5:$A$304,$B240))</f>
        <v/>
      </c>
      <c r="J240" s="39" t="str">
        <f>IF($B240="","",SUMIFS(Kho_NL!$G$5:$G$304,Kho_NL!$A$5:$A$304,$B240))</f>
        <v/>
      </c>
      <c r="K240" s="39" t="str">
        <f t="shared" si="16"/>
        <v/>
      </c>
      <c r="L240" s="31" t="str">
        <f>IF($B240="","",IFERROR(INDEX(Kho_NL!$I$5:$I$304,MATCH(B240,Kho_NL!$A$5:$A$304,0))&amp;"",""))</f>
        <v/>
      </c>
      <c r="M240" s="44" t="str">
        <f>IF($B240="","",SUMIFS(Kho_NL!$H$5:$H$304,Kho_NL!$A$5:$A$304,$B240))</f>
        <v/>
      </c>
      <c r="N240" s="44" t="str">
        <f t="shared" si="17"/>
        <v/>
      </c>
      <c r="O240" s="45" t="str">
        <f t="shared" si="18"/>
        <v/>
      </c>
      <c r="P240" s="44" t="str">
        <f>IF($B240="","",SUMIFS(TK_Nhap!$E$5:$E$1004,TK_Nhap!$D$5:$D$1004,$B240,TK_Nhap!$H$5:$H$1004,1))</f>
        <v/>
      </c>
      <c r="Q240" s="44" t="str">
        <f t="shared" si="19"/>
        <v/>
      </c>
    </row>
    <row r="241" spans="1:17" x14ac:dyDescent="0.25">
      <c r="A241" s="36" t="str">
        <f t="shared" si="15"/>
        <v/>
      </c>
      <c r="B241" s="35" t="str">
        <f>IFERROR(INDEX(DM_NL!$A$5:$A$304,MATCH(ROW()-10,DM_NL!$G$5:$G$304,0)),"")</f>
        <v/>
      </c>
      <c r="C241" s="35" t="str">
        <f>IF(B241="","",INDEX(DM_NL!$B$5:$B$304,MATCH(B241,DM_NL!$A$5:$A$304,0)))</f>
        <v/>
      </c>
      <c r="D241" s="35" t="str">
        <f>IF(B241="","",INDEX(DM_NL!$C$5:$C$304,MATCH(B241,DM_NL!$A$5:$A$304,0)))</f>
        <v/>
      </c>
      <c r="E241" s="39" t="str">
        <f>IF($B241="","",SUMIFS(Kho_NL!$B$5:$B$304,Kho_NL!$A$5:$A$304,$B241))</f>
        <v/>
      </c>
      <c r="F241" s="39" t="str">
        <f>IF($B241="","",SUMIFS(Kho_NL!$C$5:$C$304,Kho_NL!$A$5:$A$304,$B241))</f>
        <v/>
      </c>
      <c r="G241" s="39" t="str">
        <f>IF($B241="","",SUMIFS(Kho_NL!$D$5:$D$304,Kho_NL!$A$5:$A$304,$B241))</f>
        <v/>
      </c>
      <c r="H241" s="39" t="str">
        <f>IF($B241="","",SUMIFS(Kho_NL!$E$5:$E$304,Kho_NL!$A$5:$A$304,$B241))</f>
        <v/>
      </c>
      <c r="I241" s="39" t="str">
        <f>IF($B241="","",SUMIFS(Kho_NL!$F$5:$F$304,Kho_NL!$A$5:$A$304,$B241))</f>
        <v/>
      </c>
      <c r="J241" s="39" t="str">
        <f>IF($B241="","",SUMIFS(Kho_NL!$G$5:$G$304,Kho_NL!$A$5:$A$304,$B241))</f>
        <v/>
      </c>
      <c r="K241" s="39" t="str">
        <f t="shared" si="16"/>
        <v/>
      </c>
      <c r="L241" s="31" t="str">
        <f>IF($B241="","",IFERROR(INDEX(Kho_NL!$I$5:$I$304,MATCH(B241,Kho_NL!$A$5:$A$304,0))&amp;"",""))</f>
        <v/>
      </c>
      <c r="M241" s="44" t="str">
        <f>IF($B241="","",SUMIFS(Kho_NL!$H$5:$H$304,Kho_NL!$A$5:$A$304,$B241))</f>
        <v/>
      </c>
      <c r="N241" s="44" t="str">
        <f t="shared" si="17"/>
        <v/>
      </c>
      <c r="O241" s="45" t="str">
        <f t="shared" si="18"/>
        <v/>
      </c>
      <c r="P241" s="44" t="str">
        <f>IF($B241="","",SUMIFS(TK_Nhap!$E$5:$E$1004,TK_Nhap!$D$5:$D$1004,$B241,TK_Nhap!$H$5:$H$1004,1))</f>
        <v/>
      </c>
      <c r="Q241" s="44" t="str">
        <f t="shared" si="19"/>
        <v/>
      </c>
    </row>
    <row r="242" spans="1:17" x14ac:dyDescent="0.25">
      <c r="A242" s="36" t="str">
        <f t="shared" si="15"/>
        <v/>
      </c>
      <c r="B242" s="35" t="str">
        <f>IFERROR(INDEX(DM_NL!$A$5:$A$304,MATCH(ROW()-10,DM_NL!$G$5:$G$304,0)),"")</f>
        <v/>
      </c>
      <c r="C242" s="35" t="str">
        <f>IF(B242="","",INDEX(DM_NL!$B$5:$B$304,MATCH(B242,DM_NL!$A$5:$A$304,0)))</f>
        <v/>
      </c>
      <c r="D242" s="35" t="str">
        <f>IF(B242="","",INDEX(DM_NL!$C$5:$C$304,MATCH(B242,DM_NL!$A$5:$A$304,0)))</f>
        <v/>
      </c>
      <c r="E242" s="39" t="str">
        <f>IF($B242="","",SUMIFS(Kho_NL!$B$5:$B$304,Kho_NL!$A$5:$A$304,$B242))</f>
        <v/>
      </c>
      <c r="F242" s="39" t="str">
        <f>IF($B242="","",SUMIFS(Kho_NL!$C$5:$C$304,Kho_NL!$A$5:$A$304,$B242))</f>
        <v/>
      </c>
      <c r="G242" s="39" t="str">
        <f>IF($B242="","",SUMIFS(Kho_NL!$D$5:$D$304,Kho_NL!$A$5:$A$304,$B242))</f>
        <v/>
      </c>
      <c r="H242" s="39" t="str">
        <f>IF($B242="","",SUMIFS(Kho_NL!$E$5:$E$304,Kho_NL!$A$5:$A$304,$B242))</f>
        <v/>
      </c>
      <c r="I242" s="39" t="str">
        <f>IF($B242="","",SUMIFS(Kho_NL!$F$5:$F$304,Kho_NL!$A$5:$A$304,$B242))</f>
        <v/>
      </c>
      <c r="J242" s="39" t="str">
        <f>IF($B242="","",SUMIFS(Kho_NL!$G$5:$G$304,Kho_NL!$A$5:$A$304,$B242))</f>
        <v/>
      </c>
      <c r="K242" s="39" t="str">
        <f t="shared" si="16"/>
        <v/>
      </c>
      <c r="L242" s="31" t="str">
        <f>IF($B242="","",IFERROR(INDEX(Kho_NL!$I$5:$I$304,MATCH(B242,Kho_NL!$A$5:$A$304,0))&amp;"",""))</f>
        <v/>
      </c>
      <c r="M242" s="44" t="str">
        <f>IF($B242="","",SUMIFS(Kho_NL!$H$5:$H$304,Kho_NL!$A$5:$A$304,$B242))</f>
        <v/>
      </c>
      <c r="N242" s="44" t="str">
        <f t="shared" si="17"/>
        <v/>
      </c>
      <c r="O242" s="45" t="str">
        <f t="shared" si="18"/>
        <v/>
      </c>
      <c r="P242" s="44" t="str">
        <f>IF($B242="","",SUMIFS(TK_Nhap!$E$5:$E$1004,TK_Nhap!$D$5:$D$1004,$B242,TK_Nhap!$H$5:$H$1004,1))</f>
        <v/>
      </c>
      <c r="Q242" s="44" t="str">
        <f t="shared" si="19"/>
        <v/>
      </c>
    </row>
    <row r="243" spans="1:17" x14ac:dyDescent="0.25">
      <c r="A243" s="36" t="str">
        <f t="shared" si="15"/>
        <v/>
      </c>
      <c r="B243" s="35" t="str">
        <f>IFERROR(INDEX(DM_NL!$A$5:$A$304,MATCH(ROW()-10,DM_NL!$G$5:$G$304,0)),"")</f>
        <v/>
      </c>
      <c r="C243" s="35" t="str">
        <f>IF(B243="","",INDEX(DM_NL!$B$5:$B$304,MATCH(B243,DM_NL!$A$5:$A$304,0)))</f>
        <v/>
      </c>
      <c r="D243" s="35" t="str">
        <f>IF(B243="","",INDEX(DM_NL!$C$5:$C$304,MATCH(B243,DM_NL!$A$5:$A$304,0)))</f>
        <v/>
      </c>
      <c r="E243" s="39" t="str">
        <f>IF($B243="","",SUMIFS(Kho_NL!$B$5:$B$304,Kho_NL!$A$5:$A$304,$B243))</f>
        <v/>
      </c>
      <c r="F243" s="39" t="str">
        <f>IF($B243="","",SUMIFS(Kho_NL!$C$5:$C$304,Kho_NL!$A$5:$A$304,$B243))</f>
        <v/>
      </c>
      <c r="G243" s="39" t="str">
        <f>IF($B243="","",SUMIFS(Kho_NL!$D$5:$D$304,Kho_NL!$A$5:$A$304,$B243))</f>
        <v/>
      </c>
      <c r="H243" s="39" t="str">
        <f>IF($B243="","",SUMIFS(Kho_NL!$E$5:$E$304,Kho_NL!$A$5:$A$304,$B243))</f>
        <v/>
      </c>
      <c r="I243" s="39" t="str">
        <f>IF($B243="","",SUMIFS(Kho_NL!$F$5:$F$304,Kho_NL!$A$5:$A$304,$B243))</f>
        <v/>
      </c>
      <c r="J243" s="39" t="str">
        <f>IF($B243="","",SUMIFS(Kho_NL!$G$5:$G$304,Kho_NL!$A$5:$A$304,$B243))</f>
        <v/>
      </c>
      <c r="K243" s="39" t="str">
        <f t="shared" si="16"/>
        <v/>
      </c>
      <c r="L243" s="31" t="str">
        <f>IF($B243="","",IFERROR(INDEX(Kho_NL!$I$5:$I$304,MATCH(B243,Kho_NL!$A$5:$A$304,0))&amp;"",""))</f>
        <v/>
      </c>
      <c r="M243" s="44" t="str">
        <f>IF($B243="","",SUMIFS(Kho_NL!$H$5:$H$304,Kho_NL!$A$5:$A$304,$B243))</f>
        <v/>
      </c>
      <c r="N243" s="44" t="str">
        <f t="shared" si="17"/>
        <v/>
      </c>
      <c r="O243" s="45" t="str">
        <f t="shared" si="18"/>
        <v/>
      </c>
      <c r="P243" s="44" t="str">
        <f>IF($B243="","",SUMIFS(TK_Nhap!$E$5:$E$1004,TK_Nhap!$D$5:$D$1004,$B243,TK_Nhap!$H$5:$H$1004,1))</f>
        <v/>
      </c>
      <c r="Q243" s="44" t="str">
        <f t="shared" si="19"/>
        <v/>
      </c>
    </row>
    <row r="244" spans="1:17" x14ac:dyDescent="0.25">
      <c r="A244" s="36" t="str">
        <f t="shared" si="15"/>
        <v/>
      </c>
      <c r="B244" s="35" t="str">
        <f>IFERROR(INDEX(DM_NL!$A$5:$A$304,MATCH(ROW()-10,DM_NL!$G$5:$G$304,0)),"")</f>
        <v/>
      </c>
      <c r="C244" s="35" t="str">
        <f>IF(B244="","",INDEX(DM_NL!$B$5:$B$304,MATCH(B244,DM_NL!$A$5:$A$304,0)))</f>
        <v/>
      </c>
      <c r="D244" s="35" t="str">
        <f>IF(B244="","",INDEX(DM_NL!$C$5:$C$304,MATCH(B244,DM_NL!$A$5:$A$304,0)))</f>
        <v/>
      </c>
      <c r="E244" s="39" t="str">
        <f>IF($B244="","",SUMIFS(Kho_NL!$B$5:$B$304,Kho_NL!$A$5:$A$304,$B244))</f>
        <v/>
      </c>
      <c r="F244" s="39" t="str">
        <f>IF($B244="","",SUMIFS(Kho_NL!$C$5:$C$304,Kho_NL!$A$5:$A$304,$B244))</f>
        <v/>
      </c>
      <c r="G244" s="39" t="str">
        <f>IF($B244="","",SUMIFS(Kho_NL!$D$5:$D$304,Kho_NL!$A$5:$A$304,$B244))</f>
        <v/>
      </c>
      <c r="H244" s="39" t="str">
        <f>IF($B244="","",SUMIFS(Kho_NL!$E$5:$E$304,Kho_NL!$A$5:$A$304,$B244))</f>
        <v/>
      </c>
      <c r="I244" s="39" t="str">
        <f>IF($B244="","",SUMIFS(Kho_NL!$F$5:$F$304,Kho_NL!$A$5:$A$304,$B244))</f>
        <v/>
      </c>
      <c r="J244" s="39" t="str">
        <f>IF($B244="","",SUMIFS(Kho_NL!$G$5:$G$304,Kho_NL!$A$5:$A$304,$B244))</f>
        <v/>
      </c>
      <c r="K244" s="39" t="str">
        <f t="shared" si="16"/>
        <v/>
      </c>
      <c r="L244" s="31" t="str">
        <f>IF($B244="","",IFERROR(INDEX(Kho_NL!$I$5:$I$304,MATCH(B244,Kho_NL!$A$5:$A$304,0))&amp;"",""))</f>
        <v/>
      </c>
      <c r="M244" s="44" t="str">
        <f>IF($B244="","",SUMIFS(Kho_NL!$H$5:$H$304,Kho_NL!$A$5:$A$304,$B244))</f>
        <v/>
      </c>
      <c r="N244" s="44" t="str">
        <f t="shared" si="17"/>
        <v/>
      </c>
      <c r="O244" s="45" t="str">
        <f t="shared" si="18"/>
        <v/>
      </c>
      <c r="P244" s="44" t="str">
        <f>IF($B244="","",SUMIFS(TK_Nhap!$E$5:$E$1004,TK_Nhap!$D$5:$D$1004,$B244,TK_Nhap!$H$5:$H$1004,1))</f>
        <v/>
      </c>
      <c r="Q244" s="44" t="str">
        <f t="shared" si="19"/>
        <v/>
      </c>
    </row>
    <row r="245" spans="1:17" x14ac:dyDescent="0.25">
      <c r="A245" s="36" t="str">
        <f t="shared" si="15"/>
        <v/>
      </c>
      <c r="B245" s="35" t="str">
        <f>IFERROR(INDEX(DM_NL!$A$5:$A$304,MATCH(ROW()-10,DM_NL!$G$5:$G$304,0)),"")</f>
        <v/>
      </c>
      <c r="C245" s="35" t="str">
        <f>IF(B245="","",INDEX(DM_NL!$B$5:$B$304,MATCH(B245,DM_NL!$A$5:$A$304,0)))</f>
        <v/>
      </c>
      <c r="D245" s="35" t="str">
        <f>IF(B245="","",INDEX(DM_NL!$C$5:$C$304,MATCH(B245,DM_NL!$A$5:$A$304,0)))</f>
        <v/>
      </c>
      <c r="E245" s="39" t="str">
        <f>IF($B245="","",SUMIFS(Kho_NL!$B$5:$B$304,Kho_NL!$A$5:$A$304,$B245))</f>
        <v/>
      </c>
      <c r="F245" s="39" t="str">
        <f>IF($B245="","",SUMIFS(Kho_NL!$C$5:$C$304,Kho_NL!$A$5:$A$304,$B245))</f>
        <v/>
      </c>
      <c r="G245" s="39" t="str">
        <f>IF($B245="","",SUMIFS(Kho_NL!$D$5:$D$304,Kho_NL!$A$5:$A$304,$B245))</f>
        <v/>
      </c>
      <c r="H245" s="39" t="str">
        <f>IF($B245="","",SUMIFS(Kho_NL!$E$5:$E$304,Kho_NL!$A$5:$A$304,$B245))</f>
        <v/>
      </c>
      <c r="I245" s="39" t="str">
        <f>IF($B245="","",SUMIFS(Kho_NL!$F$5:$F$304,Kho_NL!$A$5:$A$304,$B245))</f>
        <v/>
      </c>
      <c r="J245" s="39" t="str">
        <f>IF($B245="","",SUMIFS(Kho_NL!$G$5:$G$304,Kho_NL!$A$5:$A$304,$B245))</f>
        <v/>
      </c>
      <c r="K245" s="39" t="str">
        <f t="shared" si="16"/>
        <v/>
      </c>
      <c r="L245" s="31" t="str">
        <f>IF($B245="","",IFERROR(INDEX(Kho_NL!$I$5:$I$304,MATCH(B245,Kho_NL!$A$5:$A$304,0))&amp;"",""))</f>
        <v/>
      </c>
      <c r="M245" s="44" t="str">
        <f>IF($B245="","",SUMIFS(Kho_NL!$H$5:$H$304,Kho_NL!$A$5:$A$304,$B245))</f>
        <v/>
      </c>
      <c r="N245" s="44" t="str">
        <f t="shared" si="17"/>
        <v/>
      </c>
      <c r="O245" s="45" t="str">
        <f t="shared" si="18"/>
        <v/>
      </c>
      <c r="P245" s="44" t="str">
        <f>IF($B245="","",SUMIFS(TK_Nhap!$E$5:$E$1004,TK_Nhap!$D$5:$D$1004,$B245,TK_Nhap!$H$5:$H$1004,1))</f>
        <v/>
      </c>
      <c r="Q245" s="44" t="str">
        <f t="shared" si="19"/>
        <v/>
      </c>
    </row>
    <row r="246" spans="1:17" x14ac:dyDescent="0.25">
      <c r="A246" s="36" t="str">
        <f t="shared" si="15"/>
        <v/>
      </c>
      <c r="B246" s="35" t="str">
        <f>IFERROR(INDEX(DM_NL!$A$5:$A$304,MATCH(ROW()-10,DM_NL!$G$5:$G$304,0)),"")</f>
        <v/>
      </c>
      <c r="C246" s="35" t="str">
        <f>IF(B246="","",INDEX(DM_NL!$B$5:$B$304,MATCH(B246,DM_NL!$A$5:$A$304,0)))</f>
        <v/>
      </c>
      <c r="D246" s="35" t="str">
        <f>IF(B246="","",INDEX(DM_NL!$C$5:$C$304,MATCH(B246,DM_NL!$A$5:$A$304,0)))</f>
        <v/>
      </c>
      <c r="E246" s="39" t="str">
        <f>IF($B246="","",SUMIFS(Kho_NL!$B$5:$B$304,Kho_NL!$A$5:$A$304,$B246))</f>
        <v/>
      </c>
      <c r="F246" s="39" t="str">
        <f>IF($B246="","",SUMIFS(Kho_NL!$C$5:$C$304,Kho_NL!$A$5:$A$304,$B246))</f>
        <v/>
      </c>
      <c r="G246" s="39" t="str">
        <f>IF($B246="","",SUMIFS(Kho_NL!$D$5:$D$304,Kho_NL!$A$5:$A$304,$B246))</f>
        <v/>
      </c>
      <c r="H246" s="39" t="str">
        <f>IF($B246="","",SUMIFS(Kho_NL!$E$5:$E$304,Kho_NL!$A$5:$A$304,$B246))</f>
        <v/>
      </c>
      <c r="I246" s="39" t="str">
        <f>IF($B246="","",SUMIFS(Kho_NL!$F$5:$F$304,Kho_NL!$A$5:$A$304,$B246))</f>
        <v/>
      </c>
      <c r="J246" s="39" t="str">
        <f>IF($B246="","",SUMIFS(Kho_NL!$G$5:$G$304,Kho_NL!$A$5:$A$304,$B246))</f>
        <v/>
      </c>
      <c r="K246" s="39" t="str">
        <f t="shared" si="16"/>
        <v/>
      </c>
      <c r="L246" s="31" t="str">
        <f>IF($B246="","",IFERROR(INDEX(Kho_NL!$I$5:$I$304,MATCH(B246,Kho_NL!$A$5:$A$304,0))&amp;"",""))</f>
        <v/>
      </c>
      <c r="M246" s="44" t="str">
        <f>IF($B246="","",SUMIFS(Kho_NL!$H$5:$H$304,Kho_NL!$A$5:$A$304,$B246))</f>
        <v/>
      </c>
      <c r="N246" s="44" t="str">
        <f t="shared" si="17"/>
        <v/>
      </c>
      <c r="O246" s="45" t="str">
        <f t="shared" si="18"/>
        <v/>
      </c>
      <c r="P246" s="44" t="str">
        <f>IF($B246="","",SUMIFS(TK_Nhap!$E$5:$E$1004,TK_Nhap!$D$5:$D$1004,$B246,TK_Nhap!$H$5:$H$1004,1))</f>
        <v/>
      </c>
      <c r="Q246" s="44" t="str">
        <f t="shared" si="19"/>
        <v/>
      </c>
    </row>
    <row r="247" spans="1:17" x14ac:dyDescent="0.25">
      <c r="A247" s="36" t="str">
        <f t="shared" si="15"/>
        <v/>
      </c>
      <c r="B247" s="35" t="str">
        <f>IFERROR(INDEX(DM_NL!$A$5:$A$304,MATCH(ROW()-10,DM_NL!$G$5:$G$304,0)),"")</f>
        <v/>
      </c>
      <c r="C247" s="35" t="str">
        <f>IF(B247="","",INDEX(DM_NL!$B$5:$B$304,MATCH(B247,DM_NL!$A$5:$A$304,0)))</f>
        <v/>
      </c>
      <c r="D247" s="35" t="str">
        <f>IF(B247="","",INDEX(DM_NL!$C$5:$C$304,MATCH(B247,DM_NL!$A$5:$A$304,0)))</f>
        <v/>
      </c>
      <c r="E247" s="39" t="str">
        <f>IF($B247="","",SUMIFS(Kho_NL!$B$5:$B$304,Kho_NL!$A$5:$A$304,$B247))</f>
        <v/>
      </c>
      <c r="F247" s="39" t="str">
        <f>IF($B247="","",SUMIFS(Kho_NL!$C$5:$C$304,Kho_NL!$A$5:$A$304,$B247))</f>
        <v/>
      </c>
      <c r="G247" s="39" t="str">
        <f>IF($B247="","",SUMIFS(Kho_NL!$D$5:$D$304,Kho_NL!$A$5:$A$304,$B247))</f>
        <v/>
      </c>
      <c r="H247" s="39" t="str">
        <f>IF($B247="","",SUMIFS(Kho_NL!$E$5:$E$304,Kho_NL!$A$5:$A$304,$B247))</f>
        <v/>
      </c>
      <c r="I247" s="39" t="str">
        <f>IF($B247="","",SUMIFS(Kho_NL!$F$5:$F$304,Kho_NL!$A$5:$A$304,$B247))</f>
        <v/>
      </c>
      <c r="J247" s="39" t="str">
        <f>IF($B247="","",SUMIFS(Kho_NL!$G$5:$G$304,Kho_NL!$A$5:$A$304,$B247))</f>
        <v/>
      </c>
      <c r="K247" s="39" t="str">
        <f t="shared" si="16"/>
        <v/>
      </c>
      <c r="L247" s="31" t="str">
        <f>IF($B247="","",IFERROR(INDEX(Kho_NL!$I$5:$I$304,MATCH(B247,Kho_NL!$A$5:$A$304,0))&amp;"",""))</f>
        <v/>
      </c>
      <c r="M247" s="44" t="str">
        <f>IF($B247="","",SUMIFS(Kho_NL!$H$5:$H$304,Kho_NL!$A$5:$A$304,$B247))</f>
        <v/>
      </c>
      <c r="N247" s="44" t="str">
        <f t="shared" si="17"/>
        <v/>
      </c>
      <c r="O247" s="45" t="str">
        <f t="shared" si="18"/>
        <v/>
      </c>
      <c r="P247" s="44" t="str">
        <f>IF($B247="","",SUMIFS(TK_Nhap!$E$5:$E$1004,TK_Nhap!$D$5:$D$1004,$B247,TK_Nhap!$H$5:$H$1004,1))</f>
        <v/>
      </c>
      <c r="Q247" s="44" t="str">
        <f t="shared" si="19"/>
        <v/>
      </c>
    </row>
    <row r="248" spans="1:17" x14ac:dyDescent="0.25">
      <c r="A248" s="36" t="str">
        <f t="shared" si="15"/>
        <v/>
      </c>
      <c r="B248" s="35" t="str">
        <f>IFERROR(INDEX(DM_NL!$A$5:$A$304,MATCH(ROW()-10,DM_NL!$G$5:$G$304,0)),"")</f>
        <v/>
      </c>
      <c r="C248" s="35" t="str">
        <f>IF(B248="","",INDEX(DM_NL!$B$5:$B$304,MATCH(B248,DM_NL!$A$5:$A$304,0)))</f>
        <v/>
      </c>
      <c r="D248" s="35" t="str">
        <f>IF(B248="","",INDEX(DM_NL!$C$5:$C$304,MATCH(B248,DM_NL!$A$5:$A$304,0)))</f>
        <v/>
      </c>
      <c r="E248" s="39" t="str">
        <f>IF($B248="","",SUMIFS(Kho_NL!$B$5:$B$304,Kho_NL!$A$5:$A$304,$B248))</f>
        <v/>
      </c>
      <c r="F248" s="39" t="str">
        <f>IF($B248="","",SUMIFS(Kho_NL!$C$5:$C$304,Kho_NL!$A$5:$A$304,$B248))</f>
        <v/>
      </c>
      <c r="G248" s="39" t="str">
        <f>IF($B248="","",SUMIFS(Kho_NL!$D$5:$D$304,Kho_NL!$A$5:$A$304,$B248))</f>
        <v/>
      </c>
      <c r="H248" s="39" t="str">
        <f>IF($B248="","",SUMIFS(Kho_NL!$E$5:$E$304,Kho_NL!$A$5:$A$304,$B248))</f>
        <v/>
      </c>
      <c r="I248" s="39" t="str">
        <f>IF($B248="","",SUMIFS(Kho_NL!$F$5:$F$304,Kho_NL!$A$5:$A$304,$B248))</f>
        <v/>
      </c>
      <c r="J248" s="39" t="str">
        <f>IF($B248="","",SUMIFS(Kho_NL!$G$5:$G$304,Kho_NL!$A$5:$A$304,$B248))</f>
        <v/>
      </c>
      <c r="K248" s="39" t="str">
        <f t="shared" si="16"/>
        <v/>
      </c>
      <c r="L248" s="31" t="str">
        <f>IF($B248="","",IFERROR(INDEX(Kho_NL!$I$5:$I$304,MATCH(B248,Kho_NL!$A$5:$A$304,0))&amp;"",""))</f>
        <v/>
      </c>
      <c r="M248" s="44" t="str">
        <f>IF($B248="","",SUMIFS(Kho_NL!$H$5:$H$304,Kho_NL!$A$5:$A$304,$B248))</f>
        <v/>
      </c>
      <c r="N248" s="44" t="str">
        <f t="shared" si="17"/>
        <v/>
      </c>
      <c r="O248" s="45" t="str">
        <f t="shared" si="18"/>
        <v/>
      </c>
      <c r="P248" s="44" t="str">
        <f>IF($B248="","",SUMIFS(TK_Nhap!$E$5:$E$1004,TK_Nhap!$D$5:$D$1004,$B248,TK_Nhap!$H$5:$H$1004,1))</f>
        <v/>
      </c>
      <c r="Q248" s="44" t="str">
        <f t="shared" si="19"/>
        <v/>
      </c>
    </row>
    <row r="249" spans="1:17" x14ac:dyDescent="0.25">
      <c r="A249" s="36" t="str">
        <f t="shared" si="15"/>
        <v/>
      </c>
      <c r="B249" s="35" t="str">
        <f>IFERROR(INDEX(DM_NL!$A$5:$A$304,MATCH(ROW()-10,DM_NL!$G$5:$G$304,0)),"")</f>
        <v/>
      </c>
      <c r="C249" s="35" t="str">
        <f>IF(B249="","",INDEX(DM_NL!$B$5:$B$304,MATCH(B249,DM_NL!$A$5:$A$304,0)))</f>
        <v/>
      </c>
      <c r="D249" s="35" t="str">
        <f>IF(B249="","",INDEX(DM_NL!$C$5:$C$304,MATCH(B249,DM_NL!$A$5:$A$304,0)))</f>
        <v/>
      </c>
      <c r="E249" s="39" t="str">
        <f>IF($B249="","",SUMIFS(Kho_NL!$B$5:$B$304,Kho_NL!$A$5:$A$304,$B249))</f>
        <v/>
      </c>
      <c r="F249" s="39" t="str">
        <f>IF($B249="","",SUMIFS(Kho_NL!$C$5:$C$304,Kho_NL!$A$5:$A$304,$B249))</f>
        <v/>
      </c>
      <c r="G249" s="39" t="str">
        <f>IF($B249="","",SUMIFS(Kho_NL!$D$5:$D$304,Kho_NL!$A$5:$A$304,$B249))</f>
        <v/>
      </c>
      <c r="H249" s="39" t="str">
        <f>IF($B249="","",SUMIFS(Kho_NL!$E$5:$E$304,Kho_NL!$A$5:$A$304,$B249))</f>
        <v/>
      </c>
      <c r="I249" s="39" t="str">
        <f>IF($B249="","",SUMIFS(Kho_NL!$F$5:$F$304,Kho_NL!$A$5:$A$304,$B249))</f>
        <v/>
      </c>
      <c r="J249" s="39" t="str">
        <f>IF($B249="","",SUMIFS(Kho_NL!$G$5:$G$304,Kho_NL!$A$5:$A$304,$B249))</f>
        <v/>
      </c>
      <c r="K249" s="39" t="str">
        <f t="shared" si="16"/>
        <v/>
      </c>
      <c r="L249" s="31" t="str">
        <f>IF($B249="","",IFERROR(INDEX(Kho_NL!$I$5:$I$304,MATCH(B249,Kho_NL!$A$5:$A$304,0))&amp;"",""))</f>
        <v/>
      </c>
      <c r="M249" s="44" t="str">
        <f>IF($B249="","",SUMIFS(Kho_NL!$H$5:$H$304,Kho_NL!$A$5:$A$304,$B249))</f>
        <v/>
      </c>
      <c r="N249" s="44" t="str">
        <f t="shared" si="17"/>
        <v/>
      </c>
      <c r="O249" s="45" t="str">
        <f t="shared" si="18"/>
        <v/>
      </c>
      <c r="P249" s="44" t="str">
        <f>IF($B249="","",SUMIFS(TK_Nhap!$E$5:$E$1004,TK_Nhap!$D$5:$D$1004,$B249,TK_Nhap!$H$5:$H$1004,1))</f>
        <v/>
      </c>
      <c r="Q249" s="44" t="str">
        <f t="shared" si="19"/>
        <v/>
      </c>
    </row>
    <row r="250" spans="1:17" x14ac:dyDescent="0.25">
      <c r="A250" s="36" t="str">
        <f t="shared" si="15"/>
        <v/>
      </c>
      <c r="B250" s="35" t="str">
        <f>IFERROR(INDEX(DM_NL!$A$5:$A$304,MATCH(ROW()-10,DM_NL!$G$5:$G$304,0)),"")</f>
        <v/>
      </c>
      <c r="C250" s="35" t="str">
        <f>IF(B250="","",INDEX(DM_NL!$B$5:$B$304,MATCH(B250,DM_NL!$A$5:$A$304,0)))</f>
        <v/>
      </c>
      <c r="D250" s="35" t="str">
        <f>IF(B250="","",INDEX(DM_NL!$C$5:$C$304,MATCH(B250,DM_NL!$A$5:$A$304,0)))</f>
        <v/>
      </c>
      <c r="E250" s="39" t="str">
        <f>IF($B250="","",SUMIFS(Kho_NL!$B$5:$B$304,Kho_NL!$A$5:$A$304,$B250))</f>
        <v/>
      </c>
      <c r="F250" s="39" t="str">
        <f>IF($B250="","",SUMIFS(Kho_NL!$C$5:$C$304,Kho_NL!$A$5:$A$304,$B250))</f>
        <v/>
      </c>
      <c r="G250" s="39" t="str">
        <f>IF($B250="","",SUMIFS(Kho_NL!$D$5:$D$304,Kho_NL!$A$5:$A$304,$B250))</f>
        <v/>
      </c>
      <c r="H250" s="39" t="str">
        <f>IF($B250="","",SUMIFS(Kho_NL!$E$5:$E$304,Kho_NL!$A$5:$A$304,$B250))</f>
        <v/>
      </c>
      <c r="I250" s="39" t="str">
        <f>IF($B250="","",SUMIFS(Kho_NL!$F$5:$F$304,Kho_NL!$A$5:$A$304,$B250))</f>
        <v/>
      </c>
      <c r="J250" s="39" t="str">
        <f>IF($B250="","",SUMIFS(Kho_NL!$G$5:$G$304,Kho_NL!$A$5:$A$304,$B250))</f>
        <v/>
      </c>
      <c r="K250" s="39" t="str">
        <f t="shared" si="16"/>
        <v/>
      </c>
      <c r="L250" s="31" t="str">
        <f>IF($B250="","",IFERROR(INDEX(Kho_NL!$I$5:$I$304,MATCH(B250,Kho_NL!$A$5:$A$304,0))&amp;"",""))</f>
        <v/>
      </c>
      <c r="M250" s="44" t="str">
        <f>IF($B250="","",SUMIFS(Kho_NL!$H$5:$H$304,Kho_NL!$A$5:$A$304,$B250))</f>
        <v/>
      </c>
      <c r="N250" s="44" t="str">
        <f t="shared" si="17"/>
        <v/>
      </c>
      <c r="O250" s="45" t="str">
        <f t="shared" si="18"/>
        <v/>
      </c>
      <c r="P250" s="44" t="str">
        <f>IF($B250="","",SUMIFS(TK_Nhap!$E$5:$E$1004,TK_Nhap!$D$5:$D$1004,$B250,TK_Nhap!$H$5:$H$1004,1))</f>
        <v/>
      </c>
      <c r="Q250" s="44" t="str">
        <f t="shared" si="19"/>
        <v/>
      </c>
    </row>
    <row r="251" spans="1:17" x14ac:dyDescent="0.25">
      <c r="A251" s="36" t="str">
        <f t="shared" si="15"/>
        <v/>
      </c>
      <c r="B251" s="35" t="str">
        <f>IFERROR(INDEX(DM_NL!$A$5:$A$304,MATCH(ROW()-10,DM_NL!$G$5:$G$304,0)),"")</f>
        <v/>
      </c>
      <c r="C251" s="35" t="str">
        <f>IF(B251="","",INDEX(DM_NL!$B$5:$B$304,MATCH(B251,DM_NL!$A$5:$A$304,0)))</f>
        <v/>
      </c>
      <c r="D251" s="35" t="str">
        <f>IF(B251="","",INDEX(DM_NL!$C$5:$C$304,MATCH(B251,DM_NL!$A$5:$A$304,0)))</f>
        <v/>
      </c>
      <c r="E251" s="39" t="str">
        <f>IF($B251="","",SUMIFS(Kho_NL!$B$5:$B$304,Kho_NL!$A$5:$A$304,$B251))</f>
        <v/>
      </c>
      <c r="F251" s="39" t="str">
        <f>IF($B251="","",SUMIFS(Kho_NL!$C$5:$C$304,Kho_NL!$A$5:$A$304,$B251))</f>
        <v/>
      </c>
      <c r="G251" s="39" t="str">
        <f>IF($B251="","",SUMIFS(Kho_NL!$D$5:$D$304,Kho_NL!$A$5:$A$304,$B251))</f>
        <v/>
      </c>
      <c r="H251" s="39" t="str">
        <f>IF($B251="","",SUMIFS(Kho_NL!$E$5:$E$304,Kho_NL!$A$5:$A$304,$B251))</f>
        <v/>
      </c>
      <c r="I251" s="39" t="str">
        <f>IF($B251="","",SUMIFS(Kho_NL!$F$5:$F$304,Kho_NL!$A$5:$A$304,$B251))</f>
        <v/>
      </c>
      <c r="J251" s="39" t="str">
        <f>IF($B251="","",SUMIFS(Kho_NL!$G$5:$G$304,Kho_NL!$A$5:$A$304,$B251))</f>
        <v/>
      </c>
      <c r="K251" s="39" t="str">
        <f t="shared" si="16"/>
        <v/>
      </c>
      <c r="L251" s="31" t="str">
        <f>IF($B251="","",IFERROR(INDEX(Kho_NL!$I$5:$I$304,MATCH(B251,Kho_NL!$A$5:$A$304,0))&amp;"",""))</f>
        <v/>
      </c>
      <c r="M251" s="44" t="str">
        <f>IF($B251="","",SUMIFS(Kho_NL!$H$5:$H$304,Kho_NL!$A$5:$A$304,$B251))</f>
        <v/>
      </c>
      <c r="N251" s="44" t="str">
        <f t="shared" si="17"/>
        <v/>
      </c>
      <c r="O251" s="45" t="str">
        <f t="shared" si="18"/>
        <v/>
      </c>
      <c r="P251" s="44" t="str">
        <f>IF($B251="","",SUMIFS(TK_Nhap!$E$5:$E$1004,TK_Nhap!$D$5:$D$1004,$B251,TK_Nhap!$H$5:$H$1004,1))</f>
        <v/>
      </c>
      <c r="Q251" s="44" t="str">
        <f t="shared" si="19"/>
        <v/>
      </c>
    </row>
    <row r="252" spans="1:17" x14ac:dyDescent="0.25">
      <c r="A252" s="36" t="str">
        <f t="shared" si="15"/>
        <v/>
      </c>
      <c r="B252" s="35" t="str">
        <f>IFERROR(INDEX(DM_NL!$A$5:$A$304,MATCH(ROW()-10,DM_NL!$G$5:$G$304,0)),"")</f>
        <v/>
      </c>
      <c r="C252" s="35" t="str">
        <f>IF(B252="","",INDEX(DM_NL!$B$5:$B$304,MATCH(B252,DM_NL!$A$5:$A$304,0)))</f>
        <v/>
      </c>
      <c r="D252" s="35" t="str">
        <f>IF(B252="","",INDEX(DM_NL!$C$5:$C$304,MATCH(B252,DM_NL!$A$5:$A$304,0)))</f>
        <v/>
      </c>
      <c r="E252" s="39" t="str">
        <f>IF($B252="","",SUMIFS(Kho_NL!$B$5:$B$304,Kho_NL!$A$5:$A$304,$B252))</f>
        <v/>
      </c>
      <c r="F252" s="39" t="str">
        <f>IF($B252="","",SUMIFS(Kho_NL!$C$5:$C$304,Kho_NL!$A$5:$A$304,$B252))</f>
        <v/>
      </c>
      <c r="G252" s="39" t="str">
        <f>IF($B252="","",SUMIFS(Kho_NL!$D$5:$D$304,Kho_NL!$A$5:$A$304,$B252))</f>
        <v/>
      </c>
      <c r="H252" s="39" t="str">
        <f>IF($B252="","",SUMIFS(Kho_NL!$E$5:$E$304,Kho_NL!$A$5:$A$304,$B252))</f>
        <v/>
      </c>
      <c r="I252" s="39" t="str">
        <f>IF($B252="","",SUMIFS(Kho_NL!$F$5:$F$304,Kho_NL!$A$5:$A$304,$B252))</f>
        <v/>
      </c>
      <c r="J252" s="39" t="str">
        <f>IF($B252="","",SUMIFS(Kho_NL!$G$5:$G$304,Kho_NL!$A$5:$A$304,$B252))</f>
        <v/>
      </c>
      <c r="K252" s="39" t="str">
        <f t="shared" si="16"/>
        <v/>
      </c>
      <c r="L252" s="31" t="str">
        <f>IF($B252="","",IFERROR(INDEX(Kho_NL!$I$5:$I$304,MATCH(B252,Kho_NL!$A$5:$A$304,0))&amp;"",""))</f>
        <v/>
      </c>
      <c r="M252" s="44" t="str">
        <f>IF($B252="","",SUMIFS(Kho_NL!$H$5:$H$304,Kho_NL!$A$5:$A$304,$B252))</f>
        <v/>
      </c>
      <c r="N252" s="44" t="str">
        <f t="shared" si="17"/>
        <v/>
      </c>
      <c r="O252" s="45" t="str">
        <f t="shared" si="18"/>
        <v/>
      </c>
      <c r="P252" s="44" t="str">
        <f>IF($B252="","",SUMIFS(TK_Nhap!$E$5:$E$1004,TK_Nhap!$D$5:$D$1004,$B252,TK_Nhap!$H$5:$H$1004,1))</f>
        <v/>
      </c>
      <c r="Q252" s="44" t="str">
        <f t="shared" si="19"/>
        <v/>
      </c>
    </row>
    <row r="253" spans="1:17" x14ac:dyDescent="0.25">
      <c r="A253" s="36" t="str">
        <f t="shared" si="15"/>
        <v/>
      </c>
      <c r="B253" s="35" t="str">
        <f>IFERROR(INDEX(DM_NL!$A$5:$A$304,MATCH(ROW()-10,DM_NL!$G$5:$G$304,0)),"")</f>
        <v/>
      </c>
      <c r="C253" s="35" t="str">
        <f>IF(B253="","",INDEX(DM_NL!$B$5:$B$304,MATCH(B253,DM_NL!$A$5:$A$304,0)))</f>
        <v/>
      </c>
      <c r="D253" s="35" t="str">
        <f>IF(B253="","",INDEX(DM_NL!$C$5:$C$304,MATCH(B253,DM_NL!$A$5:$A$304,0)))</f>
        <v/>
      </c>
      <c r="E253" s="39" t="str">
        <f>IF($B253="","",SUMIFS(Kho_NL!$B$5:$B$304,Kho_NL!$A$5:$A$304,$B253))</f>
        <v/>
      </c>
      <c r="F253" s="39" t="str">
        <f>IF($B253="","",SUMIFS(Kho_NL!$C$5:$C$304,Kho_NL!$A$5:$A$304,$B253))</f>
        <v/>
      </c>
      <c r="G253" s="39" t="str">
        <f>IF($B253="","",SUMIFS(Kho_NL!$D$5:$D$304,Kho_NL!$A$5:$A$304,$B253))</f>
        <v/>
      </c>
      <c r="H253" s="39" t="str">
        <f>IF($B253="","",SUMIFS(Kho_NL!$E$5:$E$304,Kho_NL!$A$5:$A$304,$B253))</f>
        <v/>
      </c>
      <c r="I253" s="39" t="str">
        <f>IF($B253="","",SUMIFS(Kho_NL!$F$5:$F$304,Kho_NL!$A$5:$A$304,$B253))</f>
        <v/>
      </c>
      <c r="J253" s="39" t="str">
        <f>IF($B253="","",SUMIFS(Kho_NL!$G$5:$G$304,Kho_NL!$A$5:$A$304,$B253))</f>
        <v/>
      </c>
      <c r="K253" s="39" t="str">
        <f t="shared" si="16"/>
        <v/>
      </c>
      <c r="L253" s="31" t="str">
        <f>IF($B253="","",IFERROR(INDEX(Kho_NL!$I$5:$I$304,MATCH(B253,Kho_NL!$A$5:$A$304,0))&amp;"",""))</f>
        <v/>
      </c>
      <c r="M253" s="44" t="str">
        <f>IF($B253="","",SUMIFS(Kho_NL!$H$5:$H$304,Kho_NL!$A$5:$A$304,$B253))</f>
        <v/>
      </c>
      <c r="N253" s="44" t="str">
        <f t="shared" si="17"/>
        <v/>
      </c>
      <c r="O253" s="45" t="str">
        <f t="shared" si="18"/>
        <v/>
      </c>
      <c r="P253" s="44" t="str">
        <f>IF($B253="","",SUMIFS(TK_Nhap!$E$5:$E$1004,TK_Nhap!$D$5:$D$1004,$B253,TK_Nhap!$H$5:$H$1004,1))</f>
        <v/>
      </c>
      <c r="Q253" s="44" t="str">
        <f t="shared" si="19"/>
        <v/>
      </c>
    </row>
    <row r="254" spans="1:17" x14ac:dyDescent="0.25">
      <c r="A254" s="36" t="str">
        <f t="shared" si="15"/>
        <v/>
      </c>
      <c r="B254" s="35" t="str">
        <f>IFERROR(INDEX(DM_NL!$A$5:$A$304,MATCH(ROW()-10,DM_NL!$G$5:$G$304,0)),"")</f>
        <v/>
      </c>
      <c r="C254" s="35" t="str">
        <f>IF(B254="","",INDEX(DM_NL!$B$5:$B$304,MATCH(B254,DM_NL!$A$5:$A$304,0)))</f>
        <v/>
      </c>
      <c r="D254" s="35" t="str">
        <f>IF(B254="","",INDEX(DM_NL!$C$5:$C$304,MATCH(B254,DM_NL!$A$5:$A$304,0)))</f>
        <v/>
      </c>
      <c r="E254" s="39" t="str">
        <f>IF($B254="","",SUMIFS(Kho_NL!$B$5:$B$304,Kho_NL!$A$5:$A$304,$B254))</f>
        <v/>
      </c>
      <c r="F254" s="39" t="str">
        <f>IF($B254="","",SUMIFS(Kho_NL!$C$5:$C$304,Kho_NL!$A$5:$A$304,$B254))</f>
        <v/>
      </c>
      <c r="G254" s="39" t="str">
        <f>IF($B254="","",SUMIFS(Kho_NL!$D$5:$D$304,Kho_NL!$A$5:$A$304,$B254))</f>
        <v/>
      </c>
      <c r="H254" s="39" t="str">
        <f>IF($B254="","",SUMIFS(Kho_NL!$E$5:$E$304,Kho_NL!$A$5:$A$304,$B254))</f>
        <v/>
      </c>
      <c r="I254" s="39" t="str">
        <f>IF($B254="","",SUMIFS(Kho_NL!$F$5:$F$304,Kho_NL!$A$5:$A$304,$B254))</f>
        <v/>
      </c>
      <c r="J254" s="39" t="str">
        <f>IF($B254="","",SUMIFS(Kho_NL!$G$5:$G$304,Kho_NL!$A$5:$A$304,$B254))</f>
        <v/>
      </c>
      <c r="K254" s="39" t="str">
        <f t="shared" si="16"/>
        <v/>
      </c>
      <c r="L254" s="31" t="str">
        <f>IF($B254="","",IFERROR(INDEX(Kho_NL!$I$5:$I$304,MATCH(B254,Kho_NL!$A$5:$A$304,0))&amp;"",""))</f>
        <v/>
      </c>
      <c r="M254" s="44" t="str">
        <f>IF($B254="","",SUMIFS(Kho_NL!$H$5:$H$304,Kho_NL!$A$5:$A$304,$B254))</f>
        <v/>
      </c>
      <c r="N254" s="44" t="str">
        <f t="shared" si="17"/>
        <v/>
      </c>
      <c r="O254" s="45" t="str">
        <f t="shared" si="18"/>
        <v/>
      </c>
      <c r="P254" s="44" t="str">
        <f>IF($B254="","",SUMIFS(TK_Nhap!$E$5:$E$1004,TK_Nhap!$D$5:$D$1004,$B254,TK_Nhap!$H$5:$H$1004,1))</f>
        <v/>
      </c>
      <c r="Q254" s="44" t="str">
        <f t="shared" si="19"/>
        <v/>
      </c>
    </row>
    <row r="255" spans="1:17" x14ac:dyDescent="0.25">
      <c r="A255" s="36" t="str">
        <f t="shared" si="15"/>
        <v/>
      </c>
      <c r="B255" s="35" t="str">
        <f>IFERROR(INDEX(DM_NL!$A$5:$A$304,MATCH(ROW()-10,DM_NL!$G$5:$G$304,0)),"")</f>
        <v/>
      </c>
      <c r="C255" s="35" t="str">
        <f>IF(B255="","",INDEX(DM_NL!$B$5:$B$304,MATCH(B255,DM_NL!$A$5:$A$304,0)))</f>
        <v/>
      </c>
      <c r="D255" s="35" t="str">
        <f>IF(B255="","",INDEX(DM_NL!$C$5:$C$304,MATCH(B255,DM_NL!$A$5:$A$304,0)))</f>
        <v/>
      </c>
      <c r="E255" s="39" t="str">
        <f>IF($B255="","",SUMIFS(Kho_NL!$B$5:$B$304,Kho_NL!$A$5:$A$304,$B255))</f>
        <v/>
      </c>
      <c r="F255" s="39" t="str">
        <f>IF($B255="","",SUMIFS(Kho_NL!$C$5:$C$304,Kho_NL!$A$5:$A$304,$B255))</f>
        <v/>
      </c>
      <c r="G255" s="39" t="str">
        <f>IF($B255="","",SUMIFS(Kho_NL!$D$5:$D$304,Kho_NL!$A$5:$A$304,$B255))</f>
        <v/>
      </c>
      <c r="H255" s="39" t="str">
        <f>IF($B255="","",SUMIFS(Kho_NL!$E$5:$E$304,Kho_NL!$A$5:$A$304,$B255))</f>
        <v/>
      </c>
      <c r="I255" s="39" t="str">
        <f>IF($B255="","",SUMIFS(Kho_NL!$F$5:$F$304,Kho_NL!$A$5:$A$304,$B255))</f>
        <v/>
      </c>
      <c r="J255" s="39" t="str">
        <f>IF($B255="","",SUMIFS(Kho_NL!$G$5:$G$304,Kho_NL!$A$5:$A$304,$B255))</f>
        <v/>
      </c>
      <c r="K255" s="39" t="str">
        <f t="shared" si="16"/>
        <v/>
      </c>
      <c r="L255" s="31" t="str">
        <f>IF($B255="","",IFERROR(INDEX(Kho_NL!$I$5:$I$304,MATCH(B255,Kho_NL!$A$5:$A$304,0))&amp;"",""))</f>
        <v/>
      </c>
      <c r="M255" s="44" t="str">
        <f>IF($B255="","",SUMIFS(Kho_NL!$H$5:$H$304,Kho_NL!$A$5:$A$304,$B255))</f>
        <v/>
      </c>
      <c r="N255" s="44" t="str">
        <f t="shared" si="17"/>
        <v/>
      </c>
      <c r="O255" s="45" t="str">
        <f t="shared" si="18"/>
        <v/>
      </c>
      <c r="P255" s="44" t="str">
        <f>IF($B255="","",SUMIFS(TK_Nhap!$E$5:$E$1004,TK_Nhap!$D$5:$D$1004,$B255,TK_Nhap!$H$5:$H$1004,1))</f>
        <v/>
      </c>
      <c r="Q255" s="44" t="str">
        <f t="shared" si="19"/>
        <v/>
      </c>
    </row>
    <row r="256" spans="1:17" x14ac:dyDescent="0.25">
      <c r="A256" s="36" t="str">
        <f t="shared" si="15"/>
        <v/>
      </c>
      <c r="B256" s="35" t="str">
        <f>IFERROR(INDEX(DM_NL!$A$5:$A$304,MATCH(ROW()-10,DM_NL!$G$5:$G$304,0)),"")</f>
        <v/>
      </c>
      <c r="C256" s="35" t="str">
        <f>IF(B256="","",INDEX(DM_NL!$B$5:$B$304,MATCH(B256,DM_NL!$A$5:$A$304,0)))</f>
        <v/>
      </c>
      <c r="D256" s="35" t="str">
        <f>IF(B256="","",INDEX(DM_NL!$C$5:$C$304,MATCH(B256,DM_NL!$A$5:$A$304,0)))</f>
        <v/>
      </c>
      <c r="E256" s="39" t="str">
        <f>IF($B256="","",SUMIFS(Kho_NL!$B$5:$B$304,Kho_NL!$A$5:$A$304,$B256))</f>
        <v/>
      </c>
      <c r="F256" s="39" t="str">
        <f>IF($B256="","",SUMIFS(Kho_NL!$C$5:$C$304,Kho_NL!$A$5:$A$304,$B256))</f>
        <v/>
      </c>
      <c r="G256" s="39" t="str">
        <f>IF($B256="","",SUMIFS(Kho_NL!$D$5:$D$304,Kho_NL!$A$5:$A$304,$B256))</f>
        <v/>
      </c>
      <c r="H256" s="39" t="str">
        <f>IF($B256="","",SUMIFS(Kho_NL!$E$5:$E$304,Kho_NL!$A$5:$A$304,$B256))</f>
        <v/>
      </c>
      <c r="I256" s="39" t="str">
        <f>IF($B256="","",SUMIFS(Kho_NL!$F$5:$F$304,Kho_NL!$A$5:$A$304,$B256))</f>
        <v/>
      </c>
      <c r="J256" s="39" t="str">
        <f>IF($B256="","",SUMIFS(Kho_NL!$G$5:$G$304,Kho_NL!$A$5:$A$304,$B256))</f>
        <v/>
      </c>
      <c r="K256" s="39" t="str">
        <f t="shared" si="16"/>
        <v/>
      </c>
      <c r="L256" s="31" t="str">
        <f>IF($B256="","",IFERROR(INDEX(Kho_NL!$I$5:$I$304,MATCH(B256,Kho_NL!$A$5:$A$304,0))&amp;"",""))</f>
        <v/>
      </c>
      <c r="M256" s="44" t="str">
        <f>IF($B256="","",SUMIFS(Kho_NL!$H$5:$H$304,Kho_NL!$A$5:$A$304,$B256))</f>
        <v/>
      </c>
      <c r="N256" s="44" t="str">
        <f t="shared" si="17"/>
        <v/>
      </c>
      <c r="O256" s="45" t="str">
        <f t="shared" si="18"/>
        <v/>
      </c>
      <c r="P256" s="44" t="str">
        <f>IF($B256="","",SUMIFS(TK_Nhap!$E$5:$E$1004,TK_Nhap!$D$5:$D$1004,$B256,TK_Nhap!$H$5:$H$1004,1))</f>
        <v/>
      </c>
      <c r="Q256" s="44" t="str">
        <f t="shared" si="19"/>
        <v/>
      </c>
    </row>
    <row r="257" spans="1:17" x14ac:dyDescent="0.25">
      <c r="A257" s="36" t="str">
        <f t="shared" si="15"/>
        <v/>
      </c>
      <c r="B257" s="35" t="str">
        <f>IFERROR(INDEX(DM_NL!$A$5:$A$304,MATCH(ROW()-10,DM_NL!$G$5:$G$304,0)),"")</f>
        <v/>
      </c>
      <c r="C257" s="35" t="str">
        <f>IF(B257="","",INDEX(DM_NL!$B$5:$B$304,MATCH(B257,DM_NL!$A$5:$A$304,0)))</f>
        <v/>
      </c>
      <c r="D257" s="35" t="str">
        <f>IF(B257="","",INDEX(DM_NL!$C$5:$C$304,MATCH(B257,DM_NL!$A$5:$A$304,0)))</f>
        <v/>
      </c>
      <c r="E257" s="39" t="str">
        <f>IF($B257="","",SUMIFS(Kho_NL!$B$5:$B$304,Kho_NL!$A$5:$A$304,$B257))</f>
        <v/>
      </c>
      <c r="F257" s="39" t="str">
        <f>IF($B257="","",SUMIFS(Kho_NL!$C$5:$C$304,Kho_NL!$A$5:$A$304,$B257))</f>
        <v/>
      </c>
      <c r="G257" s="39" t="str">
        <f>IF($B257="","",SUMIFS(Kho_NL!$D$5:$D$304,Kho_NL!$A$5:$A$304,$B257))</f>
        <v/>
      </c>
      <c r="H257" s="39" t="str">
        <f>IF($B257="","",SUMIFS(Kho_NL!$E$5:$E$304,Kho_NL!$A$5:$A$304,$B257))</f>
        <v/>
      </c>
      <c r="I257" s="39" t="str">
        <f>IF($B257="","",SUMIFS(Kho_NL!$F$5:$F$304,Kho_NL!$A$5:$A$304,$B257))</f>
        <v/>
      </c>
      <c r="J257" s="39" t="str">
        <f>IF($B257="","",SUMIFS(Kho_NL!$G$5:$G$304,Kho_NL!$A$5:$A$304,$B257))</f>
        <v/>
      </c>
      <c r="K257" s="39" t="str">
        <f t="shared" si="16"/>
        <v/>
      </c>
      <c r="L257" s="31" t="str">
        <f>IF($B257="","",IFERROR(INDEX(Kho_NL!$I$5:$I$304,MATCH(B257,Kho_NL!$A$5:$A$304,0))&amp;"",""))</f>
        <v/>
      </c>
      <c r="M257" s="44" t="str">
        <f>IF($B257="","",SUMIFS(Kho_NL!$H$5:$H$304,Kho_NL!$A$5:$A$304,$B257))</f>
        <v/>
      </c>
      <c r="N257" s="44" t="str">
        <f t="shared" si="17"/>
        <v/>
      </c>
      <c r="O257" s="45" t="str">
        <f t="shared" si="18"/>
        <v/>
      </c>
      <c r="P257" s="44" t="str">
        <f>IF($B257="","",SUMIFS(TK_Nhap!$E$5:$E$1004,TK_Nhap!$D$5:$D$1004,$B257,TK_Nhap!$H$5:$H$1004,1))</f>
        <v/>
      </c>
      <c r="Q257" s="44" t="str">
        <f t="shared" si="19"/>
        <v/>
      </c>
    </row>
    <row r="258" spans="1:17" x14ac:dyDescent="0.25">
      <c r="A258" s="36" t="str">
        <f t="shared" si="15"/>
        <v/>
      </c>
      <c r="B258" s="35" t="str">
        <f>IFERROR(INDEX(DM_NL!$A$5:$A$304,MATCH(ROW()-10,DM_NL!$G$5:$G$304,0)),"")</f>
        <v/>
      </c>
      <c r="C258" s="35" t="str">
        <f>IF(B258="","",INDEX(DM_NL!$B$5:$B$304,MATCH(B258,DM_NL!$A$5:$A$304,0)))</f>
        <v/>
      </c>
      <c r="D258" s="35" t="str">
        <f>IF(B258="","",INDEX(DM_NL!$C$5:$C$304,MATCH(B258,DM_NL!$A$5:$A$304,0)))</f>
        <v/>
      </c>
      <c r="E258" s="39" t="str">
        <f>IF($B258="","",SUMIFS(Kho_NL!$B$5:$B$304,Kho_NL!$A$5:$A$304,$B258))</f>
        <v/>
      </c>
      <c r="F258" s="39" t="str">
        <f>IF($B258="","",SUMIFS(Kho_NL!$C$5:$C$304,Kho_NL!$A$5:$A$304,$B258))</f>
        <v/>
      </c>
      <c r="G258" s="39" t="str">
        <f>IF($B258="","",SUMIFS(Kho_NL!$D$5:$D$304,Kho_NL!$A$5:$A$304,$B258))</f>
        <v/>
      </c>
      <c r="H258" s="39" t="str">
        <f>IF($B258="","",SUMIFS(Kho_NL!$E$5:$E$304,Kho_NL!$A$5:$A$304,$B258))</f>
        <v/>
      </c>
      <c r="I258" s="39" t="str">
        <f>IF($B258="","",SUMIFS(Kho_NL!$F$5:$F$304,Kho_NL!$A$5:$A$304,$B258))</f>
        <v/>
      </c>
      <c r="J258" s="39" t="str">
        <f>IF($B258="","",SUMIFS(Kho_NL!$G$5:$G$304,Kho_NL!$A$5:$A$304,$B258))</f>
        <v/>
      </c>
      <c r="K258" s="39" t="str">
        <f t="shared" si="16"/>
        <v/>
      </c>
      <c r="L258" s="31" t="str">
        <f>IF($B258="","",IFERROR(INDEX(Kho_NL!$I$5:$I$304,MATCH(B258,Kho_NL!$A$5:$A$304,0))&amp;"",""))</f>
        <v/>
      </c>
      <c r="M258" s="44" t="str">
        <f>IF($B258="","",SUMIFS(Kho_NL!$H$5:$H$304,Kho_NL!$A$5:$A$304,$B258))</f>
        <v/>
      </c>
      <c r="N258" s="44" t="str">
        <f t="shared" si="17"/>
        <v/>
      </c>
      <c r="O258" s="45" t="str">
        <f t="shared" si="18"/>
        <v/>
      </c>
      <c r="P258" s="44" t="str">
        <f>IF($B258="","",SUMIFS(TK_Nhap!$E$5:$E$1004,TK_Nhap!$D$5:$D$1004,$B258,TK_Nhap!$H$5:$H$1004,1))</f>
        <v/>
      </c>
      <c r="Q258" s="44" t="str">
        <f t="shared" si="19"/>
        <v/>
      </c>
    </row>
    <row r="259" spans="1:17" x14ac:dyDescent="0.25">
      <c r="A259" s="36" t="str">
        <f t="shared" si="15"/>
        <v/>
      </c>
      <c r="B259" s="35" t="str">
        <f>IFERROR(INDEX(DM_NL!$A$5:$A$304,MATCH(ROW()-10,DM_NL!$G$5:$G$304,0)),"")</f>
        <v/>
      </c>
      <c r="C259" s="35" t="str">
        <f>IF(B259="","",INDEX(DM_NL!$B$5:$B$304,MATCH(B259,DM_NL!$A$5:$A$304,0)))</f>
        <v/>
      </c>
      <c r="D259" s="35" t="str">
        <f>IF(B259="","",INDEX(DM_NL!$C$5:$C$304,MATCH(B259,DM_NL!$A$5:$A$304,0)))</f>
        <v/>
      </c>
      <c r="E259" s="39" t="str">
        <f>IF($B259="","",SUMIFS(Kho_NL!$B$5:$B$304,Kho_NL!$A$5:$A$304,$B259))</f>
        <v/>
      </c>
      <c r="F259" s="39" t="str">
        <f>IF($B259="","",SUMIFS(Kho_NL!$C$5:$C$304,Kho_NL!$A$5:$A$304,$B259))</f>
        <v/>
      </c>
      <c r="G259" s="39" t="str">
        <f>IF($B259="","",SUMIFS(Kho_NL!$D$5:$D$304,Kho_NL!$A$5:$A$304,$B259))</f>
        <v/>
      </c>
      <c r="H259" s="39" t="str">
        <f>IF($B259="","",SUMIFS(Kho_NL!$E$5:$E$304,Kho_NL!$A$5:$A$304,$B259))</f>
        <v/>
      </c>
      <c r="I259" s="39" t="str">
        <f>IF($B259="","",SUMIFS(Kho_NL!$F$5:$F$304,Kho_NL!$A$5:$A$304,$B259))</f>
        <v/>
      </c>
      <c r="J259" s="39" t="str">
        <f>IF($B259="","",SUMIFS(Kho_NL!$G$5:$G$304,Kho_NL!$A$5:$A$304,$B259))</f>
        <v/>
      </c>
      <c r="K259" s="39" t="str">
        <f t="shared" si="16"/>
        <v/>
      </c>
      <c r="L259" s="31" t="str">
        <f>IF($B259="","",IFERROR(INDEX(Kho_NL!$I$5:$I$304,MATCH(B259,Kho_NL!$A$5:$A$304,0))&amp;"",""))</f>
        <v/>
      </c>
      <c r="M259" s="44" t="str">
        <f>IF($B259="","",SUMIFS(Kho_NL!$H$5:$H$304,Kho_NL!$A$5:$A$304,$B259))</f>
        <v/>
      </c>
      <c r="N259" s="44" t="str">
        <f t="shared" si="17"/>
        <v/>
      </c>
      <c r="O259" s="45" t="str">
        <f t="shared" si="18"/>
        <v/>
      </c>
      <c r="P259" s="44" t="str">
        <f>IF($B259="","",SUMIFS(TK_Nhap!$E$5:$E$1004,TK_Nhap!$D$5:$D$1004,$B259,TK_Nhap!$H$5:$H$1004,1))</f>
        <v/>
      </c>
      <c r="Q259" s="44" t="str">
        <f t="shared" si="19"/>
        <v/>
      </c>
    </row>
    <row r="260" spans="1:17" x14ac:dyDescent="0.25">
      <c r="A260" s="36" t="str">
        <f t="shared" si="15"/>
        <v/>
      </c>
      <c r="B260" s="35" t="str">
        <f>IFERROR(INDEX(DM_NL!$A$5:$A$304,MATCH(ROW()-10,DM_NL!$G$5:$G$304,0)),"")</f>
        <v/>
      </c>
      <c r="C260" s="35" t="str">
        <f>IF(B260="","",INDEX(DM_NL!$B$5:$B$304,MATCH(B260,DM_NL!$A$5:$A$304,0)))</f>
        <v/>
      </c>
      <c r="D260" s="35" t="str">
        <f>IF(B260="","",INDEX(DM_NL!$C$5:$C$304,MATCH(B260,DM_NL!$A$5:$A$304,0)))</f>
        <v/>
      </c>
      <c r="E260" s="39" t="str">
        <f>IF($B260="","",SUMIFS(Kho_NL!$B$5:$B$304,Kho_NL!$A$5:$A$304,$B260))</f>
        <v/>
      </c>
      <c r="F260" s="39" t="str">
        <f>IF($B260="","",SUMIFS(Kho_NL!$C$5:$C$304,Kho_NL!$A$5:$A$304,$B260))</f>
        <v/>
      </c>
      <c r="G260" s="39" t="str">
        <f>IF($B260="","",SUMIFS(Kho_NL!$D$5:$D$304,Kho_NL!$A$5:$A$304,$B260))</f>
        <v/>
      </c>
      <c r="H260" s="39" t="str">
        <f>IF($B260="","",SUMIFS(Kho_NL!$E$5:$E$304,Kho_NL!$A$5:$A$304,$B260))</f>
        <v/>
      </c>
      <c r="I260" s="39" t="str">
        <f>IF($B260="","",SUMIFS(Kho_NL!$F$5:$F$304,Kho_NL!$A$5:$A$304,$B260))</f>
        <v/>
      </c>
      <c r="J260" s="39" t="str">
        <f>IF($B260="","",SUMIFS(Kho_NL!$G$5:$G$304,Kho_NL!$A$5:$A$304,$B260))</f>
        <v/>
      </c>
      <c r="K260" s="39" t="str">
        <f t="shared" si="16"/>
        <v/>
      </c>
      <c r="L260" s="31" t="str">
        <f>IF($B260="","",IFERROR(INDEX(Kho_NL!$I$5:$I$304,MATCH(B260,Kho_NL!$A$5:$A$304,0))&amp;"",""))</f>
        <v/>
      </c>
      <c r="M260" s="44" t="str">
        <f>IF($B260="","",SUMIFS(Kho_NL!$H$5:$H$304,Kho_NL!$A$5:$A$304,$B260))</f>
        <v/>
      </c>
      <c r="N260" s="44" t="str">
        <f t="shared" si="17"/>
        <v/>
      </c>
      <c r="O260" s="45" t="str">
        <f t="shared" si="18"/>
        <v/>
      </c>
      <c r="P260" s="44" t="str">
        <f>IF($B260="","",SUMIFS(TK_Nhap!$E$5:$E$1004,TK_Nhap!$D$5:$D$1004,$B260,TK_Nhap!$H$5:$H$1004,1))</f>
        <v/>
      </c>
      <c r="Q260" s="44" t="str">
        <f t="shared" si="19"/>
        <v/>
      </c>
    </row>
    <row r="261" spans="1:17" x14ac:dyDescent="0.25">
      <c r="A261" s="36" t="str">
        <f t="shared" si="15"/>
        <v/>
      </c>
      <c r="B261" s="35" t="str">
        <f>IFERROR(INDEX(DM_NL!$A$5:$A$304,MATCH(ROW()-10,DM_NL!$G$5:$G$304,0)),"")</f>
        <v/>
      </c>
      <c r="C261" s="35" t="str">
        <f>IF(B261="","",INDEX(DM_NL!$B$5:$B$304,MATCH(B261,DM_NL!$A$5:$A$304,0)))</f>
        <v/>
      </c>
      <c r="D261" s="35" t="str">
        <f>IF(B261="","",INDEX(DM_NL!$C$5:$C$304,MATCH(B261,DM_NL!$A$5:$A$304,0)))</f>
        <v/>
      </c>
      <c r="E261" s="39" t="str">
        <f>IF($B261="","",SUMIFS(Kho_NL!$B$5:$B$304,Kho_NL!$A$5:$A$304,$B261))</f>
        <v/>
      </c>
      <c r="F261" s="39" t="str">
        <f>IF($B261="","",SUMIFS(Kho_NL!$C$5:$C$304,Kho_NL!$A$5:$A$304,$B261))</f>
        <v/>
      </c>
      <c r="G261" s="39" t="str">
        <f>IF($B261="","",SUMIFS(Kho_NL!$D$5:$D$304,Kho_NL!$A$5:$A$304,$B261))</f>
        <v/>
      </c>
      <c r="H261" s="39" t="str">
        <f>IF($B261="","",SUMIFS(Kho_NL!$E$5:$E$304,Kho_NL!$A$5:$A$304,$B261))</f>
        <v/>
      </c>
      <c r="I261" s="39" t="str">
        <f>IF($B261="","",SUMIFS(Kho_NL!$F$5:$F$304,Kho_NL!$A$5:$A$304,$B261))</f>
        <v/>
      </c>
      <c r="J261" s="39" t="str">
        <f>IF($B261="","",SUMIFS(Kho_NL!$G$5:$G$304,Kho_NL!$A$5:$A$304,$B261))</f>
        <v/>
      </c>
      <c r="K261" s="39" t="str">
        <f t="shared" si="16"/>
        <v/>
      </c>
      <c r="L261" s="31" t="str">
        <f>IF($B261="","",IFERROR(INDEX(Kho_NL!$I$5:$I$304,MATCH(B261,Kho_NL!$A$5:$A$304,0))&amp;"",""))</f>
        <v/>
      </c>
      <c r="M261" s="44" t="str">
        <f>IF($B261="","",SUMIFS(Kho_NL!$H$5:$H$304,Kho_NL!$A$5:$A$304,$B261))</f>
        <v/>
      </c>
      <c r="N261" s="44" t="str">
        <f t="shared" si="17"/>
        <v/>
      </c>
      <c r="O261" s="45" t="str">
        <f t="shared" si="18"/>
        <v/>
      </c>
      <c r="P261" s="44" t="str">
        <f>IF($B261="","",SUMIFS(TK_Nhap!$E$5:$E$1004,TK_Nhap!$D$5:$D$1004,$B261,TK_Nhap!$H$5:$H$1004,1))</f>
        <v/>
      </c>
      <c r="Q261" s="44" t="str">
        <f t="shared" si="19"/>
        <v/>
      </c>
    </row>
    <row r="262" spans="1:17" x14ac:dyDescent="0.25">
      <c r="A262" s="36" t="str">
        <f t="shared" si="15"/>
        <v/>
      </c>
      <c r="B262" s="35" t="str">
        <f>IFERROR(INDEX(DM_NL!$A$5:$A$304,MATCH(ROW()-10,DM_NL!$G$5:$G$304,0)),"")</f>
        <v/>
      </c>
      <c r="C262" s="35" t="str">
        <f>IF(B262="","",INDEX(DM_NL!$B$5:$B$304,MATCH(B262,DM_NL!$A$5:$A$304,0)))</f>
        <v/>
      </c>
      <c r="D262" s="35" t="str">
        <f>IF(B262="","",INDEX(DM_NL!$C$5:$C$304,MATCH(B262,DM_NL!$A$5:$A$304,0)))</f>
        <v/>
      </c>
      <c r="E262" s="39" t="str">
        <f>IF($B262="","",SUMIFS(Kho_NL!$B$5:$B$304,Kho_NL!$A$5:$A$304,$B262))</f>
        <v/>
      </c>
      <c r="F262" s="39" t="str">
        <f>IF($B262="","",SUMIFS(Kho_NL!$C$5:$C$304,Kho_NL!$A$5:$A$304,$B262))</f>
        <v/>
      </c>
      <c r="G262" s="39" t="str">
        <f>IF($B262="","",SUMIFS(Kho_NL!$D$5:$D$304,Kho_NL!$A$5:$A$304,$B262))</f>
        <v/>
      </c>
      <c r="H262" s="39" t="str">
        <f>IF($B262="","",SUMIFS(Kho_NL!$E$5:$E$304,Kho_NL!$A$5:$A$304,$B262))</f>
        <v/>
      </c>
      <c r="I262" s="39" t="str">
        <f>IF($B262="","",SUMIFS(Kho_NL!$F$5:$F$304,Kho_NL!$A$5:$A$304,$B262))</f>
        <v/>
      </c>
      <c r="J262" s="39" t="str">
        <f>IF($B262="","",SUMIFS(Kho_NL!$G$5:$G$304,Kho_NL!$A$5:$A$304,$B262))</f>
        <v/>
      </c>
      <c r="K262" s="39" t="str">
        <f t="shared" si="16"/>
        <v/>
      </c>
      <c r="L262" s="31" t="str">
        <f>IF($B262="","",IFERROR(INDEX(Kho_NL!$I$5:$I$304,MATCH(B262,Kho_NL!$A$5:$A$304,0))&amp;"",""))</f>
        <v/>
      </c>
      <c r="M262" s="44" t="str">
        <f>IF($B262="","",SUMIFS(Kho_NL!$H$5:$H$304,Kho_NL!$A$5:$A$304,$B262))</f>
        <v/>
      </c>
      <c r="N262" s="44" t="str">
        <f t="shared" si="17"/>
        <v/>
      </c>
      <c r="O262" s="45" t="str">
        <f t="shared" si="18"/>
        <v/>
      </c>
      <c r="P262" s="44" t="str">
        <f>IF($B262="","",SUMIFS(TK_Nhap!$E$5:$E$1004,TK_Nhap!$D$5:$D$1004,$B262,TK_Nhap!$H$5:$H$1004,1))</f>
        <v/>
      </c>
      <c r="Q262" s="44" t="str">
        <f t="shared" si="19"/>
        <v/>
      </c>
    </row>
    <row r="263" spans="1:17" x14ac:dyDescent="0.25">
      <c r="A263" s="36" t="str">
        <f t="shared" si="15"/>
        <v/>
      </c>
      <c r="B263" s="35" t="str">
        <f>IFERROR(INDEX(DM_NL!$A$5:$A$304,MATCH(ROW()-10,DM_NL!$G$5:$G$304,0)),"")</f>
        <v/>
      </c>
      <c r="C263" s="35" t="str">
        <f>IF(B263="","",INDEX(DM_NL!$B$5:$B$304,MATCH(B263,DM_NL!$A$5:$A$304,0)))</f>
        <v/>
      </c>
      <c r="D263" s="35" t="str">
        <f>IF(B263="","",INDEX(DM_NL!$C$5:$C$304,MATCH(B263,DM_NL!$A$5:$A$304,0)))</f>
        <v/>
      </c>
      <c r="E263" s="39" t="str">
        <f>IF($B263="","",SUMIFS(Kho_NL!$B$5:$B$304,Kho_NL!$A$5:$A$304,$B263))</f>
        <v/>
      </c>
      <c r="F263" s="39" t="str">
        <f>IF($B263="","",SUMIFS(Kho_NL!$C$5:$C$304,Kho_NL!$A$5:$A$304,$B263))</f>
        <v/>
      </c>
      <c r="G263" s="39" t="str">
        <f>IF($B263="","",SUMIFS(Kho_NL!$D$5:$D$304,Kho_NL!$A$5:$A$304,$B263))</f>
        <v/>
      </c>
      <c r="H263" s="39" t="str">
        <f>IF($B263="","",SUMIFS(Kho_NL!$E$5:$E$304,Kho_NL!$A$5:$A$304,$B263))</f>
        <v/>
      </c>
      <c r="I263" s="39" t="str">
        <f>IF($B263="","",SUMIFS(Kho_NL!$F$5:$F$304,Kho_NL!$A$5:$A$304,$B263))</f>
        <v/>
      </c>
      <c r="J263" s="39" t="str">
        <f>IF($B263="","",SUMIFS(Kho_NL!$G$5:$G$304,Kho_NL!$A$5:$A$304,$B263))</f>
        <v/>
      </c>
      <c r="K263" s="39" t="str">
        <f t="shared" si="16"/>
        <v/>
      </c>
      <c r="L263" s="31" t="str">
        <f>IF($B263="","",IFERROR(INDEX(Kho_NL!$I$5:$I$304,MATCH(B263,Kho_NL!$A$5:$A$304,0))&amp;"",""))</f>
        <v/>
      </c>
      <c r="M263" s="44" t="str">
        <f>IF($B263="","",SUMIFS(Kho_NL!$H$5:$H$304,Kho_NL!$A$5:$A$304,$B263))</f>
        <v/>
      </c>
      <c r="N263" s="44" t="str">
        <f t="shared" si="17"/>
        <v/>
      </c>
      <c r="O263" s="45" t="str">
        <f t="shared" si="18"/>
        <v/>
      </c>
      <c r="P263" s="44" t="str">
        <f>IF($B263="","",SUMIFS(TK_Nhap!$E$5:$E$1004,TK_Nhap!$D$5:$D$1004,$B263,TK_Nhap!$H$5:$H$1004,1))</f>
        <v/>
      </c>
      <c r="Q263" s="44" t="str">
        <f t="shared" si="19"/>
        <v/>
      </c>
    </row>
    <row r="264" spans="1:17" x14ac:dyDescent="0.25">
      <c r="A264" s="36" t="str">
        <f t="shared" si="15"/>
        <v/>
      </c>
      <c r="B264" s="35" t="str">
        <f>IFERROR(INDEX(DM_NL!$A$5:$A$304,MATCH(ROW()-10,DM_NL!$G$5:$G$304,0)),"")</f>
        <v/>
      </c>
      <c r="C264" s="35" t="str">
        <f>IF(B264="","",INDEX(DM_NL!$B$5:$B$304,MATCH(B264,DM_NL!$A$5:$A$304,0)))</f>
        <v/>
      </c>
      <c r="D264" s="35" t="str">
        <f>IF(B264="","",INDEX(DM_NL!$C$5:$C$304,MATCH(B264,DM_NL!$A$5:$A$304,0)))</f>
        <v/>
      </c>
      <c r="E264" s="39" t="str">
        <f>IF($B264="","",SUMIFS(Kho_NL!$B$5:$B$304,Kho_NL!$A$5:$A$304,$B264))</f>
        <v/>
      </c>
      <c r="F264" s="39" t="str">
        <f>IF($B264="","",SUMIFS(Kho_NL!$C$5:$C$304,Kho_NL!$A$5:$A$304,$B264))</f>
        <v/>
      </c>
      <c r="G264" s="39" t="str">
        <f>IF($B264="","",SUMIFS(Kho_NL!$D$5:$D$304,Kho_NL!$A$5:$A$304,$B264))</f>
        <v/>
      </c>
      <c r="H264" s="39" t="str">
        <f>IF($B264="","",SUMIFS(Kho_NL!$E$5:$E$304,Kho_NL!$A$5:$A$304,$B264))</f>
        <v/>
      </c>
      <c r="I264" s="39" t="str">
        <f>IF($B264="","",SUMIFS(Kho_NL!$F$5:$F$304,Kho_NL!$A$5:$A$304,$B264))</f>
        <v/>
      </c>
      <c r="J264" s="39" t="str">
        <f>IF($B264="","",SUMIFS(Kho_NL!$G$5:$G$304,Kho_NL!$A$5:$A$304,$B264))</f>
        <v/>
      </c>
      <c r="K264" s="39" t="str">
        <f t="shared" si="16"/>
        <v/>
      </c>
      <c r="L264" s="31" t="str">
        <f>IF($B264="","",IFERROR(INDEX(Kho_NL!$I$5:$I$304,MATCH(B264,Kho_NL!$A$5:$A$304,0))&amp;"",""))</f>
        <v/>
      </c>
      <c r="M264" s="44" t="str">
        <f>IF($B264="","",SUMIFS(Kho_NL!$H$5:$H$304,Kho_NL!$A$5:$A$304,$B264))</f>
        <v/>
      </c>
      <c r="N264" s="44" t="str">
        <f t="shared" si="17"/>
        <v/>
      </c>
      <c r="O264" s="45" t="str">
        <f t="shared" si="18"/>
        <v/>
      </c>
      <c r="P264" s="44" t="str">
        <f>IF($B264="","",SUMIFS(TK_Nhap!$E$5:$E$1004,TK_Nhap!$D$5:$D$1004,$B264,TK_Nhap!$H$5:$H$1004,1))</f>
        <v/>
      </c>
      <c r="Q264" s="44" t="str">
        <f t="shared" si="19"/>
        <v/>
      </c>
    </row>
    <row r="265" spans="1:17" x14ac:dyDescent="0.25">
      <c r="A265" s="36" t="str">
        <f t="shared" si="15"/>
        <v/>
      </c>
      <c r="B265" s="35" t="str">
        <f>IFERROR(INDEX(DM_NL!$A$5:$A$304,MATCH(ROW()-10,DM_NL!$G$5:$G$304,0)),"")</f>
        <v/>
      </c>
      <c r="C265" s="35" t="str">
        <f>IF(B265="","",INDEX(DM_NL!$B$5:$B$304,MATCH(B265,DM_NL!$A$5:$A$304,0)))</f>
        <v/>
      </c>
      <c r="D265" s="35" t="str">
        <f>IF(B265="","",INDEX(DM_NL!$C$5:$C$304,MATCH(B265,DM_NL!$A$5:$A$304,0)))</f>
        <v/>
      </c>
      <c r="E265" s="39" t="str">
        <f>IF($B265="","",SUMIFS(Kho_NL!$B$5:$B$304,Kho_NL!$A$5:$A$304,$B265))</f>
        <v/>
      </c>
      <c r="F265" s="39" t="str">
        <f>IF($B265="","",SUMIFS(Kho_NL!$C$5:$C$304,Kho_NL!$A$5:$A$304,$B265))</f>
        <v/>
      </c>
      <c r="G265" s="39" t="str">
        <f>IF($B265="","",SUMIFS(Kho_NL!$D$5:$D$304,Kho_NL!$A$5:$A$304,$B265))</f>
        <v/>
      </c>
      <c r="H265" s="39" t="str">
        <f>IF($B265="","",SUMIFS(Kho_NL!$E$5:$E$304,Kho_NL!$A$5:$A$304,$B265))</f>
        <v/>
      </c>
      <c r="I265" s="39" t="str">
        <f>IF($B265="","",SUMIFS(Kho_NL!$F$5:$F$304,Kho_NL!$A$5:$A$304,$B265))</f>
        <v/>
      </c>
      <c r="J265" s="39" t="str">
        <f>IF($B265="","",SUMIFS(Kho_NL!$G$5:$G$304,Kho_NL!$A$5:$A$304,$B265))</f>
        <v/>
      </c>
      <c r="K265" s="39" t="str">
        <f t="shared" si="16"/>
        <v/>
      </c>
      <c r="L265" s="31" t="str">
        <f>IF($B265="","",IFERROR(INDEX(Kho_NL!$I$5:$I$304,MATCH(B265,Kho_NL!$A$5:$A$304,0))&amp;"",""))</f>
        <v/>
      </c>
      <c r="M265" s="44" t="str">
        <f>IF($B265="","",SUMIFS(Kho_NL!$H$5:$H$304,Kho_NL!$A$5:$A$304,$B265))</f>
        <v/>
      </c>
      <c r="N265" s="44" t="str">
        <f t="shared" si="17"/>
        <v/>
      </c>
      <c r="O265" s="45" t="str">
        <f t="shared" si="18"/>
        <v/>
      </c>
      <c r="P265" s="44" t="str">
        <f>IF($B265="","",SUMIFS(TK_Nhap!$E$5:$E$1004,TK_Nhap!$D$5:$D$1004,$B265,TK_Nhap!$H$5:$H$1004,1))</f>
        <v/>
      </c>
      <c r="Q265" s="44" t="str">
        <f t="shared" si="19"/>
        <v/>
      </c>
    </row>
    <row r="266" spans="1:17" x14ac:dyDescent="0.25">
      <c r="A266" s="36" t="str">
        <f t="shared" si="15"/>
        <v/>
      </c>
      <c r="B266" s="35" t="str">
        <f>IFERROR(INDEX(DM_NL!$A$5:$A$304,MATCH(ROW()-10,DM_NL!$G$5:$G$304,0)),"")</f>
        <v/>
      </c>
      <c r="C266" s="35" t="str">
        <f>IF(B266="","",INDEX(DM_NL!$B$5:$B$304,MATCH(B266,DM_NL!$A$5:$A$304,0)))</f>
        <v/>
      </c>
      <c r="D266" s="35" t="str">
        <f>IF(B266="","",INDEX(DM_NL!$C$5:$C$304,MATCH(B266,DM_NL!$A$5:$A$304,0)))</f>
        <v/>
      </c>
      <c r="E266" s="39" t="str">
        <f>IF($B266="","",SUMIFS(Kho_NL!$B$5:$B$304,Kho_NL!$A$5:$A$304,$B266))</f>
        <v/>
      </c>
      <c r="F266" s="39" t="str">
        <f>IF($B266="","",SUMIFS(Kho_NL!$C$5:$C$304,Kho_NL!$A$5:$A$304,$B266))</f>
        <v/>
      </c>
      <c r="G266" s="39" t="str">
        <f>IF($B266="","",SUMIFS(Kho_NL!$D$5:$D$304,Kho_NL!$A$5:$A$304,$B266))</f>
        <v/>
      </c>
      <c r="H266" s="39" t="str">
        <f>IF($B266="","",SUMIFS(Kho_NL!$E$5:$E$304,Kho_NL!$A$5:$A$304,$B266))</f>
        <v/>
      </c>
      <c r="I266" s="39" t="str">
        <f>IF($B266="","",SUMIFS(Kho_NL!$F$5:$F$304,Kho_NL!$A$5:$A$304,$B266))</f>
        <v/>
      </c>
      <c r="J266" s="39" t="str">
        <f>IF($B266="","",SUMIFS(Kho_NL!$G$5:$G$304,Kho_NL!$A$5:$A$304,$B266))</f>
        <v/>
      </c>
      <c r="K266" s="39" t="str">
        <f t="shared" si="16"/>
        <v/>
      </c>
      <c r="L266" s="31" t="str">
        <f>IF($B266="","",IFERROR(INDEX(Kho_NL!$I$5:$I$304,MATCH(B266,Kho_NL!$A$5:$A$304,0))&amp;"",""))</f>
        <v/>
      </c>
      <c r="M266" s="44" t="str">
        <f>IF($B266="","",SUMIFS(Kho_NL!$H$5:$H$304,Kho_NL!$A$5:$A$304,$B266))</f>
        <v/>
      </c>
      <c r="N266" s="44" t="str">
        <f t="shared" si="17"/>
        <v/>
      </c>
      <c r="O266" s="45" t="str">
        <f t="shared" si="18"/>
        <v/>
      </c>
      <c r="P266" s="44" t="str">
        <f>IF($B266="","",SUMIFS(TK_Nhap!$E$5:$E$1004,TK_Nhap!$D$5:$D$1004,$B266,TK_Nhap!$H$5:$H$1004,1))</f>
        <v/>
      </c>
      <c r="Q266" s="44" t="str">
        <f t="shared" si="19"/>
        <v/>
      </c>
    </row>
    <row r="267" spans="1:17" x14ac:dyDescent="0.25">
      <c r="A267" s="36" t="str">
        <f t="shared" ref="A267:A330" si="20">IF(B267="","",ROW()-10)</f>
        <v/>
      </c>
      <c r="B267" s="35" t="str">
        <f>IFERROR(INDEX(DM_NL!$A$5:$A$304,MATCH(ROW()-10,DM_NL!$G$5:$G$304,0)),"")</f>
        <v/>
      </c>
      <c r="C267" s="35" t="str">
        <f>IF(B267="","",INDEX(DM_NL!$B$5:$B$304,MATCH(B267,DM_NL!$A$5:$A$304,0)))</f>
        <v/>
      </c>
      <c r="D267" s="35" t="str">
        <f>IF(B267="","",INDEX(DM_NL!$C$5:$C$304,MATCH(B267,DM_NL!$A$5:$A$304,0)))</f>
        <v/>
      </c>
      <c r="E267" s="39" t="str">
        <f>IF($B267="","",SUMIFS(Kho_NL!$B$5:$B$304,Kho_NL!$A$5:$A$304,$B267))</f>
        <v/>
      </c>
      <c r="F267" s="39" t="str">
        <f>IF($B267="","",SUMIFS(Kho_NL!$C$5:$C$304,Kho_NL!$A$5:$A$304,$B267))</f>
        <v/>
      </c>
      <c r="G267" s="39" t="str">
        <f>IF($B267="","",SUMIFS(Kho_NL!$D$5:$D$304,Kho_NL!$A$5:$A$304,$B267))</f>
        <v/>
      </c>
      <c r="H267" s="39" t="str">
        <f>IF($B267="","",SUMIFS(Kho_NL!$E$5:$E$304,Kho_NL!$A$5:$A$304,$B267))</f>
        <v/>
      </c>
      <c r="I267" s="39" t="str">
        <f>IF($B267="","",SUMIFS(Kho_NL!$F$5:$F$304,Kho_NL!$A$5:$A$304,$B267))</f>
        <v/>
      </c>
      <c r="J267" s="39" t="str">
        <f>IF($B267="","",SUMIFS(Kho_NL!$G$5:$G$304,Kho_NL!$A$5:$A$304,$B267))</f>
        <v/>
      </c>
      <c r="K267" s="39" t="str">
        <f t="shared" ref="K267:K330" si="21">IF($B267="","",E267+F267-G267-H267-I267-J267)</f>
        <v/>
      </c>
      <c r="L267" s="31" t="str">
        <f>IF($B267="","",IFERROR(INDEX(Kho_NL!$I$5:$I$304,MATCH(B267,Kho_NL!$A$5:$A$304,0))&amp;"",""))</f>
        <v/>
      </c>
      <c r="M267" s="44" t="str">
        <f>IF($B267="","",SUMIFS(Kho_NL!$H$5:$H$304,Kho_NL!$A$5:$A$304,$B267))</f>
        <v/>
      </c>
      <c r="N267" s="44" t="str">
        <f t="shared" ref="N267:N330" si="22">IF($B267="","",K267-M267)</f>
        <v/>
      </c>
      <c r="O267" s="45" t="str">
        <f t="shared" ref="O267:O330" si="23">IF($B267="","",IF(ABS(N267)&lt;0.000001,"Khớp","Lệch"))</f>
        <v/>
      </c>
      <c r="P267" s="44" t="str">
        <f>IF($B267="","",SUMIFS(TK_Nhap!$E$5:$E$1004,TK_Nhap!$D$5:$D$1004,$B267,TK_Nhap!$H$5:$H$1004,1))</f>
        <v/>
      </c>
      <c r="Q267" s="44" t="str">
        <f t="shared" ref="Q267:Q330" si="24">IF($B267="","",F267-P267)</f>
        <v/>
      </c>
    </row>
    <row r="268" spans="1:17" x14ac:dyDescent="0.25">
      <c r="A268" s="36" t="str">
        <f t="shared" si="20"/>
        <v/>
      </c>
      <c r="B268" s="35" t="str">
        <f>IFERROR(INDEX(DM_NL!$A$5:$A$304,MATCH(ROW()-10,DM_NL!$G$5:$G$304,0)),"")</f>
        <v/>
      </c>
      <c r="C268" s="35" t="str">
        <f>IF(B268="","",INDEX(DM_NL!$B$5:$B$304,MATCH(B268,DM_NL!$A$5:$A$304,0)))</f>
        <v/>
      </c>
      <c r="D268" s="35" t="str">
        <f>IF(B268="","",INDEX(DM_NL!$C$5:$C$304,MATCH(B268,DM_NL!$A$5:$A$304,0)))</f>
        <v/>
      </c>
      <c r="E268" s="39" t="str">
        <f>IF($B268="","",SUMIFS(Kho_NL!$B$5:$B$304,Kho_NL!$A$5:$A$304,$B268))</f>
        <v/>
      </c>
      <c r="F268" s="39" t="str">
        <f>IF($B268="","",SUMIFS(Kho_NL!$C$5:$C$304,Kho_NL!$A$5:$A$304,$B268))</f>
        <v/>
      </c>
      <c r="G268" s="39" t="str">
        <f>IF($B268="","",SUMIFS(Kho_NL!$D$5:$D$304,Kho_NL!$A$5:$A$304,$B268))</f>
        <v/>
      </c>
      <c r="H268" s="39" t="str">
        <f>IF($B268="","",SUMIFS(Kho_NL!$E$5:$E$304,Kho_NL!$A$5:$A$304,$B268))</f>
        <v/>
      </c>
      <c r="I268" s="39" t="str">
        <f>IF($B268="","",SUMIFS(Kho_NL!$F$5:$F$304,Kho_NL!$A$5:$A$304,$B268))</f>
        <v/>
      </c>
      <c r="J268" s="39" t="str">
        <f>IF($B268="","",SUMIFS(Kho_NL!$G$5:$G$304,Kho_NL!$A$5:$A$304,$B268))</f>
        <v/>
      </c>
      <c r="K268" s="39" t="str">
        <f t="shared" si="21"/>
        <v/>
      </c>
      <c r="L268" s="31" t="str">
        <f>IF($B268="","",IFERROR(INDEX(Kho_NL!$I$5:$I$304,MATCH(B268,Kho_NL!$A$5:$A$304,0))&amp;"",""))</f>
        <v/>
      </c>
      <c r="M268" s="44" t="str">
        <f>IF($B268="","",SUMIFS(Kho_NL!$H$5:$H$304,Kho_NL!$A$5:$A$304,$B268))</f>
        <v/>
      </c>
      <c r="N268" s="44" t="str">
        <f t="shared" si="22"/>
        <v/>
      </c>
      <c r="O268" s="45" t="str">
        <f t="shared" si="23"/>
        <v/>
      </c>
      <c r="P268" s="44" t="str">
        <f>IF($B268="","",SUMIFS(TK_Nhap!$E$5:$E$1004,TK_Nhap!$D$5:$D$1004,$B268,TK_Nhap!$H$5:$H$1004,1))</f>
        <v/>
      </c>
      <c r="Q268" s="44" t="str">
        <f t="shared" si="24"/>
        <v/>
      </c>
    </row>
    <row r="269" spans="1:17" x14ac:dyDescent="0.25">
      <c r="A269" s="36" t="str">
        <f t="shared" si="20"/>
        <v/>
      </c>
      <c r="B269" s="35" t="str">
        <f>IFERROR(INDEX(DM_NL!$A$5:$A$304,MATCH(ROW()-10,DM_NL!$G$5:$G$304,0)),"")</f>
        <v/>
      </c>
      <c r="C269" s="35" t="str">
        <f>IF(B269="","",INDEX(DM_NL!$B$5:$B$304,MATCH(B269,DM_NL!$A$5:$A$304,0)))</f>
        <v/>
      </c>
      <c r="D269" s="35" t="str">
        <f>IF(B269="","",INDEX(DM_NL!$C$5:$C$304,MATCH(B269,DM_NL!$A$5:$A$304,0)))</f>
        <v/>
      </c>
      <c r="E269" s="39" t="str">
        <f>IF($B269="","",SUMIFS(Kho_NL!$B$5:$B$304,Kho_NL!$A$5:$A$304,$B269))</f>
        <v/>
      </c>
      <c r="F269" s="39" t="str">
        <f>IF($B269="","",SUMIFS(Kho_NL!$C$5:$C$304,Kho_NL!$A$5:$A$304,$B269))</f>
        <v/>
      </c>
      <c r="G269" s="39" t="str">
        <f>IF($B269="","",SUMIFS(Kho_NL!$D$5:$D$304,Kho_NL!$A$5:$A$304,$B269))</f>
        <v/>
      </c>
      <c r="H269" s="39" t="str">
        <f>IF($B269="","",SUMIFS(Kho_NL!$E$5:$E$304,Kho_NL!$A$5:$A$304,$B269))</f>
        <v/>
      </c>
      <c r="I269" s="39" t="str">
        <f>IF($B269="","",SUMIFS(Kho_NL!$F$5:$F$304,Kho_NL!$A$5:$A$304,$B269))</f>
        <v/>
      </c>
      <c r="J269" s="39" t="str">
        <f>IF($B269="","",SUMIFS(Kho_NL!$G$5:$G$304,Kho_NL!$A$5:$A$304,$B269))</f>
        <v/>
      </c>
      <c r="K269" s="39" t="str">
        <f t="shared" si="21"/>
        <v/>
      </c>
      <c r="L269" s="31" t="str">
        <f>IF($B269="","",IFERROR(INDEX(Kho_NL!$I$5:$I$304,MATCH(B269,Kho_NL!$A$5:$A$304,0))&amp;"",""))</f>
        <v/>
      </c>
      <c r="M269" s="44" t="str">
        <f>IF($B269="","",SUMIFS(Kho_NL!$H$5:$H$304,Kho_NL!$A$5:$A$304,$B269))</f>
        <v/>
      </c>
      <c r="N269" s="44" t="str">
        <f t="shared" si="22"/>
        <v/>
      </c>
      <c r="O269" s="45" t="str">
        <f t="shared" si="23"/>
        <v/>
      </c>
      <c r="P269" s="44" t="str">
        <f>IF($B269="","",SUMIFS(TK_Nhap!$E$5:$E$1004,TK_Nhap!$D$5:$D$1004,$B269,TK_Nhap!$H$5:$H$1004,1))</f>
        <v/>
      </c>
      <c r="Q269" s="44" t="str">
        <f t="shared" si="24"/>
        <v/>
      </c>
    </row>
    <row r="270" spans="1:17" x14ac:dyDescent="0.25">
      <c r="A270" s="36" t="str">
        <f t="shared" si="20"/>
        <v/>
      </c>
      <c r="B270" s="35" t="str">
        <f>IFERROR(INDEX(DM_NL!$A$5:$A$304,MATCH(ROW()-10,DM_NL!$G$5:$G$304,0)),"")</f>
        <v/>
      </c>
      <c r="C270" s="35" t="str">
        <f>IF(B270="","",INDEX(DM_NL!$B$5:$B$304,MATCH(B270,DM_NL!$A$5:$A$304,0)))</f>
        <v/>
      </c>
      <c r="D270" s="35" t="str">
        <f>IF(B270="","",INDEX(DM_NL!$C$5:$C$304,MATCH(B270,DM_NL!$A$5:$A$304,0)))</f>
        <v/>
      </c>
      <c r="E270" s="39" t="str">
        <f>IF($B270="","",SUMIFS(Kho_NL!$B$5:$B$304,Kho_NL!$A$5:$A$304,$B270))</f>
        <v/>
      </c>
      <c r="F270" s="39" t="str">
        <f>IF($B270="","",SUMIFS(Kho_NL!$C$5:$C$304,Kho_NL!$A$5:$A$304,$B270))</f>
        <v/>
      </c>
      <c r="G270" s="39" t="str">
        <f>IF($B270="","",SUMIFS(Kho_NL!$D$5:$D$304,Kho_NL!$A$5:$A$304,$B270))</f>
        <v/>
      </c>
      <c r="H270" s="39" t="str">
        <f>IF($B270="","",SUMIFS(Kho_NL!$E$5:$E$304,Kho_NL!$A$5:$A$304,$B270))</f>
        <v/>
      </c>
      <c r="I270" s="39" t="str">
        <f>IF($B270="","",SUMIFS(Kho_NL!$F$5:$F$304,Kho_NL!$A$5:$A$304,$B270))</f>
        <v/>
      </c>
      <c r="J270" s="39" t="str">
        <f>IF($B270="","",SUMIFS(Kho_NL!$G$5:$G$304,Kho_NL!$A$5:$A$304,$B270))</f>
        <v/>
      </c>
      <c r="K270" s="39" t="str">
        <f t="shared" si="21"/>
        <v/>
      </c>
      <c r="L270" s="31" t="str">
        <f>IF($B270="","",IFERROR(INDEX(Kho_NL!$I$5:$I$304,MATCH(B270,Kho_NL!$A$5:$A$304,0))&amp;"",""))</f>
        <v/>
      </c>
      <c r="M270" s="44" t="str">
        <f>IF($B270="","",SUMIFS(Kho_NL!$H$5:$H$304,Kho_NL!$A$5:$A$304,$B270))</f>
        <v/>
      </c>
      <c r="N270" s="44" t="str">
        <f t="shared" si="22"/>
        <v/>
      </c>
      <c r="O270" s="45" t="str">
        <f t="shared" si="23"/>
        <v/>
      </c>
      <c r="P270" s="44" t="str">
        <f>IF($B270="","",SUMIFS(TK_Nhap!$E$5:$E$1004,TK_Nhap!$D$5:$D$1004,$B270,TK_Nhap!$H$5:$H$1004,1))</f>
        <v/>
      </c>
      <c r="Q270" s="44" t="str">
        <f t="shared" si="24"/>
        <v/>
      </c>
    </row>
    <row r="271" spans="1:17" x14ac:dyDescent="0.25">
      <c r="A271" s="36" t="str">
        <f t="shared" si="20"/>
        <v/>
      </c>
      <c r="B271" s="35" t="str">
        <f>IFERROR(INDEX(DM_NL!$A$5:$A$304,MATCH(ROW()-10,DM_NL!$G$5:$G$304,0)),"")</f>
        <v/>
      </c>
      <c r="C271" s="35" t="str">
        <f>IF(B271="","",INDEX(DM_NL!$B$5:$B$304,MATCH(B271,DM_NL!$A$5:$A$304,0)))</f>
        <v/>
      </c>
      <c r="D271" s="35" t="str">
        <f>IF(B271="","",INDEX(DM_NL!$C$5:$C$304,MATCH(B271,DM_NL!$A$5:$A$304,0)))</f>
        <v/>
      </c>
      <c r="E271" s="39" t="str">
        <f>IF($B271="","",SUMIFS(Kho_NL!$B$5:$B$304,Kho_NL!$A$5:$A$304,$B271))</f>
        <v/>
      </c>
      <c r="F271" s="39" t="str">
        <f>IF($B271="","",SUMIFS(Kho_NL!$C$5:$C$304,Kho_NL!$A$5:$A$304,$B271))</f>
        <v/>
      </c>
      <c r="G271" s="39" t="str">
        <f>IF($B271="","",SUMIFS(Kho_NL!$D$5:$D$304,Kho_NL!$A$5:$A$304,$B271))</f>
        <v/>
      </c>
      <c r="H271" s="39" t="str">
        <f>IF($B271="","",SUMIFS(Kho_NL!$E$5:$E$304,Kho_NL!$A$5:$A$304,$B271))</f>
        <v/>
      </c>
      <c r="I271" s="39" t="str">
        <f>IF($B271="","",SUMIFS(Kho_NL!$F$5:$F$304,Kho_NL!$A$5:$A$304,$B271))</f>
        <v/>
      </c>
      <c r="J271" s="39" t="str">
        <f>IF($B271="","",SUMIFS(Kho_NL!$G$5:$G$304,Kho_NL!$A$5:$A$304,$B271))</f>
        <v/>
      </c>
      <c r="K271" s="39" t="str">
        <f t="shared" si="21"/>
        <v/>
      </c>
      <c r="L271" s="31" t="str">
        <f>IF($B271="","",IFERROR(INDEX(Kho_NL!$I$5:$I$304,MATCH(B271,Kho_NL!$A$5:$A$304,0))&amp;"",""))</f>
        <v/>
      </c>
      <c r="M271" s="44" t="str">
        <f>IF($B271="","",SUMIFS(Kho_NL!$H$5:$H$304,Kho_NL!$A$5:$A$304,$B271))</f>
        <v/>
      </c>
      <c r="N271" s="44" t="str">
        <f t="shared" si="22"/>
        <v/>
      </c>
      <c r="O271" s="45" t="str">
        <f t="shared" si="23"/>
        <v/>
      </c>
      <c r="P271" s="44" t="str">
        <f>IF($B271="","",SUMIFS(TK_Nhap!$E$5:$E$1004,TK_Nhap!$D$5:$D$1004,$B271,TK_Nhap!$H$5:$H$1004,1))</f>
        <v/>
      </c>
      <c r="Q271" s="44" t="str">
        <f t="shared" si="24"/>
        <v/>
      </c>
    </row>
    <row r="272" spans="1:17" x14ac:dyDescent="0.25">
      <c r="A272" s="36" t="str">
        <f t="shared" si="20"/>
        <v/>
      </c>
      <c r="B272" s="35" t="str">
        <f>IFERROR(INDEX(DM_NL!$A$5:$A$304,MATCH(ROW()-10,DM_NL!$G$5:$G$304,0)),"")</f>
        <v/>
      </c>
      <c r="C272" s="35" t="str">
        <f>IF(B272="","",INDEX(DM_NL!$B$5:$B$304,MATCH(B272,DM_NL!$A$5:$A$304,0)))</f>
        <v/>
      </c>
      <c r="D272" s="35" t="str">
        <f>IF(B272="","",INDEX(DM_NL!$C$5:$C$304,MATCH(B272,DM_NL!$A$5:$A$304,0)))</f>
        <v/>
      </c>
      <c r="E272" s="39" t="str">
        <f>IF($B272="","",SUMIFS(Kho_NL!$B$5:$B$304,Kho_NL!$A$5:$A$304,$B272))</f>
        <v/>
      </c>
      <c r="F272" s="39" t="str">
        <f>IF($B272="","",SUMIFS(Kho_NL!$C$5:$C$304,Kho_NL!$A$5:$A$304,$B272))</f>
        <v/>
      </c>
      <c r="G272" s="39" t="str">
        <f>IF($B272="","",SUMIFS(Kho_NL!$D$5:$D$304,Kho_NL!$A$5:$A$304,$B272))</f>
        <v/>
      </c>
      <c r="H272" s="39" t="str">
        <f>IF($B272="","",SUMIFS(Kho_NL!$E$5:$E$304,Kho_NL!$A$5:$A$304,$B272))</f>
        <v/>
      </c>
      <c r="I272" s="39" t="str">
        <f>IF($B272="","",SUMIFS(Kho_NL!$F$5:$F$304,Kho_NL!$A$5:$A$304,$B272))</f>
        <v/>
      </c>
      <c r="J272" s="39" t="str">
        <f>IF($B272="","",SUMIFS(Kho_NL!$G$5:$G$304,Kho_NL!$A$5:$A$304,$B272))</f>
        <v/>
      </c>
      <c r="K272" s="39" t="str">
        <f t="shared" si="21"/>
        <v/>
      </c>
      <c r="L272" s="31" t="str">
        <f>IF($B272="","",IFERROR(INDEX(Kho_NL!$I$5:$I$304,MATCH(B272,Kho_NL!$A$5:$A$304,0))&amp;"",""))</f>
        <v/>
      </c>
      <c r="M272" s="44" t="str">
        <f>IF($B272="","",SUMIFS(Kho_NL!$H$5:$H$304,Kho_NL!$A$5:$A$304,$B272))</f>
        <v/>
      </c>
      <c r="N272" s="44" t="str">
        <f t="shared" si="22"/>
        <v/>
      </c>
      <c r="O272" s="45" t="str">
        <f t="shared" si="23"/>
        <v/>
      </c>
      <c r="P272" s="44" t="str">
        <f>IF($B272="","",SUMIFS(TK_Nhap!$E$5:$E$1004,TK_Nhap!$D$5:$D$1004,$B272,TK_Nhap!$H$5:$H$1004,1))</f>
        <v/>
      </c>
      <c r="Q272" s="44" t="str">
        <f t="shared" si="24"/>
        <v/>
      </c>
    </row>
    <row r="273" spans="1:17" x14ac:dyDescent="0.25">
      <c r="A273" s="36" t="str">
        <f t="shared" si="20"/>
        <v/>
      </c>
      <c r="B273" s="35" t="str">
        <f>IFERROR(INDEX(DM_NL!$A$5:$A$304,MATCH(ROW()-10,DM_NL!$G$5:$G$304,0)),"")</f>
        <v/>
      </c>
      <c r="C273" s="35" t="str">
        <f>IF(B273="","",INDEX(DM_NL!$B$5:$B$304,MATCH(B273,DM_NL!$A$5:$A$304,0)))</f>
        <v/>
      </c>
      <c r="D273" s="35" t="str">
        <f>IF(B273="","",INDEX(DM_NL!$C$5:$C$304,MATCH(B273,DM_NL!$A$5:$A$304,0)))</f>
        <v/>
      </c>
      <c r="E273" s="39" t="str">
        <f>IF($B273="","",SUMIFS(Kho_NL!$B$5:$B$304,Kho_NL!$A$5:$A$304,$B273))</f>
        <v/>
      </c>
      <c r="F273" s="39" t="str">
        <f>IF($B273="","",SUMIFS(Kho_NL!$C$5:$C$304,Kho_NL!$A$5:$A$304,$B273))</f>
        <v/>
      </c>
      <c r="G273" s="39" t="str">
        <f>IF($B273="","",SUMIFS(Kho_NL!$D$5:$D$304,Kho_NL!$A$5:$A$304,$B273))</f>
        <v/>
      </c>
      <c r="H273" s="39" t="str">
        <f>IF($B273="","",SUMIFS(Kho_NL!$E$5:$E$304,Kho_NL!$A$5:$A$304,$B273))</f>
        <v/>
      </c>
      <c r="I273" s="39" t="str">
        <f>IF($B273="","",SUMIFS(Kho_NL!$F$5:$F$304,Kho_NL!$A$5:$A$304,$B273))</f>
        <v/>
      </c>
      <c r="J273" s="39" t="str">
        <f>IF($B273="","",SUMIFS(Kho_NL!$G$5:$G$304,Kho_NL!$A$5:$A$304,$B273))</f>
        <v/>
      </c>
      <c r="K273" s="39" t="str">
        <f t="shared" si="21"/>
        <v/>
      </c>
      <c r="L273" s="31" t="str">
        <f>IF($B273="","",IFERROR(INDEX(Kho_NL!$I$5:$I$304,MATCH(B273,Kho_NL!$A$5:$A$304,0))&amp;"",""))</f>
        <v/>
      </c>
      <c r="M273" s="44" t="str">
        <f>IF($B273="","",SUMIFS(Kho_NL!$H$5:$H$304,Kho_NL!$A$5:$A$304,$B273))</f>
        <v/>
      </c>
      <c r="N273" s="44" t="str">
        <f t="shared" si="22"/>
        <v/>
      </c>
      <c r="O273" s="45" t="str">
        <f t="shared" si="23"/>
        <v/>
      </c>
      <c r="P273" s="44" t="str">
        <f>IF($B273="","",SUMIFS(TK_Nhap!$E$5:$E$1004,TK_Nhap!$D$5:$D$1004,$B273,TK_Nhap!$H$5:$H$1004,1))</f>
        <v/>
      </c>
      <c r="Q273" s="44" t="str">
        <f t="shared" si="24"/>
        <v/>
      </c>
    </row>
    <row r="274" spans="1:17" x14ac:dyDescent="0.25">
      <c r="A274" s="36" t="str">
        <f t="shared" si="20"/>
        <v/>
      </c>
      <c r="B274" s="35" t="str">
        <f>IFERROR(INDEX(DM_NL!$A$5:$A$304,MATCH(ROW()-10,DM_NL!$G$5:$G$304,0)),"")</f>
        <v/>
      </c>
      <c r="C274" s="35" t="str">
        <f>IF(B274="","",INDEX(DM_NL!$B$5:$B$304,MATCH(B274,DM_NL!$A$5:$A$304,0)))</f>
        <v/>
      </c>
      <c r="D274" s="35" t="str">
        <f>IF(B274="","",INDEX(DM_NL!$C$5:$C$304,MATCH(B274,DM_NL!$A$5:$A$304,0)))</f>
        <v/>
      </c>
      <c r="E274" s="39" t="str">
        <f>IF($B274="","",SUMIFS(Kho_NL!$B$5:$B$304,Kho_NL!$A$5:$A$304,$B274))</f>
        <v/>
      </c>
      <c r="F274" s="39" t="str">
        <f>IF($B274="","",SUMIFS(Kho_NL!$C$5:$C$304,Kho_NL!$A$5:$A$304,$B274))</f>
        <v/>
      </c>
      <c r="G274" s="39" t="str">
        <f>IF($B274="","",SUMIFS(Kho_NL!$D$5:$D$304,Kho_NL!$A$5:$A$304,$B274))</f>
        <v/>
      </c>
      <c r="H274" s="39" t="str">
        <f>IF($B274="","",SUMIFS(Kho_NL!$E$5:$E$304,Kho_NL!$A$5:$A$304,$B274))</f>
        <v/>
      </c>
      <c r="I274" s="39" t="str">
        <f>IF($B274="","",SUMIFS(Kho_NL!$F$5:$F$304,Kho_NL!$A$5:$A$304,$B274))</f>
        <v/>
      </c>
      <c r="J274" s="39" t="str">
        <f>IF($B274="","",SUMIFS(Kho_NL!$G$5:$G$304,Kho_NL!$A$5:$A$304,$B274))</f>
        <v/>
      </c>
      <c r="K274" s="39" t="str">
        <f t="shared" si="21"/>
        <v/>
      </c>
      <c r="L274" s="31" t="str">
        <f>IF($B274="","",IFERROR(INDEX(Kho_NL!$I$5:$I$304,MATCH(B274,Kho_NL!$A$5:$A$304,0))&amp;"",""))</f>
        <v/>
      </c>
      <c r="M274" s="44" t="str">
        <f>IF($B274="","",SUMIFS(Kho_NL!$H$5:$H$304,Kho_NL!$A$5:$A$304,$B274))</f>
        <v/>
      </c>
      <c r="N274" s="44" t="str">
        <f t="shared" si="22"/>
        <v/>
      </c>
      <c r="O274" s="45" t="str">
        <f t="shared" si="23"/>
        <v/>
      </c>
      <c r="P274" s="44" t="str">
        <f>IF($B274="","",SUMIFS(TK_Nhap!$E$5:$E$1004,TK_Nhap!$D$5:$D$1004,$B274,TK_Nhap!$H$5:$H$1004,1))</f>
        <v/>
      </c>
      <c r="Q274" s="44" t="str">
        <f t="shared" si="24"/>
        <v/>
      </c>
    </row>
    <row r="275" spans="1:17" x14ac:dyDescent="0.25">
      <c r="A275" s="36" t="str">
        <f t="shared" si="20"/>
        <v/>
      </c>
      <c r="B275" s="35" t="str">
        <f>IFERROR(INDEX(DM_NL!$A$5:$A$304,MATCH(ROW()-10,DM_NL!$G$5:$G$304,0)),"")</f>
        <v/>
      </c>
      <c r="C275" s="35" t="str">
        <f>IF(B275="","",INDEX(DM_NL!$B$5:$B$304,MATCH(B275,DM_NL!$A$5:$A$304,0)))</f>
        <v/>
      </c>
      <c r="D275" s="35" t="str">
        <f>IF(B275="","",INDEX(DM_NL!$C$5:$C$304,MATCH(B275,DM_NL!$A$5:$A$304,0)))</f>
        <v/>
      </c>
      <c r="E275" s="39" t="str">
        <f>IF($B275="","",SUMIFS(Kho_NL!$B$5:$B$304,Kho_NL!$A$5:$A$304,$B275))</f>
        <v/>
      </c>
      <c r="F275" s="39" t="str">
        <f>IF($B275="","",SUMIFS(Kho_NL!$C$5:$C$304,Kho_NL!$A$5:$A$304,$B275))</f>
        <v/>
      </c>
      <c r="G275" s="39" t="str">
        <f>IF($B275="","",SUMIFS(Kho_NL!$D$5:$D$304,Kho_NL!$A$5:$A$304,$B275))</f>
        <v/>
      </c>
      <c r="H275" s="39" t="str">
        <f>IF($B275="","",SUMIFS(Kho_NL!$E$5:$E$304,Kho_NL!$A$5:$A$304,$B275))</f>
        <v/>
      </c>
      <c r="I275" s="39" t="str">
        <f>IF($B275="","",SUMIFS(Kho_NL!$F$5:$F$304,Kho_NL!$A$5:$A$304,$B275))</f>
        <v/>
      </c>
      <c r="J275" s="39" t="str">
        <f>IF($B275="","",SUMIFS(Kho_NL!$G$5:$G$304,Kho_NL!$A$5:$A$304,$B275))</f>
        <v/>
      </c>
      <c r="K275" s="39" t="str">
        <f t="shared" si="21"/>
        <v/>
      </c>
      <c r="L275" s="31" t="str">
        <f>IF($B275="","",IFERROR(INDEX(Kho_NL!$I$5:$I$304,MATCH(B275,Kho_NL!$A$5:$A$304,0))&amp;"",""))</f>
        <v/>
      </c>
      <c r="M275" s="44" t="str">
        <f>IF($B275="","",SUMIFS(Kho_NL!$H$5:$H$304,Kho_NL!$A$5:$A$304,$B275))</f>
        <v/>
      </c>
      <c r="N275" s="44" t="str">
        <f t="shared" si="22"/>
        <v/>
      </c>
      <c r="O275" s="45" t="str">
        <f t="shared" si="23"/>
        <v/>
      </c>
      <c r="P275" s="44" t="str">
        <f>IF($B275="","",SUMIFS(TK_Nhap!$E$5:$E$1004,TK_Nhap!$D$5:$D$1004,$B275,TK_Nhap!$H$5:$H$1004,1))</f>
        <v/>
      </c>
      <c r="Q275" s="44" t="str">
        <f t="shared" si="24"/>
        <v/>
      </c>
    </row>
    <row r="276" spans="1:17" x14ac:dyDescent="0.25">
      <c r="A276" s="36" t="str">
        <f t="shared" si="20"/>
        <v/>
      </c>
      <c r="B276" s="35" t="str">
        <f>IFERROR(INDEX(DM_NL!$A$5:$A$304,MATCH(ROW()-10,DM_NL!$G$5:$G$304,0)),"")</f>
        <v/>
      </c>
      <c r="C276" s="35" t="str">
        <f>IF(B276="","",INDEX(DM_NL!$B$5:$B$304,MATCH(B276,DM_NL!$A$5:$A$304,0)))</f>
        <v/>
      </c>
      <c r="D276" s="35" t="str">
        <f>IF(B276="","",INDEX(DM_NL!$C$5:$C$304,MATCH(B276,DM_NL!$A$5:$A$304,0)))</f>
        <v/>
      </c>
      <c r="E276" s="39" t="str">
        <f>IF($B276="","",SUMIFS(Kho_NL!$B$5:$B$304,Kho_NL!$A$5:$A$304,$B276))</f>
        <v/>
      </c>
      <c r="F276" s="39" t="str">
        <f>IF($B276="","",SUMIFS(Kho_NL!$C$5:$C$304,Kho_NL!$A$5:$A$304,$B276))</f>
        <v/>
      </c>
      <c r="G276" s="39" t="str">
        <f>IF($B276="","",SUMIFS(Kho_NL!$D$5:$D$304,Kho_NL!$A$5:$A$304,$B276))</f>
        <v/>
      </c>
      <c r="H276" s="39" t="str">
        <f>IF($B276="","",SUMIFS(Kho_NL!$E$5:$E$304,Kho_NL!$A$5:$A$304,$B276))</f>
        <v/>
      </c>
      <c r="I276" s="39" t="str">
        <f>IF($B276="","",SUMIFS(Kho_NL!$F$5:$F$304,Kho_NL!$A$5:$A$304,$B276))</f>
        <v/>
      </c>
      <c r="J276" s="39" t="str">
        <f>IF($B276="","",SUMIFS(Kho_NL!$G$5:$G$304,Kho_NL!$A$5:$A$304,$B276))</f>
        <v/>
      </c>
      <c r="K276" s="39" t="str">
        <f t="shared" si="21"/>
        <v/>
      </c>
      <c r="L276" s="31" t="str">
        <f>IF($B276="","",IFERROR(INDEX(Kho_NL!$I$5:$I$304,MATCH(B276,Kho_NL!$A$5:$A$304,0))&amp;"",""))</f>
        <v/>
      </c>
      <c r="M276" s="44" t="str">
        <f>IF($B276="","",SUMIFS(Kho_NL!$H$5:$H$304,Kho_NL!$A$5:$A$304,$B276))</f>
        <v/>
      </c>
      <c r="N276" s="44" t="str">
        <f t="shared" si="22"/>
        <v/>
      </c>
      <c r="O276" s="45" t="str">
        <f t="shared" si="23"/>
        <v/>
      </c>
      <c r="P276" s="44" t="str">
        <f>IF($B276="","",SUMIFS(TK_Nhap!$E$5:$E$1004,TK_Nhap!$D$5:$D$1004,$B276,TK_Nhap!$H$5:$H$1004,1))</f>
        <v/>
      </c>
      <c r="Q276" s="44" t="str">
        <f t="shared" si="24"/>
        <v/>
      </c>
    </row>
    <row r="277" spans="1:17" x14ac:dyDescent="0.25">
      <c r="A277" s="36" t="str">
        <f t="shared" si="20"/>
        <v/>
      </c>
      <c r="B277" s="35" t="str">
        <f>IFERROR(INDEX(DM_NL!$A$5:$A$304,MATCH(ROW()-10,DM_NL!$G$5:$G$304,0)),"")</f>
        <v/>
      </c>
      <c r="C277" s="35" t="str">
        <f>IF(B277="","",INDEX(DM_NL!$B$5:$B$304,MATCH(B277,DM_NL!$A$5:$A$304,0)))</f>
        <v/>
      </c>
      <c r="D277" s="35" t="str">
        <f>IF(B277="","",INDEX(DM_NL!$C$5:$C$304,MATCH(B277,DM_NL!$A$5:$A$304,0)))</f>
        <v/>
      </c>
      <c r="E277" s="39" t="str">
        <f>IF($B277="","",SUMIFS(Kho_NL!$B$5:$B$304,Kho_NL!$A$5:$A$304,$B277))</f>
        <v/>
      </c>
      <c r="F277" s="39" t="str">
        <f>IF($B277="","",SUMIFS(Kho_NL!$C$5:$C$304,Kho_NL!$A$5:$A$304,$B277))</f>
        <v/>
      </c>
      <c r="G277" s="39" t="str">
        <f>IF($B277="","",SUMIFS(Kho_NL!$D$5:$D$304,Kho_NL!$A$5:$A$304,$B277))</f>
        <v/>
      </c>
      <c r="H277" s="39" t="str">
        <f>IF($B277="","",SUMIFS(Kho_NL!$E$5:$E$304,Kho_NL!$A$5:$A$304,$B277))</f>
        <v/>
      </c>
      <c r="I277" s="39" t="str">
        <f>IF($B277="","",SUMIFS(Kho_NL!$F$5:$F$304,Kho_NL!$A$5:$A$304,$B277))</f>
        <v/>
      </c>
      <c r="J277" s="39" t="str">
        <f>IF($B277="","",SUMIFS(Kho_NL!$G$5:$G$304,Kho_NL!$A$5:$A$304,$B277))</f>
        <v/>
      </c>
      <c r="K277" s="39" t="str">
        <f t="shared" si="21"/>
        <v/>
      </c>
      <c r="L277" s="31" t="str">
        <f>IF($B277="","",IFERROR(INDEX(Kho_NL!$I$5:$I$304,MATCH(B277,Kho_NL!$A$5:$A$304,0))&amp;"",""))</f>
        <v/>
      </c>
      <c r="M277" s="44" t="str">
        <f>IF($B277="","",SUMIFS(Kho_NL!$H$5:$H$304,Kho_NL!$A$5:$A$304,$B277))</f>
        <v/>
      </c>
      <c r="N277" s="44" t="str">
        <f t="shared" si="22"/>
        <v/>
      </c>
      <c r="O277" s="45" t="str">
        <f t="shared" si="23"/>
        <v/>
      </c>
      <c r="P277" s="44" t="str">
        <f>IF($B277="","",SUMIFS(TK_Nhap!$E$5:$E$1004,TK_Nhap!$D$5:$D$1004,$B277,TK_Nhap!$H$5:$H$1004,1))</f>
        <v/>
      </c>
      <c r="Q277" s="44" t="str">
        <f t="shared" si="24"/>
        <v/>
      </c>
    </row>
    <row r="278" spans="1:17" x14ac:dyDescent="0.25">
      <c r="A278" s="36" t="str">
        <f t="shared" si="20"/>
        <v/>
      </c>
      <c r="B278" s="35" t="str">
        <f>IFERROR(INDEX(DM_NL!$A$5:$A$304,MATCH(ROW()-10,DM_NL!$G$5:$G$304,0)),"")</f>
        <v/>
      </c>
      <c r="C278" s="35" t="str">
        <f>IF(B278="","",INDEX(DM_NL!$B$5:$B$304,MATCH(B278,DM_NL!$A$5:$A$304,0)))</f>
        <v/>
      </c>
      <c r="D278" s="35" t="str">
        <f>IF(B278="","",INDEX(DM_NL!$C$5:$C$304,MATCH(B278,DM_NL!$A$5:$A$304,0)))</f>
        <v/>
      </c>
      <c r="E278" s="39" t="str">
        <f>IF($B278="","",SUMIFS(Kho_NL!$B$5:$B$304,Kho_NL!$A$5:$A$304,$B278))</f>
        <v/>
      </c>
      <c r="F278" s="39" t="str">
        <f>IF($B278="","",SUMIFS(Kho_NL!$C$5:$C$304,Kho_NL!$A$5:$A$304,$B278))</f>
        <v/>
      </c>
      <c r="G278" s="39" t="str">
        <f>IF($B278="","",SUMIFS(Kho_NL!$D$5:$D$304,Kho_NL!$A$5:$A$304,$B278))</f>
        <v/>
      </c>
      <c r="H278" s="39" t="str">
        <f>IF($B278="","",SUMIFS(Kho_NL!$E$5:$E$304,Kho_NL!$A$5:$A$304,$B278))</f>
        <v/>
      </c>
      <c r="I278" s="39" t="str">
        <f>IF($B278="","",SUMIFS(Kho_NL!$F$5:$F$304,Kho_NL!$A$5:$A$304,$B278))</f>
        <v/>
      </c>
      <c r="J278" s="39" t="str">
        <f>IF($B278="","",SUMIFS(Kho_NL!$G$5:$G$304,Kho_NL!$A$5:$A$304,$B278))</f>
        <v/>
      </c>
      <c r="K278" s="39" t="str">
        <f t="shared" si="21"/>
        <v/>
      </c>
      <c r="L278" s="31" t="str">
        <f>IF($B278="","",IFERROR(INDEX(Kho_NL!$I$5:$I$304,MATCH(B278,Kho_NL!$A$5:$A$304,0))&amp;"",""))</f>
        <v/>
      </c>
      <c r="M278" s="44" t="str">
        <f>IF($B278="","",SUMIFS(Kho_NL!$H$5:$H$304,Kho_NL!$A$5:$A$304,$B278))</f>
        <v/>
      </c>
      <c r="N278" s="44" t="str">
        <f t="shared" si="22"/>
        <v/>
      </c>
      <c r="O278" s="45" t="str">
        <f t="shared" si="23"/>
        <v/>
      </c>
      <c r="P278" s="44" t="str">
        <f>IF($B278="","",SUMIFS(TK_Nhap!$E$5:$E$1004,TK_Nhap!$D$5:$D$1004,$B278,TK_Nhap!$H$5:$H$1004,1))</f>
        <v/>
      </c>
      <c r="Q278" s="44" t="str">
        <f t="shared" si="24"/>
        <v/>
      </c>
    </row>
    <row r="279" spans="1:17" x14ac:dyDescent="0.25">
      <c r="A279" s="36" t="str">
        <f t="shared" si="20"/>
        <v/>
      </c>
      <c r="B279" s="35" t="str">
        <f>IFERROR(INDEX(DM_NL!$A$5:$A$304,MATCH(ROW()-10,DM_NL!$G$5:$G$304,0)),"")</f>
        <v/>
      </c>
      <c r="C279" s="35" t="str">
        <f>IF(B279="","",INDEX(DM_NL!$B$5:$B$304,MATCH(B279,DM_NL!$A$5:$A$304,0)))</f>
        <v/>
      </c>
      <c r="D279" s="35" t="str">
        <f>IF(B279="","",INDEX(DM_NL!$C$5:$C$304,MATCH(B279,DM_NL!$A$5:$A$304,0)))</f>
        <v/>
      </c>
      <c r="E279" s="39" t="str">
        <f>IF($B279="","",SUMIFS(Kho_NL!$B$5:$B$304,Kho_NL!$A$5:$A$304,$B279))</f>
        <v/>
      </c>
      <c r="F279" s="39" t="str">
        <f>IF($B279="","",SUMIFS(Kho_NL!$C$5:$C$304,Kho_NL!$A$5:$A$304,$B279))</f>
        <v/>
      </c>
      <c r="G279" s="39" t="str">
        <f>IF($B279="","",SUMIFS(Kho_NL!$D$5:$D$304,Kho_NL!$A$5:$A$304,$B279))</f>
        <v/>
      </c>
      <c r="H279" s="39" t="str">
        <f>IF($B279="","",SUMIFS(Kho_NL!$E$5:$E$304,Kho_NL!$A$5:$A$304,$B279))</f>
        <v/>
      </c>
      <c r="I279" s="39" t="str">
        <f>IF($B279="","",SUMIFS(Kho_NL!$F$5:$F$304,Kho_NL!$A$5:$A$304,$B279))</f>
        <v/>
      </c>
      <c r="J279" s="39" t="str">
        <f>IF($B279="","",SUMIFS(Kho_NL!$G$5:$G$304,Kho_NL!$A$5:$A$304,$B279))</f>
        <v/>
      </c>
      <c r="K279" s="39" t="str">
        <f t="shared" si="21"/>
        <v/>
      </c>
      <c r="L279" s="31" t="str">
        <f>IF($B279="","",IFERROR(INDEX(Kho_NL!$I$5:$I$304,MATCH(B279,Kho_NL!$A$5:$A$304,0))&amp;"",""))</f>
        <v/>
      </c>
      <c r="M279" s="44" t="str">
        <f>IF($B279="","",SUMIFS(Kho_NL!$H$5:$H$304,Kho_NL!$A$5:$A$304,$B279))</f>
        <v/>
      </c>
      <c r="N279" s="44" t="str">
        <f t="shared" si="22"/>
        <v/>
      </c>
      <c r="O279" s="45" t="str">
        <f t="shared" si="23"/>
        <v/>
      </c>
      <c r="P279" s="44" t="str">
        <f>IF($B279="","",SUMIFS(TK_Nhap!$E$5:$E$1004,TK_Nhap!$D$5:$D$1004,$B279,TK_Nhap!$H$5:$H$1004,1))</f>
        <v/>
      </c>
      <c r="Q279" s="44" t="str">
        <f t="shared" si="24"/>
        <v/>
      </c>
    </row>
    <row r="280" spans="1:17" x14ac:dyDescent="0.25">
      <c r="A280" s="36" t="str">
        <f t="shared" si="20"/>
        <v/>
      </c>
      <c r="B280" s="35" t="str">
        <f>IFERROR(INDEX(DM_NL!$A$5:$A$304,MATCH(ROW()-10,DM_NL!$G$5:$G$304,0)),"")</f>
        <v/>
      </c>
      <c r="C280" s="35" t="str">
        <f>IF(B280="","",INDEX(DM_NL!$B$5:$B$304,MATCH(B280,DM_NL!$A$5:$A$304,0)))</f>
        <v/>
      </c>
      <c r="D280" s="35" t="str">
        <f>IF(B280="","",INDEX(DM_NL!$C$5:$C$304,MATCH(B280,DM_NL!$A$5:$A$304,0)))</f>
        <v/>
      </c>
      <c r="E280" s="39" t="str">
        <f>IF($B280="","",SUMIFS(Kho_NL!$B$5:$B$304,Kho_NL!$A$5:$A$304,$B280))</f>
        <v/>
      </c>
      <c r="F280" s="39" t="str">
        <f>IF($B280="","",SUMIFS(Kho_NL!$C$5:$C$304,Kho_NL!$A$5:$A$304,$B280))</f>
        <v/>
      </c>
      <c r="G280" s="39" t="str">
        <f>IF($B280="","",SUMIFS(Kho_NL!$D$5:$D$304,Kho_NL!$A$5:$A$304,$B280))</f>
        <v/>
      </c>
      <c r="H280" s="39" t="str">
        <f>IF($B280="","",SUMIFS(Kho_NL!$E$5:$E$304,Kho_NL!$A$5:$A$304,$B280))</f>
        <v/>
      </c>
      <c r="I280" s="39" t="str">
        <f>IF($B280="","",SUMIFS(Kho_NL!$F$5:$F$304,Kho_NL!$A$5:$A$304,$B280))</f>
        <v/>
      </c>
      <c r="J280" s="39" t="str">
        <f>IF($B280="","",SUMIFS(Kho_NL!$G$5:$G$304,Kho_NL!$A$5:$A$304,$B280))</f>
        <v/>
      </c>
      <c r="K280" s="39" t="str">
        <f t="shared" si="21"/>
        <v/>
      </c>
      <c r="L280" s="31" t="str">
        <f>IF($B280="","",IFERROR(INDEX(Kho_NL!$I$5:$I$304,MATCH(B280,Kho_NL!$A$5:$A$304,0))&amp;"",""))</f>
        <v/>
      </c>
      <c r="M280" s="44" t="str">
        <f>IF($B280="","",SUMIFS(Kho_NL!$H$5:$H$304,Kho_NL!$A$5:$A$304,$B280))</f>
        <v/>
      </c>
      <c r="N280" s="44" t="str">
        <f t="shared" si="22"/>
        <v/>
      </c>
      <c r="O280" s="45" t="str">
        <f t="shared" si="23"/>
        <v/>
      </c>
      <c r="P280" s="44" t="str">
        <f>IF($B280="","",SUMIFS(TK_Nhap!$E$5:$E$1004,TK_Nhap!$D$5:$D$1004,$B280,TK_Nhap!$H$5:$H$1004,1))</f>
        <v/>
      </c>
      <c r="Q280" s="44" t="str">
        <f t="shared" si="24"/>
        <v/>
      </c>
    </row>
    <row r="281" spans="1:17" x14ac:dyDescent="0.25">
      <c r="A281" s="36" t="str">
        <f t="shared" si="20"/>
        <v/>
      </c>
      <c r="B281" s="35" t="str">
        <f>IFERROR(INDEX(DM_NL!$A$5:$A$304,MATCH(ROW()-10,DM_NL!$G$5:$G$304,0)),"")</f>
        <v/>
      </c>
      <c r="C281" s="35" t="str">
        <f>IF(B281="","",INDEX(DM_NL!$B$5:$B$304,MATCH(B281,DM_NL!$A$5:$A$304,0)))</f>
        <v/>
      </c>
      <c r="D281" s="35" t="str">
        <f>IF(B281="","",INDEX(DM_NL!$C$5:$C$304,MATCH(B281,DM_NL!$A$5:$A$304,0)))</f>
        <v/>
      </c>
      <c r="E281" s="39" t="str">
        <f>IF($B281="","",SUMIFS(Kho_NL!$B$5:$B$304,Kho_NL!$A$5:$A$304,$B281))</f>
        <v/>
      </c>
      <c r="F281" s="39" t="str">
        <f>IF($B281="","",SUMIFS(Kho_NL!$C$5:$C$304,Kho_NL!$A$5:$A$304,$B281))</f>
        <v/>
      </c>
      <c r="G281" s="39" t="str">
        <f>IF($B281="","",SUMIFS(Kho_NL!$D$5:$D$304,Kho_NL!$A$5:$A$304,$B281))</f>
        <v/>
      </c>
      <c r="H281" s="39" t="str">
        <f>IF($B281="","",SUMIFS(Kho_NL!$E$5:$E$304,Kho_NL!$A$5:$A$304,$B281))</f>
        <v/>
      </c>
      <c r="I281" s="39" t="str">
        <f>IF($B281="","",SUMIFS(Kho_NL!$F$5:$F$304,Kho_NL!$A$5:$A$304,$B281))</f>
        <v/>
      </c>
      <c r="J281" s="39" t="str">
        <f>IF($B281="","",SUMIFS(Kho_NL!$G$5:$G$304,Kho_NL!$A$5:$A$304,$B281))</f>
        <v/>
      </c>
      <c r="K281" s="39" t="str">
        <f t="shared" si="21"/>
        <v/>
      </c>
      <c r="L281" s="31" t="str">
        <f>IF($B281="","",IFERROR(INDEX(Kho_NL!$I$5:$I$304,MATCH(B281,Kho_NL!$A$5:$A$304,0))&amp;"",""))</f>
        <v/>
      </c>
      <c r="M281" s="44" t="str">
        <f>IF($B281="","",SUMIFS(Kho_NL!$H$5:$H$304,Kho_NL!$A$5:$A$304,$B281))</f>
        <v/>
      </c>
      <c r="N281" s="44" t="str">
        <f t="shared" si="22"/>
        <v/>
      </c>
      <c r="O281" s="45" t="str">
        <f t="shared" si="23"/>
        <v/>
      </c>
      <c r="P281" s="44" t="str">
        <f>IF($B281="","",SUMIFS(TK_Nhap!$E$5:$E$1004,TK_Nhap!$D$5:$D$1004,$B281,TK_Nhap!$H$5:$H$1004,1))</f>
        <v/>
      </c>
      <c r="Q281" s="44" t="str">
        <f t="shared" si="24"/>
        <v/>
      </c>
    </row>
    <row r="282" spans="1:17" x14ac:dyDescent="0.25">
      <c r="A282" s="36" t="str">
        <f t="shared" si="20"/>
        <v/>
      </c>
      <c r="B282" s="35" t="str">
        <f>IFERROR(INDEX(DM_NL!$A$5:$A$304,MATCH(ROW()-10,DM_NL!$G$5:$G$304,0)),"")</f>
        <v/>
      </c>
      <c r="C282" s="35" t="str">
        <f>IF(B282="","",INDEX(DM_NL!$B$5:$B$304,MATCH(B282,DM_NL!$A$5:$A$304,0)))</f>
        <v/>
      </c>
      <c r="D282" s="35" t="str">
        <f>IF(B282="","",INDEX(DM_NL!$C$5:$C$304,MATCH(B282,DM_NL!$A$5:$A$304,0)))</f>
        <v/>
      </c>
      <c r="E282" s="39" t="str">
        <f>IF($B282="","",SUMIFS(Kho_NL!$B$5:$B$304,Kho_NL!$A$5:$A$304,$B282))</f>
        <v/>
      </c>
      <c r="F282" s="39" t="str">
        <f>IF($B282="","",SUMIFS(Kho_NL!$C$5:$C$304,Kho_NL!$A$5:$A$304,$B282))</f>
        <v/>
      </c>
      <c r="G282" s="39" t="str">
        <f>IF($B282="","",SUMIFS(Kho_NL!$D$5:$D$304,Kho_NL!$A$5:$A$304,$B282))</f>
        <v/>
      </c>
      <c r="H282" s="39" t="str">
        <f>IF($B282="","",SUMIFS(Kho_NL!$E$5:$E$304,Kho_NL!$A$5:$A$304,$B282))</f>
        <v/>
      </c>
      <c r="I282" s="39" t="str">
        <f>IF($B282="","",SUMIFS(Kho_NL!$F$5:$F$304,Kho_NL!$A$5:$A$304,$B282))</f>
        <v/>
      </c>
      <c r="J282" s="39" t="str">
        <f>IF($B282="","",SUMIFS(Kho_NL!$G$5:$G$304,Kho_NL!$A$5:$A$304,$B282))</f>
        <v/>
      </c>
      <c r="K282" s="39" t="str">
        <f t="shared" si="21"/>
        <v/>
      </c>
      <c r="L282" s="31" t="str">
        <f>IF($B282="","",IFERROR(INDEX(Kho_NL!$I$5:$I$304,MATCH(B282,Kho_NL!$A$5:$A$304,0))&amp;"",""))</f>
        <v/>
      </c>
      <c r="M282" s="44" t="str">
        <f>IF($B282="","",SUMIFS(Kho_NL!$H$5:$H$304,Kho_NL!$A$5:$A$304,$B282))</f>
        <v/>
      </c>
      <c r="N282" s="44" t="str">
        <f t="shared" si="22"/>
        <v/>
      </c>
      <c r="O282" s="45" t="str">
        <f t="shared" si="23"/>
        <v/>
      </c>
      <c r="P282" s="44" t="str">
        <f>IF($B282="","",SUMIFS(TK_Nhap!$E$5:$E$1004,TK_Nhap!$D$5:$D$1004,$B282,TK_Nhap!$H$5:$H$1004,1))</f>
        <v/>
      </c>
      <c r="Q282" s="44" t="str">
        <f t="shared" si="24"/>
        <v/>
      </c>
    </row>
    <row r="283" spans="1:17" x14ac:dyDescent="0.25">
      <c r="A283" s="36" t="str">
        <f t="shared" si="20"/>
        <v/>
      </c>
      <c r="B283" s="35" t="str">
        <f>IFERROR(INDEX(DM_NL!$A$5:$A$304,MATCH(ROW()-10,DM_NL!$G$5:$G$304,0)),"")</f>
        <v/>
      </c>
      <c r="C283" s="35" t="str">
        <f>IF(B283="","",INDEX(DM_NL!$B$5:$B$304,MATCH(B283,DM_NL!$A$5:$A$304,0)))</f>
        <v/>
      </c>
      <c r="D283" s="35" t="str">
        <f>IF(B283="","",INDEX(DM_NL!$C$5:$C$304,MATCH(B283,DM_NL!$A$5:$A$304,0)))</f>
        <v/>
      </c>
      <c r="E283" s="39" t="str">
        <f>IF($B283="","",SUMIFS(Kho_NL!$B$5:$B$304,Kho_NL!$A$5:$A$304,$B283))</f>
        <v/>
      </c>
      <c r="F283" s="39" t="str">
        <f>IF($B283="","",SUMIFS(Kho_NL!$C$5:$C$304,Kho_NL!$A$5:$A$304,$B283))</f>
        <v/>
      </c>
      <c r="G283" s="39" t="str">
        <f>IF($B283="","",SUMIFS(Kho_NL!$D$5:$D$304,Kho_NL!$A$5:$A$304,$B283))</f>
        <v/>
      </c>
      <c r="H283" s="39" t="str">
        <f>IF($B283="","",SUMIFS(Kho_NL!$E$5:$E$304,Kho_NL!$A$5:$A$304,$B283))</f>
        <v/>
      </c>
      <c r="I283" s="39" t="str">
        <f>IF($B283="","",SUMIFS(Kho_NL!$F$5:$F$304,Kho_NL!$A$5:$A$304,$B283))</f>
        <v/>
      </c>
      <c r="J283" s="39" t="str">
        <f>IF($B283="","",SUMIFS(Kho_NL!$G$5:$G$304,Kho_NL!$A$5:$A$304,$B283))</f>
        <v/>
      </c>
      <c r="K283" s="39" t="str">
        <f t="shared" si="21"/>
        <v/>
      </c>
      <c r="L283" s="31" t="str">
        <f>IF($B283="","",IFERROR(INDEX(Kho_NL!$I$5:$I$304,MATCH(B283,Kho_NL!$A$5:$A$304,0))&amp;"",""))</f>
        <v/>
      </c>
      <c r="M283" s="44" t="str">
        <f>IF($B283="","",SUMIFS(Kho_NL!$H$5:$H$304,Kho_NL!$A$5:$A$304,$B283))</f>
        <v/>
      </c>
      <c r="N283" s="44" t="str">
        <f t="shared" si="22"/>
        <v/>
      </c>
      <c r="O283" s="45" t="str">
        <f t="shared" si="23"/>
        <v/>
      </c>
      <c r="P283" s="44" t="str">
        <f>IF($B283="","",SUMIFS(TK_Nhap!$E$5:$E$1004,TK_Nhap!$D$5:$D$1004,$B283,TK_Nhap!$H$5:$H$1004,1))</f>
        <v/>
      </c>
      <c r="Q283" s="44" t="str">
        <f t="shared" si="24"/>
        <v/>
      </c>
    </row>
    <row r="284" spans="1:17" x14ac:dyDescent="0.25">
      <c r="A284" s="36" t="str">
        <f t="shared" si="20"/>
        <v/>
      </c>
      <c r="B284" s="35" t="str">
        <f>IFERROR(INDEX(DM_NL!$A$5:$A$304,MATCH(ROW()-10,DM_NL!$G$5:$G$304,0)),"")</f>
        <v/>
      </c>
      <c r="C284" s="35" t="str">
        <f>IF(B284="","",INDEX(DM_NL!$B$5:$B$304,MATCH(B284,DM_NL!$A$5:$A$304,0)))</f>
        <v/>
      </c>
      <c r="D284" s="35" t="str">
        <f>IF(B284="","",INDEX(DM_NL!$C$5:$C$304,MATCH(B284,DM_NL!$A$5:$A$304,0)))</f>
        <v/>
      </c>
      <c r="E284" s="39" t="str">
        <f>IF($B284="","",SUMIFS(Kho_NL!$B$5:$B$304,Kho_NL!$A$5:$A$304,$B284))</f>
        <v/>
      </c>
      <c r="F284" s="39" t="str">
        <f>IF($B284="","",SUMIFS(Kho_NL!$C$5:$C$304,Kho_NL!$A$5:$A$304,$B284))</f>
        <v/>
      </c>
      <c r="G284" s="39" t="str">
        <f>IF($B284="","",SUMIFS(Kho_NL!$D$5:$D$304,Kho_NL!$A$5:$A$304,$B284))</f>
        <v/>
      </c>
      <c r="H284" s="39" t="str">
        <f>IF($B284="","",SUMIFS(Kho_NL!$E$5:$E$304,Kho_NL!$A$5:$A$304,$B284))</f>
        <v/>
      </c>
      <c r="I284" s="39" t="str">
        <f>IF($B284="","",SUMIFS(Kho_NL!$F$5:$F$304,Kho_NL!$A$5:$A$304,$B284))</f>
        <v/>
      </c>
      <c r="J284" s="39" t="str">
        <f>IF($B284="","",SUMIFS(Kho_NL!$G$5:$G$304,Kho_NL!$A$5:$A$304,$B284))</f>
        <v/>
      </c>
      <c r="K284" s="39" t="str">
        <f t="shared" si="21"/>
        <v/>
      </c>
      <c r="L284" s="31" t="str">
        <f>IF($B284="","",IFERROR(INDEX(Kho_NL!$I$5:$I$304,MATCH(B284,Kho_NL!$A$5:$A$304,0))&amp;"",""))</f>
        <v/>
      </c>
      <c r="M284" s="44" t="str">
        <f>IF($B284="","",SUMIFS(Kho_NL!$H$5:$H$304,Kho_NL!$A$5:$A$304,$B284))</f>
        <v/>
      </c>
      <c r="N284" s="44" t="str">
        <f t="shared" si="22"/>
        <v/>
      </c>
      <c r="O284" s="45" t="str">
        <f t="shared" si="23"/>
        <v/>
      </c>
      <c r="P284" s="44" t="str">
        <f>IF($B284="","",SUMIFS(TK_Nhap!$E$5:$E$1004,TK_Nhap!$D$5:$D$1004,$B284,TK_Nhap!$H$5:$H$1004,1))</f>
        <v/>
      </c>
      <c r="Q284" s="44" t="str">
        <f t="shared" si="24"/>
        <v/>
      </c>
    </row>
    <row r="285" spans="1:17" x14ac:dyDescent="0.25">
      <c r="A285" s="36" t="str">
        <f t="shared" si="20"/>
        <v/>
      </c>
      <c r="B285" s="35" t="str">
        <f>IFERROR(INDEX(DM_NL!$A$5:$A$304,MATCH(ROW()-10,DM_NL!$G$5:$G$304,0)),"")</f>
        <v/>
      </c>
      <c r="C285" s="35" t="str">
        <f>IF(B285="","",INDEX(DM_NL!$B$5:$B$304,MATCH(B285,DM_NL!$A$5:$A$304,0)))</f>
        <v/>
      </c>
      <c r="D285" s="35" t="str">
        <f>IF(B285="","",INDEX(DM_NL!$C$5:$C$304,MATCH(B285,DM_NL!$A$5:$A$304,0)))</f>
        <v/>
      </c>
      <c r="E285" s="39" t="str">
        <f>IF($B285="","",SUMIFS(Kho_NL!$B$5:$B$304,Kho_NL!$A$5:$A$304,$B285))</f>
        <v/>
      </c>
      <c r="F285" s="39" t="str">
        <f>IF($B285="","",SUMIFS(Kho_NL!$C$5:$C$304,Kho_NL!$A$5:$A$304,$B285))</f>
        <v/>
      </c>
      <c r="G285" s="39" t="str">
        <f>IF($B285="","",SUMIFS(Kho_NL!$D$5:$D$304,Kho_NL!$A$5:$A$304,$B285))</f>
        <v/>
      </c>
      <c r="H285" s="39" t="str">
        <f>IF($B285="","",SUMIFS(Kho_NL!$E$5:$E$304,Kho_NL!$A$5:$A$304,$B285))</f>
        <v/>
      </c>
      <c r="I285" s="39" t="str">
        <f>IF($B285="","",SUMIFS(Kho_NL!$F$5:$F$304,Kho_NL!$A$5:$A$304,$B285))</f>
        <v/>
      </c>
      <c r="J285" s="39" t="str">
        <f>IF($B285="","",SUMIFS(Kho_NL!$G$5:$G$304,Kho_NL!$A$5:$A$304,$B285))</f>
        <v/>
      </c>
      <c r="K285" s="39" t="str">
        <f t="shared" si="21"/>
        <v/>
      </c>
      <c r="L285" s="31" t="str">
        <f>IF($B285="","",IFERROR(INDEX(Kho_NL!$I$5:$I$304,MATCH(B285,Kho_NL!$A$5:$A$304,0))&amp;"",""))</f>
        <v/>
      </c>
      <c r="M285" s="44" t="str">
        <f>IF($B285="","",SUMIFS(Kho_NL!$H$5:$H$304,Kho_NL!$A$5:$A$304,$B285))</f>
        <v/>
      </c>
      <c r="N285" s="44" t="str">
        <f t="shared" si="22"/>
        <v/>
      </c>
      <c r="O285" s="45" t="str">
        <f t="shared" si="23"/>
        <v/>
      </c>
      <c r="P285" s="44" t="str">
        <f>IF($B285="","",SUMIFS(TK_Nhap!$E$5:$E$1004,TK_Nhap!$D$5:$D$1004,$B285,TK_Nhap!$H$5:$H$1004,1))</f>
        <v/>
      </c>
      <c r="Q285" s="44" t="str">
        <f t="shared" si="24"/>
        <v/>
      </c>
    </row>
    <row r="286" spans="1:17" x14ac:dyDescent="0.25">
      <c r="A286" s="36" t="str">
        <f t="shared" si="20"/>
        <v/>
      </c>
      <c r="B286" s="35" t="str">
        <f>IFERROR(INDEX(DM_NL!$A$5:$A$304,MATCH(ROW()-10,DM_NL!$G$5:$G$304,0)),"")</f>
        <v/>
      </c>
      <c r="C286" s="35" t="str">
        <f>IF(B286="","",INDEX(DM_NL!$B$5:$B$304,MATCH(B286,DM_NL!$A$5:$A$304,0)))</f>
        <v/>
      </c>
      <c r="D286" s="35" t="str">
        <f>IF(B286="","",INDEX(DM_NL!$C$5:$C$304,MATCH(B286,DM_NL!$A$5:$A$304,0)))</f>
        <v/>
      </c>
      <c r="E286" s="39" t="str">
        <f>IF($B286="","",SUMIFS(Kho_NL!$B$5:$B$304,Kho_NL!$A$5:$A$304,$B286))</f>
        <v/>
      </c>
      <c r="F286" s="39" t="str">
        <f>IF($B286="","",SUMIFS(Kho_NL!$C$5:$C$304,Kho_NL!$A$5:$A$304,$B286))</f>
        <v/>
      </c>
      <c r="G286" s="39" t="str">
        <f>IF($B286="","",SUMIFS(Kho_NL!$D$5:$D$304,Kho_NL!$A$5:$A$304,$B286))</f>
        <v/>
      </c>
      <c r="H286" s="39" t="str">
        <f>IF($B286="","",SUMIFS(Kho_NL!$E$5:$E$304,Kho_NL!$A$5:$A$304,$B286))</f>
        <v/>
      </c>
      <c r="I286" s="39" t="str">
        <f>IF($B286="","",SUMIFS(Kho_NL!$F$5:$F$304,Kho_NL!$A$5:$A$304,$B286))</f>
        <v/>
      </c>
      <c r="J286" s="39" t="str">
        <f>IF($B286="","",SUMIFS(Kho_NL!$G$5:$G$304,Kho_NL!$A$5:$A$304,$B286))</f>
        <v/>
      </c>
      <c r="K286" s="39" t="str">
        <f t="shared" si="21"/>
        <v/>
      </c>
      <c r="L286" s="31" t="str">
        <f>IF($B286="","",IFERROR(INDEX(Kho_NL!$I$5:$I$304,MATCH(B286,Kho_NL!$A$5:$A$304,0))&amp;"",""))</f>
        <v/>
      </c>
      <c r="M286" s="44" t="str">
        <f>IF($B286="","",SUMIFS(Kho_NL!$H$5:$H$304,Kho_NL!$A$5:$A$304,$B286))</f>
        <v/>
      </c>
      <c r="N286" s="44" t="str">
        <f t="shared" si="22"/>
        <v/>
      </c>
      <c r="O286" s="45" t="str">
        <f t="shared" si="23"/>
        <v/>
      </c>
      <c r="P286" s="44" t="str">
        <f>IF($B286="","",SUMIFS(TK_Nhap!$E$5:$E$1004,TK_Nhap!$D$5:$D$1004,$B286,TK_Nhap!$H$5:$H$1004,1))</f>
        <v/>
      </c>
      <c r="Q286" s="44" t="str">
        <f t="shared" si="24"/>
        <v/>
      </c>
    </row>
    <row r="287" spans="1:17" x14ac:dyDescent="0.25">
      <c r="A287" s="36" t="str">
        <f t="shared" si="20"/>
        <v/>
      </c>
      <c r="B287" s="35" t="str">
        <f>IFERROR(INDEX(DM_NL!$A$5:$A$304,MATCH(ROW()-10,DM_NL!$G$5:$G$304,0)),"")</f>
        <v/>
      </c>
      <c r="C287" s="35" t="str">
        <f>IF(B287="","",INDEX(DM_NL!$B$5:$B$304,MATCH(B287,DM_NL!$A$5:$A$304,0)))</f>
        <v/>
      </c>
      <c r="D287" s="35" t="str">
        <f>IF(B287="","",INDEX(DM_NL!$C$5:$C$304,MATCH(B287,DM_NL!$A$5:$A$304,0)))</f>
        <v/>
      </c>
      <c r="E287" s="39" t="str">
        <f>IF($B287="","",SUMIFS(Kho_NL!$B$5:$B$304,Kho_NL!$A$5:$A$304,$B287))</f>
        <v/>
      </c>
      <c r="F287" s="39" t="str">
        <f>IF($B287="","",SUMIFS(Kho_NL!$C$5:$C$304,Kho_NL!$A$5:$A$304,$B287))</f>
        <v/>
      </c>
      <c r="G287" s="39" t="str">
        <f>IF($B287="","",SUMIFS(Kho_NL!$D$5:$D$304,Kho_NL!$A$5:$A$304,$B287))</f>
        <v/>
      </c>
      <c r="H287" s="39" t="str">
        <f>IF($B287="","",SUMIFS(Kho_NL!$E$5:$E$304,Kho_NL!$A$5:$A$304,$B287))</f>
        <v/>
      </c>
      <c r="I287" s="39" t="str">
        <f>IF($B287="","",SUMIFS(Kho_NL!$F$5:$F$304,Kho_NL!$A$5:$A$304,$B287))</f>
        <v/>
      </c>
      <c r="J287" s="39" t="str">
        <f>IF($B287="","",SUMIFS(Kho_NL!$G$5:$G$304,Kho_NL!$A$5:$A$304,$B287))</f>
        <v/>
      </c>
      <c r="K287" s="39" t="str">
        <f t="shared" si="21"/>
        <v/>
      </c>
      <c r="L287" s="31" t="str">
        <f>IF($B287="","",IFERROR(INDEX(Kho_NL!$I$5:$I$304,MATCH(B287,Kho_NL!$A$5:$A$304,0))&amp;"",""))</f>
        <v/>
      </c>
      <c r="M287" s="44" t="str">
        <f>IF($B287="","",SUMIFS(Kho_NL!$H$5:$H$304,Kho_NL!$A$5:$A$304,$B287))</f>
        <v/>
      </c>
      <c r="N287" s="44" t="str">
        <f t="shared" si="22"/>
        <v/>
      </c>
      <c r="O287" s="45" t="str">
        <f t="shared" si="23"/>
        <v/>
      </c>
      <c r="P287" s="44" t="str">
        <f>IF($B287="","",SUMIFS(TK_Nhap!$E$5:$E$1004,TK_Nhap!$D$5:$D$1004,$B287,TK_Nhap!$H$5:$H$1004,1))</f>
        <v/>
      </c>
      <c r="Q287" s="44" t="str">
        <f t="shared" si="24"/>
        <v/>
      </c>
    </row>
    <row r="288" spans="1:17" x14ac:dyDescent="0.25">
      <c r="A288" s="36" t="str">
        <f t="shared" si="20"/>
        <v/>
      </c>
      <c r="B288" s="35" t="str">
        <f>IFERROR(INDEX(DM_NL!$A$5:$A$304,MATCH(ROW()-10,DM_NL!$G$5:$G$304,0)),"")</f>
        <v/>
      </c>
      <c r="C288" s="35" t="str">
        <f>IF(B288="","",INDEX(DM_NL!$B$5:$B$304,MATCH(B288,DM_NL!$A$5:$A$304,0)))</f>
        <v/>
      </c>
      <c r="D288" s="35" t="str">
        <f>IF(B288="","",INDEX(DM_NL!$C$5:$C$304,MATCH(B288,DM_NL!$A$5:$A$304,0)))</f>
        <v/>
      </c>
      <c r="E288" s="39" t="str">
        <f>IF($B288="","",SUMIFS(Kho_NL!$B$5:$B$304,Kho_NL!$A$5:$A$304,$B288))</f>
        <v/>
      </c>
      <c r="F288" s="39" t="str">
        <f>IF($B288="","",SUMIFS(Kho_NL!$C$5:$C$304,Kho_NL!$A$5:$A$304,$B288))</f>
        <v/>
      </c>
      <c r="G288" s="39" t="str">
        <f>IF($B288="","",SUMIFS(Kho_NL!$D$5:$D$304,Kho_NL!$A$5:$A$304,$B288))</f>
        <v/>
      </c>
      <c r="H288" s="39" t="str">
        <f>IF($B288="","",SUMIFS(Kho_NL!$E$5:$E$304,Kho_NL!$A$5:$A$304,$B288))</f>
        <v/>
      </c>
      <c r="I288" s="39" t="str">
        <f>IF($B288="","",SUMIFS(Kho_NL!$F$5:$F$304,Kho_NL!$A$5:$A$304,$B288))</f>
        <v/>
      </c>
      <c r="J288" s="39" t="str">
        <f>IF($B288="","",SUMIFS(Kho_NL!$G$5:$G$304,Kho_NL!$A$5:$A$304,$B288))</f>
        <v/>
      </c>
      <c r="K288" s="39" t="str">
        <f t="shared" si="21"/>
        <v/>
      </c>
      <c r="L288" s="31" t="str">
        <f>IF($B288="","",IFERROR(INDEX(Kho_NL!$I$5:$I$304,MATCH(B288,Kho_NL!$A$5:$A$304,0))&amp;"",""))</f>
        <v/>
      </c>
      <c r="M288" s="44" t="str">
        <f>IF($B288="","",SUMIFS(Kho_NL!$H$5:$H$304,Kho_NL!$A$5:$A$304,$B288))</f>
        <v/>
      </c>
      <c r="N288" s="44" t="str">
        <f t="shared" si="22"/>
        <v/>
      </c>
      <c r="O288" s="45" t="str">
        <f t="shared" si="23"/>
        <v/>
      </c>
      <c r="P288" s="44" t="str">
        <f>IF($B288="","",SUMIFS(TK_Nhap!$E$5:$E$1004,TK_Nhap!$D$5:$D$1004,$B288,TK_Nhap!$H$5:$H$1004,1))</f>
        <v/>
      </c>
      <c r="Q288" s="44" t="str">
        <f t="shared" si="24"/>
        <v/>
      </c>
    </row>
    <row r="289" spans="1:17" x14ac:dyDescent="0.25">
      <c r="A289" s="36" t="str">
        <f t="shared" si="20"/>
        <v/>
      </c>
      <c r="B289" s="35" t="str">
        <f>IFERROR(INDEX(DM_NL!$A$5:$A$304,MATCH(ROW()-10,DM_NL!$G$5:$G$304,0)),"")</f>
        <v/>
      </c>
      <c r="C289" s="35" t="str">
        <f>IF(B289="","",INDEX(DM_NL!$B$5:$B$304,MATCH(B289,DM_NL!$A$5:$A$304,0)))</f>
        <v/>
      </c>
      <c r="D289" s="35" t="str">
        <f>IF(B289="","",INDEX(DM_NL!$C$5:$C$304,MATCH(B289,DM_NL!$A$5:$A$304,0)))</f>
        <v/>
      </c>
      <c r="E289" s="39" t="str">
        <f>IF($B289="","",SUMIFS(Kho_NL!$B$5:$B$304,Kho_NL!$A$5:$A$304,$B289))</f>
        <v/>
      </c>
      <c r="F289" s="39" t="str">
        <f>IF($B289="","",SUMIFS(Kho_NL!$C$5:$C$304,Kho_NL!$A$5:$A$304,$B289))</f>
        <v/>
      </c>
      <c r="G289" s="39" t="str">
        <f>IF($B289="","",SUMIFS(Kho_NL!$D$5:$D$304,Kho_NL!$A$5:$A$304,$B289))</f>
        <v/>
      </c>
      <c r="H289" s="39" t="str">
        <f>IF($B289="","",SUMIFS(Kho_NL!$E$5:$E$304,Kho_NL!$A$5:$A$304,$B289))</f>
        <v/>
      </c>
      <c r="I289" s="39" t="str">
        <f>IF($B289="","",SUMIFS(Kho_NL!$F$5:$F$304,Kho_NL!$A$5:$A$304,$B289))</f>
        <v/>
      </c>
      <c r="J289" s="39" t="str">
        <f>IF($B289="","",SUMIFS(Kho_NL!$G$5:$G$304,Kho_NL!$A$5:$A$304,$B289))</f>
        <v/>
      </c>
      <c r="K289" s="39" t="str">
        <f t="shared" si="21"/>
        <v/>
      </c>
      <c r="L289" s="31" t="str">
        <f>IF($B289="","",IFERROR(INDEX(Kho_NL!$I$5:$I$304,MATCH(B289,Kho_NL!$A$5:$A$304,0))&amp;"",""))</f>
        <v/>
      </c>
      <c r="M289" s="44" t="str">
        <f>IF($B289="","",SUMIFS(Kho_NL!$H$5:$H$304,Kho_NL!$A$5:$A$304,$B289))</f>
        <v/>
      </c>
      <c r="N289" s="44" t="str">
        <f t="shared" si="22"/>
        <v/>
      </c>
      <c r="O289" s="45" t="str">
        <f t="shared" si="23"/>
        <v/>
      </c>
      <c r="P289" s="44" t="str">
        <f>IF($B289="","",SUMIFS(TK_Nhap!$E$5:$E$1004,TK_Nhap!$D$5:$D$1004,$B289,TK_Nhap!$H$5:$H$1004,1))</f>
        <v/>
      </c>
      <c r="Q289" s="44" t="str">
        <f t="shared" si="24"/>
        <v/>
      </c>
    </row>
    <row r="290" spans="1:17" x14ac:dyDescent="0.25">
      <c r="A290" s="36" t="str">
        <f t="shared" si="20"/>
        <v/>
      </c>
      <c r="B290" s="35" t="str">
        <f>IFERROR(INDEX(DM_NL!$A$5:$A$304,MATCH(ROW()-10,DM_NL!$G$5:$G$304,0)),"")</f>
        <v/>
      </c>
      <c r="C290" s="35" t="str">
        <f>IF(B290="","",INDEX(DM_NL!$B$5:$B$304,MATCH(B290,DM_NL!$A$5:$A$304,0)))</f>
        <v/>
      </c>
      <c r="D290" s="35" t="str">
        <f>IF(B290="","",INDEX(DM_NL!$C$5:$C$304,MATCH(B290,DM_NL!$A$5:$A$304,0)))</f>
        <v/>
      </c>
      <c r="E290" s="39" t="str">
        <f>IF($B290="","",SUMIFS(Kho_NL!$B$5:$B$304,Kho_NL!$A$5:$A$304,$B290))</f>
        <v/>
      </c>
      <c r="F290" s="39" t="str">
        <f>IF($B290="","",SUMIFS(Kho_NL!$C$5:$C$304,Kho_NL!$A$5:$A$304,$B290))</f>
        <v/>
      </c>
      <c r="G290" s="39" t="str">
        <f>IF($B290="","",SUMIFS(Kho_NL!$D$5:$D$304,Kho_NL!$A$5:$A$304,$B290))</f>
        <v/>
      </c>
      <c r="H290" s="39" t="str">
        <f>IF($B290="","",SUMIFS(Kho_NL!$E$5:$E$304,Kho_NL!$A$5:$A$304,$B290))</f>
        <v/>
      </c>
      <c r="I290" s="39" t="str">
        <f>IF($B290="","",SUMIFS(Kho_NL!$F$5:$F$304,Kho_NL!$A$5:$A$304,$B290))</f>
        <v/>
      </c>
      <c r="J290" s="39" t="str">
        <f>IF($B290="","",SUMIFS(Kho_NL!$G$5:$G$304,Kho_NL!$A$5:$A$304,$B290))</f>
        <v/>
      </c>
      <c r="K290" s="39" t="str">
        <f t="shared" si="21"/>
        <v/>
      </c>
      <c r="L290" s="31" t="str">
        <f>IF($B290="","",IFERROR(INDEX(Kho_NL!$I$5:$I$304,MATCH(B290,Kho_NL!$A$5:$A$304,0))&amp;"",""))</f>
        <v/>
      </c>
      <c r="M290" s="44" t="str">
        <f>IF($B290="","",SUMIFS(Kho_NL!$H$5:$H$304,Kho_NL!$A$5:$A$304,$B290))</f>
        <v/>
      </c>
      <c r="N290" s="44" t="str">
        <f t="shared" si="22"/>
        <v/>
      </c>
      <c r="O290" s="45" t="str">
        <f t="shared" si="23"/>
        <v/>
      </c>
      <c r="P290" s="44" t="str">
        <f>IF($B290="","",SUMIFS(TK_Nhap!$E$5:$E$1004,TK_Nhap!$D$5:$D$1004,$B290,TK_Nhap!$H$5:$H$1004,1))</f>
        <v/>
      </c>
      <c r="Q290" s="44" t="str">
        <f t="shared" si="24"/>
        <v/>
      </c>
    </row>
    <row r="291" spans="1:17" x14ac:dyDescent="0.25">
      <c r="A291" s="36" t="str">
        <f t="shared" si="20"/>
        <v/>
      </c>
      <c r="B291" s="35" t="str">
        <f>IFERROR(INDEX(DM_NL!$A$5:$A$304,MATCH(ROW()-10,DM_NL!$G$5:$G$304,0)),"")</f>
        <v/>
      </c>
      <c r="C291" s="35" t="str">
        <f>IF(B291="","",INDEX(DM_NL!$B$5:$B$304,MATCH(B291,DM_NL!$A$5:$A$304,0)))</f>
        <v/>
      </c>
      <c r="D291" s="35" t="str">
        <f>IF(B291="","",INDEX(DM_NL!$C$5:$C$304,MATCH(B291,DM_NL!$A$5:$A$304,0)))</f>
        <v/>
      </c>
      <c r="E291" s="39" t="str">
        <f>IF($B291="","",SUMIFS(Kho_NL!$B$5:$B$304,Kho_NL!$A$5:$A$304,$B291))</f>
        <v/>
      </c>
      <c r="F291" s="39" t="str">
        <f>IF($B291="","",SUMIFS(Kho_NL!$C$5:$C$304,Kho_NL!$A$5:$A$304,$B291))</f>
        <v/>
      </c>
      <c r="G291" s="39" t="str">
        <f>IF($B291="","",SUMIFS(Kho_NL!$D$5:$D$304,Kho_NL!$A$5:$A$304,$B291))</f>
        <v/>
      </c>
      <c r="H291" s="39" t="str">
        <f>IF($B291="","",SUMIFS(Kho_NL!$E$5:$E$304,Kho_NL!$A$5:$A$304,$B291))</f>
        <v/>
      </c>
      <c r="I291" s="39" t="str">
        <f>IF($B291="","",SUMIFS(Kho_NL!$F$5:$F$304,Kho_NL!$A$5:$A$304,$B291))</f>
        <v/>
      </c>
      <c r="J291" s="39" t="str">
        <f>IF($B291="","",SUMIFS(Kho_NL!$G$5:$G$304,Kho_NL!$A$5:$A$304,$B291))</f>
        <v/>
      </c>
      <c r="K291" s="39" t="str">
        <f t="shared" si="21"/>
        <v/>
      </c>
      <c r="L291" s="31" t="str">
        <f>IF($B291="","",IFERROR(INDEX(Kho_NL!$I$5:$I$304,MATCH(B291,Kho_NL!$A$5:$A$304,0))&amp;"",""))</f>
        <v/>
      </c>
      <c r="M291" s="44" t="str">
        <f>IF($B291="","",SUMIFS(Kho_NL!$H$5:$H$304,Kho_NL!$A$5:$A$304,$B291))</f>
        <v/>
      </c>
      <c r="N291" s="44" t="str">
        <f t="shared" si="22"/>
        <v/>
      </c>
      <c r="O291" s="45" t="str">
        <f t="shared" si="23"/>
        <v/>
      </c>
      <c r="P291" s="44" t="str">
        <f>IF($B291="","",SUMIFS(TK_Nhap!$E$5:$E$1004,TK_Nhap!$D$5:$D$1004,$B291,TK_Nhap!$H$5:$H$1004,1))</f>
        <v/>
      </c>
      <c r="Q291" s="44" t="str">
        <f t="shared" si="24"/>
        <v/>
      </c>
    </row>
    <row r="292" spans="1:17" x14ac:dyDescent="0.25">
      <c r="A292" s="36" t="str">
        <f t="shared" si="20"/>
        <v/>
      </c>
      <c r="B292" s="35" t="str">
        <f>IFERROR(INDEX(DM_NL!$A$5:$A$304,MATCH(ROW()-10,DM_NL!$G$5:$G$304,0)),"")</f>
        <v/>
      </c>
      <c r="C292" s="35" t="str">
        <f>IF(B292="","",INDEX(DM_NL!$B$5:$B$304,MATCH(B292,DM_NL!$A$5:$A$304,0)))</f>
        <v/>
      </c>
      <c r="D292" s="35" t="str">
        <f>IF(B292="","",INDEX(DM_NL!$C$5:$C$304,MATCH(B292,DM_NL!$A$5:$A$304,0)))</f>
        <v/>
      </c>
      <c r="E292" s="39" t="str">
        <f>IF($B292="","",SUMIFS(Kho_NL!$B$5:$B$304,Kho_NL!$A$5:$A$304,$B292))</f>
        <v/>
      </c>
      <c r="F292" s="39" t="str">
        <f>IF($B292="","",SUMIFS(Kho_NL!$C$5:$C$304,Kho_NL!$A$5:$A$304,$B292))</f>
        <v/>
      </c>
      <c r="G292" s="39" t="str">
        <f>IF($B292="","",SUMIFS(Kho_NL!$D$5:$D$304,Kho_NL!$A$5:$A$304,$B292))</f>
        <v/>
      </c>
      <c r="H292" s="39" t="str">
        <f>IF($B292="","",SUMIFS(Kho_NL!$E$5:$E$304,Kho_NL!$A$5:$A$304,$B292))</f>
        <v/>
      </c>
      <c r="I292" s="39" t="str">
        <f>IF($B292="","",SUMIFS(Kho_NL!$F$5:$F$304,Kho_NL!$A$5:$A$304,$B292))</f>
        <v/>
      </c>
      <c r="J292" s="39" t="str">
        <f>IF($B292="","",SUMIFS(Kho_NL!$G$5:$G$304,Kho_NL!$A$5:$A$304,$B292))</f>
        <v/>
      </c>
      <c r="K292" s="39" t="str">
        <f t="shared" si="21"/>
        <v/>
      </c>
      <c r="L292" s="31" t="str">
        <f>IF($B292="","",IFERROR(INDEX(Kho_NL!$I$5:$I$304,MATCH(B292,Kho_NL!$A$5:$A$304,0))&amp;"",""))</f>
        <v/>
      </c>
      <c r="M292" s="44" t="str">
        <f>IF($B292="","",SUMIFS(Kho_NL!$H$5:$H$304,Kho_NL!$A$5:$A$304,$B292))</f>
        <v/>
      </c>
      <c r="N292" s="44" t="str">
        <f t="shared" si="22"/>
        <v/>
      </c>
      <c r="O292" s="45" t="str">
        <f t="shared" si="23"/>
        <v/>
      </c>
      <c r="P292" s="44" t="str">
        <f>IF($B292="","",SUMIFS(TK_Nhap!$E$5:$E$1004,TK_Nhap!$D$5:$D$1004,$B292,TK_Nhap!$H$5:$H$1004,1))</f>
        <v/>
      </c>
      <c r="Q292" s="44" t="str">
        <f t="shared" si="24"/>
        <v/>
      </c>
    </row>
    <row r="293" spans="1:17" x14ac:dyDescent="0.25">
      <c r="A293" s="36" t="str">
        <f t="shared" si="20"/>
        <v/>
      </c>
      <c r="B293" s="35" t="str">
        <f>IFERROR(INDEX(DM_NL!$A$5:$A$304,MATCH(ROW()-10,DM_NL!$G$5:$G$304,0)),"")</f>
        <v/>
      </c>
      <c r="C293" s="35" t="str">
        <f>IF(B293="","",INDEX(DM_NL!$B$5:$B$304,MATCH(B293,DM_NL!$A$5:$A$304,0)))</f>
        <v/>
      </c>
      <c r="D293" s="35" t="str">
        <f>IF(B293="","",INDEX(DM_NL!$C$5:$C$304,MATCH(B293,DM_NL!$A$5:$A$304,0)))</f>
        <v/>
      </c>
      <c r="E293" s="39" t="str">
        <f>IF($B293="","",SUMIFS(Kho_NL!$B$5:$B$304,Kho_NL!$A$5:$A$304,$B293))</f>
        <v/>
      </c>
      <c r="F293" s="39" t="str">
        <f>IF($B293="","",SUMIFS(Kho_NL!$C$5:$C$304,Kho_NL!$A$5:$A$304,$B293))</f>
        <v/>
      </c>
      <c r="G293" s="39" t="str">
        <f>IF($B293="","",SUMIFS(Kho_NL!$D$5:$D$304,Kho_NL!$A$5:$A$304,$B293))</f>
        <v/>
      </c>
      <c r="H293" s="39" t="str">
        <f>IF($B293="","",SUMIFS(Kho_NL!$E$5:$E$304,Kho_NL!$A$5:$A$304,$B293))</f>
        <v/>
      </c>
      <c r="I293" s="39" t="str">
        <f>IF($B293="","",SUMIFS(Kho_NL!$F$5:$F$304,Kho_NL!$A$5:$A$304,$B293))</f>
        <v/>
      </c>
      <c r="J293" s="39" t="str">
        <f>IF($B293="","",SUMIFS(Kho_NL!$G$5:$G$304,Kho_NL!$A$5:$A$304,$B293))</f>
        <v/>
      </c>
      <c r="K293" s="39" t="str">
        <f t="shared" si="21"/>
        <v/>
      </c>
      <c r="L293" s="31" t="str">
        <f>IF($B293="","",IFERROR(INDEX(Kho_NL!$I$5:$I$304,MATCH(B293,Kho_NL!$A$5:$A$304,0))&amp;"",""))</f>
        <v/>
      </c>
      <c r="M293" s="44" t="str">
        <f>IF($B293="","",SUMIFS(Kho_NL!$H$5:$H$304,Kho_NL!$A$5:$A$304,$B293))</f>
        <v/>
      </c>
      <c r="N293" s="44" t="str">
        <f t="shared" si="22"/>
        <v/>
      </c>
      <c r="O293" s="45" t="str">
        <f t="shared" si="23"/>
        <v/>
      </c>
      <c r="P293" s="44" t="str">
        <f>IF($B293="","",SUMIFS(TK_Nhap!$E$5:$E$1004,TK_Nhap!$D$5:$D$1004,$B293,TK_Nhap!$H$5:$H$1004,1))</f>
        <v/>
      </c>
      <c r="Q293" s="44" t="str">
        <f t="shared" si="24"/>
        <v/>
      </c>
    </row>
    <row r="294" spans="1:17" x14ac:dyDescent="0.25">
      <c r="A294" s="36" t="str">
        <f t="shared" si="20"/>
        <v/>
      </c>
      <c r="B294" s="35" t="str">
        <f>IFERROR(INDEX(DM_NL!$A$5:$A$304,MATCH(ROW()-10,DM_NL!$G$5:$G$304,0)),"")</f>
        <v/>
      </c>
      <c r="C294" s="35" t="str">
        <f>IF(B294="","",INDEX(DM_NL!$B$5:$B$304,MATCH(B294,DM_NL!$A$5:$A$304,0)))</f>
        <v/>
      </c>
      <c r="D294" s="35" t="str">
        <f>IF(B294="","",INDEX(DM_NL!$C$5:$C$304,MATCH(B294,DM_NL!$A$5:$A$304,0)))</f>
        <v/>
      </c>
      <c r="E294" s="39" t="str">
        <f>IF($B294="","",SUMIFS(Kho_NL!$B$5:$B$304,Kho_NL!$A$5:$A$304,$B294))</f>
        <v/>
      </c>
      <c r="F294" s="39" t="str">
        <f>IF($B294="","",SUMIFS(Kho_NL!$C$5:$C$304,Kho_NL!$A$5:$A$304,$B294))</f>
        <v/>
      </c>
      <c r="G294" s="39" t="str">
        <f>IF($B294="","",SUMIFS(Kho_NL!$D$5:$D$304,Kho_NL!$A$5:$A$304,$B294))</f>
        <v/>
      </c>
      <c r="H294" s="39" t="str">
        <f>IF($B294="","",SUMIFS(Kho_NL!$E$5:$E$304,Kho_NL!$A$5:$A$304,$B294))</f>
        <v/>
      </c>
      <c r="I294" s="39" t="str">
        <f>IF($B294="","",SUMIFS(Kho_NL!$F$5:$F$304,Kho_NL!$A$5:$A$304,$B294))</f>
        <v/>
      </c>
      <c r="J294" s="39" t="str">
        <f>IF($B294="","",SUMIFS(Kho_NL!$G$5:$G$304,Kho_NL!$A$5:$A$304,$B294))</f>
        <v/>
      </c>
      <c r="K294" s="39" t="str">
        <f t="shared" si="21"/>
        <v/>
      </c>
      <c r="L294" s="31" t="str">
        <f>IF($B294="","",IFERROR(INDEX(Kho_NL!$I$5:$I$304,MATCH(B294,Kho_NL!$A$5:$A$304,0))&amp;"",""))</f>
        <v/>
      </c>
      <c r="M294" s="44" t="str">
        <f>IF($B294="","",SUMIFS(Kho_NL!$H$5:$H$304,Kho_NL!$A$5:$A$304,$B294))</f>
        <v/>
      </c>
      <c r="N294" s="44" t="str">
        <f t="shared" si="22"/>
        <v/>
      </c>
      <c r="O294" s="45" t="str">
        <f t="shared" si="23"/>
        <v/>
      </c>
      <c r="P294" s="44" t="str">
        <f>IF($B294="","",SUMIFS(TK_Nhap!$E$5:$E$1004,TK_Nhap!$D$5:$D$1004,$B294,TK_Nhap!$H$5:$H$1004,1))</f>
        <v/>
      </c>
      <c r="Q294" s="44" t="str">
        <f t="shared" si="24"/>
        <v/>
      </c>
    </row>
    <row r="295" spans="1:17" x14ac:dyDescent="0.25">
      <c r="A295" s="36" t="str">
        <f t="shared" si="20"/>
        <v/>
      </c>
      <c r="B295" s="35" t="str">
        <f>IFERROR(INDEX(DM_NL!$A$5:$A$304,MATCH(ROW()-10,DM_NL!$G$5:$G$304,0)),"")</f>
        <v/>
      </c>
      <c r="C295" s="35" t="str">
        <f>IF(B295="","",INDEX(DM_NL!$B$5:$B$304,MATCH(B295,DM_NL!$A$5:$A$304,0)))</f>
        <v/>
      </c>
      <c r="D295" s="35" t="str">
        <f>IF(B295="","",INDEX(DM_NL!$C$5:$C$304,MATCH(B295,DM_NL!$A$5:$A$304,0)))</f>
        <v/>
      </c>
      <c r="E295" s="39" t="str">
        <f>IF($B295="","",SUMIFS(Kho_NL!$B$5:$B$304,Kho_NL!$A$5:$A$304,$B295))</f>
        <v/>
      </c>
      <c r="F295" s="39" t="str">
        <f>IF($B295="","",SUMIFS(Kho_NL!$C$5:$C$304,Kho_NL!$A$5:$A$304,$B295))</f>
        <v/>
      </c>
      <c r="G295" s="39" t="str">
        <f>IF($B295="","",SUMIFS(Kho_NL!$D$5:$D$304,Kho_NL!$A$5:$A$304,$B295))</f>
        <v/>
      </c>
      <c r="H295" s="39" t="str">
        <f>IF($B295="","",SUMIFS(Kho_NL!$E$5:$E$304,Kho_NL!$A$5:$A$304,$B295))</f>
        <v/>
      </c>
      <c r="I295" s="39" t="str">
        <f>IF($B295="","",SUMIFS(Kho_NL!$F$5:$F$304,Kho_NL!$A$5:$A$304,$B295))</f>
        <v/>
      </c>
      <c r="J295" s="39" t="str">
        <f>IF($B295="","",SUMIFS(Kho_NL!$G$5:$G$304,Kho_NL!$A$5:$A$304,$B295))</f>
        <v/>
      </c>
      <c r="K295" s="39" t="str">
        <f t="shared" si="21"/>
        <v/>
      </c>
      <c r="L295" s="31" t="str">
        <f>IF($B295="","",IFERROR(INDEX(Kho_NL!$I$5:$I$304,MATCH(B295,Kho_NL!$A$5:$A$304,0))&amp;"",""))</f>
        <v/>
      </c>
      <c r="M295" s="44" t="str">
        <f>IF($B295="","",SUMIFS(Kho_NL!$H$5:$H$304,Kho_NL!$A$5:$A$304,$B295))</f>
        <v/>
      </c>
      <c r="N295" s="44" t="str">
        <f t="shared" si="22"/>
        <v/>
      </c>
      <c r="O295" s="45" t="str">
        <f t="shared" si="23"/>
        <v/>
      </c>
      <c r="P295" s="44" t="str">
        <f>IF($B295="","",SUMIFS(TK_Nhap!$E$5:$E$1004,TK_Nhap!$D$5:$D$1004,$B295,TK_Nhap!$H$5:$H$1004,1))</f>
        <v/>
      </c>
      <c r="Q295" s="44" t="str">
        <f t="shared" si="24"/>
        <v/>
      </c>
    </row>
    <row r="296" spans="1:17" x14ac:dyDescent="0.25">
      <c r="A296" s="36" t="str">
        <f t="shared" si="20"/>
        <v/>
      </c>
      <c r="B296" s="35" t="str">
        <f>IFERROR(INDEX(DM_NL!$A$5:$A$304,MATCH(ROW()-10,DM_NL!$G$5:$G$304,0)),"")</f>
        <v/>
      </c>
      <c r="C296" s="35" t="str">
        <f>IF(B296="","",INDEX(DM_NL!$B$5:$B$304,MATCH(B296,DM_NL!$A$5:$A$304,0)))</f>
        <v/>
      </c>
      <c r="D296" s="35" t="str">
        <f>IF(B296="","",INDEX(DM_NL!$C$5:$C$304,MATCH(B296,DM_NL!$A$5:$A$304,0)))</f>
        <v/>
      </c>
      <c r="E296" s="39" t="str">
        <f>IF($B296="","",SUMIFS(Kho_NL!$B$5:$B$304,Kho_NL!$A$5:$A$304,$B296))</f>
        <v/>
      </c>
      <c r="F296" s="39" t="str">
        <f>IF($B296="","",SUMIFS(Kho_NL!$C$5:$C$304,Kho_NL!$A$5:$A$304,$B296))</f>
        <v/>
      </c>
      <c r="G296" s="39" t="str">
        <f>IF($B296="","",SUMIFS(Kho_NL!$D$5:$D$304,Kho_NL!$A$5:$A$304,$B296))</f>
        <v/>
      </c>
      <c r="H296" s="39" t="str">
        <f>IF($B296="","",SUMIFS(Kho_NL!$E$5:$E$304,Kho_NL!$A$5:$A$304,$B296))</f>
        <v/>
      </c>
      <c r="I296" s="39" t="str">
        <f>IF($B296="","",SUMIFS(Kho_NL!$F$5:$F$304,Kho_NL!$A$5:$A$304,$B296))</f>
        <v/>
      </c>
      <c r="J296" s="39" t="str">
        <f>IF($B296="","",SUMIFS(Kho_NL!$G$5:$G$304,Kho_NL!$A$5:$A$304,$B296))</f>
        <v/>
      </c>
      <c r="K296" s="39" t="str">
        <f t="shared" si="21"/>
        <v/>
      </c>
      <c r="L296" s="31" t="str">
        <f>IF($B296="","",IFERROR(INDEX(Kho_NL!$I$5:$I$304,MATCH(B296,Kho_NL!$A$5:$A$304,0))&amp;"",""))</f>
        <v/>
      </c>
      <c r="M296" s="44" t="str">
        <f>IF($B296="","",SUMIFS(Kho_NL!$H$5:$H$304,Kho_NL!$A$5:$A$304,$B296))</f>
        <v/>
      </c>
      <c r="N296" s="44" t="str">
        <f t="shared" si="22"/>
        <v/>
      </c>
      <c r="O296" s="45" t="str">
        <f t="shared" si="23"/>
        <v/>
      </c>
      <c r="P296" s="44" t="str">
        <f>IF($B296="","",SUMIFS(TK_Nhap!$E$5:$E$1004,TK_Nhap!$D$5:$D$1004,$B296,TK_Nhap!$H$5:$H$1004,1))</f>
        <v/>
      </c>
      <c r="Q296" s="44" t="str">
        <f t="shared" si="24"/>
        <v/>
      </c>
    </row>
    <row r="297" spans="1:17" x14ac:dyDescent="0.25">
      <c r="A297" s="36" t="str">
        <f t="shared" si="20"/>
        <v/>
      </c>
      <c r="B297" s="35" t="str">
        <f>IFERROR(INDEX(DM_NL!$A$5:$A$304,MATCH(ROW()-10,DM_NL!$G$5:$G$304,0)),"")</f>
        <v/>
      </c>
      <c r="C297" s="35" t="str">
        <f>IF(B297="","",INDEX(DM_NL!$B$5:$B$304,MATCH(B297,DM_NL!$A$5:$A$304,0)))</f>
        <v/>
      </c>
      <c r="D297" s="35" t="str">
        <f>IF(B297="","",INDEX(DM_NL!$C$5:$C$304,MATCH(B297,DM_NL!$A$5:$A$304,0)))</f>
        <v/>
      </c>
      <c r="E297" s="39" t="str">
        <f>IF($B297="","",SUMIFS(Kho_NL!$B$5:$B$304,Kho_NL!$A$5:$A$304,$B297))</f>
        <v/>
      </c>
      <c r="F297" s="39" t="str">
        <f>IF($B297="","",SUMIFS(Kho_NL!$C$5:$C$304,Kho_NL!$A$5:$A$304,$B297))</f>
        <v/>
      </c>
      <c r="G297" s="39" t="str">
        <f>IF($B297="","",SUMIFS(Kho_NL!$D$5:$D$304,Kho_NL!$A$5:$A$304,$B297))</f>
        <v/>
      </c>
      <c r="H297" s="39" t="str">
        <f>IF($B297="","",SUMIFS(Kho_NL!$E$5:$E$304,Kho_NL!$A$5:$A$304,$B297))</f>
        <v/>
      </c>
      <c r="I297" s="39" t="str">
        <f>IF($B297="","",SUMIFS(Kho_NL!$F$5:$F$304,Kho_NL!$A$5:$A$304,$B297))</f>
        <v/>
      </c>
      <c r="J297" s="39" t="str">
        <f>IF($B297="","",SUMIFS(Kho_NL!$G$5:$G$304,Kho_NL!$A$5:$A$304,$B297))</f>
        <v/>
      </c>
      <c r="K297" s="39" t="str">
        <f t="shared" si="21"/>
        <v/>
      </c>
      <c r="L297" s="31" t="str">
        <f>IF($B297="","",IFERROR(INDEX(Kho_NL!$I$5:$I$304,MATCH(B297,Kho_NL!$A$5:$A$304,0))&amp;"",""))</f>
        <v/>
      </c>
      <c r="M297" s="44" t="str">
        <f>IF($B297="","",SUMIFS(Kho_NL!$H$5:$H$304,Kho_NL!$A$5:$A$304,$B297))</f>
        <v/>
      </c>
      <c r="N297" s="44" t="str">
        <f t="shared" si="22"/>
        <v/>
      </c>
      <c r="O297" s="45" t="str">
        <f t="shared" si="23"/>
        <v/>
      </c>
      <c r="P297" s="44" t="str">
        <f>IF($B297="","",SUMIFS(TK_Nhap!$E$5:$E$1004,TK_Nhap!$D$5:$D$1004,$B297,TK_Nhap!$H$5:$H$1004,1))</f>
        <v/>
      </c>
      <c r="Q297" s="44" t="str">
        <f t="shared" si="24"/>
        <v/>
      </c>
    </row>
    <row r="298" spans="1:17" x14ac:dyDescent="0.25">
      <c r="A298" s="36" t="str">
        <f t="shared" si="20"/>
        <v/>
      </c>
      <c r="B298" s="35" t="str">
        <f>IFERROR(INDEX(DM_NL!$A$5:$A$304,MATCH(ROW()-10,DM_NL!$G$5:$G$304,0)),"")</f>
        <v/>
      </c>
      <c r="C298" s="35" t="str">
        <f>IF(B298="","",INDEX(DM_NL!$B$5:$B$304,MATCH(B298,DM_NL!$A$5:$A$304,0)))</f>
        <v/>
      </c>
      <c r="D298" s="35" t="str">
        <f>IF(B298="","",INDEX(DM_NL!$C$5:$C$304,MATCH(B298,DM_NL!$A$5:$A$304,0)))</f>
        <v/>
      </c>
      <c r="E298" s="39" t="str">
        <f>IF($B298="","",SUMIFS(Kho_NL!$B$5:$B$304,Kho_NL!$A$5:$A$304,$B298))</f>
        <v/>
      </c>
      <c r="F298" s="39" t="str">
        <f>IF($B298="","",SUMIFS(Kho_NL!$C$5:$C$304,Kho_NL!$A$5:$A$304,$B298))</f>
        <v/>
      </c>
      <c r="G298" s="39" t="str">
        <f>IF($B298="","",SUMIFS(Kho_NL!$D$5:$D$304,Kho_NL!$A$5:$A$304,$B298))</f>
        <v/>
      </c>
      <c r="H298" s="39" t="str">
        <f>IF($B298="","",SUMIFS(Kho_NL!$E$5:$E$304,Kho_NL!$A$5:$A$304,$B298))</f>
        <v/>
      </c>
      <c r="I298" s="39" t="str">
        <f>IF($B298="","",SUMIFS(Kho_NL!$F$5:$F$304,Kho_NL!$A$5:$A$304,$B298))</f>
        <v/>
      </c>
      <c r="J298" s="39" t="str">
        <f>IF($B298="","",SUMIFS(Kho_NL!$G$5:$G$304,Kho_NL!$A$5:$A$304,$B298))</f>
        <v/>
      </c>
      <c r="K298" s="39" t="str">
        <f t="shared" si="21"/>
        <v/>
      </c>
      <c r="L298" s="31" t="str">
        <f>IF($B298="","",IFERROR(INDEX(Kho_NL!$I$5:$I$304,MATCH(B298,Kho_NL!$A$5:$A$304,0))&amp;"",""))</f>
        <v/>
      </c>
      <c r="M298" s="44" t="str">
        <f>IF($B298="","",SUMIFS(Kho_NL!$H$5:$H$304,Kho_NL!$A$5:$A$304,$B298))</f>
        <v/>
      </c>
      <c r="N298" s="44" t="str">
        <f t="shared" si="22"/>
        <v/>
      </c>
      <c r="O298" s="45" t="str">
        <f t="shared" si="23"/>
        <v/>
      </c>
      <c r="P298" s="44" t="str">
        <f>IF($B298="","",SUMIFS(TK_Nhap!$E$5:$E$1004,TK_Nhap!$D$5:$D$1004,$B298,TK_Nhap!$H$5:$H$1004,1))</f>
        <v/>
      </c>
      <c r="Q298" s="44" t="str">
        <f t="shared" si="24"/>
        <v/>
      </c>
    </row>
    <row r="299" spans="1:17" x14ac:dyDescent="0.25">
      <c r="A299" s="36" t="str">
        <f t="shared" si="20"/>
        <v/>
      </c>
      <c r="B299" s="35" t="str">
        <f>IFERROR(INDEX(DM_NL!$A$5:$A$304,MATCH(ROW()-10,DM_NL!$G$5:$G$304,0)),"")</f>
        <v/>
      </c>
      <c r="C299" s="35" t="str">
        <f>IF(B299="","",INDEX(DM_NL!$B$5:$B$304,MATCH(B299,DM_NL!$A$5:$A$304,0)))</f>
        <v/>
      </c>
      <c r="D299" s="35" t="str">
        <f>IF(B299="","",INDEX(DM_NL!$C$5:$C$304,MATCH(B299,DM_NL!$A$5:$A$304,0)))</f>
        <v/>
      </c>
      <c r="E299" s="39" t="str">
        <f>IF($B299="","",SUMIFS(Kho_NL!$B$5:$B$304,Kho_NL!$A$5:$A$304,$B299))</f>
        <v/>
      </c>
      <c r="F299" s="39" t="str">
        <f>IF($B299="","",SUMIFS(Kho_NL!$C$5:$C$304,Kho_NL!$A$5:$A$304,$B299))</f>
        <v/>
      </c>
      <c r="G299" s="39" t="str">
        <f>IF($B299="","",SUMIFS(Kho_NL!$D$5:$D$304,Kho_NL!$A$5:$A$304,$B299))</f>
        <v/>
      </c>
      <c r="H299" s="39" t="str">
        <f>IF($B299="","",SUMIFS(Kho_NL!$E$5:$E$304,Kho_NL!$A$5:$A$304,$B299))</f>
        <v/>
      </c>
      <c r="I299" s="39" t="str">
        <f>IF($B299="","",SUMIFS(Kho_NL!$F$5:$F$304,Kho_NL!$A$5:$A$304,$B299))</f>
        <v/>
      </c>
      <c r="J299" s="39" t="str">
        <f>IF($B299="","",SUMIFS(Kho_NL!$G$5:$G$304,Kho_NL!$A$5:$A$304,$B299))</f>
        <v/>
      </c>
      <c r="K299" s="39" t="str">
        <f t="shared" si="21"/>
        <v/>
      </c>
      <c r="L299" s="31" t="str">
        <f>IF($B299="","",IFERROR(INDEX(Kho_NL!$I$5:$I$304,MATCH(B299,Kho_NL!$A$5:$A$304,0))&amp;"",""))</f>
        <v/>
      </c>
      <c r="M299" s="44" t="str">
        <f>IF($B299="","",SUMIFS(Kho_NL!$H$5:$H$304,Kho_NL!$A$5:$A$304,$B299))</f>
        <v/>
      </c>
      <c r="N299" s="44" t="str">
        <f t="shared" si="22"/>
        <v/>
      </c>
      <c r="O299" s="45" t="str">
        <f t="shared" si="23"/>
        <v/>
      </c>
      <c r="P299" s="44" t="str">
        <f>IF($B299="","",SUMIFS(TK_Nhap!$E$5:$E$1004,TK_Nhap!$D$5:$D$1004,$B299,TK_Nhap!$H$5:$H$1004,1))</f>
        <v/>
      </c>
      <c r="Q299" s="44" t="str">
        <f t="shared" si="24"/>
        <v/>
      </c>
    </row>
    <row r="300" spans="1:17" x14ac:dyDescent="0.25">
      <c r="A300" s="36" t="str">
        <f t="shared" si="20"/>
        <v/>
      </c>
      <c r="B300" s="35" t="str">
        <f>IFERROR(INDEX(DM_NL!$A$5:$A$304,MATCH(ROW()-10,DM_NL!$G$5:$G$304,0)),"")</f>
        <v/>
      </c>
      <c r="C300" s="35" t="str">
        <f>IF(B300="","",INDEX(DM_NL!$B$5:$B$304,MATCH(B300,DM_NL!$A$5:$A$304,0)))</f>
        <v/>
      </c>
      <c r="D300" s="35" t="str">
        <f>IF(B300="","",INDEX(DM_NL!$C$5:$C$304,MATCH(B300,DM_NL!$A$5:$A$304,0)))</f>
        <v/>
      </c>
      <c r="E300" s="39" t="str">
        <f>IF($B300="","",SUMIFS(Kho_NL!$B$5:$B$304,Kho_NL!$A$5:$A$304,$B300))</f>
        <v/>
      </c>
      <c r="F300" s="39" t="str">
        <f>IF($B300="","",SUMIFS(Kho_NL!$C$5:$C$304,Kho_NL!$A$5:$A$304,$B300))</f>
        <v/>
      </c>
      <c r="G300" s="39" t="str">
        <f>IF($B300="","",SUMIFS(Kho_NL!$D$5:$D$304,Kho_NL!$A$5:$A$304,$B300))</f>
        <v/>
      </c>
      <c r="H300" s="39" t="str">
        <f>IF($B300="","",SUMIFS(Kho_NL!$E$5:$E$304,Kho_NL!$A$5:$A$304,$B300))</f>
        <v/>
      </c>
      <c r="I300" s="39" t="str">
        <f>IF($B300="","",SUMIFS(Kho_NL!$F$5:$F$304,Kho_NL!$A$5:$A$304,$B300))</f>
        <v/>
      </c>
      <c r="J300" s="39" t="str">
        <f>IF($B300="","",SUMIFS(Kho_NL!$G$5:$G$304,Kho_NL!$A$5:$A$304,$B300))</f>
        <v/>
      </c>
      <c r="K300" s="39" t="str">
        <f t="shared" si="21"/>
        <v/>
      </c>
      <c r="L300" s="31" t="str">
        <f>IF($B300="","",IFERROR(INDEX(Kho_NL!$I$5:$I$304,MATCH(B300,Kho_NL!$A$5:$A$304,0))&amp;"",""))</f>
        <v/>
      </c>
      <c r="M300" s="44" t="str">
        <f>IF($B300="","",SUMIFS(Kho_NL!$H$5:$H$304,Kho_NL!$A$5:$A$304,$B300))</f>
        <v/>
      </c>
      <c r="N300" s="44" t="str">
        <f t="shared" si="22"/>
        <v/>
      </c>
      <c r="O300" s="45" t="str">
        <f t="shared" si="23"/>
        <v/>
      </c>
      <c r="P300" s="44" t="str">
        <f>IF($B300="","",SUMIFS(TK_Nhap!$E$5:$E$1004,TK_Nhap!$D$5:$D$1004,$B300,TK_Nhap!$H$5:$H$1004,1))</f>
        <v/>
      </c>
      <c r="Q300" s="44" t="str">
        <f t="shared" si="24"/>
        <v/>
      </c>
    </row>
    <row r="301" spans="1:17" x14ac:dyDescent="0.25">
      <c r="A301" s="36" t="str">
        <f t="shared" si="20"/>
        <v/>
      </c>
      <c r="B301" s="35" t="str">
        <f>IFERROR(INDEX(DM_NL!$A$5:$A$304,MATCH(ROW()-10,DM_NL!$G$5:$G$304,0)),"")</f>
        <v/>
      </c>
      <c r="C301" s="35" t="str">
        <f>IF(B301="","",INDEX(DM_NL!$B$5:$B$304,MATCH(B301,DM_NL!$A$5:$A$304,0)))</f>
        <v/>
      </c>
      <c r="D301" s="35" t="str">
        <f>IF(B301="","",INDEX(DM_NL!$C$5:$C$304,MATCH(B301,DM_NL!$A$5:$A$304,0)))</f>
        <v/>
      </c>
      <c r="E301" s="39" t="str">
        <f>IF($B301="","",SUMIFS(Kho_NL!$B$5:$B$304,Kho_NL!$A$5:$A$304,$B301))</f>
        <v/>
      </c>
      <c r="F301" s="39" t="str">
        <f>IF($B301="","",SUMIFS(Kho_NL!$C$5:$C$304,Kho_NL!$A$5:$A$304,$B301))</f>
        <v/>
      </c>
      <c r="G301" s="39" t="str">
        <f>IF($B301="","",SUMIFS(Kho_NL!$D$5:$D$304,Kho_NL!$A$5:$A$304,$B301))</f>
        <v/>
      </c>
      <c r="H301" s="39" t="str">
        <f>IF($B301="","",SUMIFS(Kho_NL!$E$5:$E$304,Kho_NL!$A$5:$A$304,$B301))</f>
        <v/>
      </c>
      <c r="I301" s="39" t="str">
        <f>IF($B301="","",SUMIFS(Kho_NL!$F$5:$F$304,Kho_NL!$A$5:$A$304,$B301))</f>
        <v/>
      </c>
      <c r="J301" s="39" t="str">
        <f>IF($B301="","",SUMIFS(Kho_NL!$G$5:$G$304,Kho_NL!$A$5:$A$304,$B301))</f>
        <v/>
      </c>
      <c r="K301" s="39" t="str">
        <f t="shared" si="21"/>
        <v/>
      </c>
      <c r="L301" s="31" t="str">
        <f>IF($B301="","",IFERROR(INDEX(Kho_NL!$I$5:$I$304,MATCH(B301,Kho_NL!$A$5:$A$304,0))&amp;"",""))</f>
        <v/>
      </c>
      <c r="M301" s="44" t="str">
        <f>IF($B301="","",SUMIFS(Kho_NL!$H$5:$H$304,Kho_NL!$A$5:$A$304,$B301))</f>
        <v/>
      </c>
      <c r="N301" s="44" t="str">
        <f t="shared" si="22"/>
        <v/>
      </c>
      <c r="O301" s="45" t="str">
        <f t="shared" si="23"/>
        <v/>
      </c>
      <c r="P301" s="44" t="str">
        <f>IF($B301="","",SUMIFS(TK_Nhap!$E$5:$E$1004,TK_Nhap!$D$5:$D$1004,$B301,TK_Nhap!$H$5:$H$1004,1))</f>
        <v/>
      </c>
      <c r="Q301" s="44" t="str">
        <f t="shared" si="24"/>
        <v/>
      </c>
    </row>
    <row r="302" spans="1:17" x14ac:dyDescent="0.25">
      <c r="A302" s="36" t="str">
        <f t="shared" si="20"/>
        <v/>
      </c>
      <c r="B302" s="35" t="str">
        <f>IFERROR(INDEX(DM_NL!$A$5:$A$304,MATCH(ROW()-10,DM_NL!$G$5:$G$304,0)),"")</f>
        <v/>
      </c>
      <c r="C302" s="35" t="str">
        <f>IF(B302="","",INDEX(DM_NL!$B$5:$B$304,MATCH(B302,DM_NL!$A$5:$A$304,0)))</f>
        <v/>
      </c>
      <c r="D302" s="35" t="str">
        <f>IF(B302="","",INDEX(DM_NL!$C$5:$C$304,MATCH(B302,DM_NL!$A$5:$A$304,0)))</f>
        <v/>
      </c>
      <c r="E302" s="39" t="str">
        <f>IF($B302="","",SUMIFS(Kho_NL!$B$5:$B$304,Kho_NL!$A$5:$A$304,$B302))</f>
        <v/>
      </c>
      <c r="F302" s="39" t="str">
        <f>IF($B302="","",SUMIFS(Kho_NL!$C$5:$C$304,Kho_NL!$A$5:$A$304,$B302))</f>
        <v/>
      </c>
      <c r="G302" s="39" t="str">
        <f>IF($B302="","",SUMIFS(Kho_NL!$D$5:$D$304,Kho_NL!$A$5:$A$304,$B302))</f>
        <v/>
      </c>
      <c r="H302" s="39" t="str">
        <f>IF($B302="","",SUMIFS(Kho_NL!$E$5:$E$304,Kho_NL!$A$5:$A$304,$B302))</f>
        <v/>
      </c>
      <c r="I302" s="39" t="str">
        <f>IF($B302="","",SUMIFS(Kho_NL!$F$5:$F$304,Kho_NL!$A$5:$A$304,$B302))</f>
        <v/>
      </c>
      <c r="J302" s="39" t="str">
        <f>IF($B302="","",SUMIFS(Kho_NL!$G$5:$G$304,Kho_NL!$A$5:$A$304,$B302))</f>
        <v/>
      </c>
      <c r="K302" s="39" t="str">
        <f t="shared" si="21"/>
        <v/>
      </c>
      <c r="L302" s="31" t="str">
        <f>IF($B302="","",IFERROR(INDEX(Kho_NL!$I$5:$I$304,MATCH(B302,Kho_NL!$A$5:$A$304,0))&amp;"",""))</f>
        <v/>
      </c>
      <c r="M302" s="44" t="str">
        <f>IF($B302="","",SUMIFS(Kho_NL!$H$5:$H$304,Kho_NL!$A$5:$A$304,$B302))</f>
        <v/>
      </c>
      <c r="N302" s="44" t="str">
        <f t="shared" si="22"/>
        <v/>
      </c>
      <c r="O302" s="45" t="str">
        <f t="shared" si="23"/>
        <v/>
      </c>
      <c r="P302" s="44" t="str">
        <f>IF($B302="","",SUMIFS(TK_Nhap!$E$5:$E$1004,TK_Nhap!$D$5:$D$1004,$B302,TK_Nhap!$H$5:$H$1004,1))</f>
        <v/>
      </c>
      <c r="Q302" s="44" t="str">
        <f t="shared" si="24"/>
        <v/>
      </c>
    </row>
    <row r="303" spans="1:17" x14ac:dyDescent="0.25">
      <c r="A303" s="36" t="str">
        <f t="shared" si="20"/>
        <v/>
      </c>
      <c r="B303" s="35" t="str">
        <f>IFERROR(INDEX(DM_NL!$A$5:$A$304,MATCH(ROW()-10,DM_NL!$G$5:$G$304,0)),"")</f>
        <v/>
      </c>
      <c r="C303" s="35" t="str">
        <f>IF(B303="","",INDEX(DM_NL!$B$5:$B$304,MATCH(B303,DM_NL!$A$5:$A$304,0)))</f>
        <v/>
      </c>
      <c r="D303" s="35" t="str">
        <f>IF(B303="","",INDEX(DM_NL!$C$5:$C$304,MATCH(B303,DM_NL!$A$5:$A$304,0)))</f>
        <v/>
      </c>
      <c r="E303" s="39" t="str">
        <f>IF($B303="","",SUMIFS(Kho_NL!$B$5:$B$304,Kho_NL!$A$5:$A$304,$B303))</f>
        <v/>
      </c>
      <c r="F303" s="39" t="str">
        <f>IF($B303="","",SUMIFS(Kho_NL!$C$5:$C$304,Kho_NL!$A$5:$A$304,$B303))</f>
        <v/>
      </c>
      <c r="G303" s="39" t="str">
        <f>IF($B303="","",SUMIFS(Kho_NL!$D$5:$D$304,Kho_NL!$A$5:$A$304,$B303))</f>
        <v/>
      </c>
      <c r="H303" s="39" t="str">
        <f>IF($B303="","",SUMIFS(Kho_NL!$E$5:$E$304,Kho_NL!$A$5:$A$304,$B303))</f>
        <v/>
      </c>
      <c r="I303" s="39" t="str">
        <f>IF($B303="","",SUMIFS(Kho_NL!$F$5:$F$304,Kho_NL!$A$5:$A$304,$B303))</f>
        <v/>
      </c>
      <c r="J303" s="39" t="str">
        <f>IF($B303="","",SUMIFS(Kho_NL!$G$5:$G$304,Kho_NL!$A$5:$A$304,$B303))</f>
        <v/>
      </c>
      <c r="K303" s="39" t="str">
        <f t="shared" si="21"/>
        <v/>
      </c>
      <c r="L303" s="31" t="str">
        <f>IF($B303="","",IFERROR(INDEX(Kho_NL!$I$5:$I$304,MATCH(B303,Kho_NL!$A$5:$A$304,0))&amp;"",""))</f>
        <v/>
      </c>
      <c r="M303" s="44" t="str">
        <f>IF($B303="","",SUMIFS(Kho_NL!$H$5:$H$304,Kho_NL!$A$5:$A$304,$B303))</f>
        <v/>
      </c>
      <c r="N303" s="44" t="str">
        <f t="shared" si="22"/>
        <v/>
      </c>
      <c r="O303" s="45" t="str">
        <f t="shared" si="23"/>
        <v/>
      </c>
      <c r="P303" s="44" t="str">
        <f>IF($B303="","",SUMIFS(TK_Nhap!$E$5:$E$1004,TK_Nhap!$D$5:$D$1004,$B303,TK_Nhap!$H$5:$H$1004,1))</f>
        <v/>
      </c>
      <c r="Q303" s="44" t="str">
        <f t="shared" si="24"/>
        <v/>
      </c>
    </row>
    <row r="304" spans="1:17" x14ac:dyDescent="0.25">
      <c r="A304" s="36" t="str">
        <f t="shared" si="20"/>
        <v/>
      </c>
      <c r="B304" s="35" t="str">
        <f>IFERROR(INDEX(DM_NL!$A$5:$A$304,MATCH(ROW()-10,DM_NL!$G$5:$G$304,0)),"")</f>
        <v/>
      </c>
      <c r="C304" s="35" t="str">
        <f>IF(B304="","",INDEX(DM_NL!$B$5:$B$304,MATCH(B304,DM_NL!$A$5:$A$304,0)))</f>
        <v/>
      </c>
      <c r="D304" s="35" t="str">
        <f>IF(B304="","",INDEX(DM_NL!$C$5:$C$304,MATCH(B304,DM_NL!$A$5:$A$304,0)))</f>
        <v/>
      </c>
      <c r="E304" s="39" t="str">
        <f>IF($B304="","",SUMIFS(Kho_NL!$B$5:$B$304,Kho_NL!$A$5:$A$304,$B304))</f>
        <v/>
      </c>
      <c r="F304" s="39" t="str">
        <f>IF($B304="","",SUMIFS(Kho_NL!$C$5:$C$304,Kho_NL!$A$5:$A$304,$B304))</f>
        <v/>
      </c>
      <c r="G304" s="39" t="str">
        <f>IF($B304="","",SUMIFS(Kho_NL!$D$5:$D$304,Kho_NL!$A$5:$A$304,$B304))</f>
        <v/>
      </c>
      <c r="H304" s="39" t="str">
        <f>IF($B304="","",SUMIFS(Kho_NL!$E$5:$E$304,Kho_NL!$A$5:$A$304,$B304))</f>
        <v/>
      </c>
      <c r="I304" s="39" t="str">
        <f>IF($B304="","",SUMIFS(Kho_NL!$F$5:$F$304,Kho_NL!$A$5:$A$304,$B304))</f>
        <v/>
      </c>
      <c r="J304" s="39" t="str">
        <f>IF($B304="","",SUMIFS(Kho_NL!$G$5:$G$304,Kho_NL!$A$5:$A$304,$B304))</f>
        <v/>
      </c>
      <c r="K304" s="39" t="str">
        <f t="shared" si="21"/>
        <v/>
      </c>
      <c r="L304" s="31" t="str">
        <f>IF($B304="","",IFERROR(INDEX(Kho_NL!$I$5:$I$304,MATCH(B304,Kho_NL!$A$5:$A$304,0))&amp;"",""))</f>
        <v/>
      </c>
      <c r="M304" s="44" t="str">
        <f>IF($B304="","",SUMIFS(Kho_NL!$H$5:$H$304,Kho_NL!$A$5:$A$304,$B304))</f>
        <v/>
      </c>
      <c r="N304" s="44" t="str">
        <f t="shared" si="22"/>
        <v/>
      </c>
      <c r="O304" s="45" t="str">
        <f t="shared" si="23"/>
        <v/>
      </c>
      <c r="P304" s="44" t="str">
        <f>IF($B304="","",SUMIFS(TK_Nhap!$E$5:$E$1004,TK_Nhap!$D$5:$D$1004,$B304,TK_Nhap!$H$5:$H$1004,1))</f>
        <v/>
      </c>
      <c r="Q304" s="44" t="str">
        <f t="shared" si="24"/>
        <v/>
      </c>
    </row>
    <row r="305" spans="1:17" x14ac:dyDescent="0.25">
      <c r="A305" s="36" t="str">
        <f t="shared" si="20"/>
        <v/>
      </c>
      <c r="B305" s="35" t="str">
        <f>IFERROR(INDEX(DM_NL!$A$5:$A$304,MATCH(ROW()-10,DM_NL!$G$5:$G$304,0)),"")</f>
        <v/>
      </c>
      <c r="C305" s="35" t="str">
        <f>IF(B305="","",INDEX(DM_NL!$B$5:$B$304,MATCH(B305,DM_NL!$A$5:$A$304,0)))</f>
        <v/>
      </c>
      <c r="D305" s="35" t="str">
        <f>IF(B305="","",INDEX(DM_NL!$C$5:$C$304,MATCH(B305,DM_NL!$A$5:$A$304,0)))</f>
        <v/>
      </c>
      <c r="E305" s="39" t="str">
        <f>IF($B305="","",SUMIFS(Kho_NL!$B$5:$B$304,Kho_NL!$A$5:$A$304,$B305))</f>
        <v/>
      </c>
      <c r="F305" s="39" t="str">
        <f>IF($B305="","",SUMIFS(Kho_NL!$C$5:$C$304,Kho_NL!$A$5:$A$304,$B305))</f>
        <v/>
      </c>
      <c r="G305" s="39" t="str">
        <f>IF($B305="","",SUMIFS(Kho_NL!$D$5:$D$304,Kho_NL!$A$5:$A$304,$B305))</f>
        <v/>
      </c>
      <c r="H305" s="39" t="str">
        <f>IF($B305="","",SUMIFS(Kho_NL!$E$5:$E$304,Kho_NL!$A$5:$A$304,$B305))</f>
        <v/>
      </c>
      <c r="I305" s="39" t="str">
        <f>IF($B305="","",SUMIFS(Kho_NL!$F$5:$F$304,Kho_NL!$A$5:$A$304,$B305))</f>
        <v/>
      </c>
      <c r="J305" s="39" t="str">
        <f>IF($B305="","",SUMIFS(Kho_NL!$G$5:$G$304,Kho_NL!$A$5:$A$304,$B305))</f>
        <v/>
      </c>
      <c r="K305" s="39" t="str">
        <f t="shared" si="21"/>
        <v/>
      </c>
      <c r="L305" s="31" t="str">
        <f>IF($B305="","",IFERROR(INDEX(Kho_NL!$I$5:$I$304,MATCH(B305,Kho_NL!$A$5:$A$304,0))&amp;"",""))</f>
        <v/>
      </c>
      <c r="M305" s="44" t="str">
        <f>IF($B305="","",SUMIFS(Kho_NL!$H$5:$H$304,Kho_NL!$A$5:$A$304,$B305))</f>
        <v/>
      </c>
      <c r="N305" s="44" t="str">
        <f t="shared" si="22"/>
        <v/>
      </c>
      <c r="O305" s="45" t="str">
        <f t="shared" si="23"/>
        <v/>
      </c>
      <c r="P305" s="44" t="str">
        <f>IF($B305="","",SUMIFS(TK_Nhap!$E$5:$E$1004,TK_Nhap!$D$5:$D$1004,$B305,TK_Nhap!$H$5:$H$1004,1))</f>
        <v/>
      </c>
      <c r="Q305" s="44" t="str">
        <f t="shared" si="24"/>
        <v/>
      </c>
    </row>
    <row r="306" spans="1:17" x14ac:dyDescent="0.25">
      <c r="A306" s="36" t="str">
        <f t="shared" si="20"/>
        <v/>
      </c>
      <c r="B306" s="35" t="str">
        <f>IFERROR(INDEX(DM_NL!$A$5:$A$304,MATCH(ROW()-10,DM_NL!$G$5:$G$304,0)),"")</f>
        <v/>
      </c>
      <c r="C306" s="35" t="str">
        <f>IF(B306="","",INDEX(DM_NL!$B$5:$B$304,MATCH(B306,DM_NL!$A$5:$A$304,0)))</f>
        <v/>
      </c>
      <c r="D306" s="35" t="str">
        <f>IF(B306="","",INDEX(DM_NL!$C$5:$C$304,MATCH(B306,DM_NL!$A$5:$A$304,0)))</f>
        <v/>
      </c>
      <c r="E306" s="39" t="str">
        <f>IF($B306="","",SUMIFS(Kho_NL!$B$5:$B$304,Kho_NL!$A$5:$A$304,$B306))</f>
        <v/>
      </c>
      <c r="F306" s="39" t="str">
        <f>IF($B306="","",SUMIFS(Kho_NL!$C$5:$C$304,Kho_NL!$A$5:$A$304,$B306))</f>
        <v/>
      </c>
      <c r="G306" s="39" t="str">
        <f>IF($B306="","",SUMIFS(Kho_NL!$D$5:$D$304,Kho_NL!$A$5:$A$304,$B306))</f>
        <v/>
      </c>
      <c r="H306" s="39" t="str">
        <f>IF($B306="","",SUMIFS(Kho_NL!$E$5:$E$304,Kho_NL!$A$5:$A$304,$B306))</f>
        <v/>
      </c>
      <c r="I306" s="39" t="str">
        <f>IF($B306="","",SUMIFS(Kho_NL!$F$5:$F$304,Kho_NL!$A$5:$A$304,$B306))</f>
        <v/>
      </c>
      <c r="J306" s="39" t="str">
        <f>IF($B306="","",SUMIFS(Kho_NL!$G$5:$G$304,Kho_NL!$A$5:$A$304,$B306))</f>
        <v/>
      </c>
      <c r="K306" s="39" t="str">
        <f t="shared" si="21"/>
        <v/>
      </c>
      <c r="L306" s="31" t="str">
        <f>IF($B306="","",IFERROR(INDEX(Kho_NL!$I$5:$I$304,MATCH(B306,Kho_NL!$A$5:$A$304,0))&amp;"",""))</f>
        <v/>
      </c>
      <c r="M306" s="44" t="str">
        <f>IF($B306="","",SUMIFS(Kho_NL!$H$5:$H$304,Kho_NL!$A$5:$A$304,$B306))</f>
        <v/>
      </c>
      <c r="N306" s="44" t="str">
        <f t="shared" si="22"/>
        <v/>
      </c>
      <c r="O306" s="45" t="str">
        <f t="shared" si="23"/>
        <v/>
      </c>
      <c r="P306" s="44" t="str">
        <f>IF($B306="","",SUMIFS(TK_Nhap!$E$5:$E$1004,TK_Nhap!$D$5:$D$1004,$B306,TK_Nhap!$H$5:$H$1004,1))</f>
        <v/>
      </c>
      <c r="Q306" s="44" t="str">
        <f t="shared" si="24"/>
        <v/>
      </c>
    </row>
    <row r="307" spans="1:17" x14ac:dyDescent="0.25">
      <c r="A307" s="36" t="str">
        <f t="shared" si="20"/>
        <v/>
      </c>
      <c r="B307" s="35" t="str">
        <f>IFERROR(INDEX(DM_NL!$A$5:$A$304,MATCH(ROW()-10,DM_NL!$G$5:$G$304,0)),"")</f>
        <v/>
      </c>
      <c r="C307" s="35" t="str">
        <f>IF(B307="","",INDEX(DM_NL!$B$5:$B$304,MATCH(B307,DM_NL!$A$5:$A$304,0)))</f>
        <v/>
      </c>
      <c r="D307" s="35" t="str">
        <f>IF(B307="","",INDEX(DM_NL!$C$5:$C$304,MATCH(B307,DM_NL!$A$5:$A$304,0)))</f>
        <v/>
      </c>
      <c r="E307" s="39" t="str">
        <f>IF($B307="","",SUMIFS(Kho_NL!$B$5:$B$304,Kho_NL!$A$5:$A$304,$B307))</f>
        <v/>
      </c>
      <c r="F307" s="39" t="str">
        <f>IF($B307="","",SUMIFS(Kho_NL!$C$5:$C$304,Kho_NL!$A$5:$A$304,$B307))</f>
        <v/>
      </c>
      <c r="G307" s="39" t="str">
        <f>IF($B307="","",SUMIFS(Kho_NL!$D$5:$D$304,Kho_NL!$A$5:$A$304,$B307))</f>
        <v/>
      </c>
      <c r="H307" s="39" t="str">
        <f>IF($B307="","",SUMIFS(Kho_NL!$E$5:$E$304,Kho_NL!$A$5:$A$304,$B307))</f>
        <v/>
      </c>
      <c r="I307" s="39" t="str">
        <f>IF($B307="","",SUMIFS(Kho_NL!$F$5:$F$304,Kho_NL!$A$5:$A$304,$B307))</f>
        <v/>
      </c>
      <c r="J307" s="39" t="str">
        <f>IF($B307="","",SUMIFS(Kho_NL!$G$5:$G$304,Kho_NL!$A$5:$A$304,$B307))</f>
        <v/>
      </c>
      <c r="K307" s="39" t="str">
        <f t="shared" si="21"/>
        <v/>
      </c>
      <c r="L307" s="31" t="str">
        <f>IF($B307="","",IFERROR(INDEX(Kho_NL!$I$5:$I$304,MATCH(B307,Kho_NL!$A$5:$A$304,0))&amp;"",""))</f>
        <v/>
      </c>
      <c r="M307" s="44" t="str">
        <f>IF($B307="","",SUMIFS(Kho_NL!$H$5:$H$304,Kho_NL!$A$5:$A$304,$B307))</f>
        <v/>
      </c>
      <c r="N307" s="44" t="str">
        <f t="shared" si="22"/>
        <v/>
      </c>
      <c r="O307" s="45" t="str">
        <f t="shared" si="23"/>
        <v/>
      </c>
      <c r="P307" s="44" t="str">
        <f>IF($B307="","",SUMIFS(TK_Nhap!$E$5:$E$1004,TK_Nhap!$D$5:$D$1004,$B307,TK_Nhap!$H$5:$H$1004,1))</f>
        <v/>
      </c>
      <c r="Q307" s="44" t="str">
        <f t="shared" si="24"/>
        <v/>
      </c>
    </row>
    <row r="308" spans="1:17" x14ac:dyDescent="0.25">
      <c r="A308" s="36" t="str">
        <f t="shared" si="20"/>
        <v/>
      </c>
      <c r="B308" s="35" t="str">
        <f>IFERROR(INDEX(DM_NL!$A$5:$A$304,MATCH(ROW()-10,DM_NL!$G$5:$G$304,0)),"")</f>
        <v/>
      </c>
      <c r="C308" s="35" t="str">
        <f>IF(B308="","",INDEX(DM_NL!$B$5:$B$304,MATCH(B308,DM_NL!$A$5:$A$304,0)))</f>
        <v/>
      </c>
      <c r="D308" s="35" t="str">
        <f>IF(B308="","",INDEX(DM_NL!$C$5:$C$304,MATCH(B308,DM_NL!$A$5:$A$304,0)))</f>
        <v/>
      </c>
      <c r="E308" s="39" t="str">
        <f>IF($B308="","",SUMIFS(Kho_NL!$B$5:$B$304,Kho_NL!$A$5:$A$304,$B308))</f>
        <v/>
      </c>
      <c r="F308" s="39" t="str">
        <f>IF($B308="","",SUMIFS(Kho_NL!$C$5:$C$304,Kho_NL!$A$5:$A$304,$B308))</f>
        <v/>
      </c>
      <c r="G308" s="39" t="str">
        <f>IF($B308="","",SUMIFS(Kho_NL!$D$5:$D$304,Kho_NL!$A$5:$A$304,$B308))</f>
        <v/>
      </c>
      <c r="H308" s="39" t="str">
        <f>IF($B308="","",SUMIFS(Kho_NL!$E$5:$E$304,Kho_NL!$A$5:$A$304,$B308))</f>
        <v/>
      </c>
      <c r="I308" s="39" t="str">
        <f>IF($B308="","",SUMIFS(Kho_NL!$F$5:$F$304,Kho_NL!$A$5:$A$304,$B308))</f>
        <v/>
      </c>
      <c r="J308" s="39" t="str">
        <f>IF($B308="","",SUMIFS(Kho_NL!$G$5:$G$304,Kho_NL!$A$5:$A$304,$B308))</f>
        <v/>
      </c>
      <c r="K308" s="39" t="str">
        <f t="shared" si="21"/>
        <v/>
      </c>
      <c r="L308" s="31" t="str">
        <f>IF($B308="","",IFERROR(INDEX(Kho_NL!$I$5:$I$304,MATCH(B308,Kho_NL!$A$5:$A$304,0))&amp;"",""))</f>
        <v/>
      </c>
      <c r="M308" s="44" t="str">
        <f>IF($B308="","",SUMIFS(Kho_NL!$H$5:$H$304,Kho_NL!$A$5:$A$304,$B308))</f>
        <v/>
      </c>
      <c r="N308" s="44" t="str">
        <f t="shared" si="22"/>
        <v/>
      </c>
      <c r="O308" s="45" t="str">
        <f t="shared" si="23"/>
        <v/>
      </c>
      <c r="P308" s="44" t="str">
        <f>IF($B308="","",SUMIFS(TK_Nhap!$E$5:$E$1004,TK_Nhap!$D$5:$D$1004,$B308,TK_Nhap!$H$5:$H$1004,1))</f>
        <v/>
      </c>
      <c r="Q308" s="44" t="str">
        <f t="shared" si="24"/>
        <v/>
      </c>
    </row>
    <row r="309" spans="1:17" x14ac:dyDescent="0.25">
      <c r="A309" s="36" t="str">
        <f t="shared" si="20"/>
        <v/>
      </c>
      <c r="B309" s="35" t="str">
        <f>IFERROR(INDEX(DM_NL!$A$5:$A$304,MATCH(ROW()-10,DM_NL!$G$5:$G$304,0)),"")</f>
        <v/>
      </c>
      <c r="C309" s="35" t="str">
        <f>IF(B309="","",INDEX(DM_NL!$B$5:$B$304,MATCH(B309,DM_NL!$A$5:$A$304,0)))</f>
        <v/>
      </c>
      <c r="D309" s="35" t="str">
        <f>IF(B309="","",INDEX(DM_NL!$C$5:$C$304,MATCH(B309,DM_NL!$A$5:$A$304,0)))</f>
        <v/>
      </c>
      <c r="E309" s="39" t="str">
        <f>IF($B309="","",SUMIFS(Kho_NL!$B$5:$B$304,Kho_NL!$A$5:$A$304,$B309))</f>
        <v/>
      </c>
      <c r="F309" s="39" t="str">
        <f>IF($B309="","",SUMIFS(Kho_NL!$C$5:$C$304,Kho_NL!$A$5:$A$304,$B309))</f>
        <v/>
      </c>
      <c r="G309" s="39" t="str">
        <f>IF($B309="","",SUMIFS(Kho_NL!$D$5:$D$304,Kho_NL!$A$5:$A$304,$B309))</f>
        <v/>
      </c>
      <c r="H309" s="39" t="str">
        <f>IF($B309="","",SUMIFS(Kho_NL!$E$5:$E$304,Kho_NL!$A$5:$A$304,$B309))</f>
        <v/>
      </c>
      <c r="I309" s="39" t="str">
        <f>IF($B309="","",SUMIFS(Kho_NL!$F$5:$F$304,Kho_NL!$A$5:$A$304,$B309))</f>
        <v/>
      </c>
      <c r="J309" s="39" t="str">
        <f>IF($B309="","",SUMIFS(Kho_NL!$G$5:$G$304,Kho_NL!$A$5:$A$304,$B309))</f>
        <v/>
      </c>
      <c r="K309" s="39" t="str">
        <f t="shared" si="21"/>
        <v/>
      </c>
      <c r="L309" s="31" t="str">
        <f>IF($B309="","",IFERROR(INDEX(Kho_NL!$I$5:$I$304,MATCH(B309,Kho_NL!$A$5:$A$304,0))&amp;"",""))</f>
        <v/>
      </c>
      <c r="M309" s="44" t="str">
        <f>IF($B309="","",SUMIFS(Kho_NL!$H$5:$H$304,Kho_NL!$A$5:$A$304,$B309))</f>
        <v/>
      </c>
      <c r="N309" s="44" t="str">
        <f t="shared" si="22"/>
        <v/>
      </c>
      <c r="O309" s="45" t="str">
        <f t="shared" si="23"/>
        <v/>
      </c>
      <c r="P309" s="44" t="str">
        <f>IF($B309="","",SUMIFS(TK_Nhap!$E$5:$E$1004,TK_Nhap!$D$5:$D$1004,$B309,TK_Nhap!$H$5:$H$1004,1))</f>
        <v/>
      </c>
      <c r="Q309" s="44" t="str">
        <f t="shared" si="24"/>
        <v/>
      </c>
    </row>
    <row r="310" spans="1:17" x14ac:dyDescent="0.25">
      <c r="A310" s="36" t="str">
        <f t="shared" si="20"/>
        <v/>
      </c>
      <c r="B310" s="35" t="str">
        <f>IFERROR(INDEX(DM_NL!$A$5:$A$304,MATCH(ROW()-10,DM_NL!$G$5:$G$304,0)),"")</f>
        <v/>
      </c>
      <c r="C310" s="35" t="str">
        <f>IF(B310="","",INDEX(DM_NL!$B$5:$B$304,MATCH(B310,DM_NL!$A$5:$A$304,0)))</f>
        <v/>
      </c>
      <c r="D310" s="35" t="str">
        <f>IF(B310="","",INDEX(DM_NL!$C$5:$C$304,MATCH(B310,DM_NL!$A$5:$A$304,0)))</f>
        <v/>
      </c>
      <c r="E310" s="39" t="str">
        <f>IF($B310="","",SUMIFS(Kho_NL!$B$5:$B$304,Kho_NL!$A$5:$A$304,$B310))</f>
        <v/>
      </c>
      <c r="F310" s="39" t="str">
        <f>IF($B310="","",SUMIFS(Kho_NL!$C$5:$C$304,Kho_NL!$A$5:$A$304,$B310))</f>
        <v/>
      </c>
      <c r="G310" s="39" t="str">
        <f>IF($B310="","",SUMIFS(Kho_NL!$D$5:$D$304,Kho_NL!$A$5:$A$304,$B310))</f>
        <v/>
      </c>
      <c r="H310" s="39" t="str">
        <f>IF($B310="","",SUMIFS(Kho_NL!$E$5:$E$304,Kho_NL!$A$5:$A$304,$B310))</f>
        <v/>
      </c>
      <c r="I310" s="39" t="str">
        <f>IF($B310="","",SUMIFS(Kho_NL!$F$5:$F$304,Kho_NL!$A$5:$A$304,$B310))</f>
        <v/>
      </c>
      <c r="J310" s="39" t="str">
        <f>IF($B310="","",SUMIFS(Kho_NL!$G$5:$G$304,Kho_NL!$A$5:$A$304,$B310))</f>
        <v/>
      </c>
      <c r="K310" s="39" t="str">
        <f t="shared" si="21"/>
        <v/>
      </c>
      <c r="L310" s="31" t="str">
        <f>IF($B310="","",IFERROR(INDEX(Kho_NL!$I$5:$I$304,MATCH(B310,Kho_NL!$A$5:$A$304,0))&amp;"",""))</f>
        <v/>
      </c>
      <c r="M310" s="44" t="str">
        <f>IF($B310="","",SUMIFS(Kho_NL!$H$5:$H$304,Kho_NL!$A$5:$A$304,$B310))</f>
        <v/>
      </c>
      <c r="N310" s="44" t="str">
        <f t="shared" si="22"/>
        <v/>
      </c>
      <c r="O310" s="45" t="str">
        <f t="shared" si="23"/>
        <v/>
      </c>
      <c r="P310" s="44" t="str">
        <f>IF($B310="","",SUMIFS(TK_Nhap!$E$5:$E$1004,TK_Nhap!$D$5:$D$1004,$B310,TK_Nhap!$H$5:$H$1004,1))</f>
        <v/>
      </c>
      <c r="Q310" s="44" t="str">
        <f t="shared" si="24"/>
        <v/>
      </c>
    </row>
    <row r="312" spans="1:17" ht="15.05" x14ac:dyDescent="0.3">
      <c r="A312" s="16" t="s">
        <v>326</v>
      </c>
    </row>
    <row r="313" spans="1:17" ht="30.05" customHeight="1" x14ac:dyDescent="0.25">
      <c r="A313" s="58" t="s">
        <v>327</v>
      </c>
      <c r="B313" s="53"/>
      <c r="C313" s="53"/>
      <c r="D313" s="53"/>
      <c r="E313" s="53"/>
      <c r="F313" s="53"/>
      <c r="G313" s="53"/>
      <c r="H313" s="53"/>
      <c r="I313" s="53"/>
      <c r="J313" s="53"/>
      <c r="K313" s="53"/>
      <c r="L313" s="53"/>
    </row>
    <row r="314" spans="1:17" ht="30.05" customHeight="1" x14ac:dyDescent="0.25">
      <c r="A314" s="58" t="s">
        <v>328</v>
      </c>
      <c r="B314" s="53"/>
      <c r="C314" s="53"/>
      <c r="D314" s="53"/>
      <c r="E314" s="53"/>
      <c r="F314" s="53"/>
      <c r="G314" s="53"/>
      <c r="H314" s="53"/>
      <c r="I314" s="53"/>
      <c r="J314" s="53"/>
      <c r="K314" s="53"/>
      <c r="L314" s="53"/>
    </row>
    <row r="316" spans="1:17" x14ac:dyDescent="0.25">
      <c r="A316" s="52" t="s">
        <v>329</v>
      </c>
      <c r="B316" s="53"/>
      <c r="C316" s="53"/>
      <c r="D316" s="53"/>
      <c r="E316" s="53"/>
      <c r="F316" s="53"/>
      <c r="G316" s="52" t="s">
        <v>330</v>
      </c>
      <c r="H316" s="53"/>
      <c r="I316" s="53"/>
      <c r="J316" s="53"/>
      <c r="K316" s="53"/>
      <c r="L316" s="53"/>
    </row>
    <row r="317" spans="1:17" x14ac:dyDescent="0.25">
      <c r="A317" s="56" t="s">
        <v>331</v>
      </c>
      <c r="B317" s="53"/>
      <c r="C317" s="53"/>
      <c r="D317" s="53"/>
      <c r="E317" s="53"/>
      <c r="F317" s="53"/>
      <c r="G317" s="56" t="s">
        <v>332</v>
      </c>
      <c r="H317" s="53"/>
      <c r="I317" s="53"/>
      <c r="J317" s="53"/>
      <c r="K317" s="53"/>
      <c r="L317" s="53"/>
    </row>
    <row r="321" spans="1:12" x14ac:dyDescent="0.25">
      <c r="A321" s="60" t="str">
        <f>ThongTin!$C$13</f>
        <v>Nguyễn Văn A</v>
      </c>
      <c r="B321" s="53"/>
      <c r="C321" s="53"/>
      <c r="D321" s="53"/>
      <c r="E321" s="53"/>
      <c r="F321" s="53"/>
      <c r="G321" s="60" t="str">
        <f>ThongTin!$C$14</f>
        <v>Trần Văn B</v>
      </c>
      <c r="H321" s="53"/>
      <c r="I321" s="53"/>
      <c r="J321" s="53"/>
      <c r="K321" s="53"/>
      <c r="L321" s="53"/>
    </row>
  </sheetData>
  <sheetProtection password="D0B3" sheet="1" objects="1" scenarios="1" formatColumns="0" formatRows="0" autoFilter="0"/>
  <autoFilter ref="A10:L310" xr:uid="{00000000-0009-0000-0000-00000C000000}"/>
  <mergeCells count="23">
    <mergeCell ref="M8:Q8"/>
    <mergeCell ref="H3:L3"/>
    <mergeCell ref="G316:L316"/>
    <mergeCell ref="A6:L6"/>
    <mergeCell ref="A321:F321"/>
    <mergeCell ref="H2:L2"/>
    <mergeCell ref="A8:A9"/>
    <mergeCell ref="C8:C9"/>
    <mergeCell ref="G321:L321"/>
    <mergeCell ref="G8:J8"/>
    <mergeCell ref="K8:K9"/>
    <mergeCell ref="D8:D9"/>
    <mergeCell ref="A314:L314"/>
    <mergeCell ref="A316:F316"/>
    <mergeCell ref="E8:E9"/>
    <mergeCell ref="G317:L317"/>
    <mergeCell ref="A317:F317"/>
    <mergeCell ref="H1:L1"/>
    <mergeCell ref="B8:B9"/>
    <mergeCell ref="F8:F9"/>
    <mergeCell ref="L8:L9"/>
    <mergeCell ref="A313:L313"/>
    <mergeCell ref="A5:L5"/>
  </mergeCells>
  <conditionalFormatting sqref="O11:O310">
    <cfRule type="cellIs" dxfId="67" priority="1" operator="equal">
      <formula>"Pass"</formula>
    </cfRule>
    <cfRule type="cellIs" dxfId="66" priority="2" operator="equal">
      <formula>"Khớp"</formula>
    </cfRule>
    <cfRule type="cellIs" dxfId="65" priority="3" operator="equal">
      <formula>"OK"</formula>
    </cfRule>
    <cfRule type="cellIs" dxfId="64" priority="4" operator="equal">
      <formula>"Xem xét"</formula>
    </cfRule>
    <cfRule type="cellIs" dxfId="63" priority="5" operator="equal">
      <formula>"Lệch"</formula>
    </cfRule>
  </conditionalFormatting>
  <conditionalFormatting sqref="Q11:Q310">
    <cfRule type="cellIs" dxfId="62" priority="6" operator="notEqual">
      <formula>0</formula>
    </cfRule>
  </conditionalFormatting>
  <hyperlinks>
    <hyperlink ref="A4" r:id="rId1" xr:uid="{00000000-0004-0000-0C00-000000000000}"/>
  </hyperlinks>
  <pageMargins left="0.75" right="0.75" top="1" bottom="1" header="0.5" footer="0.5"/>
  <pageSetup paperSize="9" fitToHeight="0" orientation="landscape"/>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5B9BD5"/>
    <pageSetUpPr fitToPage="1"/>
  </sheetPr>
  <dimension ref="A1:Q321"/>
  <sheetViews>
    <sheetView showGridLines="0" workbookViewId="0">
      <pane xSplit="2" ySplit="10" topLeftCell="C11" activePane="bottomRight" state="frozen"/>
      <selection pane="topRight"/>
      <selection pane="bottomLeft"/>
      <selection pane="bottomRight"/>
    </sheetView>
  </sheetViews>
  <sheetFormatPr defaultRowHeight="14.4" x14ac:dyDescent="0.25"/>
  <cols>
    <col min="1" max="1" width="6" customWidth="1"/>
    <col min="2" max="2" width="14" customWidth="1"/>
    <col min="3" max="3" width="28" customWidth="1"/>
    <col min="4" max="4" width="8" customWidth="1"/>
    <col min="5" max="6" width="14" customWidth="1"/>
    <col min="7" max="7" width="13" customWidth="1"/>
    <col min="8" max="8" width="18" customWidth="1"/>
    <col min="9" max="9" width="14" customWidth="1"/>
    <col min="10" max="10" width="11" customWidth="1"/>
    <col min="11" max="11" width="16" customWidth="1"/>
    <col min="12" max="12" width="34" customWidth="1"/>
    <col min="13" max="13" width="14" customWidth="1"/>
    <col min="14" max="14" width="13" customWidth="1"/>
    <col min="15" max="15" width="10" customWidth="1"/>
    <col min="16" max="16" width="15" customWidth="1"/>
    <col min="17" max="17" width="14" customWidth="1"/>
  </cols>
  <sheetData>
    <row r="1" spans="1:17" x14ac:dyDescent="0.25">
      <c r="A1" s="43" t="str">
        <f>"Tên tổ chức, cá nhân: "&amp;ThongTin!$C$4</f>
        <v>Tên tổ chức, cá nhân: Công ty TNHH ABC Việt Nam (dữ liệu mẫu)</v>
      </c>
      <c r="H1" s="57" t="s">
        <v>333</v>
      </c>
      <c r="I1" s="53"/>
      <c r="J1" s="53"/>
      <c r="K1" s="53"/>
      <c r="L1" s="53"/>
    </row>
    <row r="2" spans="1:17" x14ac:dyDescent="0.25">
      <c r="A2" s="43" t="str">
        <f>"Địa chỉ: "&amp;ThongTin!$C$5</f>
        <v>Địa chỉ: Lô A1, KCN ..., tỉnh ...</v>
      </c>
      <c r="H2" s="52" t="s">
        <v>295</v>
      </c>
      <c r="I2" s="53"/>
      <c r="J2" s="53"/>
      <c r="K2" s="53"/>
      <c r="L2" s="53"/>
    </row>
    <row r="3" spans="1:17" x14ac:dyDescent="0.25">
      <c r="A3" s="43" t="str">
        <f>"Mã số thuế: "&amp;ThongTin!$C$6</f>
        <v>Mã số thuế: 0123456789</v>
      </c>
      <c r="H3" s="64" t="s">
        <v>296</v>
      </c>
      <c r="I3" s="53"/>
      <c r="J3" s="53"/>
      <c r="K3" s="53"/>
      <c r="L3" s="53"/>
    </row>
    <row r="4" spans="1:17" x14ac:dyDescent="0.25">
      <c r="A4" s="28" t="s">
        <v>4</v>
      </c>
    </row>
    <row r="5" spans="1:17" ht="40.1" customHeight="1" x14ac:dyDescent="0.25">
      <c r="A5" s="59" t="str">
        <f>"BÁO CÁO QUYẾT TOÁN NHẬP - XUẤT - TỒN KHO SẢN PHẨM XUẤT KHẨU ĐƯỢC SẢN XUẤT TỪ NGUYÊN LIỆU, VẬT TƯ NHẬP KHẨU LOẠI HÌNH "&amp;UPPER(ThongTin!$C$15)</f>
        <v>BÁO CÁO QUYẾT TOÁN NHẬP - XUẤT - TỒN KHO SẢN PHẨM XUẤT KHẨU ĐƯỢC SẢN XUẤT TỪ NGUYÊN LIỆU, VẬT TƯ NHẬP KHẨU LOẠI HÌNH SẢN XUẤT XUẤT KHẨU</v>
      </c>
      <c r="B5" s="53"/>
      <c r="C5" s="53"/>
      <c r="D5" s="53"/>
      <c r="E5" s="53"/>
      <c r="F5" s="53"/>
      <c r="G5" s="53"/>
      <c r="H5" s="53"/>
      <c r="I5" s="53"/>
      <c r="J5" s="53"/>
      <c r="K5" s="53"/>
      <c r="L5" s="53"/>
    </row>
    <row r="6" spans="1:17" x14ac:dyDescent="0.25">
      <c r="A6" s="65" t="str">
        <f>"Kỳ báo cáo: Từ ngày "&amp;TEXT(ThongTin!$C$9,"dd/mm/yyyy")&amp;" đến ngày "&amp;TEXT(ThongTin!$C$10,"dd/mm/yyyy")</f>
        <v>Kỳ báo cáo: Từ ngày 01/01/2025 đến ngày 31/12/2025</v>
      </c>
      <c r="B6" s="53"/>
      <c r="C6" s="53"/>
      <c r="D6" s="53"/>
      <c r="E6" s="53"/>
      <c r="F6" s="53"/>
      <c r="G6" s="53"/>
      <c r="H6" s="53"/>
      <c r="I6" s="53"/>
      <c r="J6" s="53"/>
      <c r="K6" s="53"/>
      <c r="L6" s="53"/>
    </row>
    <row r="7" spans="1:17" x14ac:dyDescent="0.25">
      <c r="M7" s="9" t="s">
        <v>297</v>
      </c>
      <c r="N7" s="43" t="str">
        <f>COUNTIF(O11:O310,"Khớp")&amp;"/"&amp;COUNT(A11:A310)</f>
        <v>3/3</v>
      </c>
    </row>
    <row r="8" spans="1:17" ht="36" customHeight="1" x14ac:dyDescent="0.25">
      <c r="A8" s="54" t="s">
        <v>334</v>
      </c>
      <c r="B8" s="54" t="s">
        <v>335</v>
      </c>
      <c r="C8" s="54" t="s">
        <v>336</v>
      </c>
      <c r="D8" s="54" t="s">
        <v>53</v>
      </c>
      <c r="E8" s="54" t="s">
        <v>337</v>
      </c>
      <c r="F8" s="54" t="s">
        <v>338</v>
      </c>
      <c r="G8" s="62"/>
      <c r="H8" s="54" t="s">
        <v>339</v>
      </c>
      <c r="I8" s="61"/>
      <c r="J8" s="62"/>
      <c r="K8" s="54" t="s">
        <v>340</v>
      </c>
      <c r="L8" s="54" t="s">
        <v>242</v>
      </c>
      <c r="M8" s="63" t="s">
        <v>304</v>
      </c>
      <c r="N8" s="61"/>
      <c r="O8" s="61"/>
      <c r="P8" s="61"/>
      <c r="Q8" s="62"/>
    </row>
    <row r="9" spans="1:17" ht="80" customHeight="1" x14ac:dyDescent="0.25">
      <c r="A9" s="55"/>
      <c r="B9" s="55"/>
      <c r="C9" s="55"/>
      <c r="D9" s="55"/>
      <c r="E9" s="55"/>
      <c r="F9" s="13" t="s">
        <v>341</v>
      </c>
      <c r="G9" s="13" t="s">
        <v>342</v>
      </c>
      <c r="H9" s="13" t="s">
        <v>343</v>
      </c>
      <c r="I9" s="13" t="s">
        <v>344</v>
      </c>
      <c r="J9" s="13" t="s">
        <v>308</v>
      </c>
      <c r="K9" s="55"/>
      <c r="L9" s="55"/>
      <c r="M9" s="12" t="s">
        <v>345</v>
      </c>
      <c r="N9" s="12" t="s">
        <v>346</v>
      </c>
      <c r="O9" s="12" t="s">
        <v>311</v>
      </c>
      <c r="P9" s="12" t="s">
        <v>347</v>
      </c>
      <c r="Q9" s="12" t="s">
        <v>348</v>
      </c>
    </row>
    <row r="10" spans="1:17" ht="30.05" customHeight="1" x14ac:dyDescent="0.25">
      <c r="A10" s="15" t="s">
        <v>314</v>
      </c>
      <c r="B10" s="15" t="s">
        <v>315</v>
      </c>
      <c r="C10" s="15" t="s">
        <v>316</v>
      </c>
      <c r="D10" s="15" t="s">
        <v>317</v>
      </c>
      <c r="E10" s="15" t="s">
        <v>318</v>
      </c>
      <c r="F10" s="15" t="s">
        <v>319</v>
      </c>
      <c r="G10" s="15" t="s">
        <v>320</v>
      </c>
      <c r="H10" s="15" t="s">
        <v>321</v>
      </c>
      <c r="I10" s="15" t="s">
        <v>322</v>
      </c>
      <c r="J10" s="15" t="s">
        <v>323</v>
      </c>
      <c r="K10" s="15" t="s">
        <v>349</v>
      </c>
      <c r="L10" s="15" t="s">
        <v>325</v>
      </c>
      <c r="M10" s="14"/>
      <c r="N10" s="14"/>
      <c r="O10" s="14"/>
      <c r="P10" s="14"/>
      <c r="Q10" s="14"/>
    </row>
    <row r="11" spans="1:17" x14ac:dyDescent="0.25">
      <c r="A11" s="36">
        <f t="shared" ref="A11:A74" si="0">IF(B11="","",ROW()-10)</f>
        <v>1</v>
      </c>
      <c r="B11" s="35" t="str">
        <f>IF(DM_SP!A5="","",DM_SP!A5)</f>
        <v>AO01</v>
      </c>
      <c r="C11" s="35" t="str">
        <f>IF(B11="","",DM_SP!B5)</f>
        <v>Áo jacket nam</v>
      </c>
      <c r="D11" s="35" t="str">
        <f>IF(B11="","",DM_SP!C5)</f>
        <v>PCE</v>
      </c>
      <c r="E11" s="39">
        <f>IF($B11="","",SUMIFS(Kho_SP!$B$5:$B$304,Kho_SP!$A$5:$A$304,$B11))</f>
        <v>500</v>
      </c>
      <c r="F11" s="39">
        <f>IF($B11="","",SUMIFS(Kho_SP!$C$5:$C$304,Kho_SP!$A$5:$A$304,$B11))</f>
        <v>10000</v>
      </c>
      <c r="G11" s="39">
        <f>IF($B11="","",SUMIFS(Kho_SP!$D$5:$D$304,Kho_SP!$A$5:$A$304,$B11))</f>
        <v>30</v>
      </c>
      <c r="H11" s="39">
        <f>IF($B11="","",SUMIFS(Kho_SP!$E$5:$E$304,Kho_SP!$A$5:$A$304,$B11))</f>
        <v>50</v>
      </c>
      <c r="I11" s="39">
        <f>IF($B11="","",SUMIFS(Kho_SP!$F$5:$F$304,Kho_SP!$A$5:$A$304,$B11))</f>
        <v>9800</v>
      </c>
      <c r="J11" s="39">
        <f>IF($B11="","",SUMIFS(Kho_SP!$G$5:$G$304,Kho_SP!$A$5:$A$304,$B11))</f>
        <v>0</v>
      </c>
      <c r="K11" s="39">
        <f t="shared" ref="K11:K74" si="1">IF($B11="","",E11+F11+G11-H11-I11-J11)</f>
        <v>680</v>
      </c>
      <c r="L11" s="31" t="str">
        <f>IF($B11="","",IFERROR(INDEX(Kho_SP!$I$5:$I$304,MATCH(B11,Kho_SP!$A$5:$A$304,0))&amp;"",""))</f>
        <v>Tái nhập 30 áo – TK 10300000xxxx; tiêu hủy 50 áo lỗi</v>
      </c>
      <c r="M11" s="44">
        <f>IF($B11="","",SUMIFS(Kho_SP!$H$5:$H$304,Kho_SP!$A$5:$A$304,$B11))</f>
        <v>680</v>
      </c>
      <c r="N11" s="44">
        <f t="shared" ref="N11:N74" si="2">IF($B11="","",K11-M11)</f>
        <v>0</v>
      </c>
      <c r="O11" s="45" t="str">
        <f t="shared" ref="O11:O74" si="3">IF($B11="","",IF(ABS(N11)&lt;0.000001,"Khớp","Lệch"))</f>
        <v>Khớp</v>
      </c>
      <c r="P11" s="44">
        <f>IF($B11="","",SUMIFS(TK_Xuat!$E$5:$E$1004,TK_Xuat!$D$5:$D$1004,$B11,TK_Xuat!$H$5:$H$1004,1))</f>
        <v>9800</v>
      </c>
      <c r="Q11" s="44">
        <f t="shared" ref="Q11:Q74" si="4">IF($B11="","",I11-P11)</f>
        <v>0</v>
      </c>
    </row>
    <row r="12" spans="1:17" x14ac:dyDescent="0.25">
      <c r="A12" s="36">
        <f t="shared" si="0"/>
        <v>2</v>
      </c>
      <c r="B12" s="35" t="str">
        <f>IF(DM_SP!A6="","",DM_SP!A6)</f>
        <v>QUAN01</v>
      </c>
      <c r="C12" s="35" t="str">
        <f>IF(B12="","",DM_SP!B6)</f>
        <v>Quần dài nam</v>
      </c>
      <c r="D12" s="35" t="str">
        <f>IF(B12="","",DM_SP!C6)</f>
        <v>PCE</v>
      </c>
      <c r="E12" s="39">
        <f>IF($B12="","",SUMIFS(Kho_SP!$B$5:$B$304,Kho_SP!$A$5:$A$304,$B12))</f>
        <v>300</v>
      </c>
      <c r="F12" s="39">
        <f>IF($B12="","",SUMIFS(Kho_SP!$C$5:$C$304,Kho_SP!$A$5:$A$304,$B12))</f>
        <v>8000</v>
      </c>
      <c r="G12" s="39">
        <f>IF($B12="","",SUMIFS(Kho_SP!$D$5:$D$304,Kho_SP!$A$5:$A$304,$B12))</f>
        <v>0</v>
      </c>
      <c r="H12" s="39">
        <f>IF($B12="","",SUMIFS(Kho_SP!$E$5:$E$304,Kho_SP!$A$5:$A$304,$B12))</f>
        <v>0</v>
      </c>
      <c r="I12" s="39">
        <f>IF($B12="","",SUMIFS(Kho_SP!$F$5:$F$304,Kho_SP!$A$5:$A$304,$B12))</f>
        <v>7900</v>
      </c>
      <c r="J12" s="39">
        <f>IF($B12="","",SUMIFS(Kho_SP!$G$5:$G$304,Kho_SP!$A$5:$A$304,$B12))</f>
        <v>0</v>
      </c>
      <c r="K12" s="39">
        <f t="shared" si="1"/>
        <v>400</v>
      </c>
      <c r="L12" s="31" t="str">
        <f>IF($B12="","",IFERROR(INDEX(Kho_SP!$I$5:$I$304,MATCH(B12,Kho_SP!$A$5:$A$304,0))&amp;"",""))</f>
        <v/>
      </c>
      <c r="M12" s="44">
        <f>IF($B12="","",SUMIFS(Kho_SP!$H$5:$H$304,Kho_SP!$A$5:$A$304,$B12))</f>
        <v>400</v>
      </c>
      <c r="N12" s="44">
        <f t="shared" si="2"/>
        <v>0</v>
      </c>
      <c r="O12" s="45" t="str">
        <f t="shared" si="3"/>
        <v>Khớp</v>
      </c>
      <c r="P12" s="44">
        <f>IF($B12="","",SUMIFS(TK_Xuat!$E$5:$E$1004,TK_Xuat!$D$5:$D$1004,$B12,TK_Xuat!$H$5:$H$1004,1))</f>
        <v>7900</v>
      </c>
      <c r="Q12" s="44">
        <f t="shared" si="4"/>
        <v>0</v>
      </c>
    </row>
    <row r="13" spans="1:17" x14ac:dyDescent="0.25">
      <c r="A13" s="36">
        <f t="shared" si="0"/>
        <v>3</v>
      </c>
      <c r="B13" s="35" t="str">
        <f>IF(DM_SP!A7="","",DM_SP!A7)</f>
        <v>VAY01</v>
      </c>
      <c r="C13" s="35" t="str">
        <f>IF(B13="","",DM_SP!B7)</f>
        <v>Váy nữ</v>
      </c>
      <c r="D13" s="35" t="str">
        <f>IF(B13="","",DM_SP!C7)</f>
        <v>PCE</v>
      </c>
      <c r="E13" s="39">
        <f>IF($B13="","",SUMIFS(Kho_SP!$B$5:$B$304,Kho_SP!$A$5:$A$304,$B13))</f>
        <v>0</v>
      </c>
      <c r="F13" s="39">
        <f>IF($B13="","",SUMIFS(Kho_SP!$C$5:$C$304,Kho_SP!$A$5:$A$304,$B13))</f>
        <v>5000</v>
      </c>
      <c r="G13" s="39">
        <f>IF($B13="","",SUMIFS(Kho_SP!$D$5:$D$304,Kho_SP!$A$5:$A$304,$B13))</f>
        <v>0</v>
      </c>
      <c r="H13" s="39">
        <f>IF($B13="","",SUMIFS(Kho_SP!$E$5:$E$304,Kho_SP!$A$5:$A$304,$B13))</f>
        <v>0</v>
      </c>
      <c r="I13" s="39">
        <f>IF($B13="","",SUMIFS(Kho_SP!$F$5:$F$304,Kho_SP!$A$5:$A$304,$B13))</f>
        <v>4800</v>
      </c>
      <c r="J13" s="39">
        <f>IF($B13="","",SUMIFS(Kho_SP!$G$5:$G$304,Kho_SP!$A$5:$A$304,$B13))</f>
        <v>5</v>
      </c>
      <c r="K13" s="39">
        <f t="shared" si="1"/>
        <v>195</v>
      </c>
      <c r="L13" s="31" t="str">
        <f>IF($B13="","",IFERROR(INDEX(Kho_SP!$I$5:$I$304,MATCH(B13,Kho_SP!$A$5:$A$304,0))&amp;"",""))</f>
        <v>Xuất 5 váy làm mẫu nghiên cứu</v>
      </c>
      <c r="M13" s="44">
        <f>IF($B13="","",SUMIFS(Kho_SP!$H$5:$H$304,Kho_SP!$A$5:$A$304,$B13))</f>
        <v>195</v>
      </c>
      <c r="N13" s="44">
        <f t="shared" si="2"/>
        <v>0</v>
      </c>
      <c r="O13" s="45" t="str">
        <f t="shared" si="3"/>
        <v>Khớp</v>
      </c>
      <c r="P13" s="44">
        <f>IF($B13="","",SUMIFS(TK_Xuat!$E$5:$E$1004,TK_Xuat!$D$5:$D$1004,$B13,TK_Xuat!$H$5:$H$1004,1))</f>
        <v>4800</v>
      </c>
      <c r="Q13" s="44">
        <f t="shared" si="4"/>
        <v>0</v>
      </c>
    </row>
    <row r="14" spans="1:17" x14ac:dyDescent="0.25">
      <c r="A14" s="36" t="str">
        <f t="shared" si="0"/>
        <v/>
      </c>
      <c r="B14" s="35" t="str">
        <f>IF(DM_SP!A8="","",DM_SP!A8)</f>
        <v/>
      </c>
      <c r="C14" s="35" t="str">
        <f>IF(B14="","",DM_SP!B8)</f>
        <v/>
      </c>
      <c r="D14" s="35" t="str">
        <f>IF(B14="","",DM_SP!C8)</f>
        <v/>
      </c>
      <c r="E14" s="39" t="str">
        <f>IF($B14="","",SUMIFS(Kho_SP!$B$5:$B$304,Kho_SP!$A$5:$A$304,$B14))</f>
        <v/>
      </c>
      <c r="F14" s="39" t="str">
        <f>IF($B14="","",SUMIFS(Kho_SP!$C$5:$C$304,Kho_SP!$A$5:$A$304,$B14))</f>
        <v/>
      </c>
      <c r="G14" s="39" t="str">
        <f>IF($B14="","",SUMIFS(Kho_SP!$D$5:$D$304,Kho_SP!$A$5:$A$304,$B14))</f>
        <v/>
      </c>
      <c r="H14" s="39" t="str">
        <f>IF($B14="","",SUMIFS(Kho_SP!$E$5:$E$304,Kho_SP!$A$5:$A$304,$B14))</f>
        <v/>
      </c>
      <c r="I14" s="39" t="str">
        <f>IF($B14="","",SUMIFS(Kho_SP!$F$5:$F$304,Kho_SP!$A$5:$A$304,$B14))</f>
        <v/>
      </c>
      <c r="J14" s="39" t="str">
        <f>IF($B14="","",SUMIFS(Kho_SP!$G$5:$G$304,Kho_SP!$A$5:$A$304,$B14))</f>
        <v/>
      </c>
      <c r="K14" s="39" t="str">
        <f t="shared" si="1"/>
        <v/>
      </c>
      <c r="L14" s="31" t="str">
        <f>IF($B14="","",IFERROR(INDEX(Kho_SP!$I$5:$I$304,MATCH(B14,Kho_SP!$A$5:$A$304,0))&amp;"",""))</f>
        <v/>
      </c>
      <c r="M14" s="44" t="str">
        <f>IF($B14="","",SUMIFS(Kho_SP!$H$5:$H$304,Kho_SP!$A$5:$A$304,$B14))</f>
        <v/>
      </c>
      <c r="N14" s="44" t="str">
        <f t="shared" si="2"/>
        <v/>
      </c>
      <c r="O14" s="45" t="str">
        <f t="shared" si="3"/>
        <v/>
      </c>
      <c r="P14" s="44" t="str">
        <f>IF($B14="","",SUMIFS(TK_Xuat!$E$5:$E$1004,TK_Xuat!$D$5:$D$1004,$B14,TK_Xuat!$H$5:$H$1004,1))</f>
        <v/>
      </c>
      <c r="Q14" s="44" t="str">
        <f t="shared" si="4"/>
        <v/>
      </c>
    </row>
    <row r="15" spans="1:17" x14ac:dyDescent="0.25">
      <c r="A15" s="36" t="str">
        <f t="shared" si="0"/>
        <v/>
      </c>
      <c r="B15" s="35" t="str">
        <f>IF(DM_SP!A9="","",DM_SP!A9)</f>
        <v/>
      </c>
      <c r="C15" s="35" t="str">
        <f>IF(B15="","",DM_SP!B9)</f>
        <v/>
      </c>
      <c r="D15" s="35" t="str">
        <f>IF(B15="","",DM_SP!C9)</f>
        <v/>
      </c>
      <c r="E15" s="39" t="str">
        <f>IF($B15="","",SUMIFS(Kho_SP!$B$5:$B$304,Kho_SP!$A$5:$A$304,$B15))</f>
        <v/>
      </c>
      <c r="F15" s="39" t="str">
        <f>IF($B15="","",SUMIFS(Kho_SP!$C$5:$C$304,Kho_SP!$A$5:$A$304,$B15))</f>
        <v/>
      </c>
      <c r="G15" s="39" t="str">
        <f>IF($B15="","",SUMIFS(Kho_SP!$D$5:$D$304,Kho_SP!$A$5:$A$304,$B15))</f>
        <v/>
      </c>
      <c r="H15" s="39" t="str">
        <f>IF($B15="","",SUMIFS(Kho_SP!$E$5:$E$304,Kho_SP!$A$5:$A$304,$B15))</f>
        <v/>
      </c>
      <c r="I15" s="39" t="str">
        <f>IF($B15="","",SUMIFS(Kho_SP!$F$5:$F$304,Kho_SP!$A$5:$A$304,$B15))</f>
        <v/>
      </c>
      <c r="J15" s="39" t="str">
        <f>IF($B15="","",SUMIFS(Kho_SP!$G$5:$G$304,Kho_SP!$A$5:$A$304,$B15))</f>
        <v/>
      </c>
      <c r="K15" s="39" t="str">
        <f t="shared" si="1"/>
        <v/>
      </c>
      <c r="L15" s="31" t="str">
        <f>IF($B15="","",IFERROR(INDEX(Kho_SP!$I$5:$I$304,MATCH(B15,Kho_SP!$A$5:$A$304,0))&amp;"",""))</f>
        <v/>
      </c>
      <c r="M15" s="44" t="str">
        <f>IF($B15="","",SUMIFS(Kho_SP!$H$5:$H$304,Kho_SP!$A$5:$A$304,$B15))</f>
        <v/>
      </c>
      <c r="N15" s="44" t="str">
        <f t="shared" si="2"/>
        <v/>
      </c>
      <c r="O15" s="45" t="str">
        <f t="shared" si="3"/>
        <v/>
      </c>
      <c r="P15" s="44" t="str">
        <f>IF($B15="","",SUMIFS(TK_Xuat!$E$5:$E$1004,TK_Xuat!$D$5:$D$1004,$B15,TK_Xuat!$H$5:$H$1004,1))</f>
        <v/>
      </c>
      <c r="Q15" s="44" t="str">
        <f t="shared" si="4"/>
        <v/>
      </c>
    </row>
    <row r="16" spans="1:17" x14ac:dyDescent="0.25">
      <c r="A16" s="36" t="str">
        <f t="shared" si="0"/>
        <v/>
      </c>
      <c r="B16" s="35" t="str">
        <f>IF(DM_SP!A10="","",DM_SP!A10)</f>
        <v/>
      </c>
      <c r="C16" s="35" t="str">
        <f>IF(B16="","",DM_SP!B10)</f>
        <v/>
      </c>
      <c r="D16" s="35" t="str">
        <f>IF(B16="","",DM_SP!C10)</f>
        <v/>
      </c>
      <c r="E16" s="39" t="str">
        <f>IF($B16="","",SUMIFS(Kho_SP!$B$5:$B$304,Kho_SP!$A$5:$A$304,$B16))</f>
        <v/>
      </c>
      <c r="F16" s="39" t="str">
        <f>IF($B16="","",SUMIFS(Kho_SP!$C$5:$C$304,Kho_SP!$A$5:$A$304,$B16))</f>
        <v/>
      </c>
      <c r="G16" s="39" t="str">
        <f>IF($B16="","",SUMIFS(Kho_SP!$D$5:$D$304,Kho_SP!$A$5:$A$304,$B16))</f>
        <v/>
      </c>
      <c r="H16" s="39" t="str">
        <f>IF($B16="","",SUMIFS(Kho_SP!$E$5:$E$304,Kho_SP!$A$5:$A$304,$B16))</f>
        <v/>
      </c>
      <c r="I16" s="39" t="str">
        <f>IF($B16="","",SUMIFS(Kho_SP!$F$5:$F$304,Kho_SP!$A$5:$A$304,$B16))</f>
        <v/>
      </c>
      <c r="J16" s="39" t="str">
        <f>IF($B16="","",SUMIFS(Kho_SP!$G$5:$G$304,Kho_SP!$A$5:$A$304,$B16))</f>
        <v/>
      </c>
      <c r="K16" s="39" t="str">
        <f t="shared" si="1"/>
        <v/>
      </c>
      <c r="L16" s="31" t="str">
        <f>IF($B16="","",IFERROR(INDEX(Kho_SP!$I$5:$I$304,MATCH(B16,Kho_SP!$A$5:$A$304,0))&amp;"",""))</f>
        <v/>
      </c>
      <c r="M16" s="44" t="str">
        <f>IF($B16="","",SUMIFS(Kho_SP!$H$5:$H$304,Kho_SP!$A$5:$A$304,$B16))</f>
        <v/>
      </c>
      <c r="N16" s="44" t="str">
        <f t="shared" si="2"/>
        <v/>
      </c>
      <c r="O16" s="45" t="str">
        <f t="shared" si="3"/>
        <v/>
      </c>
      <c r="P16" s="44" t="str">
        <f>IF($B16="","",SUMIFS(TK_Xuat!$E$5:$E$1004,TK_Xuat!$D$5:$D$1004,$B16,TK_Xuat!$H$5:$H$1004,1))</f>
        <v/>
      </c>
      <c r="Q16" s="44" t="str">
        <f t="shared" si="4"/>
        <v/>
      </c>
    </row>
    <row r="17" spans="1:17" x14ac:dyDescent="0.25">
      <c r="A17" s="36" t="str">
        <f t="shared" si="0"/>
        <v/>
      </c>
      <c r="B17" s="35" t="str">
        <f>IF(DM_SP!A11="","",DM_SP!A11)</f>
        <v/>
      </c>
      <c r="C17" s="35" t="str">
        <f>IF(B17="","",DM_SP!B11)</f>
        <v/>
      </c>
      <c r="D17" s="35" t="str">
        <f>IF(B17="","",DM_SP!C11)</f>
        <v/>
      </c>
      <c r="E17" s="39" t="str">
        <f>IF($B17="","",SUMIFS(Kho_SP!$B$5:$B$304,Kho_SP!$A$5:$A$304,$B17))</f>
        <v/>
      </c>
      <c r="F17" s="39" t="str">
        <f>IF($B17="","",SUMIFS(Kho_SP!$C$5:$C$304,Kho_SP!$A$5:$A$304,$B17))</f>
        <v/>
      </c>
      <c r="G17" s="39" t="str">
        <f>IF($B17="","",SUMIFS(Kho_SP!$D$5:$D$304,Kho_SP!$A$5:$A$304,$B17))</f>
        <v/>
      </c>
      <c r="H17" s="39" t="str">
        <f>IF($B17="","",SUMIFS(Kho_SP!$E$5:$E$304,Kho_SP!$A$5:$A$304,$B17))</f>
        <v/>
      </c>
      <c r="I17" s="39" t="str">
        <f>IF($B17="","",SUMIFS(Kho_SP!$F$5:$F$304,Kho_SP!$A$5:$A$304,$B17))</f>
        <v/>
      </c>
      <c r="J17" s="39" t="str">
        <f>IF($B17="","",SUMIFS(Kho_SP!$G$5:$G$304,Kho_SP!$A$5:$A$304,$B17))</f>
        <v/>
      </c>
      <c r="K17" s="39" t="str">
        <f t="shared" si="1"/>
        <v/>
      </c>
      <c r="L17" s="31" t="str">
        <f>IF($B17="","",IFERROR(INDEX(Kho_SP!$I$5:$I$304,MATCH(B17,Kho_SP!$A$5:$A$304,0))&amp;"",""))</f>
        <v/>
      </c>
      <c r="M17" s="44" t="str">
        <f>IF($B17="","",SUMIFS(Kho_SP!$H$5:$H$304,Kho_SP!$A$5:$A$304,$B17))</f>
        <v/>
      </c>
      <c r="N17" s="44" t="str">
        <f t="shared" si="2"/>
        <v/>
      </c>
      <c r="O17" s="45" t="str">
        <f t="shared" si="3"/>
        <v/>
      </c>
      <c r="P17" s="44" t="str">
        <f>IF($B17="","",SUMIFS(TK_Xuat!$E$5:$E$1004,TK_Xuat!$D$5:$D$1004,$B17,TK_Xuat!$H$5:$H$1004,1))</f>
        <v/>
      </c>
      <c r="Q17" s="44" t="str">
        <f t="shared" si="4"/>
        <v/>
      </c>
    </row>
    <row r="18" spans="1:17" x14ac:dyDescent="0.25">
      <c r="A18" s="36" t="str">
        <f t="shared" si="0"/>
        <v/>
      </c>
      <c r="B18" s="35" t="str">
        <f>IF(DM_SP!A12="","",DM_SP!A12)</f>
        <v/>
      </c>
      <c r="C18" s="35" t="str">
        <f>IF(B18="","",DM_SP!B12)</f>
        <v/>
      </c>
      <c r="D18" s="35" t="str">
        <f>IF(B18="","",DM_SP!C12)</f>
        <v/>
      </c>
      <c r="E18" s="39" t="str">
        <f>IF($B18="","",SUMIFS(Kho_SP!$B$5:$B$304,Kho_SP!$A$5:$A$304,$B18))</f>
        <v/>
      </c>
      <c r="F18" s="39" t="str">
        <f>IF($B18="","",SUMIFS(Kho_SP!$C$5:$C$304,Kho_SP!$A$5:$A$304,$B18))</f>
        <v/>
      </c>
      <c r="G18" s="39" t="str">
        <f>IF($B18="","",SUMIFS(Kho_SP!$D$5:$D$304,Kho_SP!$A$5:$A$304,$B18))</f>
        <v/>
      </c>
      <c r="H18" s="39" t="str">
        <f>IF($B18="","",SUMIFS(Kho_SP!$E$5:$E$304,Kho_SP!$A$5:$A$304,$B18))</f>
        <v/>
      </c>
      <c r="I18" s="39" t="str">
        <f>IF($B18="","",SUMIFS(Kho_SP!$F$5:$F$304,Kho_SP!$A$5:$A$304,$B18))</f>
        <v/>
      </c>
      <c r="J18" s="39" t="str">
        <f>IF($B18="","",SUMIFS(Kho_SP!$G$5:$G$304,Kho_SP!$A$5:$A$304,$B18))</f>
        <v/>
      </c>
      <c r="K18" s="39" t="str">
        <f t="shared" si="1"/>
        <v/>
      </c>
      <c r="L18" s="31" t="str">
        <f>IF($B18="","",IFERROR(INDEX(Kho_SP!$I$5:$I$304,MATCH(B18,Kho_SP!$A$5:$A$304,0))&amp;"",""))</f>
        <v/>
      </c>
      <c r="M18" s="44" t="str">
        <f>IF($B18="","",SUMIFS(Kho_SP!$H$5:$H$304,Kho_SP!$A$5:$A$304,$B18))</f>
        <v/>
      </c>
      <c r="N18" s="44" t="str">
        <f t="shared" si="2"/>
        <v/>
      </c>
      <c r="O18" s="45" t="str">
        <f t="shared" si="3"/>
        <v/>
      </c>
      <c r="P18" s="44" t="str">
        <f>IF($B18="","",SUMIFS(TK_Xuat!$E$5:$E$1004,TK_Xuat!$D$5:$D$1004,$B18,TK_Xuat!$H$5:$H$1004,1))</f>
        <v/>
      </c>
      <c r="Q18" s="44" t="str">
        <f t="shared" si="4"/>
        <v/>
      </c>
    </row>
    <row r="19" spans="1:17" x14ac:dyDescent="0.25">
      <c r="A19" s="36" t="str">
        <f t="shared" si="0"/>
        <v/>
      </c>
      <c r="B19" s="35" t="str">
        <f>IF(DM_SP!A13="","",DM_SP!A13)</f>
        <v/>
      </c>
      <c r="C19" s="35" t="str">
        <f>IF(B19="","",DM_SP!B13)</f>
        <v/>
      </c>
      <c r="D19" s="35" t="str">
        <f>IF(B19="","",DM_SP!C13)</f>
        <v/>
      </c>
      <c r="E19" s="39" t="str">
        <f>IF($B19="","",SUMIFS(Kho_SP!$B$5:$B$304,Kho_SP!$A$5:$A$304,$B19))</f>
        <v/>
      </c>
      <c r="F19" s="39" t="str">
        <f>IF($B19="","",SUMIFS(Kho_SP!$C$5:$C$304,Kho_SP!$A$5:$A$304,$B19))</f>
        <v/>
      </c>
      <c r="G19" s="39" t="str">
        <f>IF($B19="","",SUMIFS(Kho_SP!$D$5:$D$304,Kho_SP!$A$5:$A$304,$B19))</f>
        <v/>
      </c>
      <c r="H19" s="39" t="str">
        <f>IF($B19="","",SUMIFS(Kho_SP!$E$5:$E$304,Kho_SP!$A$5:$A$304,$B19))</f>
        <v/>
      </c>
      <c r="I19" s="39" t="str">
        <f>IF($B19="","",SUMIFS(Kho_SP!$F$5:$F$304,Kho_SP!$A$5:$A$304,$B19))</f>
        <v/>
      </c>
      <c r="J19" s="39" t="str">
        <f>IF($B19="","",SUMIFS(Kho_SP!$G$5:$G$304,Kho_SP!$A$5:$A$304,$B19))</f>
        <v/>
      </c>
      <c r="K19" s="39" t="str">
        <f t="shared" si="1"/>
        <v/>
      </c>
      <c r="L19" s="31" t="str">
        <f>IF($B19="","",IFERROR(INDEX(Kho_SP!$I$5:$I$304,MATCH(B19,Kho_SP!$A$5:$A$304,0))&amp;"",""))</f>
        <v/>
      </c>
      <c r="M19" s="44" t="str">
        <f>IF($B19="","",SUMIFS(Kho_SP!$H$5:$H$304,Kho_SP!$A$5:$A$304,$B19))</f>
        <v/>
      </c>
      <c r="N19" s="44" t="str">
        <f t="shared" si="2"/>
        <v/>
      </c>
      <c r="O19" s="45" t="str">
        <f t="shared" si="3"/>
        <v/>
      </c>
      <c r="P19" s="44" t="str">
        <f>IF($B19="","",SUMIFS(TK_Xuat!$E$5:$E$1004,TK_Xuat!$D$5:$D$1004,$B19,TK_Xuat!$H$5:$H$1004,1))</f>
        <v/>
      </c>
      <c r="Q19" s="44" t="str">
        <f t="shared" si="4"/>
        <v/>
      </c>
    </row>
    <row r="20" spans="1:17" x14ac:dyDescent="0.25">
      <c r="A20" s="36" t="str">
        <f t="shared" si="0"/>
        <v/>
      </c>
      <c r="B20" s="35" t="str">
        <f>IF(DM_SP!A14="","",DM_SP!A14)</f>
        <v/>
      </c>
      <c r="C20" s="35" t="str">
        <f>IF(B20="","",DM_SP!B14)</f>
        <v/>
      </c>
      <c r="D20" s="35" t="str">
        <f>IF(B20="","",DM_SP!C14)</f>
        <v/>
      </c>
      <c r="E20" s="39" t="str">
        <f>IF($B20="","",SUMIFS(Kho_SP!$B$5:$B$304,Kho_SP!$A$5:$A$304,$B20))</f>
        <v/>
      </c>
      <c r="F20" s="39" t="str">
        <f>IF($B20="","",SUMIFS(Kho_SP!$C$5:$C$304,Kho_SP!$A$5:$A$304,$B20))</f>
        <v/>
      </c>
      <c r="G20" s="39" t="str">
        <f>IF($B20="","",SUMIFS(Kho_SP!$D$5:$D$304,Kho_SP!$A$5:$A$304,$B20))</f>
        <v/>
      </c>
      <c r="H20" s="39" t="str">
        <f>IF($B20="","",SUMIFS(Kho_SP!$E$5:$E$304,Kho_SP!$A$5:$A$304,$B20))</f>
        <v/>
      </c>
      <c r="I20" s="39" t="str">
        <f>IF($B20="","",SUMIFS(Kho_SP!$F$5:$F$304,Kho_SP!$A$5:$A$304,$B20))</f>
        <v/>
      </c>
      <c r="J20" s="39" t="str">
        <f>IF($B20="","",SUMIFS(Kho_SP!$G$5:$G$304,Kho_SP!$A$5:$A$304,$B20))</f>
        <v/>
      </c>
      <c r="K20" s="39" t="str">
        <f t="shared" si="1"/>
        <v/>
      </c>
      <c r="L20" s="31" t="str">
        <f>IF($B20="","",IFERROR(INDEX(Kho_SP!$I$5:$I$304,MATCH(B20,Kho_SP!$A$5:$A$304,0))&amp;"",""))</f>
        <v/>
      </c>
      <c r="M20" s="44" t="str">
        <f>IF($B20="","",SUMIFS(Kho_SP!$H$5:$H$304,Kho_SP!$A$5:$A$304,$B20))</f>
        <v/>
      </c>
      <c r="N20" s="44" t="str">
        <f t="shared" si="2"/>
        <v/>
      </c>
      <c r="O20" s="45" t="str">
        <f t="shared" si="3"/>
        <v/>
      </c>
      <c r="P20" s="44" t="str">
        <f>IF($B20="","",SUMIFS(TK_Xuat!$E$5:$E$1004,TK_Xuat!$D$5:$D$1004,$B20,TK_Xuat!$H$5:$H$1004,1))</f>
        <v/>
      </c>
      <c r="Q20" s="44" t="str">
        <f t="shared" si="4"/>
        <v/>
      </c>
    </row>
    <row r="21" spans="1:17" x14ac:dyDescent="0.25">
      <c r="A21" s="36" t="str">
        <f t="shared" si="0"/>
        <v/>
      </c>
      <c r="B21" s="35" t="str">
        <f>IF(DM_SP!A15="","",DM_SP!A15)</f>
        <v/>
      </c>
      <c r="C21" s="35" t="str">
        <f>IF(B21="","",DM_SP!B15)</f>
        <v/>
      </c>
      <c r="D21" s="35" t="str">
        <f>IF(B21="","",DM_SP!C15)</f>
        <v/>
      </c>
      <c r="E21" s="39" t="str">
        <f>IF($B21="","",SUMIFS(Kho_SP!$B$5:$B$304,Kho_SP!$A$5:$A$304,$B21))</f>
        <v/>
      </c>
      <c r="F21" s="39" t="str">
        <f>IF($B21="","",SUMIFS(Kho_SP!$C$5:$C$304,Kho_SP!$A$5:$A$304,$B21))</f>
        <v/>
      </c>
      <c r="G21" s="39" t="str">
        <f>IF($B21="","",SUMIFS(Kho_SP!$D$5:$D$304,Kho_SP!$A$5:$A$304,$B21))</f>
        <v/>
      </c>
      <c r="H21" s="39" t="str">
        <f>IF($B21="","",SUMIFS(Kho_SP!$E$5:$E$304,Kho_SP!$A$5:$A$304,$B21))</f>
        <v/>
      </c>
      <c r="I21" s="39" t="str">
        <f>IF($B21="","",SUMIFS(Kho_SP!$F$5:$F$304,Kho_SP!$A$5:$A$304,$B21))</f>
        <v/>
      </c>
      <c r="J21" s="39" t="str">
        <f>IF($B21="","",SUMIFS(Kho_SP!$G$5:$G$304,Kho_SP!$A$5:$A$304,$B21))</f>
        <v/>
      </c>
      <c r="K21" s="39" t="str">
        <f t="shared" si="1"/>
        <v/>
      </c>
      <c r="L21" s="31" t="str">
        <f>IF($B21="","",IFERROR(INDEX(Kho_SP!$I$5:$I$304,MATCH(B21,Kho_SP!$A$5:$A$304,0))&amp;"",""))</f>
        <v/>
      </c>
      <c r="M21" s="44" t="str">
        <f>IF($B21="","",SUMIFS(Kho_SP!$H$5:$H$304,Kho_SP!$A$5:$A$304,$B21))</f>
        <v/>
      </c>
      <c r="N21" s="44" t="str">
        <f t="shared" si="2"/>
        <v/>
      </c>
      <c r="O21" s="45" t="str">
        <f t="shared" si="3"/>
        <v/>
      </c>
      <c r="P21" s="44" t="str">
        <f>IF($B21="","",SUMIFS(TK_Xuat!$E$5:$E$1004,TK_Xuat!$D$5:$D$1004,$B21,TK_Xuat!$H$5:$H$1004,1))</f>
        <v/>
      </c>
      <c r="Q21" s="44" t="str">
        <f t="shared" si="4"/>
        <v/>
      </c>
    </row>
    <row r="22" spans="1:17" x14ac:dyDescent="0.25">
      <c r="A22" s="36" t="str">
        <f t="shared" si="0"/>
        <v/>
      </c>
      <c r="B22" s="35" t="str">
        <f>IF(DM_SP!A16="","",DM_SP!A16)</f>
        <v/>
      </c>
      <c r="C22" s="35" t="str">
        <f>IF(B22="","",DM_SP!B16)</f>
        <v/>
      </c>
      <c r="D22" s="35" t="str">
        <f>IF(B22="","",DM_SP!C16)</f>
        <v/>
      </c>
      <c r="E22" s="39" t="str">
        <f>IF($B22="","",SUMIFS(Kho_SP!$B$5:$B$304,Kho_SP!$A$5:$A$304,$B22))</f>
        <v/>
      </c>
      <c r="F22" s="39" t="str">
        <f>IF($B22="","",SUMIFS(Kho_SP!$C$5:$C$304,Kho_SP!$A$5:$A$304,$B22))</f>
        <v/>
      </c>
      <c r="G22" s="39" t="str">
        <f>IF($B22="","",SUMIFS(Kho_SP!$D$5:$D$304,Kho_SP!$A$5:$A$304,$B22))</f>
        <v/>
      </c>
      <c r="H22" s="39" t="str">
        <f>IF($B22="","",SUMIFS(Kho_SP!$E$5:$E$304,Kho_SP!$A$5:$A$304,$B22))</f>
        <v/>
      </c>
      <c r="I22" s="39" t="str">
        <f>IF($B22="","",SUMIFS(Kho_SP!$F$5:$F$304,Kho_SP!$A$5:$A$304,$B22))</f>
        <v/>
      </c>
      <c r="J22" s="39" t="str">
        <f>IF($B22="","",SUMIFS(Kho_SP!$G$5:$G$304,Kho_SP!$A$5:$A$304,$B22))</f>
        <v/>
      </c>
      <c r="K22" s="39" t="str">
        <f t="shared" si="1"/>
        <v/>
      </c>
      <c r="L22" s="31" t="str">
        <f>IF($B22="","",IFERROR(INDEX(Kho_SP!$I$5:$I$304,MATCH(B22,Kho_SP!$A$5:$A$304,0))&amp;"",""))</f>
        <v/>
      </c>
      <c r="M22" s="44" t="str">
        <f>IF($B22="","",SUMIFS(Kho_SP!$H$5:$H$304,Kho_SP!$A$5:$A$304,$B22))</f>
        <v/>
      </c>
      <c r="N22" s="44" t="str">
        <f t="shared" si="2"/>
        <v/>
      </c>
      <c r="O22" s="45" t="str">
        <f t="shared" si="3"/>
        <v/>
      </c>
      <c r="P22" s="44" t="str">
        <f>IF($B22="","",SUMIFS(TK_Xuat!$E$5:$E$1004,TK_Xuat!$D$5:$D$1004,$B22,TK_Xuat!$H$5:$H$1004,1))</f>
        <v/>
      </c>
      <c r="Q22" s="44" t="str">
        <f t="shared" si="4"/>
        <v/>
      </c>
    </row>
    <row r="23" spans="1:17" x14ac:dyDescent="0.25">
      <c r="A23" s="36" t="str">
        <f t="shared" si="0"/>
        <v/>
      </c>
      <c r="B23" s="35" t="str">
        <f>IF(DM_SP!A17="","",DM_SP!A17)</f>
        <v/>
      </c>
      <c r="C23" s="35" t="str">
        <f>IF(B23="","",DM_SP!B17)</f>
        <v/>
      </c>
      <c r="D23" s="35" t="str">
        <f>IF(B23="","",DM_SP!C17)</f>
        <v/>
      </c>
      <c r="E23" s="39" t="str">
        <f>IF($B23="","",SUMIFS(Kho_SP!$B$5:$B$304,Kho_SP!$A$5:$A$304,$B23))</f>
        <v/>
      </c>
      <c r="F23" s="39" t="str">
        <f>IF($B23="","",SUMIFS(Kho_SP!$C$5:$C$304,Kho_SP!$A$5:$A$304,$B23))</f>
        <v/>
      </c>
      <c r="G23" s="39" t="str">
        <f>IF($B23="","",SUMIFS(Kho_SP!$D$5:$D$304,Kho_SP!$A$5:$A$304,$B23))</f>
        <v/>
      </c>
      <c r="H23" s="39" t="str">
        <f>IF($B23="","",SUMIFS(Kho_SP!$E$5:$E$304,Kho_SP!$A$5:$A$304,$B23))</f>
        <v/>
      </c>
      <c r="I23" s="39" t="str">
        <f>IF($B23="","",SUMIFS(Kho_SP!$F$5:$F$304,Kho_SP!$A$5:$A$304,$B23))</f>
        <v/>
      </c>
      <c r="J23" s="39" t="str">
        <f>IF($B23="","",SUMIFS(Kho_SP!$G$5:$G$304,Kho_SP!$A$5:$A$304,$B23))</f>
        <v/>
      </c>
      <c r="K23" s="39" t="str">
        <f t="shared" si="1"/>
        <v/>
      </c>
      <c r="L23" s="31" t="str">
        <f>IF($B23="","",IFERROR(INDEX(Kho_SP!$I$5:$I$304,MATCH(B23,Kho_SP!$A$5:$A$304,0))&amp;"",""))</f>
        <v/>
      </c>
      <c r="M23" s="44" t="str">
        <f>IF($B23="","",SUMIFS(Kho_SP!$H$5:$H$304,Kho_SP!$A$5:$A$304,$B23))</f>
        <v/>
      </c>
      <c r="N23" s="44" t="str">
        <f t="shared" si="2"/>
        <v/>
      </c>
      <c r="O23" s="45" t="str">
        <f t="shared" si="3"/>
        <v/>
      </c>
      <c r="P23" s="44" t="str">
        <f>IF($B23="","",SUMIFS(TK_Xuat!$E$5:$E$1004,TK_Xuat!$D$5:$D$1004,$B23,TK_Xuat!$H$5:$H$1004,1))</f>
        <v/>
      </c>
      <c r="Q23" s="44" t="str">
        <f t="shared" si="4"/>
        <v/>
      </c>
    </row>
    <row r="24" spans="1:17" x14ac:dyDescent="0.25">
      <c r="A24" s="36" t="str">
        <f t="shared" si="0"/>
        <v/>
      </c>
      <c r="B24" s="35" t="str">
        <f>IF(DM_SP!A18="","",DM_SP!A18)</f>
        <v/>
      </c>
      <c r="C24" s="35" t="str">
        <f>IF(B24="","",DM_SP!B18)</f>
        <v/>
      </c>
      <c r="D24" s="35" t="str">
        <f>IF(B24="","",DM_SP!C18)</f>
        <v/>
      </c>
      <c r="E24" s="39" t="str">
        <f>IF($B24="","",SUMIFS(Kho_SP!$B$5:$B$304,Kho_SP!$A$5:$A$304,$B24))</f>
        <v/>
      </c>
      <c r="F24" s="39" t="str">
        <f>IF($B24="","",SUMIFS(Kho_SP!$C$5:$C$304,Kho_SP!$A$5:$A$304,$B24))</f>
        <v/>
      </c>
      <c r="G24" s="39" t="str">
        <f>IF($B24="","",SUMIFS(Kho_SP!$D$5:$D$304,Kho_SP!$A$5:$A$304,$B24))</f>
        <v/>
      </c>
      <c r="H24" s="39" t="str">
        <f>IF($B24="","",SUMIFS(Kho_SP!$E$5:$E$304,Kho_SP!$A$5:$A$304,$B24))</f>
        <v/>
      </c>
      <c r="I24" s="39" t="str">
        <f>IF($B24="","",SUMIFS(Kho_SP!$F$5:$F$304,Kho_SP!$A$5:$A$304,$B24))</f>
        <v/>
      </c>
      <c r="J24" s="39" t="str">
        <f>IF($B24="","",SUMIFS(Kho_SP!$G$5:$G$304,Kho_SP!$A$5:$A$304,$B24))</f>
        <v/>
      </c>
      <c r="K24" s="39" t="str">
        <f t="shared" si="1"/>
        <v/>
      </c>
      <c r="L24" s="31" t="str">
        <f>IF($B24="","",IFERROR(INDEX(Kho_SP!$I$5:$I$304,MATCH(B24,Kho_SP!$A$5:$A$304,0))&amp;"",""))</f>
        <v/>
      </c>
      <c r="M24" s="44" t="str">
        <f>IF($B24="","",SUMIFS(Kho_SP!$H$5:$H$304,Kho_SP!$A$5:$A$304,$B24))</f>
        <v/>
      </c>
      <c r="N24" s="44" t="str">
        <f t="shared" si="2"/>
        <v/>
      </c>
      <c r="O24" s="45" t="str">
        <f t="shared" si="3"/>
        <v/>
      </c>
      <c r="P24" s="44" t="str">
        <f>IF($B24="","",SUMIFS(TK_Xuat!$E$5:$E$1004,TK_Xuat!$D$5:$D$1004,$B24,TK_Xuat!$H$5:$H$1004,1))</f>
        <v/>
      </c>
      <c r="Q24" s="44" t="str">
        <f t="shared" si="4"/>
        <v/>
      </c>
    </row>
    <row r="25" spans="1:17" x14ac:dyDescent="0.25">
      <c r="A25" s="36" t="str">
        <f t="shared" si="0"/>
        <v/>
      </c>
      <c r="B25" s="35" t="str">
        <f>IF(DM_SP!A19="","",DM_SP!A19)</f>
        <v/>
      </c>
      <c r="C25" s="35" t="str">
        <f>IF(B25="","",DM_SP!B19)</f>
        <v/>
      </c>
      <c r="D25" s="35" t="str">
        <f>IF(B25="","",DM_SP!C19)</f>
        <v/>
      </c>
      <c r="E25" s="39" t="str">
        <f>IF($B25="","",SUMIFS(Kho_SP!$B$5:$B$304,Kho_SP!$A$5:$A$304,$B25))</f>
        <v/>
      </c>
      <c r="F25" s="39" t="str">
        <f>IF($B25="","",SUMIFS(Kho_SP!$C$5:$C$304,Kho_SP!$A$5:$A$304,$B25))</f>
        <v/>
      </c>
      <c r="G25" s="39" t="str">
        <f>IF($B25="","",SUMIFS(Kho_SP!$D$5:$D$304,Kho_SP!$A$5:$A$304,$B25))</f>
        <v/>
      </c>
      <c r="H25" s="39" t="str">
        <f>IF($B25="","",SUMIFS(Kho_SP!$E$5:$E$304,Kho_SP!$A$5:$A$304,$B25))</f>
        <v/>
      </c>
      <c r="I25" s="39" t="str">
        <f>IF($B25="","",SUMIFS(Kho_SP!$F$5:$F$304,Kho_SP!$A$5:$A$304,$B25))</f>
        <v/>
      </c>
      <c r="J25" s="39" t="str">
        <f>IF($B25="","",SUMIFS(Kho_SP!$G$5:$G$304,Kho_SP!$A$5:$A$304,$B25))</f>
        <v/>
      </c>
      <c r="K25" s="39" t="str">
        <f t="shared" si="1"/>
        <v/>
      </c>
      <c r="L25" s="31" t="str">
        <f>IF($B25="","",IFERROR(INDEX(Kho_SP!$I$5:$I$304,MATCH(B25,Kho_SP!$A$5:$A$304,0))&amp;"",""))</f>
        <v/>
      </c>
      <c r="M25" s="44" t="str">
        <f>IF($B25="","",SUMIFS(Kho_SP!$H$5:$H$304,Kho_SP!$A$5:$A$304,$B25))</f>
        <v/>
      </c>
      <c r="N25" s="44" t="str">
        <f t="shared" si="2"/>
        <v/>
      </c>
      <c r="O25" s="45" t="str">
        <f t="shared" si="3"/>
        <v/>
      </c>
      <c r="P25" s="44" t="str">
        <f>IF($B25="","",SUMIFS(TK_Xuat!$E$5:$E$1004,TK_Xuat!$D$5:$D$1004,$B25,TK_Xuat!$H$5:$H$1004,1))</f>
        <v/>
      </c>
      <c r="Q25" s="44" t="str">
        <f t="shared" si="4"/>
        <v/>
      </c>
    </row>
    <row r="26" spans="1:17" x14ac:dyDescent="0.25">
      <c r="A26" s="36" t="str">
        <f t="shared" si="0"/>
        <v/>
      </c>
      <c r="B26" s="35" t="str">
        <f>IF(DM_SP!A20="","",DM_SP!A20)</f>
        <v/>
      </c>
      <c r="C26" s="35" t="str">
        <f>IF(B26="","",DM_SP!B20)</f>
        <v/>
      </c>
      <c r="D26" s="35" t="str">
        <f>IF(B26="","",DM_SP!C20)</f>
        <v/>
      </c>
      <c r="E26" s="39" t="str">
        <f>IF($B26="","",SUMIFS(Kho_SP!$B$5:$B$304,Kho_SP!$A$5:$A$304,$B26))</f>
        <v/>
      </c>
      <c r="F26" s="39" t="str">
        <f>IF($B26="","",SUMIFS(Kho_SP!$C$5:$C$304,Kho_SP!$A$5:$A$304,$B26))</f>
        <v/>
      </c>
      <c r="G26" s="39" t="str">
        <f>IF($B26="","",SUMIFS(Kho_SP!$D$5:$D$304,Kho_SP!$A$5:$A$304,$B26))</f>
        <v/>
      </c>
      <c r="H26" s="39" t="str">
        <f>IF($B26="","",SUMIFS(Kho_SP!$E$5:$E$304,Kho_SP!$A$5:$A$304,$B26))</f>
        <v/>
      </c>
      <c r="I26" s="39" t="str">
        <f>IF($B26="","",SUMIFS(Kho_SP!$F$5:$F$304,Kho_SP!$A$5:$A$304,$B26))</f>
        <v/>
      </c>
      <c r="J26" s="39" t="str">
        <f>IF($B26="","",SUMIFS(Kho_SP!$G$5:$G$304,Kho_SP!$A$5:$A$304,$B26))</f>
        <v/>
      </c>
      <c r="K26" s="39" t="str">
        <f t="shared" si="1"/>
        <v/>
      </c>
      <c r="L26" s="31" t="str">
        <f>IF($B26="","",IFERROR(INDEX(Kho_SP!$I$5:$I$304,MATCH(B26,Kho_SP!$A$5:$A$304,0))&amp;"",""))</f>
        <v/>
      </c>
      <c r="M26" s="44" t="str">
        <f>IF($B26="","",SUMIFS(Kho_SP!$H$5:$H$304,Kho_SP!$A$5:$A$304,$B26))</f>
        <v/>
      </c>
      <c r="N26" s="44" t="str">
        <f t="shared" si="2"/>
        <v/>
      </c>
      <c r="O26" s="45" t="str">
        <f t="shared" si="3"/>
        <v/>
      </c>
      <c r="P26" s="44" t="str">
        <f>IF($B26="","",SUMIFS(TK_Xuat!$E$5:$E$1004,TK_Xuat!$D$5:$D$1004,$B26,TK_Xuat!$H$5:$H$1004,1))</f>
        <v/>
      </c>
      <c r="Q26" s="44" t="str">
        <f t="shared" si="4"/>
        <v/>
      </c>
    </row>
    <row r="27" spans="1:17" x14ac:dyDescent="0.25">
      <c r="A27" s="36" t="str">
        <f t="shared" si="0"/>
        <v/>
      </c>
      <c r="B27" s="35" t="str">
        <f>IF(DM_SP!A21="","",DM_SP!A21)</f>
        <v/>
      </c>
      <c r="C27" s="35" t="str">
        <f>IF(B27="","",DM_SP!B21)</f>
        <v/>
      </c>
      <c r="D27" s="35" t="str">
        <f>IF(B27="","",DM_SP!C21)</f>
        <v/>
      </c>
      <c r="E27" s="39" t="str">
        <f>IF($B27="","",SUMIFS(Kho_SP!$B$5:$B$304,Kho_SP!$A$5:$A$304,$B27))</f>
        <v/>
      </c>
      <c r="F27" s="39" t="str">
        <f>IF($B27="","",SUMIFS(Kho_SP!$C$5:$C$304,Kho_SP!$A$5:$A$304,$B27))</f>
        <v/>
      </c>
      <c r="G27" s="39" t="str">
        <f>IF($B27="","",SUMIFS(Kho_SP!$D$5:$D$304,Kho_SP!$A$5:$A$304,$B27))</f>
        <v/>
      </c>
      <c r="H27" s="39" t="str">
        <f>IF($B27="","",SUMIFS(Kho_SP!$E$5:$E$304,Kho_SP!$A$5:$A$304,$B27))</f>
        <v/>
      </c>
      <c r="I27" s="39" t="str">
        <f>IF($B27="","",SUMIFS(Kho_SP!$F$5:$F$304,Kho_SP!$A$5:$A$304,$B27))</f>
        <v/>
      </c>
      <c r="J27" s="39" t="str">
        <f>IF($B27="","",SUMIFS(Kho_SP!$G$5:$G$304,Kho_SP!$A$5:$A$304,$B27))</f>
        <v/>
      </c>
      <c r="K27" s="39" t="str">
        <f t="shared" si="1"/>
        <v/>
      </c>
      <c r="L27" s="31" t="str">
        <f>IF($B27="","",IFERROR(INDEX(Kho_SP!$I$5:$I$304,MATCH(B27,Kho_SP!$A$5:$A$304,0))&amp;"",""))</f>
        <v/>
      </c>
      <c r="M27" s="44" t="str">
        <f>IF($B27="","",SUMIFS(Kho_SP!$H$5:$H$304,Kho_SP!$A$5:$A$304,$B27))</f>
        <v/>
      </c>
      <c r="N27" s="44" t="str">
        <f t="shared" si="2"/>
        <v/>
      </c>
      <c r="O27" s="45" t="str">
        <f t="shared" si="3"/>
        <v/>
      </c>
      <c r="P27" s="44" t="str">
        <f>IF($B27="","",SUMIFS(TK_Xuat!$E$5:$E$1004,TK_Xuat!$D$5:$D$1004,$B27,TK_Xuat!$H$5:$H$1004,1))</f>
        <v/>
      </c>
      <c r="Q27" s="44" t="str">
        <f t="shared" si="4"/>
        <v/>
      </c>
    </row>
    <row r="28" spans="1:17" x14ac:dyDescent="0.25">
      <c r="A28" s="36" t="str">
        <f t="shared" si="0"/>
        <v/>
      </c>
      <c r="B28" s="35" t="str">
        <f>IF(DM_SP!A22="","",DM_SP!A22)</f>
        <v/>
      </c>
      <c r="C28" s="35" t="str">
        <f>IF(B28="","",DM_SP!B22)</f>
        <v/>
      </c>
      <c r="D28" s="35" t="str">
        <f>IF(B28="","",DM_SP!C22)</f>
        <v/>
      </c>
      <c r="E28" s="39" t="str">
        <f>IF($B28="","",SUMIFS(Kho_SP!$B$5:$B$304,Kho_SP!$A$5:$A$304,$B28))</f>
        <v/>
      </c>
      <c r="F28" s="39" t="str">
        <f>IF($B28="","",SUMIFS(Kho_SP!$C$5:$C$304,Kho_SP!$A$5:$A$304,$B28))</f>
        <v/>
      </c>
      <c r="G28" s="39" t="str">
        <f>IF($B28="","",SUMIFS(Kho_SP!$D$5:$D$304,Kho_SP!$A$5:$A$304,$B28))</f>
        <v/>
      </c>
      <c r="H28" s="39" t="str">
        <f>IF($B28="","",SUMIFS(Kho_SP!$E$5:$E$304,Kho_SP!$A$5:$A$304,$B28))</f>
        <v/>
      </c>
      <c r="I28" s="39" t="str">
        <f>IF($B28="","",SUMIFS(Kho_SP!$F$5:$F$304,Kho_SP!$A$5:$A$304,$B28))</f>
        <v/>
      </c>
      <c r="J28" s="39" t="str">
        <f>IF($B28="","",SUMIFS(Kho_SP!$G$5:$G$304,Kho_SP!$A$5:$A$304,$B28))</f>
        <v/>
      </c>
      <c r="K28" s="39" t="str">
        <f t="shared" si="1"/>
        <v/>
      </c>
      <c r="L28" s="31" t="str">
        <f>IF($B28="","",IFERROR(INDEX(Kho_SP!$I$5:$I$304,MATCH(B28,Kho_SP!$A$5:$A$304,0))&amp;"",""))</f>
        <v/>
      </c>
      <c r="M28" s="44" t="str">
        <f>IF($B28="","",SUMIFS(Kho_SP!$H$5:$H$304,Kho_SP!$A$5:$A$304,$B28))</f>
        <v/>
      </c>
      <c r="N28" s="44" t="str">
        <f t="shared" si="2"/>
        <v/>
      </c>
      <c r="O28" s="45" t="str">
        <f t="shared" si="3"/>
        <v/>
      </c>
      <c r="P28" s="44" t="str">
        <f>IF($B28="","",SUMIFS(TK_Xuat!$E$5:$E$1004,TK_Xuat!$D$5:$D$1004,$B28,TK_Xuat!$H$5:$H$1004,1))</f>
        <v/>
      </c>
      <c r="Q28" s="44" t="str">
        <f t="shared" si="4"/>
        <v/>
      </c>
    </row>
    <row r="29" spans="1:17" x14ac:dyDescent="0.25">
      <c r="A29" s="36" t="str">
        <f t="shared" si="0"/>
        <v/>
      </c>
      <c r="B29" s="35" t="str">
        <f>IF(DM_SP!A23="","",DM_SP!A23)</f>
        <v/>
      </c>
      <c r="C29" s="35" t="str">
        <f>IF(B29="","",DM_SP!B23)</f>
        <v/>
      </c>
      <c r="D29" s="35" t="str">
        <f>IF(B29="","",DM_SP!C23)</f>
        <v/>
      </c>
      <c r="E29" s="39" t="str">
        <f>IF($B29="","",SUMIFS(Kho_SP!$B$5:$B$304,Kho_SP!$A$5:$A$304,$B29))</f>
        <v/>
      </c>
      <c r="F29" s="39" t="str">
        <f>IF($B29="","",SUMIFS(Kho_SP!$C$5:$C$304,Kho_SP!$A$5:$A$304,$B29))</f>
        <v/>
      </c>
      <c r="G29" s="39" t="str">
        <f>IF($B29="","",SUMIFS(Kho_SP!$D$5:$D$304,Kho_SP!$A$5:$A$304,$B29))</f>
        <v/>
      </c>
      <c r="H29" s="39" t="str">
        <f>IF($B29="","",SUMIFS(Kho_SP!$E$5:$E$304,Kho_SP!$A$5:$A$304,$B29))</f>
        <v/>
      </c>
      <c r="I29" s="39" t="str">
        <f>IF($B29="","",SUMIFS(Kho_SP!$F$5:$F$304,Kho_SP!$A$5:$A$304,$B29))</f>
        <v/>
      </c>
      <c r="J29" s="39" t="str">
        <f>IF($B29="","",SUMIFS(Kho_SP!$G$5:$G$304,Kho_SP!$A$5:$A$304,$B29))</f>
        <v/>
      </c>
      <c r="K29" s="39" t="str">
        <f t="shared" si="1"/>
        <v/>
      </c>
      <c r="L29" s="31" t="str">
        <f>IF($B29="","",IFERROR(INDEX(Kho_SP!$I$5:$I$304,MATCH(B29,Kho_SP!$A$5:$A$304,0))&amp;"",""))</f>
        <v/>
      </c>
      <c r="M29" s="44" t="str">
        <f>IF($B29="","",SUMIFS(Kho_SP!$H$5:$H$304,Kho_SP!$A$5:$A$304,$B29))</f>
        <v/>
      </c>
      <c r="N29" s="44" t="str">
        <f t="shared" si="2"/>
        <v/>
      </c>
      <c r="O29" s="45" t="str">
        <f t="shared" si="3"/>
        <v/>
      </c>
      <c r="P29" s="44" t="str">
        <f>IF($B29="","",SUMIFS(TK_Xuat!$E$5:$E$1004,TK_Xuat!$D$5:$D$1004,$B29,TK_Xuat!$H$5:$H$1004,1))</f>
        <v/>
      </c>
      <c r="Q29" s="44" t="str">
        <f t="shared" si="4"/>
        <v/>
      </c>
    </row>
    <row r="30" spans="1:17" x14ac:dyDescent="0.25">
      <c r="A30" s="36" t="str">
        <f t="shared" si="0"/>
        <v/>
      </c>
      <c r="B30" s="35" t="str">
        <f>IF(DM_SP!A24="","",DM_SP!A24)</f>
        <v/>
      </c>
      <c r="C30" s="35" t="str">
        <f>IF(B30="","",DM_SP!B24)</f>
        <v/>
      </c>
      <c r="D30" s="35" t="str">
        <f>IF(B30="","",DM_SP!C24)</f>
        <v/>
      </c>
      <c r="E30" s="39" t="str">
        <f>IF($B30="","",SUMIFS(Kho_SP!$B$5:$B$304,Kho_SP!$A$5:$A$304,$B30))</f>
        <v/>
      </c>
      <c r="F30" s="39" t="str">
        <f>IF($B30="","",SUMIFS(Kho_SP!$C$5:$C$304,Kho_SP!$A$5:$A$304,$B30))</f>
        <v/>
      </c>
      <c r="G30" s="39" t="str">
        <f>IF($B30="","",SUMIFS(Kho_SP!$D$5:$D$304,Kho_SP!$A$5:$A$304,$B30))</f>
        <v/>
      </c>
      <c r="H30" s="39" t="str">
        <f>IF($B30="","",SUMIFS(Kho_SP!$E$5:$E$304,Kho_SP!$A$5:$A$304,$B30))</f>
        <v/>
      </c>
      <c r="I30" s="39" t="str">
        <f>IF($B30="","",SUMIFS(Kho_SP!$F$5:$F$304,Kho_SP!$A$5:$A$304,$B30))</f>
        <v/>
      </c>
      <c r="J30" s="39" t="str">
        <f>IF($B30="","",SUMIFS(Kho_SP!$G$5:$G$304,Kho_SP!$A$5:$A$304,$B30))</f>
        <v/>
      </c>
      <c r="K30" s="39" t="str">
        <f t="shared" si="1"/>
        <v/>
      </c>
      <c r="L30" s="31" t="str">
        <f>IF($B30="","",IFERROR(INDEX(Kho_SP!$I$5:$I$304,MATCH(B30,Kho_SP!$A$5:$A$304,0))&amp;"",""))</f>
        <v/>
      </c>
      <c r="M30" s="44" t="str">
        <f>IF($B30="","",SUMIFS(Kho_SP!$H$5:$H$304,Kho_SP!$A$5:$A$304,$B30))</f>
        <v/>
      </c>
      <c r="N30" s="44" t="str">
        <f t="shared" si="2"/>
        <v/>
      </c>
      <c r="O30" s="45" t="str">
        <f t="shared" si="3"/>
        <v/>
      </c>
      <c r="P30" s="44" t="str">
        <f>IF($B30="","",SUMIFS(TK_Xuat!$E$5:$E$1004,TK_Xuat!$D$5:$D$1004,$B30,TK_Xuat!$H$5:$H$1004,1))</f>
        <v/>
      </c>
      <c r="Q30" s="44" t="str">
        <f t="shared" si="4"/>
        <v/>
      </c>
    </row>
    <row r="31" spans="1:17" x14ac:dyDescent="0.25">
      <c r="A31" s="36" t="str">
        <f t="shared" si="0"/>
        <v/>
      </c>
      <c r="B31" s="35" t="str">
        <f>IF(DM_SP!A25="","",DM_SP!A25)</f>
        <v/>
      </c>
      <c r="C31" s="35" t="str">
        <f>IF(B31="","",DM_SP!B25)</f>
        <v/>
      </c>
      <c r="D31" s="35" t="str">
        <f>IF(B31="","",DM_SP!C25)</f>
        <v/>
      </c>
      <c r="E31" s="39" t="str">
        <f>IF($B31="","",SUMIFS(Kho_SP!$B$5:$B$304,Kho_SP!$A$5:$A$304,$B31))</f>
        <v/>
      </c>
      <c r="F31" s="39" t="str">
        <f>IF($B31="","",SUMIFS(Kho_SP!$C$5:$C$304,Kho_SP!$A$5:$A$304,$B31))</f>
        <v/>
      </c>
      <c r="G31" s="39" t="str">
        <f>IF($B31="","",SUMIFS(Kho_SP!$D$5:$D$304,Kho_SP!$A$5:$A$304,$B31))</f>
        <v/>
      </c>
      <c r="H31" s="39" t="str">
        <f>IF($B31="","",SUMIFS(Kho_SP!$E$5:$E$304,Kho_SP!$A$5:$A$304,$B31))</f>
        <v/>
      </c>
      <c r="I31" s="39" t="str">
        <f>IF($B31="","",SUMIFS(Kho_SP!$F$5:$F$304,Kho_SP!$A$5:$A$304,$B31))</f>
        <v/>
      </c>
      <c r="J31" s="39" t="str">
        <f>IF($B31="","",SUMIFS(Kho_SP!$G$5:$G$304,Kho_SP!$A$5:$A$304,$B31))</f>
        <v/>
      </c>
      <c r="K31" s="39" t="str">
        <f t="shared" si="1"/>
        <v/>
      </c>
      <c r="L31" s="31" t="str">
        <f>IF($B31="","",IFERROR(INDEX(Kho_SP!$I$5:$I$304,MATCH(B31,Kho_SP!$A$5:$A$304,0))&amp;"",""))</f>
        <v/>
      </c>
      <c r="M31" s="44" t="str">
        <f>IF($B31="","",SUMIFS(Kho_SP!$H$5:$H$304,Kho_SP!$A$5:$A$304,$B31))</f>
        <v/>
      </c>
      <c r="N31" s="44" t="str">
        <f t="shared" si="2"/>
        <v/>
      </c>
      <c r="O31" s="45" t="str">
        <f t="shared" si="3"/>
        <v/>
      </c>
      <c r="P31" s="44" t="str">
        <f>IF($B31="","",SUMIFS(TK_Xuat!$E$5:$E$1004,TK_Xuat!$D$5:$D$1004,$B31,TK_Xuat!$H$5:$H$1004,1))</f>
        <v/>
      </c>
      <c r="Q31" s="44" t="str">
        <f t="shared" si="4"/>
        <v/>
      </c>
    </row>
    <row r="32" spans="1:17" x14ac:dyDescent="0.25">
      <c r="A32" s="36" t="str">
        <f t="shared" si="0"/>
        <v/>
      </c>
      <c r="B32" s="35" t="str">
        <f>IF(DM_SP!A26="","",DM_SP!A26)</f>
        <v/>
      </c>
      <c r="C32" s="35" t="str">
        <f>IF(B32="","",DM_SP!B26)</f>
        <v/>
      </c>
      <c r="D32" s="35" t="str">
        <f>IF(B32="","",DM_SP!C26)</f>
        <v/>
      </c>
      <c r="E32" s="39" t="str">
        <f>IF($B32="","",SUMIFS(Kho_SP!$B$5:$B$304,Kho_SP!$A$5:$A$304,$B32))</f>
        <v/>
      </c>
      <c r="F32" s="39" t="str">
        <f>IF($B32="","",SUMIFS(Kho_SP!$C$5:$C$304,Kho_SP!$A$5:$A$304,$B32))</f>
        <v/>
      </c>
      <c r="G32" s="39" t="str">
        <f>IF($B32="","",SUMIFS(Kho_SP!$D$5:$D$304,Kho_SP!$A$5:$A$304,$B32))</f>
        <v/>
      </c>
      <c r="H32" s="39" t="str">
        <f>IF($B32="","",SUMIFS(Kho_SP!$E$5:$E$304,Kho_SP!$A$5:$A$304,$B32))</f>
        <v/>
      </c>
      <c r="I32" s="39" t="str">
        <f>IF($B32="","",SUMIFS(Kho_SP!$F$5:$F$304,Kho_SP!$A$5:$A$304,$B32))</f>
        <v/>
      </c>
      <c r="J32" s="39" t="str">
        <f>IF($B32="","",SUMIFS(Kho_SP!$G$5:$G$304,Kho_SP!$A$5:$A$304,$B32))</f>
        <v/>
      </c>
      <c r="K32" s="39" t="str">
        <f t="shared" si="1"/>
        <v/>
      </c>
      <c r="L32" s="31" t="str">
        <f>IF($B32="","",IFERROR(INDEX(Kho_SP!$I$5:$I$304,MATCH(B32,Kho_SP!$A$5:$A$304,0))&amp;"",""))</f>
        <v/>
      </c>
      <c r="M32" s="44" t="str">
        <f>IF($B32="","",SUMIFS(Kho_SP!$H$5:$H$304,Kho_SP!$A$5:$A$304,$B32))</f>
        <v/>
      </c>
      <c r="N32" s="44" t="str">
        <f t="shared" si="2"/>
        <v/>
      </c>
      <c r="O32" s="45" t="str">
        <f t="shared" si="3"/>
        <v/>
      </c>
      <c r="P32" s="44" t="str">
        <f>IF($B32="","",SUMIFS(TK_Xuat!$E$5:$E$1004,TK_Xuat!$D$5:$D$1004,$B32,TK_Xuat!$H$5:$H$1004,1))</f>
        <v/>
      </c>
      <c r="Q32" s="44" t="str">
        <f t="shared" si="4"/>
        <v/>
      </c>
    </row>
    <row r="33" spans="1:17" x14ac:dyDescent="0.25">
      <c r="A33" s="36" t="str">
        <f t="shared" si="0"/>
        <v/>
      </c>
      <c r="B33" s="35" t="str">
        <f>IF(DM_SP!A27="","",DM_SP!A27)</f>
        <v/>
      </c>
      <c r="C33" s="35" t="str">
        <f>IF(B33="","",DM_SP!B27)</f>
        <v/>
      </c>
      <c r="D33" s="35" t="str">
        <f>IF(B33="","",DM_SP!C27)</f>
        <v/>
      </c>
      <c r="E33" s="39" t="str">
        <f>IF($B33="","",SUMIFS(Kho_SP!$B$5:$B$304,Kho_SP!$A$5:$A$304,$B33))</f>
        <v/>
      </c>
      <c r="F33" s="39" t="str">
        <f>IF($B33="","",SUMIFS(Kho_SP!$C$5:$C$304,Kho_SP!$A$5:$A$304,$B33))</f>
        <v/>
      </c>
      <c r="G33" s="39" t="str">
        <f>IF($B33="","",SUMIFS(Kho_SP!$D$5:$D$304,Kho_SP!$A$5:$A$304,$B33))</f>
        <v/>
      </c>
      <c r="H33" s="39" t="str">
        <f>IF($B33="","",SUMIFS(Kho_SP!$E$5:$E$304,Kho_SP!$A$5:$A$304,$B33))</f>
        <v/>
      </c>
      <c r="I33" s="39" t="str">
        <f>IF($B33="","",SUMIFS(Kho_SP!$F$5:$F$304,Kho_SP!$A$5:$A$304,$B33))</f>
        <v/>
      </c>
      <c r="J33" s="39" t="str">
        <f>IF($B33="","",SUMIFS(Kho_SP!$G$5:$G$304,Kho_SP!$A$5:$A$304,$B33))</f>
        <v/>
      </c>
      <c r="K33" s="39" t="str">
        <f t="shared" si="1"/>
        <v/>
      </c>
      <c r="L33" s="31" t="str">
        <f>IF($B33="","",IFERROR(INDEX(Kho_SP!$I$5:$I$304,MATCH(B33,Kho_SP!$A$5:$A$304,0))&amp;"",""))</f>
        <v/>
      </c>
      <c r="M33" s="44" t="str">
        <f>IF($B33="","",SUMIFS(Kho_SP!$H$5:$H$304,Kho_SP!$A$5:$A$304,$B33))</f>
        <v/>
      </c>
      <c r="N33" s="44" t="str">
        <f t="shared" si="2"/>
        <v/>
      </c>
      <c r="O33" s="45" t="str">
        <f t="shared" si="3"/>
        <v/>
      </c>
      <c r="P33" s="44" t="str">
        <f>IF($B33="","",SUMIFS(TK_Xuat!$E$5:$E$1004,TK_Xuat!$D$5:$D$1004,$B33,TK_Xuat!$H$5:$H$1004,1))</f>
        <v/>
      </c>
      <c r="Q33" s="44" t="str">
        <f t="shared" si="4"/>
        <v/>
      </c>
    </row>
    <row r="34" spans="1:17" x14ac:dyDescent="0.25">
      <c r="A34" s="36" t="str">
        <f t="shared" si="0"/>
        <v/>
      </c>
      <c r="B34" s="35" t="str">
        <f>IF(DM_SP!A28="","",DM_SP!A28)</f>
        <v/>
      </c>
      <c r="C34" s="35" t="str">
        <f>IF(B34="","",DM_SP!B28)</f>
        <v/>
      </c>
      <c r="D34" s="35" t="str">
        <f>IF(B34="","",DM_SP!C28)</f>
        <v/>
      </c>
      <c r="E34" s="39" t="str">
        <f>IF($B34="","",SUMIFS(Kho_SP!$B$5:$B$304,Kho_SP!$A$5:$A$304,$B34))</f>
        <v/>
      </c>
      <c r="F34" s="39" t="str">
        <f>IF($B34="","",SUMIFS(Kho_SP!$C$5:$C$304,Kho_SP!$A$5:$A$304,$B34))</f>
        <v/>
      </c>
      <c r="G34" s="39" t="str">
        <f>IF($B34="","",SUMIFS(Kho_SP!$D$5:$D$304,Kho_SP!$A$5:$A$304,$B34))</f>
        <v/>
      </c>
      <c r="H34" s="39" t="str">
        <f>IF($B34="","",SUMIFS(Kho_SP!$E$5:$E$304,Kho_SP!$A$5:$A$304,$B34))</f>
        <v/>
      </c>
      <c r="I34" s="39" t="str">
        <f>IF($B34="","",SUMIFS(Kho_SP!$F$5:$F$304,Kho_SP!$A$5:$A$304,$B34))</f>
        <v/>
      </c>
      <c r="J34" s="39" t="str">
        <f>IF($B34="","",SUMIFS(Kho_SP!$G$5:$G$304,Kho_SP!$A$5:$A$304,$B34))</f>
        <v/>
      </c>
      <c r="K34" s="39" t="str">
        <f t="shared" si="1"/>
        <v/>
      </c>
      <c r="L34" s="31" t="str">
        <f>IF($B34="","",IFERROR(INDEX(Kho_SP!$I$5:$I$304,MATCH(B34,Kho_SP!$A$5:$A$304,0))&amp;"",""))</f>
        <v/>
      </c>
      <c r="M34" s="44" t="str">
        <f>IF($B34="","",SUMIFS(Kho_SP!$H$5:$H$304,Kho_SP!$A$5:$A$304,$B34))</f>
        <v/>
      </c>
      <c r="N34" s="44" t="str">
        <f t="shared" si="2"/>
        <v/>
      </c>
      <c r="O34" s="45" t="str">
        <f t="shared" si="3"/>
        <v/>
      </c>
      <c r="P34" s="44" t="str">
        <f>IF($B34="","",SUMIFS(TK_Xuat!$E$5:$E$1004,TK_Xuat!$D$5:$D$1004,$B34,TK_Xuat!$H$5:$H$1004,1))</f>
        <v/>
      </c>
      <c r="Q34" s="44" t="str">
        <f t="shared" si="4"/>
        <v/>
      </c>
    </row>
    <row r="35" spans="1:17" x14ac:dyDescent="0.25">
      <c r="A35" s="36" t="str">
        <f t="shared" si="0"/>
        <v/>
      </c>
      <c r="B35" s="35" t="str">
        <f>IF(DM_SP!A29="","",DM_SP!A29)</f>
        <v/>
      </c>
      <c r="C35" s="35" t="str">
        <f>IF(B35="","",DM_SP!B29)</f>
        <v/>
      </c>
      <c r="D35" s="35" t="str">
        <f>IF(B35="","",DM_SP!C29)</f>
        <v/>
      </c>
      <c r="E35" s="39" t="str">
        <f>IF($B35="","",SUMIFS(Kho_SP!$B$5:$B$304,Kho_SP!$A$5:$A$304,$B35))</f>
        <v/>
      </c>
      <c r="F35" s="39" t="str">
        <f>IF($B35="","",SUMIFS(Kho_SP!$C$5:$C$304,Kho_SP!$A$5:$A$304,$B35))</f>
        <v/>
      </c>
      <c r="G35" s="39" t="str">
        <f>IF($B35="","",SUMIFS(Kho_SP!$D$5:$D$304,Kho_SP!$A$5:$A$304,$B35))</f>
        <v/>
      </c>
      <c r="H35" s="39" t="str">
        <f>IF($B35="","",SUMIFS(Kho_SP!$E$5:$E$304,Kho_SP!$A$5:$A$304,$B35))</f>
        <v/>
      </c>
      <c r="I35" s="39" t="str">
        <f>IF($B35="","",SUMIFS(Kho_SP!$F$5:$F$304,Kho_SP!$A$5:$A$304,$B35))</f>
        <v/>
      </c>
      <c r="J35" s="39" t="str">
        <f>IF($B35="","",SUMIFS(Kho_SP!$G$5:$G$304,Kho_SP!$A$5:$A$304,$B35))</f>
        <v/>
      </c>
      <c r="K35" s="39" t="str">
        <f t="shared" si="1"/>
        <v/>
      </c>
      <c r="L35" s="31" t="str">
        <f>IF($B35="","",IFERROR(INDEX(Kho_SP!$I$5:$I$304,MATCH(B35,Kho_SP!$A$5:$A$304,0))&amp;"",""))</f>
        <v/>
      </c>
      <c r="M35" s="44" t="str">
        <f>IF($B35="","",SUMIFS(Kho_SP!$H$5:$H$304,Kho_SP!$A$5:$A$304,$B35))</f>
        <v/>
      </c>
      <c r="N35" s="44" t="str">
        <f t="shared" si="2"/>
        <v/>
      </c>
      <c r="O35" s="45" t="str">
        <f t="shared" si="3"/>
        <v/>
      </c>
      <c r="P35" s="44" t="str">
        <f>IF($B35="","",SUMIFS(TK_Xuat!$E$5:$E$1004,TK_Xuat!$D$5:$D$1004,$B35,TK_Xuat!$H$5:$H$1004,1))</f>
        <v/>
      </c>
      <c r="Q35" s="44" t="str">
        <f t="shared" si="4"/>
        <v/>
      </c>
    </row>
    <row r="36" spans="1:17" x14ac:dyDescent="0.25">
      <c r="A36" s="36" t="str">
        <f t="shared" si="0"/>
        <v/>
      </c>
      <c r="B36" s="35" t="str">
        <f>IF(DM_SP!A30="","",DM_SP!A30)</f>
        <v/>
      </c>
      <c r="C36" s="35" t="str">
        <f>IF(B36="","",DM_SP!B30)</f>
        <v/>
      </c>
      <c r="D36" s="35" t="str">
        <f>IF(B36="","",DM_SP!C30)</f>
        <v/>
      </c>
      <c r="E36" s="39" t="str">
        <f>IF($B36="","",SUMIFS(Kho_SP!$B$5:$B$304,Kho_SP!$A$5:$A$304,$B36))</f>
        <v/>
      </c>
      <c r="F36" s="39" t="str">
        <f>IF($B36="","",SUMIFS(Kho_SP!$C$5:$C$304,Kho_SP!$A$5:$A$304,$B36))</f>
        <v/>
      </c>
      <c r="G36" s="39" t="str">
        <f>IF($B36="","",SUMIFS(Kho_SP!$D$5:$D$304,Kho_SP!$A$5:$A$304,$B36))</f>
        <v/>
      </c>
      <c r="H36" s="39" t="str">
        <f>IF($B36="","",SUMIFS(Kho_SP!$E$5:$E$304,Kho_SP!$A$5:$A$304,$B36))</f>
        <v/>
      </c>
      <c r="I36" s="39" t="str">
        <f>IF($B36="","",SUMIFS(Kho_SP!$F$5:$F$304,Kho_SP!$A$5:$A$304,$B36))</f>
        <v/>
      </c>
      <c r="J36" s="39" t="str">
        <f>IF($B36="","",SUMIFS(Kho_SP!$G$5:$G$304,Kho_SP!$A$5:$A$304,$B36))</f>
        <v/>
      </c>
      <c r="K36" s="39" t="str">
        <f t="shared" si="1"/>
        <v/>
      </c>
      <c r="L36" s="31" t="str">
        <f>IF($B36="","",IFERROR(INDEX(Kho_SP!$I$5:$I$304,MATCH(B36,Kho_SP!$A$5:$A$304,0))&amp;"",""))</f>
        <v/>
      </c>
      <c r="M36" s="44" t="str">
        <f>IF($B36="","",SUMIFS(Kho_SP!$H$5:$H$304,Kho_SP!$A$5:$A$304,$B36))</f>
        <v/>
      </c>
      <c r="N36" s="44" t="str">
        <f t="shared" si="2"/>
        <v/>
      </c>
      <c r="O36" s="45" t="str">
        <f t="shared" si="3"/>
        <v/>
      </c>
      <c r="P36" s="44" t="str">
        <f>IF($B36="","",SUMIFS(TK_Xuat!$E$5:$E$1004,TK_Xuat!$D$5:$D$1004,$B36,TK_Xuat!$H$5:$H$1004,1))</f>
        <v/>
      </c>
      <c r="Q36" s="44" t="str">
        <f t="shared" si="4"/>
        <v/>
      </c>
    </row>
    <row r="37" spans="1:17" x14ac:dyDescent="0.25">
      <c r="A37" s="36" t="str">
        <f t="shared" si="0"/>
        <v/>
      </c>
      <c r="B37" s="35" t="str">
        <f>IF(DM_SP!A31="","",DM_SP!A31)</f>
        <v/>
      </c>
      <c r="C37" s="35" t="str">
        <f>IF(B37="","",DM_SP!B31)</f>
        <v/>
      </c>
      <c r="D37" s="35" t="str">
        <f>IF(B37="","",DM_SP!C31)</f>
        <v/>
      </c>
      <c r="E37" s="39" t="str">
        <f>IF($B37="","",SUMIFS(Kho_SP!$B$5:$B$304,Kho_SP!$A$5:$A$304,$B37))</f>
        <v/>
      </c>
      <c r="F37" s="39" t="str">
        <f>IF($B37="","",SUMIFS(Kho_SP!$C$5:$C$304,Kho_SP!$A$5:$A$304,$B37))</f>
        <v/>
      </c>
      <c r="G37" s="39" t="str">
        <f>IF($B37="","",SUMIFS(Kho_SP!$D$5:$D$304,Kho_SP!$A$5:$A$304,$B37))</f>
        <v/>
      </c>
      <c r="H37" s="39" t="str">
        <f>IF($B37="","",SUMIFS(Kho_SP!$E$5:$E$304,Kho_SP!$A$5:$A$304,$B37))</f>
        <v/>
      </c>
      <c r="I37" s="39" t="str">
        <f>IF($B37="","",SUMIFS(Kho_SP!$F$5:$F$304,Kho_SP!$A$5:$A$304,$B37))</f>
        <v/>
      </c>
      <c r="J37" s="39" t="str">
        <f>IF($B37="","",SUMIFS(Kho_SP!$G$5:$G$304,Kho_SP!$A$5:$A$304,$B37))</f>
        <v/>
      </c>
      <c r="K37" s="39" t="str">
        <f t="shared" si="1"/>
        <v/>
      </c>
      <c r="L37" s="31" t="str">
        <f>IF($B37="","",IFERROR(INDEX(Kho_SP!$I$5:$I$304,MATCH(B37,Kho_SP!$A$5:$A$304,0))&amp;"",""))</f>
        <v/>
      </c>
      <c r="M37" s="44" t="str">
        <f>IF($B37="","",SUMIFS(Kho_SP!$H$5:$H$304,Kho_SP!$A$5:$A$304,$B37))</f>
        <v/>
      </c>
      <c r="N37" s="44" t="str">
        <f t="shared" si="2"/>
        <v/>
      </c>
      <c r="O37" s="45" t="str">
        <f t="shared" si="3"/>
        <v/>
      </c>
      <c r="P37" s="44" t="str">
        <f>IF($B37="","",SUMIFS(TK_Xuat!$E$5:$E$1004,TK_Xuat!$D$5:$D$1004,$B37,TK_Xuat!$H$5:$H$1004,1))</f>
        <v/>
      </c>
      <c r="Q37" s="44" t="str">
        <f t="shared" si="4"/>
        <v/>
      </c>
    </row>
    <row r="38" spans="1:17" x14ac:dyDescent="0.25">
      <c r="A38" s="36" t="str">
        <f t="shared" si="0"/>
        <v/>
      </c>
      <c r="B38" s="35" t="str">
        <f>IF(DM_SP!A32="","",DM_SP!A32)</f>
        <v/>
      </c>
      <c r="C38" s="35" t="str">
        <f>IF(B38="","",DM_SP!B32)</f>
        <v/>
      </c>
      <c r="D38" s="35" t="str">
        <f>IF(B38="","",DM_SP!C32)</f>
        <v/>
      </c>
      <c r="E38" s="39" t="str">
        <f>IF($B38="","",SUMIFS(Kho_SP!$B$5:$B$304,Kho_SP!$A$5:$A$304,$B38))</f>
        <v/>
      </c>
      <c r="F38" s="39" t="str">
        <f>IF($B38="","",SUMIFS(Kho_SP!$C$5:$C$304,Kho_SP!$A$5:$A$304,$B38))</f>
        <v/>
      </c>
      <c r="G38" s="39" t="str">
        <f>IF($B38="","",SUMIFS(Kho_SP!$D$5:$D$304,Kho_SP!$A$5:$A$304,$B38))</f>
        <v/>
      </c>
      <c r="H38" s="39" t="str">
        <f>IF($B38="","",SUMIFS(Kho_SP!$E$5:$E$304,Kho_SP!$A$5:$A$304,$B38))</f>
        <v/>
      </c>
      <c r="I38" s="39" t="str">
        <f>IF($B38="","",SUMIFS(Kho_SP!$F$5:$F$304,Kho_SP!$A$5:$A$304,$B38))</f>
        <v/>
      </c>
      <c r="J38" s="39" t="str">
        <f>IF($B38="","",SUMIFS(Kho_SP!$G$5:$G$304,Kho_SP!$A$5:$A$304,$B38))</f>
        <v/>
      </c>
      <c r="K38" s="39" t="str">
        <f t="shared" si="1"/>
        <v/>
      </c>
      <c r="L38" s="31" t="str">
        <f>IF($B38="","",IFERROR(INDEX(Kho_SP!$I$5:$I$304,MATCH(B38,Kho_SP!$A$5:$A$304,0))&amp;"",""))</f>
        <v/>
      </c>
      <c r="M38" s="44" t="str">
        <f>IF($B38="","",SUMIFS(Kho_SP!$H$5:$H$304,Kho_SP!$A$5:$A$304,$B38))</f>
        <v/>
      </c>
      <c r="N38" s="44" t="str">
        <f t="shared" si="2"/>
        <v/>
      </c>
      <c r="O38" s="45" t="str">
        <f t="shared" si="3"/>
        <v/>
      </c>
      <c r="P38" s="44" t="str">
        <f>IF($B38="","",SUMIFS(TK_Xuat!$E$5:$E$1004,TK_Xuat!$D$5:$D$1004,$B38,TK_Xuat!$H$5:$H$1004,1))</f>
        <v/>
      </c>
      <c r="Q38" s="44" t="str">
        <f t="shared" si="4"/>
        <v/>
      </c>
    </row>
    <row r="39" spans="1:17" x14ac:dyDescent="0.25">
      <c r="A39" s="36" t="str">
        <f t="shared" si="0"/>
        <v/>
      </c>
      <c r="B39" s="35" t="str">
        <f>IF(DM_SP!A33="","",DM_SP!A33)</f>
        <v/>
      </c>
      <c r="C39" s="35" t="str">
        <f>IF(B39="","",DM_SP!B33)</f>
        <v/>
      </c>
      <c r="D39" s="35" t="str">
        <f>IF(B39="","",DM_SP!C33)</f>
        <v/>
      </c>
      <c r="E39" s="39" t="str">
        <f>IF($B39="","",SUMIFS(Kho_SP!$B$5:$B$304,Kho_SP!$A$5:$A$304,$B39))</f>
        <v/>
      </c>
      <c r="F39" s="39" t="str">
        <f>IF($B39="","",SUMIFS(Kho_SP!$C$5:$C$304,Kho_SP!$A$5:$A$304,$B39))</f>
        <v/>
      </c>
      <c r="G39" s="39" t="str">
        <f>IF($B39="","",SUMIFS(Kho_SP!$D$5:$D$304,Kho_SP!$A$5:$A$304,$B39))</f>
        <v/>
      </c>
      <c r="H39" s="39" t="str">
        <f>IF($B39="","",SUMIFS(Kho_SP!$E$5:$E$304,Kho_SP!$A$5:$A$304,$B39))</f>
        <v/>
      </c>
      <c r="I39" s="39" t="str">
        <f>IF($B39="","",SUMIFS(Kho_SP!$F$5:$F$304,Kho_SP!$A$5:$A$304,$B39))</f>
        <v/>
      </c>
      <c r="J39" s="39" t="str">
        <f>IF($B39="","",SUMIFS(Kho_SP!$G$5:$G$304,Kho_SP!$A$5:$A$304,$B39))</f>
        <v/>
      </c>
      <c r="K39" s="39" t="str">
        <f t="shared" si="1"/>
        <v/>
      </c>
      <c r="L39" s="31" t="str">
        <f>IF($B39="","",IFERROR(INDEX(Kho_SP!$I$5:$I$304,MATCH(B39,Kho_SP!$A$5:$A$304,0))&amp;"",""))</f>
        <v/>
      </c>
      <c r="M39" s="44" t="str">
        <f>IF($B39="","",SUMIFS(Kho_SP!$H$5:$H$304,Kho_SP!$A$5:$A$304,$B39))</f>
        <v/>
      </c>
      <c r="N39" s="44" t="str">
        <f t="shared" si="2"/>
        <v/>
      </c>
      <c r="O39" s="45" t="str">
        <f t="shared" si="3"/>
        <v/>
      </c>
      <c r="P39" s="44" t="str">
        <f>IF($B39="","",SUMIFS(TK_Xuat!$E$5:$E$1004,TK_Xuat!$D$5:$D$1004,$B39,TK_Xuat!$H$5:$H$1004,1))</f>
        <v/>
      </c>
      <c r="Q39" s="44" t="str">
        <f t="shared" si="4"/>
        <v/>
      </c>
    </row>
    <row r="40" spans="1:17" x14ac:dyDescent="0.25">
      <c r="A40" s="36" t="str">
        <f t="shared" si="0"/>
        <v/>
      </c>
      <c r="B40" s="35" t="str">
        <f>IF(DM_SP!A34="","",DM_SP!A34)</f>
        <v/>
      </c>
      <c r="C40" s="35" t="str">
        <f>IF(B40="","",DM_SP!B34)</f>
        <v/>
      </c>
      <c r="D40" s="35" t="str">
        <f>IF(B40="","",DM_SP!C34)</f>
        <v/>
      </c>
      <c r="E40" s="39" t="str">
        <f>IF($B40="","",SUMIFS(Kho_SP!$B$5:$B$304,Kho_SP!$A$5:$A$304,$B40))</f>
        <v/>
      </c>
      <c r="F40" s="39" t="str">
        <f>IF($B40="","",SUMIFS(Kho_SP!$C$5:$C$304,Kho_SP!$A$5:$A$304,$B40))</f>
        <v/>
      </c>
      <c r="G40" s="39" t="str">
        <f>IF($B40="","",SUMIFS(Kho_SP!$D$5:$D$304,Kho_SP!$A$5:$A$304,$B40))</f>
        <v/>
      </c>
      <c r="H40" s="39" t="str">
        <f>IF($B40="","",SUMIFS(Kho_SP!$E$5:$E$304,Kho_SP!$A$5:$A$304,$B40))</f>
        <v/>
      </c>
      <c r="I40" s="39" t="str">
        <f>IF($B40="","",SUMIFS(Kho_SP!$F$5:$F$304,Kho_SP!$A$5:$A$304,$B40))</f>
        <v/>
      </c>
      <c r="J40" s="39" t="str">
        <f>IF($B40="","",SUMIFS(Kho_SP!$G$5:$G$304,Kho_SP!$A$5:$A$304,$B40))</f>
        <v/>
      </c>
      <c r="K40" s="39" t="str">
        <f t="shared" si="1"/>
        <v/>
      </c>
      <c r="L40" s="31" t="str">
        <f>IF($B40="","",IFERROR(INDEX(Kho_SP!$I$5:$I$304,MATCH(B40,Kho_SP!$A$5:$A$304,0))&amp;"",""))</f>
        <v/>
      </c>
      <c r="M40" s="44" t="str">
        <f>IF($B40="","",SUMIFS(Kho_SP!$H$5:$H$304,Kho_SP!$A$5:$A$304,$B40))</f>
        <v/>
      </c>
      <c r="N40" s="44" t="str">
        <f t="shared" si="2"/>
        <v/>
      </c>
      <c r="O40" s="45" t="str">
        <f t="shared" si="3"/>
        <v/>
      </c>
      <c r="P40" s="44" t="str">
        <f>IF($B40="","",SUMIFS(TK_Xuat!$E$5:$E$1004,TK_Xuat!$D$5:$D$1004,$B40,TK_Xuat!$H$5:$H$1004,1))</f>
        <v/>
      </c>
      <c r="Q40" s="44" t="str">
        <f t="shared" si="4"/>
        <v/>
      </c>
    </row>
    <row r="41" spans="1:17" x14ac:dyDescent="0.25">
      <c r="A41" s="36" t="str">
        <f t="shared" si="0"/>
        <v/>
      </c>
      <c r="B41" s="35" t="str">
        <f>IF(DM_SP!A35="","",DM_SP!A35)</f>
        <v/>
      </c>
      <c r="C41" s="35" t="str">
        <f>IF(B41="","",DM_SP!B35)</f>
        <v/>
      </c>
      <c r="D41" s="35" t="str">
        <f>IF(B41="","",DM_SP!C35)</f>
        <v/>
      </c>
      <c r="E41" s="39" t="str">
        <f>IF($B41="","",SUMIFS(Kho_SP!$B$5:$B$304,Kho_SP!$A$5:$A$304,$B41))</f>
        <v/>
      </c>
      <c r="F41" s="39" t="str">
        <f>IF($B41="","",SUMIFS(Kho_SP!$C$5:$C$304,Kho_SP!$A$5:$A$304,$B41))</f>
        <v/>
      </c>
      <c r="G41" s="39" t="str">
        <f>IF($B41="","",SUMIFS(Kho_SP!$D$5:$D$304,Kho_SP!$A$5:$A$304,$B41))</f>
        <v/>
      </c>
      <c r="H41" s="39" t="str">
        <f>IF($B41="","",SUMIFS(Kho_SP!$E$5:$E$304,Kho_SP!$A$5:$A$304,$B41))</f>
        <v/>
      </c>
      <c r="I41" s="39" t="str">
        <f>IF($B41="","",SUMIFS(Kho_SP!$F$5:$F$304,Kho_SP!$A$5:$A$304,$B41))</f>
        <v/>
      </c>
      <c r="J41" s="39" t="str">
        <f>IF($B41="","",SUMIFS(Kho_SP!$G$5:$G$304,Kho_SP!$A$5:$A$304,$B41))</f>
        <v/>
      </c>
      <c r="K41" s="39" t="str">
        <f t="shared" si="1"/>
        <v/>
      </c>
      <c r="L41" s="31" t="str">
        <f>IF($B41="","",IFERROR(INDEX(Kho_SP!$I$5:$I$304,MATCH(B41,Kho_SP!$A$5:$A$304,0))&amp;"",""))</f>
        <v/>
      </c>
      <c r="M41" s="44" t="str">
        <f>IF($B41="","",SUMIFS(Kho_SP!$H$5:$H$304,Kho_SP!$A$5:$A$304,$B41))</f>
        <v/>
      </c>
      <c r="N41" s="44" t="str">
        <f t="shared" si="2"/>
        <v/>
      </c>
      <c r="O41" s="45" t="str">
        <f t="shared" si="3"/>
        <v/>
      </c>
      <c r="P41" s="44" t="str">
        <f>IF($B41="","",SUMIFS(TK_Xuat!$E$5:$E$1004,TK_Xuat!$D$5:$D$1004,$B41,TK_Xuat!$H$5:$H$1004,1))</f>
        <v/>
      </c>
      <c r="Q41" s="44" t="str">
        <f t="shared" si="4"/>
        <v/>
      </c>
    </row>
    <row r="42" spans="1:17" x14ac:dyDescent="0.25">
      <c r="A42" s="36" t="str">
        <f t="shared" si="0"/>
        <v/>
      </c>
      <c r="B42" s="35" t="str">
        <f>IF(DM_SP!A36="","",DM_SP!A36)</f>
        <v/>
      </c>
      <c r="C42" s="35" t="str">
        <f>IF(B42="","",DM_SP!B36)</f>
        <v/>
      </c>
      <c r="D42" s="35" t="str">
        <f>IF(B42="","",DM_SP!C36)</f>
        <v/>
      </c>
      <c r="E42" s="39" t="str">
        <f>IF($B42="","",SUMIFS(Kho_SP!$B$5:$B$304,Kho_SP!$A$5:$A$304,$B42))</f>
        <v/>
      </c>
      <c r="F42" s="39" t="str">
        <f>IF($B42="","",SUMIFS(Kho_SP!$C$5:$C$304,Kho_SP!$A$5:$A$304,$B42))</f>
        <v/>
      </c>
      <c r="G42" s="39" t="str">
        <f>IF($B42="","",SUMIFS(Kho_SP!$D$5:$D$304,Kho_SP!$A$5:$A$304,$B42))</f>
        <v/>
      </c>
      <c r="H42" s="39" t="str">
        <f>IF($B42="","",SUMIFS(Kho_SP!$E$5:$E$304,Kho_SP!$A$5:$A$304,$B42))</f>
        <v/>
      </c>
      <c r="I42" s="39" t="str">
        <f>IF($B42="","",SUMIFS(Kho_SP!$F$5:$F$304,Kho_SP!$A$5:$A$304,$B42))</f>
        <v/>
      </c>
      <c r="J42" s="39" t="str">
        <f>IF($B42="","",SUMIFS(Kho_SP!$G$5:$G$304,Kho_SP!$A$5:$A$304,$B42))</f>
        <v/>
      </c>
      <c r="K42" s="39" t="str">
        <f t="shared" si="1"/>
        <v/>
      </c>
      <c r="L42" s="31" t="str">
        <f>IF($B42="","",IFERROR(INDEX(Kho_SP!$I$5:$I$304,MATCH(B42,Kho_SP!$A$5:$A$304,0))&amp;"",""))</f>
        <v/>
      </c>
      <c r="M42" s="44" t="str">
        <f>IF($B42="","",SUMIFS(Kho_SP!$H$5:$H$304,Kho_SP!$A$5:$A$304,$B42))</f>
        <v/>
      </c>
      <c r="N42" s="44" t="str">
        <f t="shared" si="2"/>
        <v/>
      </c>
      <c r="O42" s="45" t="str">
        <f t="shared" si="3"/>
        <v/>
      </c>
      <c r="P42" s="44" t="str">
        <f>IF($B42="","",SUMIFS(TK_Xuat!$E$5:$E$1004,TK_Xuat!$D$5:$D$1004,$B42,TK_Xuat!$H$5:$H$1004,1))</f>
        <v/>
      </c>
      <c r="Q42" s="44" t="str">
        <f t="shared" si="4"/>
        <v/>
      </c>
    </row>
    <row r="43" spans="1:17" x14ac:dyDescent="0.25">
      <c r="A43" s="36" t="str">
        <f t="shared" si="0"/>
        <v/>
      </c>
      <c r="B43" s="35" t="str">
        <f>IF(DM_SP!A37="","",DM_SP!A37)</f>
        <v/>
      </c>
      <c r="C43" s="35" t="str">
        <f>IF(B43="","",DM_SP!B37)</f>
        <v/>
      </c>
      <c r="D43" s="35" t="str">
        <f>IF(B43="","",DM_SP!C37)</f>
        <v/>
      </c>
      <c r="E43" s="39" t="str">
        <f>IF($B43="","",SUMIFS(Kho_SP!$B$5:$B$304,Kho_SP!$A$5:$A$304,$B43))</f>
        <v/>
      </c>
      <c r="F43" s="39" t="str">
        <f>IF($B43="","",SUMIFS(Kho_SP!$C$5:$C$304,Kho_SP!$A$5:$A$304,$B43))</f>
        <v/>
      </c>
      <c r="G43" s="39" t="str">
        <f>IF($B43="","",SUMIFS(Kho_SP!$D$5:$D$304,Kho_SP!$A$5:$A$304,$B43))</f>
        <v/>
      </c>
      <c r="H43" s="39" t="str">
        <f>IF($B43="","",SUMIFS(Kho_SP!$E$5:$E$304,Kho_SP!$A$5:$A$304,$B43))</f>
        <v/>
      </c>
      <c r="I43" s="39" t="str">
        <f>IF($B43="","",SUMIFS(Kho_SP!$F$5:$F$304,Kho_SP!$A$5:$A$304,$B43))</f>
        <v/>
      </c>
      <c r="J43" s="39" t="str">
        <f>IF($B43="","",SUMIFS(Kho_SP!$G$5:$G$304,Kho_SP!$A$5:$A$304,$B43))</f>
        <v/>
      </c>
      <c r="K43" s="39" t="str">
        <f t="shared" si="1"/>
        <v/>
      </c>
      <c r="L43" s="31" t="str">
        <f>IF($B43="","",IFERROR(INDEX(Kho_SP!$I$5:$I$304,MATCH(B43,Kho_SP!$A$5:$A$304,0))&amp;"",""))</f>
        <v/>
      </c>
      <c r="M43" s="44" t="str">
        <f>IF($B43="","",SUMIFS(Kho_SP!$H$5:$H$304,Kho_SP!$A$5:$A$304,$B43))</f>
        <v/>
      </c>
      <c r="N43" s="44" t="str">
        <f t="shared" si="2"/>
        <v/>
      </c>
      <c r="O43" s="45" t="str">
        <f t="shared" si="3"/>
        <v/>
      </c>
      <c r="P43" s="44" t="str">
        <f>IF($B43="","",SUMIFS(TK_Xuat!$E$5:$E$1004,TK_Xuat!$D$5:$D$1004,$B43,TK_Xuat!$H$5:$H$1004,1))</f>
        <v/>
      </c>
      <c r="Q43" s="44" t="str">
        <f t="shared" si="4"/>
        <v/>
      </c>
    </row>
    <row r="44" spans="1:17" x14ac:dyDescent="0.25">
      <c r="A44" s="36" t="str">
        <f t="shared" si="0"/>
        <v/>
      </c>
      <c r="B44" s="35" t="str">
        <f>IF(DM_SP!A38="","",DM_SP!A38)</f>
        <v/>
      </c>
      <c r="C44" s="35" t="str">
        <f>IF(B44="","",DM_SP!B38)</f>
        <v/>
      </c>
      <c r="D44" s="35" t="str">
        <f>IF(B44="","",DM_SP!C38)</f>
        <v/>
      </c>
      <c r="E44" s="39" t="str">
        <f>IF($B44="","",SUMIFS(Kho_SP!$B$5:$B$304,Kho_SP!$A$5:$A$304,$B44))</f>
        <v/>
      </c>
      <c r="F44" s="39" t="str">
        <f>IF($B44="","",SUMIFS(Kho_SP!$C$5:$C$304,Kho_SP!$A$5:$A$304,$B44))</f>
        <v/>
      </c>
      <c r="G44" s="39" t="str">
        <f>IF($B44="","",SUMIFS(Kho_SP!$D$5:$D$304,Kho_SP!$A$5:$A$304,$B44))</f>
        <v/>
      </c>
      <c r="H44" s="39" t="str">
        <f>IF($B44="","",SUMIFS(Kho_SP!$E$5:$E$304,Kho_SP!$A$5:$A$304,$B44))</f>
        <v/>
      </c>
      <c r="I44" s="39" t="str">
        <f>IF($B44="","",SUMIFS(Kho_SP!$F$5:$F$304,Kho_SP!$A$5:$A$304,$B44))</f>
        <v/>
      </c>
      <c r="J44" s="39" t="str">
        <f>IF($B44="","",SUMIFS(Kho_SP!$G$5:$G$304,Kho_SP!$A$5:$A$304,$B44))</f>
        <v/>
      </c>
      <c r="K44" s="39" t="str">
        <f t="shared" si="1"/>
        <v/>
      </c>
      <c r="L44" s="31" t="str">
        <f>IF($B44="","",IFERROR(INDEX(Kho_SP!$I$5:$I$304,MATCH(B44,Kho_SP!$A$5:$A$304,0))&amp;"",""))</f>
        <v/>
      </c>
      <c r="M44" s="44" t="str">
        <f>IF($B44="","",SUMIFS(Kho_SP!$H$5:$H$304,Kho_SP!$A$5:$A$304,$B44))</f>
        <v/>
      </c>
      <c r="N44" s="44" t="str">
        <f t="shared" si="2"/>
        <v/>
      </c>
      <c r="O44" s="45" t="str">
        <f t="shared" si="3"/>
        <v/>
      </c>
      <c r="P44" s="44" t="str">
        <f>IF($B44="","",SUMIFS(TK_Xuat!$E$5:$E$1004,TK_Xuat!$D$5:$D$1004,$B44,TK_Xuat!$H$5:$H$1004,1))</f>
        <v/>
      </c>
      <c r="Q44" s="44" t="str">
        <f t="shared" si="4"/>
        <v/>
      </c>
    </row>
    <row r="45" spans="1:17" x14ac:dyDescent="0.25">
      <c r="A45" s="36" t="str">
        <f t="shared" si="0"/>
        <v/>
      </c>
      <c r="B45" s="35" t="str">
        <f>IF(DM_SP!A39="","",DM_SP!A39)</f>
        <v/>
      </c>
      <c r="C45" s="35" t="str">
        <f>IF(B45="","",DM_SP!B39)</f>
        <v/>
      </c>
      <c r="D45" s="35" t="str">
        <f>IF(B45="","",DM_SP!C39)</f>
        <v/>
      </c>
      <c r="E45" s="39" t="str">
        <f>IF($B45="","",SUMIFS(Kho_SP!$B$5:$B$304,Kho_SP!$A$5:$A$304,$B45))</f>
        <v/>
      </c>
      <c r="F45" s="39" t="str">
        <f>IF($B45="","",SUMIFS(Kho_SP!$C$5:$C$304,Kho_SP!$A$5:$A$304,$B45))</f>
        <v/>
      </c>
      <c r="G45" s="39" t="str">
        <f>IF($B45="","",SUMIFS(Kho_SP!$D$5:$D$304,Kho_SP!$A$5:$A$304,$B45))</f>
        <v/>
      </c>
      <c r="H45" s="39" t="str">
        <f>IF($B45="","",SUMIFS(Kho_SP!$E$5:$E$304,Kho_SP!$A$5:$A$304,$B45))</f>
        <v/>
      </c>
      <c r="I45" s="39" t="str">
        <f>IF($B45="","",SUMIFS(Kho_SP!$F$5:$F$304,Kho_SP!$A$5:$A$304,$B45))</f>
        <v/>
      </c>
      <c r="J45" s="39" t="str">
        <f>IF($B45="","",SUMIFS(Kho_SP!$G$5:$G$304,Kho_SP!$A$5:$A$304,$B45))</f>
        <v/>
      </c>
      <c r="K45" s="39" t="str">
        <f t="shared" si="1"/>
        <v/>
      </c>
      <c r="L45" s="31" t="str">
        <f>IF($B45="","",IFERROR(INDEX(Kho_SP!$I$5:$I$304,MATCH(B45,Kho_SP!$A$5:$A$304,0))&amp;"",""))</f>
        <v/>
      </c>
      <c r="M45" s="44" t="str">
        <f>IF($B45="","",SUMIFS(Kho_SP!$H$5:$H$304,Kho_SP!$A$5:$A$304,$B45))</f>
        <v/>
      </c>
      <c r="N45" s="44" t="str">
        <f t="shared" si="2"/>
        <v/>
      </c>
      <c r="O45" s="45" t="str">
        <f t="shared" si="3"/>
        <v/>
      </c>
      <c r="P45" s="44" t="str">
        <f>IF($B45="","",SUMIFS(TK_Xuat!$E$5:$E$1004,TK_Xuat!$D$5:$D$1004,$B45,TK_Xuat!$H$5:$H$1004,1))</f>
        <v/>
      </c>
      <c r="Q45" s="44" t="str">
        <f t="shared" si="4"/>
        <v/>
      </c>
    </row>
    <row r="46" spans="1:17" x14ac:dyDescent="0.25">
      <c r="A46" s="36" t="str">
        <f t="shared" si="0"/>
        <v/>
      </c>
      <c r="B46" s="35" t="str">
        <f>IF(DM_SP!A40="","",DM_SP!A40)</f>
        <v/>
      </c>
      <c r="C46" s="35" t="str">
        <f>IF(B46="","",DM_SP!B40)</f>
        <v/>
      </c>
      <c r="D46" s="35" t="str">
        <f>IF(B46="","",DM_SP!C40)</f>
        <v/>
      </c>
      <c r="E46" s="39" t="str">
        <f>IF($B46="","",SUMIFS(Kho_SP!$B$5:$B$304,Kho_SP!$A$5:$A$304,$B46))</f>
        <v/>
      </c>
      <c r="F46" s="39" t="str">
        <f>IF($B46="","",SUMIFS(Kho_SP!$C$5:$C$304,Kho_SP!$A$5:$A$304,$B46))</f>
        <v/>
      </c>
      <c r="G46" s="39" t="str">
        <f>IF($B46="","",SUMIFS(Kho_SP!$D$5:$D$304,Kho_SP!$A$5:$A$304,$B46))</f>
        <v/>
      </c>
      <c r="H46" s="39" t="str">
        <f>IF($B46="","",SUMIFS(Kho_SP!$E$5:$E$304,Kho_SP!$A$5:$A$304,$B46))</f>
        <v/>
      </c>
      <c r="I46" s="39" t="str">
        <f>IF($B46="","",SUMIFS(Kho_SP!$F$5:$F$304,Kho_SP!$A$5:$A$304,$B46))</f>
        <v/>
      </c>
      <c r="J46" s="39" t="str">
        <f>IF($B46="","",SUMIFS(Kho_SP!$G$5:$G$304,Kho_SP!$A$5:$A$304,$B46))</f>
        <v/>
      </c>
      <c r="K46" s="39" t="str">
        <f t="shared" si="1"/>
        <v/>
      </c>
      <c r="L46" s="31" t="str">
        <f>IF($B46="","",IFERROR(INDEX(Kho_SP!$I$5:$I$304,MATCH(B46,Kho_SP!$A$5:$A$304,0))&amp;"",""))</f>
        <v/>
      </c>
      <c r="M46" s="44" t="str">
        <f>IF($B46="","",SUMIFS(Kho_SP!$H$5:$H$304,Kho_SP!$A$5:$A$304,$B46))</f>
        <v/>
      </c>
      <c r="N46" s="44" t="str">
        <f t="shared" si="2"/>
        <v/>
      </c>
      <c r="O46" s="45" t="str">
        <f t="shared" si="3"/>
        <v/>
      </c>
      <c r="P46" s="44" t="str">
        <f>IF($B46="","",SUMIFS(TK_Xuat!$E$5:$E$1004,TK_Xuat!$D$5:$D$1004,$B46,TK_Xuat!$H$5:$H$1004,1))</f>
        <v/>
      </c>
      <c r="Q46" s="44" t="str">
        <f t="shared" si="4"/>
        <v/>
      </c>
    </row>
    <row r="47" spans="1:17" x14ac:dyDescent="0.25">
      <c r="A47" s="36" t="str">
        <f t="shared" si="0"/>
        <v/>
      </c>
      <c r="B47" s="35" t="str">
        <f>IF(DM_SP!A41="","",DM_SP!A41)</f>
        <v/>
      </c>
      <c r="C47" s="35" t="str">
        <f>IF(B47="","",DM_SP!B41)</f>
        <v/>
      </c>
      <c r="D47" s="35" t="str">
        <f>IF(B47="","",DM_SP!C41)</f>
        <v/>
      </c>
      <c r="E47" s="39" t="str">
        <f>IF($B47="","",SUMIFS(Kho_SP!$B$5:$B$304,Kho_SP!$A$5:$A$304,$B47))</f>
        <v/>
      </c>
      <c r="F47" s="39" t="str">
        <f>IF($B47="","",SUMIFS(Kho_SP!$C$5:$C$304,Kho_SP!$A$5:$A$304,$B47))</f>
        <v/>
      </c>
      <c r="G47" s="39" t="str">
        <f>IF($B47="","",SUMIFS(Kho_SP!$D$5:$D$304,Kho_SP!$A$5:$A$304,$B47))</f>
        <v/>
      </c>
      <c r="H47" s="39" t="str">
        <f>IF($B47="","",SUMIFS(Kho_SP!$E$5:$E$304,Kho_SP!$A$5:$A$304,$B47))</f>
        <v/>
      </c>
      <c r="I47" s="39" t="str">
        <f>IF($B47="","",SUMIFS(Kho_SP!$F$5:$F$304,Kho_SP!$A$5:$A$304,$B47))</f>
        <v/>
      </c>
      <c r="J47" s="39" t="str">
        <f>IF($B47="","",SUMIFS(Kho_SP!$G$5:$G$304,Kho_SP!$A$5:$A$304,$B47))</f>
        <v/>
      </c>
      <c r="K47" s="39" t="str">
        <f t="shared" si="1"/>
        <v/>
      </c>
      <c r="L47" s="31" t="str">
        <f>IF($B47="","",IFERROR(INDEX(Kho_SP!$I$5:$I$304,MATCH(B47,Kho_SP!$A$5:$A$304,0))&amp;"",""))</f>
        <v/>
      </c>
      <c r="M47" s="44" t="str">
        <f>IF($B47="","",SUMIFS(Kho_SP!$H$5:$H$304,Kho_SP!$A$5:$A$304,$B47))</f>
        <v/>
      </c>
      <c r="N47" s="44" t="str">
        <f t="shared" si="2"/>
        <v/>
      </c>
      <c r="O47" s="45" t="str">
        <f t="shared" si="3"/>
        <v/>
      </c>
      <c r="P47" s="44" t="str">
        <f>IF($B47="","",SUMIFS(TK_Xuat!$E$5:$E$1004,TK_Xuat!$D$5:$D$1004,$B47,TK_Xuat!$H$5:$H$1004,1))</f>
        <v/>
      </c>
      <c r="Q47" s="44" t="str">
        <f t="shared" si="4"/>
        <v/>
      </c>
    </row>
    <row r="48" spans="1:17" x14ac:dyDescent="0.25">
      <c r="A48" s="36" t="str">
        <f t="shared" si="0"/>
        <v/>
      </c>
      <c r="B48" s="35" t="str">
        <f>IF(DM_SP!A42="","",DM_SP!A42)</f>
        <v/>
      </c>
      <c r="C48" s="35" t="str">
        <f>IF(B48="","",DM_SP!B42)</f>
        <v/>
      </c>
      <c r="D48" s="35" t="str">
        <f>IF(B48="","",DM_SP!C42)</f>
        <v/>
      </c>
      <c r="E48" s="39" t="str">
        <f>IF($B48="","",SUMIFS(Kho_SP!$B$5:$B$304,Kho_SP!$A$5:$A$304,$B48))</f>
        <v/>
      </c>
      <c r="F48" s="39" t="str">
        <f>IF($B48="","",SUMIFS(Kho_SP!$C$5:$C$304,Kho_SP!$A$5:$A$304,$B48))</f>
        <v/>
      </c>
      <c r="G48" s="39" t="str">
        <f>IF($B48="","",SUMIFS(Kho_SP!$D$5:$D$304,Kho_SP!$A$5:$A$304,$B48))</f>
        <v/>
      </c>
      <c r="H48" s="39" t="str">
        <f>IF($B48="","",SUMIFS(Kho_SP!$E$5:$E$304,Kho_SP!$A$5:$A$304,$B48))</f>
        <v/>
      </c>
      <c r="I48" s="39" t="str">
        <f>IF($B48="","",SUMIFS(Kho_SP!$F$5:$F$304,Kho_SP!$A$5:$A$304,$B48))</f>
        <v/>
      </c>
      <c r="J48" s="39" t="str">
        <f>IF($B48="","",SUMIFS(Kho_SP!$G$5:$G$304,Kho_SP!$A$5:$A$304,$B48))</f>
        <v/>
      </c>
      <c r="K48" s="39" t="str">
        <f t="shared" si="1"/>
        <v/>
      </c>
      <c r="L48" s="31" t="str">
        <f>IF($B48="","",IFERROR(INDEX(Kho_SP!$I$5:$I$304,MATCH(B48,Kho_SP!$A$5:$A$304,0))&amp;"",""))</f>
        <v/>
      </c>
      <c r="M48" s="44" t="str">
        <f>IF($B48="","",SUMIFS(Kho_SP!$H$5:$H$304,Kho_SP!$A$5:$A$304,$B48))</f>
        <v/>
      </c>
      <c r="N48" s="44" t="str">
        <f t="shared" si="2"/>
        <v/>
      </c>
      <c r="O48" s="45" t="str">
        <f t="shared" si="3"/>
        <v/>
      </c>
      <c r="P48" s="44" t="str">
        <f>IF($B48="","",SUMIFS(TK_Xuat!$E$5:$E$1004,TK_Xuat!$D$5:$D$1004,$B48,TK_Xuat!$H$5:$H$1004,1))</f>
        <v/>
      </c>
      <c r="Q48" s="44" t="str">
        <f t="shared" si="4"/>
        <v/>
      </c>
    </row>
    <row r="49" spans="1:17" x14ac:dyDescent="0.25">
      <c r="A49" s="36" t="str">
        <f t="shared" si="0"/>
        <v/>
      </c>
      <c r="B49" s="35" t="str">
        <f>IF(DM_SP!A43="","",DM_SP!A43)</f>
        <v/>
      </c>
      <c r="C49" s="35" t="str">
        <f>IF(B49="","",DM_SP!B43)</f>
        <v/>
      </c>
      <c r="D49" s="35" t="str">
        <f>IF(B49="","",DM_SP!C43)</f>
        <v/>
      </c>
      <c r="E49" s="39" t="str">
        <f>IF($B49="","",SUMIFS(Kho_SP!$B$5:$B$304,Kho_SP!$A$5:$A$304,$B49))</f>
        <v/>
      </c>
      <c r="F49" s="39" t="str">
        <f>IF($B49="","",SUMIFS(Kho_SP!$C$5:$C$304,Kho_SP!$A$5:$A$304,$B49))</f>
        <v/>
      </c>
      <c r="G49" s="39" t="str">
        <f>IF($B49="","",SUMIFS(Kho_SP!$D$5:$D$304,Kho_SP!$A$5:$A$304,$B49))</f>
        <v/>
      </c>
      <c r="H49" s="39" t="str">
        <f>IF($B49="","",SUMIFS(Kho_SP!$E$5:$E$304,Kho_SP!$A$5:$A$304,$B49))</f>
        <v/>
      </c>
      <c r="I49" s="39" t="str">
        <f>IF($B49="","",SUMIFS(Kho_SP!$F$5:$F$304,Kho_SP!$A$5:$A$304,$B49))</f>
        <v/>
      </c>
      <c r="J49" s="39" t="str">
        <f>IF($B49="","",SUMIFS(Kho_SP!$G$5:$G$304,Kho_SP!$A$5:$A$304,$B49))</f>
        <v/>
      </c>
      <c r="K49" s="39" t="str">
        <f t="shared" si="1"/>
        <v/>
      </c>
      <c r="L49" s="31" t="str">
        <f>IF($B49="","",IFERROR(INDEX(Kho_SP!$I$5:$I$304,MATCH(B49,Kho_SP!$A$5:$A$304,0))&amp;"",""))</f>
        <v/>
      </c>
      <c r="M49" s="44" t="str">
        <f>IF($B49="","",SUMIFS(Kho_SP!$H$5:$H$304,Kho_SP!$A$5:$A$304,$B49))</f>
        <v/>
      </c>
      <c r="N49" s="44" t="str">
        <f t="shared" si="2"/>
        <v/>
      </c>
      <c r="O49" s="45" t="str">
        <f t="shared" si="3"/>
        <v/>
      </c>
      <c r="P49" s="44" t="str">
        <f>IF($B49="","",SUMIFS(TK_Xuat!$E$5:$E$1004,TK_Xuat!$D$5:$D$1004,$B49,TK_Xuat!$H$5:$H$1004,1))</f>
        <v/>
      </c>
      <c r="Q49" s="44" t="str">
        <f t="shared" si="4"/>
        <v/>
      </c>
    </row>
    <row r="50" spans="1:17" x14ac:dyDescent="0.25">
      <c r="A50" s="36" t="str">
        <f t="shared" si="0"/>
        <v/>
      </c>
      <c r="B50" s="35" t="str">
        <f>IF(DM_SP!A44="","",DM_SP!A44)</f>
        <v/>
      </c>
      <c r="C50" s="35" t="str">
        <f>IF(B50="","",DM_SP!B44)</f>
        <v/>
      </c>
      <c r="D50" s="35" t="str">
        <f>IF(B50="","",DM_SP!C44)</f>
        <v/>
      </c>
      <c r="E50" s="39" t="str">
        <f>IF($B50="","",SUMIFS(Kho_SP!$B$5:$B$304,Kho_SP!$A$5:$A$304,$B50))</f>
        <v/>
      </c>
      <c r="F50" s="39" t="str">
        <f>IF($B50="","",SUMIFS(Kho_SP!$C$5:$C$304,Kho_SP!$A$5:$A$304,$B50))</f>
        <v/>
      </c>
      <c r="G50" s="39" t="str">
        <f>IF($B50="","",SUMIFS(Kho_SP!$D$5:$D$304,Kho_SP!$A$5:$A$304,$B50))</f>
        <v/>
      </c>
      <c r="H50" s="39" t="str">
        <f>IF($B50="","",SUMIFS(Kho_SP!$E$5:$E$304,Kho_SP!$A$5:$A$304,$B50))</f>
        <v/>
      </c>
      <c r="I50" s="39" t="str">
        <f>IF($B50="","",SUMIFS(Kho_SP!$F$5:$F$304,Kho_SP!$A$5:$A$304,$B50))</f>
        <v/>
      </c>
      <c r="J50" s="39" t="str">
        <f>IF($B50="","",SUMIFS(Kho_SP!$G$5:$G$304,Kho_SP!$A$5:$A$304,$B50))</f>
        <v/>
      </c>
      <c r="K50" s="39" t="str">
        <f t="shared" si="1"/>
        <v/>
      </c>
      <c r="L50" s="31" t="str">
        <f>IF($B50="","",IFERROR(INDEX(Kho_SP!$I$5:$I$304,MATCH(B50,Kho_SP!$A$5:$A$304,0))&amp;"",""))</f>
        <v/>
      </c>
      <c r="M50" s="44" t="str">
        <f>IF($B50="","",SUMIFS(Kho_SP!$H$5:$H$304,Kho_SP!$A$5:$A$304,$B50))</f>
        <v/>
      </c>
      <c r="N50" s="44" t="str">
        <f t="shared" si="2"/>
        <v/>
      </c>
      <c r="O50" s="45" t="str">
        <f t="shared" si="3"/>
        <v/>
      </c>
      <c r="P50" s="44" t="str">
        <f>IF($B50="","",SUMIFS(TK_Xuat!$E$5:$E$1004,TK_Xuat!$D$5:$D$1004,$B50,TK_Xuat!$H$5:$H$1004,1))</f>
        <v/>
      </c>
      <c r="Q50" s="44" t="str">
        <f t="shared" si="4"/>
        <v/>
      </c>
    </row>
    <row r="51" spans="1:17" x14ac:dyDescent="0.25">
      <c r="A51" s="36" t="str">
        <f t="shared" si="0"/>
        <v/>
      </c>
      <c r="B51" s="35" t="str">
        <f>IF(DM_SP!A45="","",DM_SP!A45)</f>
        <v/>
      </c>
      <c r="C51" s="35" t="str">
        <f>IF(B51="","",DM_SP!B45)</f>
        <v/>
      </c>
      <c r="D51" s="35" t="str">
        <f>IF(B51="","",DM_SP!C45)</f>
        <v/>
      </c>
      <c r="E51" s="39" t="str">
        <f>IF($B51="","",SUMIFS(Kho_SP!$B$5:$B$304,Kho_SP!$A$5:$A$304,$B51))</f>
        <v/>
      </c>
      <c r="F51" s="39" t="str">
        <f>IF($B51="","",SUMIFS(Kho_SP!$C$5:$C$304,Kho_SP!$A$5:$A$304,$B51))</f>
        <v/>
      </c>
      <c r="G51" s="39" t="str">
        <f>IF($B51="","",SUMIFS(Kho_SP!$D$5:$D$304,Kho_SP!$A$5:$A$304,$B51))</f>
        <v/>
      </c>
      <c r="H51" s="39" t="str">
        <f>IF($B51="","",SUMIFS(Kho_SP!$E$5:$E$304,Kho_SP!$A$5:$A$304,$B51))</f>
        <v/>
      </c>
      <c r="I51" s="39" t="str">
        <f>IF($B51="","",SUMIFS(Kho_SP!$F$5:$F$304,Kho_SP!$A$5:$A$304,$B51))</f>
        <v/>
      </c>
      <c r="J51" s="39" t="str">
        <f>IF($B51="","",SUMIFS(Kho_SP!$G$5:$G$304,Kho_SP!$A$5:$A$304,$B51))</f>
        <v/>
      </c>
      <c r="K51" s="39" t="str">
        <f t="shared" si="1"/>
        <v/>
      </c>
      <c r="L51" s="31" t="str">
        <f>IF($B51="","",IFERROR(INDEX(Kho_SP!$I$5:$I$304,MATCH(B51,Kho_SP!$A$5:$A$304,0))&amp;"",""))</f>
        <v/>
      </c>
      <c r="M51" s="44" t="str">
        <f>IF($B51="","",SUMIFS(Kho_SP!$H$5:$H$304,Kho_SP!$A$5:$A$304,$B51))</f>
        <v/>
      </c>
      <c r="N51" s="44" t="str">
        <f t="shared" si="2"/>
        <v/>
      </c>
      <c r="O51" s="45" t="str">
        <f t="shared" si="3"/>
        <v/>
      </c>
      <c r="P51" s="44" t="str">
        <f>IF($B51="","",SUMIFS(TK_Xuat!$E$5:$E$1004,TK_Xuat!$D$5:$D$1004,$B51,TK_Xuat!$H$5:$H$1004,1))</f>
        <v/>
      </c>
      <c r="Q51" s="44" t="str">
        <f t="shared" si="4"/>
        <v/>
      </c>
    </row>
    <row r="52" spans="1:17" x14ac:dyDescent="0.25">
      <c r="A52" s="36" t="str">
        <f t="shared" si="0"/>
        <v/>
      </c>
      <c r="B52" s="35" t="str">
        <f>IF(DM_SP!A46="","",DM_SP!A46)</f>
        <v/>
      </c>
      <c r="C52" s="35" t="str">
        <f>IF(B52="","",DM_SP!B46)</f>
        <v/>
      </c>
      <c r="D52" s="35" t="str">
        <f>IF(B52="","",DM_SP!C46)</f>
        <v/>
      </c>
      <c r="E52" s="39" t="str">
        <f>IF($B52="","",SUMIFS(Kho_SP!$B$5:$B$304,Kho_SP!$A$5:$A$304,$B52))</f>
        <v/>
      </c>
      <c r="F52" s="39" t="str">
        <f>IF($B52="","",SUMIFS(Kho_SP!$C$5:$C$304,Kho_SP!$A$5:$A$304,$B52))</f>
        <v/>
      </c>
      <c r="G52" s="39" t="str">
        <f>IF($B52="","",SUMIFS(Kho_SP!$D$5:$D$304,Kho_SP!$A$5:$A$304,$B52))</f>
        <v/>
      </c>
      <c r="H52" s="39" t="str">
        <f>IF($B52="","",SUMIFS(Kho_SP!$E$5:$E$304,Kho_SP!$A$5:$A$304,$B52))</f>
        <v/>
      </c>
      <c r="I52" s="39" t="str">
        <f>IF($B52="","",SUMIFS(Kho_SP!$F$5:$F$304,Kho_SP!$A$5:$A$304,$B52))</f>
        <v/>
      </c>
      <c r="J52" s="39" t="str">
        <f>IF($B52="","",SUMIFS(Kho_SP!$G$5:$G$304,Kho_SP!$A$5:$A$304,$B52))</f>
        <v/>
      </c>
      <c r="K52" s="39" t="str">
        <f t="shared" si="1"/>
        <v/>
      </c>
      <c r="L52" s="31" t="str">
        <f>IF($B52="","",IFERROR(INDEX(Kho_SP!$I$5:$I$304,MATCH(B52,Kho_SP!$A$5:$A$304,0))&amp;"",""))</f>
        <v/>
      </c>
      <c r="M52" s="44" t="str">
        <f>IF($B52="","",SUMIFS(Kho_SP!$H$5:$H$304,Kho_SP!$A$5:$A$304,$B52))</f>
        <v/>
      </c>
      <c r="N52" s="44" t="str">
        <f t="shared" si="2"/>
        <v/>
      </c>
      <c r="O52" s="45" t="str">
        <f t="shared" si="3"/>
        <v/>
      </c>
      <c r="P52" s="44" t="str">
        <f>IF($B52="","",SUMIFS(TK_Xuat!$E$5:$E$1004,TK_Xuat!$D$5:$D$1004,$B52,TK_Xuat!$H$5:$H$1004,1))</f>
        <v/>
      </c>
      <c r="Q52" s="44" t="str">
        <f t="shared" si="4"/>
        <v/>
      </c>
    </row>
    <row r="53" spans="1:17" x14ac:dyDescent="0.25">
      <c r="A53" s="36" t="str">
        <f t="shared" si="0"/>
        <v/>
      </c>
      <c r="B53" s="35" t="str">
        <f>IF(DM_SP!A47="","",DM_SP!A47)</f>
        <v/>
      </c>
      <c r="C53" s="35" t="str">
        <f>IF(B53="","",DM_SP!B47)</f>
        <v/>
      </c>
      <c r="D53" s="35" t="str">
        <f>IF(B53="","",DM_SP!C47)</f>
        <v/>
      </c>
      <c r="E53" s="39" t="str">
        <f>IF($B53="","",SUMIFS(Kho_SP!$B$5:$B$304,Kho_SP!$A$5:$A$304,$B53))</f>
        <v/>
      </c>
      <c r="F53" s="39" t="str">
        <f>IF($B53="","",SUMIFS(Kho_SP!$C$5:$C$304,Kho_SP!$A$5:$A$304,$B53))</f>
        <v/>
      </c>
      <c r="G53" s="39" t="str">
        <f>IF($B53="","",SUMIFS(Kho_SP!$D$5:$D$304,Kho_SP!$A$5:$A$304,$B53))</f>
        <v/>
      </c>
      <c r="H53" s="39" t="str">
        <f>IF($B53="","",SUMIFS(Kho_SP!$E$5:$E$304,Kho_SP!$A$5:$A$304,$B53))</f>
        <v/>
      </c>
      <c r="I53" s="39" t="str">
        <f>IF($B53="","",SUMIFS(Kho_SP!$F$5:$F$304,Kho_SP!$A$5:$A$304,$B53))</f>
        <v/>
      </c>
      <c r="J53" s="39" t="str">
        <f>IF($B53="","",SUMIFS(Kho_SP!$G$5:$G$304,Kho_SP!$A$5:$A$304,$B53))</f>
        <v/>
      </c>
      <c r="K53" s="39" t="str">
        <f t="shared" si="1"/>
        <v/>
      </c>
      <c r="L53" s="31" t="str">
        <f>IF($B53="","",IFERROR(INDEX(Kho_SP!$I$5:$I$304,MATCH(B53,Kho_SP!$A$5:$A$304,0))&amp;"",""))</f>
        <v/>
      </c>
      <c r="M53" s="44" t="str">
        <f>IF($B53="","",SUMIFS(Kho_SP!$H$5:$H$304,Kho_SP!$A$5:$A$304,$B53))</f>
        <v/>
      </c>
      <c r="N53" s="44" t="str">
        <f t="shared" si="2"/>
        <v/>
      </c>
      <c r="O53" s="45" t="str">
        <f t="shared" si="3"/>
        <v/>
      </c>
      <c r="P53" s="44" t="str">
        <f>IF($B53="","",SUMIFS(TK_Xuat!$E$5:$E$1004,TK_Xuat!$D$5:$D$1004,$B53,TK_Xuat!$H$5:$H$1004,1))</f>
        <v/>
      </c>
      <c r="Q53" s="44" t="str">
        <f t="shared" si="4"/>
        <v/>
      </c>
    </row>
    <row r="54" spans="1:17" x14ac:dyDescent="0.25">
      <c r="A54" s="36" t="str">
        <f t="shared" si="0"/>
        <v/>
      </c>
      <c r="B54" s="35" t="str">
        <f>IF(DM_SP!A48="","",DM_SP!A48)</f>
        <v/>
      </c>
      <c r="C54" s="35" t="str">
        <f>IF(B54="","",DM_SP!B48)</f>
        <v/>
      </c>
      <c r="D54" s="35" t="str">
        <f>IF(B54="","",DM_SP!C48)</f>
        <v/>
      </c>
      <c r="E54" s="39" t="str">
        <f>IF($B54="","",SUMIFS(Kho_SP!$B$5:$B$304,Kho_SP!$A$5:$A$304,$B54))</f>
        <v/>
      </c>
      <c r="F54" s="39" t="str">
        <f>IF($B54="","",SUMIFS(Kho_SP!$C$5:$C$304,Kho_SP!$A$5:$A$304,$B54))</f>
        <v/>
      </c>
      <c r="G54" s="39" t="str">
        <f>IF($B54="","",SUMIFS(Kho_SP!$D$5:$D$304,Kho_SP!$A$5:$A$304,$B54))</f>
        <v/>
      </c>
      <c r="H54" s="39" t="str">
        <f>IF($B54="","",SUMIFS(Kho_SP!$E$5:$E$304,Kho_SP!$A$5:$A$304,$B54))</f>
        <v/>
      </c>
      <c r="I54" s="39" t="str">
        <f>IF($B54="","",SUMIFS(Kho_SP!$F$5:$F$304,Kho_SP!$A$5:$A$304,$B54))</f>
        <v/>
      </c>
      <c r="J54" s="39" t="str">
        <f>IF($B54="","",SUMIFS(Kho_SP!$G$5:$G$304,Kho_SP!$A$5:$A$304,$B54))</f>
        <v/>
      </c>
      <c r="K54" s="39" t="str">
        <f t="shared" si="1"/>
        <v/>
      </c>
      <c r="L54" s="31" t="str">
        <f>IF($B54="","",IFERROR(INDEX(Kho_SP!$I$5:$I$304,MATCH(B54,Kho_SP!$A$5:$A$304,0))&amp;"",""))</f>
        <v/>
      </c>
      <c r="M54" s="44" t="str">
        <f>IF($B54="","",SUMIFS(Kho_SP!$H$5:$H$304,Kho_SP!$A$5:$A$304,$B54))</f>
        <v/>
      </c>
      <c r="N54" s="44" t="str">
        <f t="shared" si="2"/>
        <v/>
      </c>
      <c r="O54" s="45" t="str">
        <f t="shared" si="3"/>
        <v/>
      </c>
      <c r="P54" s="44" t="str">
        <f>IF($B54="","",SUMIFS(TK_Xuat!$E$5:$E$1004,TK_Xuat!$D$5:$D$1004,$B54,TK_Xuat!$H$5:$H$1004,1))</f>
        <v/>
      </c>
      <c r="Q54" s="44" t="str">
        <f t="shared" si="4"/>
        <v/>
      </c>
    </row>
    <row r="55" spans="1:17" x14ac:dyDescent="0.25">
      <c r="A55" s="36" t="str">
        <f t="shared" si="0"/>
        <v/>
      </c>
      <c r="B55" s="35" t="str">
        <f>IF(DM_SP!A49="","",DM_SP!A49)</f>
        <v/>
      </c>
      <c r="C55" s="35" t="str">
        <f>IF(B55="","",DM_SP!B49)</f>
        <v/>
      </c>
      <c r="D55" s="35" t="str">
        <f>IF(B55="","",DM_SP!C49)</f>
        <v/>
      </c>
      <c r="E55" s="39" t="str">
        <f>IF($B55="","",SUMIFS(Kho_SP!$B$5:$B$304,Kho_SP!$A$5:$A$304,$B55))</f>
        <v/>
      </c>
      <c r="F55" s="39" t="str">
        <f>IF($B55="","",SUMIFS(Kho_SP!$C$5:$C$304,Kho_SP!$A$5:$A$304,$B55))</f>
        <v/>
      </c>
      <c r="G55" s="39" t="str">
        <f>IF($B55="","",SUMIFS(Kho_SP!$D$5:$D$304,Kho_SP!$A$5:$A$304,$B55))</f>
        <v/>
      </c>
      <c r="H55" s="39" t="str">
        <f>IF($B55="","",SUMIFS(Kho_SP!$E$5:$E$304,Kho_SP!$A$5:$A$304,$B55))</f>
        <v/>
      </c>
      <c r="I55" s="39" t="str">
        <f>IF($B55="","",SUMIFS(Kho_SP!$F$5:$F$304,Kho_SP!$A$5:$A$304,$B55))</f>
        <v/>
      </c>
      <c r="J55" s="39" t="str">
        <f>IF($B55="","",SUMIFS(Kho_SP!$G$5:$G$304,Kho_SP!$A$5:$A$304,$B55))</f>
        <v/>
      </c>
      <c r="K55" s="39" t="str">
        <f t="shared" si="1"/>
        <v/>
      </c>
      <c r="L55" s="31" t="str">
        <f>IF($B55="","",IFERROR(INDEX(Kho_SP!$I$5:$I$304,MATCH(B55,Kho_SP!$A$5:$A$304,0))&amp;"",""))</f>
        <v/>
      </c>
      <c r="M55" s="44" t="str">
        <f>IF($B55="","",SUMIFS(Kho_SP!$H$5:$H$304,Kho_SP!$A$5:$A$304,$B55))</f>
        <v/>
      </c>
      <c r="N55" s="44" t="str">
        <f t="shared" si="2"/>
        <v/>
      </c>
      <c r="O55" s="45" t="str">
        <f t="shared" si="3"/>
        <v/>
      </c>
      <c r="P55" s="44" t="str">
        <f>IF($B55="","",SUMIFS(TK_Xuat!$E$5:$E$1004,TK_Xuat!$D$5:$D$1004,$B55,TK_Xuat!$H$5:$H$1004,1))</f>
        <v/>
      </c>
      <c r="Q55" s="44" t="str">
        <f t="shared" si="4"/>
        <v/>
      </c>
    </row>
    <row r="56" spans="1:17" x14ac:dyDescent="0.25">
      <c r="A56" s="36" t="str">
        <f t="shared" si="0"/>
        <v/>
      </c>
      <c r="B56" s="35" t="str">
        <f>IF(DM_SP!A50="","",DM_SP!A50)</f>
        <v/>
      </c>
      <c r="C56" s="35" t="str">
        <f>IF(B56="","",DM_SP!B50)</f>
        <v/>
      </c>
      <c r="D56" s="35" t="str">
        <f>IF(B56="","",DM_SP!C50)</f>
        <v/>
      </c>
      <c r="E56" s="39" t="str">
        <f>IF($B56="","",SUMIFS(Kho_SP!$B$5:$B$304,Kho_SP!$A$5:$A$304,$B56))</f>
        <v/>
      </c>
      <c r="F56" s="39" t="str">
        <f>IF($B56="","",SUMIFS(Kho_SP!$C$5:$C$304,Kho_SP!$A$5:$A$304,$B56))</f>
        <v/>
      </c>
      <c r="G56" s="39" t="str">
        <f>IF($B56="","",SUMIFS(Kho_SP!$D$5:$D$304,Kho_SP!$A$5:$A$304,$B56))</f>
        <v/>
      </c>
      <c r="H56" s="39" t="str">
        <f>IF($B56="","",SUMIFS(Kho_SP!$E$5:$E$304,Kho_SP!$A$5:$A$304,$B56))</f>
        <v/>
      </c>
      <c r="I56" s="39" t="str">
        <f>IF($B56="","",SUMIFS(Kho_SP!$F$5:$F$304,Kho_SP!$A$5:$A$304,$B56))</f>
        <v/>
      </c>
      <c r="J56" s="39" t="str">
        <f>IF($B56="","",SUMIFS(Kho_SP!$G$5:$G$304,Kho_SP!$A$5:$A$304,$B56))</f>
        <v/>
      </c>
      <c r="K56" s="39" t="str">
        <f t="shared" si="1"/>
        <v/>
      </c>
      <c r="L56" s="31" t="str">
        <f>IF($B56="","",IFERROR(INDEX(Kho_SP!$I$5:$I$304,MATCH(B56,Kho_SP!$A$5:$A$304,0))&amp;"",""))</f>
        <v/>
      </c>
      <c r="M56" s="44" t="str">
        <f>IF($B56="","",SUMIFS(Kho_SP!$H$5:$H$304,Kho_SP!$A$5:$A$304,$B56))</f>
        <v/>
      </c>
      <c r="N56" s="44" t="str">
        <f t="shared" si="2"/>
        <v/>
      </c>
      <c r="O56" s="45" t="str">
        <f t="shared" si="3"/>
        <v/>
      </c>
      <c r="P56" s="44" t="str">
        <f>IF($B56="","",SUMIFS(TK_Xuat!$E$5:$E$1004,TK_Xuat!$D$5:$D$1004,$B56,TK_Xuat!$H$5:$H$1004,1))</f>
        <v/>
      </c>
      <c r="Q56" s="44" t="str">
        <f t="shared" si="4"/>
        <v/>
      </c>
    </row>
    <row r="57" spans="1:17" x14ac:dyDescent="0.25">
      <c r="A57" s="36" t="str">
        <f t="shared" si="0"/>
        <v/>
      </c>
      <c r="B57" s="35" t="str">
        <f>IF(DM_SP!A51="","",DM_SP!A51)</f>
        <v/>
      </c>
      <c r="C57" s="35" t="str">
        <f>IF(B57="","",DM_SP!B51)</f>
        <v/>
      </c>
      <c r="D57" s="35" t="str">
        <f>IF(B57="","",DM_SP!C51)</f>
        <v/>
      </c>
      <c r="E57" s="39" t="str">
        <f>IF($B57="","",SUMIFS(Kho_SP!$B$5:$B$304,Kho_SP!$A$5:$A$304,$B57))</f>
        <v/>
      </c>
      <c r="F57" s="39" t="str">
        <f>IF($B57="","",SUMIFS(Kho_SP!$C$5:$C$304,Kho_SP!$A$5:$A$304,$B57))</f>
        <v/>
      </c>
      <c r="G57" s="39" t="str">
        <f>IF($B57="","",SUMIFS(Kho_SP!$D$5:$D$304,Kho_SP!$A$5:$A$304,$B57))</f>
        <v/>
      </c>
      <c r="H57" s="39" t="str">
        <f>IF($B57="","",SUMIFS(Kho_SP!$E$5:$E$304,Kho_SP!$A$5:$A$304,$B57))</f>
        <v/>
      </c>
      <c r="I57" s="39" t="str">
        <f>IF($B57="","",SUMIFS(Kho_SP!$F$5:$F$304,Kho_SP!$A$5:$A$304,$B57))</f>
        <v/>
      </c>
      <c r="J57" s="39" t="str">
        <f>IF($B57="","",SUMIFS(Kho_SP!$G$5:$G$304,Kho_SP!$A$5:$A$304,$B57))</f>
        <v/>
      </c>
      <c r="K57" s="39" t="str">
        <f t="shared" si="1"/>
        <v/>
      </c>
      <c r="L57" s="31" t="str">
        <f>IF($B57="","",IFERROR(INDEX(Kho_SP!$I$5:$I$304,MATCH(B57,Kho_SP!$A$5:$A$304,0))&amp;"",""))</f>
        <v/>
      </c>
      <c r="M57" s="44" t="str">
        <f>IF($B57="","",SUMIFS(Kho_SP!$H$5:$H$304,Kho_SP!$A$5:$A$304,$B57))</f>
        <v/>
      </c>
      <c r="N57" s="44" t="str">
        <f t="shared" si="2"/>
        <v/>
      </c>
      <c r="O57" s="45" t="str">
        <f t="shared" si="3"/>
        <v/>
      </c>
      <c r="P57" s="44" t="str">
        <f>IF($B57="","",SUMIFS(TK_Xuat!$E$5:$E$1004,TK_Xuat!$D$5:$D$1004,$B57,TK_Xuat!$H$5:$H$1004,1))</f>
        <v/>
      </c>
      <c r="Q57" s="44" t="str">
        <f t="shared" si="4"/>
        <v/>
      </c>
    </row>
    <row r="58" spans="1:17" x14ac:dyDescent="0.25">
      <c r="A58" s="36" t="str">
        <f t="shared" si="0"/>
        <v/>
      </c>
      <c r="B58" s="35" t="str">
        <f>IF(DM_SP!A52="","",DM_SP!A52)</f>
        <v/>
      </c>
      <c r="C58" s="35" t="str">
        <f>IF(B58="","",DM_SP!B52)</f>
        <v/>
      </c>
      <c r="D58" s="35" t="str">
        <f>IF(B58="","",DM_SP!C52)</f>
        <v/>
      </c>
      <c r="E58" s="39" t="str">
        <f>IF($B58="","",SUMIFS(Kho_SP!$B$5:$B$304,Kho_SP!$A$5:$A$304,$B58))</f>
        <v/>
      </c>
      <c r="F58" s="39" t="str">
        <f>IF($B58="","",SUMIFS(Kho_SP!$C$5:$C$304,Kho_SP!$A$5:$A$304,$B58))</f>
        <v/>
      </c>
      <c r="G58" s="39" t="str">
        <f>IF($B58="","",SUMIFS(Kho_SP!$D$5:$D$304,Kho_SP!$A$5:$A$304,$B58))</f>
        <v/>
      </c>
      <c r="H58" s="39" t="str">
        <f>IF($B58="","",SUMIFS(Kho_SP!$E$5:$E$304,Kho_SP!$A$5:$A$304,$B58))</f>
        <v/>
      </c>
      <c r="I58" s="39" t="str">
        <f>IF($B58="","",SUMIFS(Kho_SP!$F$5:$F$304,Kho_SP!$A$5:$A$304,$B58))</f>
        <v/>
      </c>
      <c r="J58" s="39" t="str">
        <f>IF($B58="","",SUMIFS(Kho_SP!$G$5:$G$304,Kho_SP!$A$5:$A$304,$B58))</f>
        <v/>
      </c>
      <c r="K58" s="39" t="str">
        <f t="shared" si="1"/>
        <v/>
      </c>
      <c r="L58" s="31" t="str">
        <f>IF($B58="","",IFERROR(INDEX(Kho_SP!$I$5:$I$304,MATCH(B58,Kho_SP!$A$5:$A$304,0))&amp;"",""))</f>
        <v/>
      </c>
      <c r="M58" s="44" t="str">
        <f>IF($B58="","",SUMIFS(Kho_SP!$H$5:$H$304,Kho_SP!$A$5:$A$304,$B58))</f>
        <v/>
      </c>
      <c r="N58" s="44" t="str">
        <f t="shared" si="2"/>
        <v/>
      </c>
      <c r="O58" s="45" t="str">
        <f t="shared" si="3"/>
        <v/>
      </c>
      <c r="P58" s="44" t="str">
        <f>IF($B58="","",SUMIFS(TK_Xuat!$E$5:$E$1004,TK_Xuat!$D$5:$D$1004,$B58,TK_Xuat!$H$5:$H$1004,1))</f>
        <v/>
      </c>
      <c r="Q58" s="44" t="str">
        <f t="shared" si="4"/>
        <v/>
      </c>
    </row>
    <row r="59" spans="1:17" x14ac:dyDescent="0.25">
      <c r="A59" s="36" t="str">
        <f t="shared" si="0"/>
        <v/>
      </c>
      <c r="B59" s="35" t="str">
        <f>IF(DM_SP!A53="","",DM_SP!A53)</f>
        <v/>
      </c>
      <c r="C59" s="35" t="str">
        <f>IF(B59="","",DM_SP!B53)</f>
        <v/>
      </c>
      <c r="D59" s="35" t="str">
        <f>IF(B59="","",DM_SP!C53)</f>
        <v/>
      </c>
      <c r="E59" s="39" t="str">
        <f>IF($B59="","",SUMIFS(Kho_SP!$B$5:$B$304,Kho_SP!$A$5:$A$304,$B59))</f>
        <v/>
      </c>
      <c r="F59" s="39" t="str">
        <f>IF($B59="","",SUMIFS(Kho_SP!$C$5:$C$304,Kho_SP!$A$5:$A$304,$B59))</f>
        <v/>
      </c>
      <c r="G59" s="39" t="str">
        <f>IF($B59="","",SUMIFS(Kho_SP!$D$5:$D$304,Kho_SP!$A$5:$A$304,$B59))</f>
        <v/>
      </c>
      <c r="H59" s="39" t="str">
        <f>IF($B59="","",SUMIFS(Kho_SP!$E$5:$E$304,Kho_SP!$A$5:$A$304,$B59))</f>
        <v/>
      </c>
      <c r="I59" s="39" t="str">
        <f>IF($B59="","",SUMIFS(Kho_SP!$F$5:$F$304,Kho_SP!$A$5:$A$304,$B59))</f>
        <v/>
      </c>
      <c r="J59" s="39" t="str">
        <f>IF($B59="","",SUMIFS(Kho_SP!$G$5:$G$304,Kho_SP!$A$5:$A$304,$B59))</f>
        <v/>
      </c>
      <c r="K59" s="39" t="str">
        <f t="shared" si="1"/>
        <v/>
      </c>
      <c r="L59" s="31" t="str">
        <f>IF($B59="","",IFERROR(INDEX(Kho_SP!$I$5:$I$304,MATCH(B59,Kho_SP!$A$5:$A$304,0))&amp;"",""))</f>
        <v/>
      </c>
      <c r="M59" s="44" t="str">
        <f>IF($B59="","",SUMIFS(Kho_SP!$H$5:$H$304,Kho_SP!$A$5:$A$304,$B59))</f>
        <v/>
      </c>
      <c r="N59" s="44" t="str">
        <f t="shared" si="2"/>
        <v/>
      </c>
      <c r="O59" s="45" t="str">
        <f t="shared" si="3"/>
        <v/>
      </c>
      <c r="P59" s="44" t="str">
        <f>IF($B59="","",SUMIFS(TK_Xuat!$E$5:$E$1004,TK_Xuat!$D$5:$D$1004,$B59,TK_Xuat!$H$5:$H$1004,1))</f>
        <v/>
      </c>
      <c r="Q59" s="44" t="str">
        <f t="shared" si="4"/>
        <v/>
      </c>
    </row>
    <row r="60" spans="1:17" x14ac:dyDescent="0.25">
      <c r="A60" s="36" t="str">
        <f t="shared" si="0"/>
        <v/>
      </c>
      <c r="B60" s="35" t="str">
        <f>IF(DM_SP!A54="","",DM_SP!A54)</f>
        <v/>
      </c>
      <c r="C60" s="35" t="str">
        <f>IF(B60="","",DM_SP!B54)</f>
        <v/>
      </c>
      <c r="D60" s="35" t="str">
        <f>IF(B60="","",DM_SP!C54)</f>
        <v/>
      </c>
      <c r="E60" s="39" t="str">
        <f>IF($B60="","",SUMIFS(Kho_SP!$B$5:$B$304,Kho_SP!$A$5:$A$304,$B60))</f>
        <v/>
      </c>
      <c r="F60" s="39" t="str">
        <f>IF($B60="","",SUMIFS(Kho_SP!$C$5:$C$304,Kho_SP!$A$5:$A$304,$B60))</f>
        <v/>
      </c>
      <c r="G60" s="39" t="str">
        <f>IF($B60="","",SUMIFS(Kho_SP!$D$5:$D$304,Kho_SP!$A$5:$A$304,$B60))</f>
        <v/>
      </c>
      <c r="H60" s="39" t="str">
        <f>IF($B60="","",SUMIFS(Kho_SP!$E$5:$E$304,Kho_SP!$A$5:$A$304,$B60))</f>
        <v/>
      </c>
      <c r="I60" s="39" t="str">
        <f>IF($B60="","",SUMIFS(Kho_SP!$F$5:$F$304,Kho_SP!$A$5:$A$304,$B60))</f>
        <v/>
      </c>
      <c r="J60" s="39" t="str">
        <f>IF($B60="","",SUMIFS(Kho_SP!$G$5:$G$304,Kho_SP!$A$5:$A$304,$B60))</f>
        <v/>
      </c>
      <c r="K60" s="39" t="str">
        <f t="shared" si="1"/>
        <v/>
      </c>
      <c r="L60" s="31" t="str">
        <f>IF($B60="","",IFERROR(INDEX(Kho_SP!$I$5:$I$304,MATCH(B60,Kho_SP!$A$5:$A$304,0))&amp;"",""))</f>
        <v/>
      </c>
      <c r="M60" s="44" t="str">
        <f>IF($B60="","",SUMIFS(Kho_SP!$H$5:$H$304,Kho_SP!$A$5:$A$304,$B60))</f>
        <v/>
      </c>
      <c r="N60" s="44" t="str">
        <f t="shared" si="2"/>
        <v/>
      </c>
      <c r="O60" s="45" t="str">
        <f t="shared" si="3"/>
        <v/>
      </c>
      <c r="P60" s="44" t="str">
        <f>IF($B60="","",SUMIFS(TK_Xuat!$E$5:$E$1004,TK_Xuat!$D$5:$D$1004,$B60,TK_Xuat!$H$5:$H$1004,1))</f>
        <v/>
      </c>
      <c r="Q60" s="44" t="str">
        <f t="shared" si="4"/>
        <v/>
      </c>
    </row>
    <row r="61" spans="1:17" x14ac:dyDescent="0.25">
      <c r="A61" s="36" t="str">
        <f t="shared" si="0"/>
        <v/>
      </c>
      <c r="B61" s="35" t="str">
        <f>IF(DM_SP!A55="","",DM_SP!A55)</f>
        <v/>
      </c>
      <c r="C61" s="35" t="str">
        <f>IF(B61="","",DM_SP!B55)</f>
        <v/>
      </c>
      <c r="D61" s="35" t="str">
        <f>IF(B61="","",DM_SP!C55)</f>
        <v/>
      </c>
      <c r="E61" s="39" t="str">
        <f>IF($B61="","",SUMIFS(Kho_SP!$B$5:$B$304,Kho_SP!$A$5:$A$304,$B61))</f>
        <v/>
      </c>
      <c r="F61" s="39" t="str">
        <f>IF($B61="","",SUMIFS(Kho_SP!$C$5:$C$304,Kho_SP!$A$5:$A$304,$B61))</f>
        <v/>
      </c>
      <c r="G61" s="39" t="str">
        <f>IF($B61="","",SUMIFS(Kho_SP!$D$5:$D$304,Kho_SP!$A$5:$A$304,$B61))</f>
        <v/>
      </c>
      <c r="H61" s="39" t="str">
        <f>IF($B61="","",SUMIFS(Kho_SP!$E$5:$E$304,Kho_SP!$A$5:$A$304,$B61))</f>
        <v/>
      </c>
      <c r="I61" s="39" t="str">
        <f>IF($B61="","",SUMIFS(Kho_SP!$F$5:$F$304,Kho_SP!$A$5:$A$304,$B61))</f>
        <v/>
      </c>
      <c r="J61" s="39" t="str">
        <f>IF($B61="","",SUMIFS(Kho_SP!$G$5:$G$304,Kho_SP!$A$5:$A$304,$B61))</f>
        <v/>
      </c>
      <c r="K61" s="39" t="str">
        <f t="shared" si="1"/>
        <v/>
      </c>
      <c r="L61" s="31" t="str">
        <f>IF($B61="","",IFERROR(INDEX(Kho_SP!$I$5:$I$304,MATCH(B61,Kho_SP!$A$5:$A$304,0))&amp;"",""))</f>
        <v/>
      </c>
      <c r="M61" s="44" t="str">
        <f>IF($B61="","",SUMIFS(Kho_SP!$H$5:$H$304,Kho_SP!$A$5:$A$304,$B61))</f>
        <v/>
      </c>
      <c r="N61" s="44" t="str">
        <f t="shared" si="2"/>
        <v/>
      </c>
      <c r="O61" s="45" t="str">
        <f t="shared" si="3"/>
        <v/>
      </c>
      <c r="P61" s="44" t="str">
        <f>IF($B61="","",SUMIFS(TK_Xuat!$E$5:$E$1004,TK_Xuat!$D$5:$D$1004,$B61,TK_Xuat!$H$5:$H$1004,1))</f>
        <v/>
      </c>
      <c r="Q61" s="44" t="str">
        <f t="shared" si="4"/>
        <v/>
      </c>
    </row>
    <row r="62" spans="1:17" x14ac:dyDescent="0.25">
      <c r="A62" s="36" t="str">
        <f t="shared" si="0"/>
        <v/>
      </c>
      <c r="B62" s="35" t="str">
        <f>IF(DM_SP!A56="","",DM_SP!A56)</f>
        <v/>
      </c>
      <c r="C62" s="35" t="str">
        <f>IF(B62="","",DM_SP!B56)</f>
        <v/>
      </c>
      <c r="D62" s="35" t="str">
        <f>IF(B62="","",DM_SP!C56)</f>
        <v/>
      </c>
      <c r="E62" s="39" t="str">
        <f>IF($B62="","",SUMIFS(Kho_SP!$B$5:$B$304,Kho_SP!$A$5:$A$304,$B62))</f>
        <v/>
      </c>
      <c r="F62" s="39" t="str">
        <f>IF($B62="","",SUMIFS(Kho_SP!$C$5:$C$304,Kho_SP!$A$5:$A$304,$B62))</f>
        <v/>
      </c>
      <c r="G62" s="39" t="str">
        <f>IF($B62="","",SUMIFS(Kho_SP!$D$5:$D$304,Kho_SP!$A$5:$A$304,$B62))</f>
        <v/>
      </c>
      <c r="H62" s="39" t="str">
        <f>IF($B62="","",SUMIFS(Kho_SP!$E$5:$E$304,Kho_SP!$A$5:$A$304,$B62))</f>
        <v/>
      </c>
      <c r="I62" s="39" t="str">
        <f>IF($B62="","",SUMIFS(Kho_SP!$F$5:$F$304,Kho_SP!$A$5:$A$304,$B62))</f>
        <v/>
      </c>
      <c r="J62" s="39" t="str">
        <f>IF($B62="","",SUMIFS(Kho_SP!$G$5:$G$304,Kho_SP!$A$5:$A$304,$B62))</f>
        <v/>
      </c>
      <c r="K62" s="39" t="str">
        <f t="shared" si="1"/>
        <v/>
      </c>
      <c r="L62" s="31" t="str">
        <f>IF($B62="","",IFERROR(INDEX(Kho_SP!$I$5:$I$304,MATCH(B62,Kho_SP!$A$5:$A$304,0))&amp;"",""))</f>
        <v/>
      </c>
      <c r="M62" s="44" t="str">
        <f>IF($B62="","",SUMIFS(Kho_SP!$H$5:$H$304,Kho_SP!$A$5:$A$304,$B62))</f>
        <v/>
      </c>
      <c r="N62" s="44" t="str">
        <f t="shared" si="2"/>
        <v/>
      </c>
      <c r="O62" s="45" t="str">
        <f t="shared" si="3"/>
        <v/>
      </c>
      <c r="P62" s="44" t="str">
        <f>IF($B62="","",SUMIFS(TK_Xuat!$E$5:$E$1004,TK_Xuat!$D$5:$D$1004,$B62,TK_Xuat!$H$5:$H$1004,1))</f>
        <v/>
      </c>
      <c r="Q62" s="44" t="str">
        <f t="shared" si="4"/>
        <v/>
      </c>
    </row>
    <row r="63" spans="1:17" x14ac:dyDescent="0.25">
      <c r="A63" s="36" t="str">
        <f t="shared" si="0"/>
        <v/>
      </c>
      <c r="B63" s="35" t="str">
        <f>IF(DM_SP!A57="","",DM_SP!A57)</f>
        <v/>
      </c>
      <c r="C63" s="35" t="str">
        <f>IF(B63="","",DM_SP!B57)</f>
        <v/>
      </c>
      <c r="D63" s="35" t="str">
        <f>IF(B63="","",DM_SP!C57)</f>
        <v/>
      </c>
      <c r="E63" s="39" t="str">
        <f>IF($B63="","",SUMIFS(Kho_SP!$B$5:$B$304,Kho_SP!$A$5:$A$304,$B63))</f>
        <v/>
      </c>
      <c r="F63" s="39" t="str">
        <f>IF($B63="","",SUMIFS(Kho_SP!$C$5:$C$304,Kho_SP!$A$5:$A$304,$B63))</f>
        <v/>
      </c>
      <c r="G63" s="39" t="str">
        <f>IF($B63="","",SUMIFS(Kho_SP!$D$5:$D$304,Kho_SP!$A$5:$A$304,$B63))</f>
        <v/>
      </c>
      <c r="H63" s="39" t="str">
        <f>IF($B63="","",SUMIFS(Kho_SP!$E$5:$E$304,Kho_SP!$A$5:$A$304,$B63))</f>
        <v/>
      </c>
      <c r="I63" s="39" t="str">
        <f>IF($B63="","",SUMIFS(Kho_SP!$F$5:$F$304,Kho_SP!$A$5:$A$304,$B63))</f>
        <v/>
      </c>
      <c r="J63" s="39" t="str">
        <f>IF($B63="","",SUMIFS(Kho_SP!$G$5:$G$304,Kho_SP!$A$5:$A$304,$B63))</f>
        <v/>
      </c>
      <c r="K63" s="39" t="str">
        <f t="shared" si="1"/>
        <v/>
      </c>
      <c r="L63" s="31" t="str">
        <f>IF($B63="","",IFERROR(INDEX(Kho_SP!$I$5:$I$304,MATCH(B63,Kho_SP!$A$5:$A$304,0))&amp;"",""))</f>
        <v/>
      </c>
      <c r="M63" s="44" t="str">
        <f>IF($B63="","",SUMIFS(Kho_SP!$H$5:$H$304,Kho_SP!$A$5:$A$304,$B63))</f>
        <v/>
      </c>
      <c r="N63" s="44" t="str">
        <f t="shared" si="2"/>
        <v/>
      </c>
      <c r="O63" s="45" t="str">
        <f t="shared" si="3"/>
        <v/>
      </c>
      <c r="P63" s="44" t="str">
        <f>IF($B63="","",SUMIFS(TK_Xuat!$E$5:$E$1004,TK_Xuat!$D$5:$D$1004,$B63,TK_Xuat!$H$5:$H$1004,1))</f>
        <v/>
      </c>
      <c r="Q63" s="44" t="str">
        <f t="shared" si="4"/>
        <v/>
      </c>
    </row>
    <row r="64" spans="1:17" x14ac:dyDescent="0.25">
      <c r="A64" s="36" t="str">
        <f t="shared" si="0"/>
        <v/>
      </c>
      <c r="B64" s="35" t="str">
        <f>IF(DM_SP!A58="","",DM_SP!A58)</f>
        <v/>
      </c>
      <c r="C64" s="35" t="str">
        <f>IF(B64="","",DM_SP!B58)</f>
        <v/>
      </c>
      <c r="D64" s="35" t="str">
        <f>IF(B64="","",DM_SP!C58)</f>
        <v/>
      </c>
      <c r="E64" s="39" t="str">
        <f>IF($B64="","",SUMIFS(Kho_SP!$B$5:$B$304,Kho_SP!$A$5:$A$304,$B64))</f>
        <v/>
      </c>
      <c r="F64" s="39" t="str">
        <f>IF($B64="","",SUMIFS(Kho_SP!$C$5:$C$304,Kho_SP!$A$5:$A$304,$B64))</f>
        <v/>
      </c>
      <c r="G64" s="39" t="str">
        <f>IF($B64="","",SUMIFS(Kho_SP!$D$5:$D$304,Kho_SP!$A$5:$A$304,$B64))</f>
        <v/>
      </c>
      <c r="H64" s="39" t="str">
        <f>IF($B64="","",SUMIFS(Kho_SP!$E$5:$E$304,Kho_SP!$A$5:$A$304,$B64))</f>
        <v/>
      </c>
      <c r="I64" s="39" t="str">
        <f>IF($B64="","",SUMIFS(Kho_SP!$F$5:$F$304,Kho_SP!$A$5:$A$304,$B64))</f>
        <v/>
      </c>
      <c r="J64" s="39" t="str">
        <f>IF($B64="","",SUMIFS(Kho_SP!$G$5:$G$304,Kho_SP!$A$5:$A$304,$B64))</f>
        <v/>
      </c>
      <c r="K64" s="39" t="str">
        <f t="shared" si="1"/>
        <v/>
      </c>
      <c r="L64" s="31" t="str">
        <f>IF($B64="","",IFERROR(INDEX(Kho_SP!$I$5:$I$304,MATCH(B64,Kho_SP!$A$5:$A$304,0))&amp;"",""))</f>
        <v/>
      </c>
      <c r="M64" s="44" t="str">
        <f>IF($B64="","",SUMIFS(Kho_SP!$H$5:$H$304,Kho_SP!$A$5:$A$304,$B64))</f>
        <v/>
      </c>
      <c r="N64" s="44" t="str">
        <f t="shared" si="2"/>
        <v/>
      </c>
      <c r="O64" s="45" t="str">
        <f t="shared" si="3"/>
        <v/>
      </c>
      <c r="P64" s="44" t="str">
        <f>IF($B64="","",SUMIFS(TK_Xuat!$E$5:$E$1004,TK_Xuat!$D$5:$D$1004,$B64,TK_Xuat!$H$5:$H$1004,1))</f>
        <v/>
      </c>
      <c r="Q64" s="44" t="str">
        <f t="shared" si="4"/>
        <v/>
      </c>
    </row>
    <row r="65" spans="1:17" x14ac:dyDescent="0.25">
      <c r="A65" s="36" t="str">
        <f t="shared" si="0"/>
        <v/>
      </c>
      <c r="B65" s="35" t="str">
        <f>IF(DM_SP!A59="","",DM_SP!A59)</f>
        <v/>
      </c>
      <c r="C65" s="35" t="str">
        <f>IF(B65="","",DM_SP!B59)</f>
        <v/>
      </c>
      <c r="D65" s="35" t="str">
        <f>IF(B65="","",DM_SP!C59)</f>
        <v/>
      </c>
      <c r="E65" s="39" t="str">
        <f>IF($B65="","",SUMIFS(Kho_SP!$B$5:$B$304,Kho_SP!$A$5:$A$304,$B65))</f>
        <v/>
      </c>
      <c r="F65" s="39" t="str">
        <f>IF($B65="","",SUMIFS(Kho_SP!$C$5:$C$304,Kho_SP!$A$5:$A$304,$B65))</f>
        <v/>
      </c>
      <c r="G65" s="39" t="str">
        <f>IF($B65="","",SUMIFS(Kho_SP!$D$5:$D$304,Kho_SP!$A$5:$A$304,$B65))</f>
        <v/>
      </c>
      <c r="H65" s="39" t="str">
        <f>IF($B65="","",SUMIFS(Kho_SP!$E$5:$E$304,Kho_SP!$A$5:$A$304,$B65))</f>
        <v/>
      </c>
      <c r="I65" s="39" t="str">
        <f>IF($B65="","",SUMIFS(Kho_SP!$F$5:$F$304,Kho_SP!$A$5:$A$304,$B65))</f>
        <v/>
      </c>
      <c r="J65" s="39" t="str">
        <f>IF($B65="","",SUMIFS(Kho_SP!$G$5:$G$304,Kho_SP!$A$5:$A$304,$B65))</f>
        <v/>
      </c>
      <c r="K65" s="39" t="str">
        <f t="shared" si="1"/>
        <v/>
      </c>
      <c r="L65" s="31" t="str">
        <f>IF($B65="","",IFERROR(INDEX(Kho_SP!$I$5:$I$304,MATCH(B65,Kho_SP!$A$5:$A$304,0))&amp;"",""))</f>
        <v/>
      </c>
      <c r="M65" s="44" t="str">
        <f>IF($B65="","",SUMIFS(Kho_SP!$H$5:$H$304,Kho_SP!$A$5:$A$304,$B65))</f>
        <v/>
      </c>
      <c r="N65" s="44" t="str">
        <f t="shared" si="2"/>
        <v/>
      </c>
      <c r="O65" s="45" t="str">
        <f t="shared" si="3"/>
        <v/>
      </c>
      <c r="P65" s="44" t="str">
        <f>IF($B65="","",SUMIFS(TK_Xuat!$E$5:$E$1004,TK_Xuat!$D$5:$D$1004,$B65,TK_Xuat!$H$5:$H$1004,1))</f>
        <v/>
      </c>
      <c r="Q65" s="44" t="str">
        <f t="shared" si="4"/>
        <v/>
      </c>
    </row>
    <row r="66" spans="1:17" x14ac:dyDescent="0.25">
      <c r="A66" s="36" t="str">
        <f t="shared" si="0"/>
        <v/>
      </c>
      <c r="B66" s="35" t="str">
        <f>IF(DM_SP!A60="","",DM_SP!A60)</f>
        <v/>
      </c>
      <c r="C66" s="35" t="str">
        <f>IF(B66="","",DM_SP!B60)</f>
        <v/>
      </c>
      <c r="D66" s="35" t="str">
        <f>IF(B66="","",DM_SP!C60)</f>
        <v/>
      </c>
      <c r="E66" s="39" t="str">
        <f>IF($B66="","",SUMIFS(Kho_SP!$B$5:$B$304,Kho_SP!$A$5:$A$304,$B66))</f>
        <v/>
      </c>
      <c r="F66" s="39" t="str">
        <f>IF($B66="","",SUMIFS(Kho_SP!$C$5:$C$304,Kho_SP!$A$5:$A$304,$B66))</f>
        <v/>
      </c>
      <c r="G66" s="39" t="str">
        <f>IF($B66="","",SUMIFS(Kho_SP!$D$5:$D$304,Kho_SP!$A$5:$A$304,$B66))</f>
        <v/>
      </c>
      <c r="H66" s="39" t="str">
        <f>IF($B66="","",SUMIFS(Kho_SP!$E$5:$E$304,Kho_SP!$A$5:$A$304,$B66))</f>
        <v/>
      </c>
      <c r="I66" s="39" t="str">
        <f>IF($B66="","",SUMIFS(Kho_SP!$F$5:$F$304,Kho_SP!$A$5:$A$304,$B66))</f>
        <v/>
      </c>
      <c r="J66" s="39" t="str">
        <f>IF($B66="","",SUMIFS(Kho_SP!$G$5:$G$304,Kho_SP!$A$5:$A$304,$B66))</f>
        <v/>
      </c>
      <c r="K66" s="39" t="str">
        <f t="shared" si="1"/>
        <v/>
      </c>
      <c r="L66" s="31" t="str">
        <f>IF($B66="","",IFERROR(INDEX(Kho_SP!$I$5:$I$304,MATCH(B66,Kho_SP!$A$5:$A$304,0))&amp;"",""))</f>
        <v/>
      </c>
      <c r="M66" s="44" t="str">
        <f>IF($B66="","",SUMIFS(Kho_SP!$H$5:$H$304,Kho_SP!$A$5:$A$304,$B66))</f>
        <v/>
      </c>
      <c r="N66" s="44" t="str">
        <f t="shared" si="2"/>
        <v/>
      </c>
      <c r="O66" s="45" t="str">
        <f t="shared" si="3"/>
        <v/>
      </c>
      <c r="P66" s="44" t="str">
        <f>IF($B66="","",SUMIFS(TK_Xuat!$E$5:$E$1004,TK_Xuat!$D$5:$D$1004,$B66,TK_Xuat!$H$5:$H$1004,1))</f>
        <v/>
      </c>
      <c r="Q66" s="44" t="str">
        <f t="shared" si="4"/>
        <v/>
      </c>
    </row>
    <row r="67" spans="1:17" x14ac:dyDescent="0.25">
      <c r="A67" s="36" t="str">
        <f t="shared" si="0"/>
        <v/>
      </c>
      <c r="B67" s="35" t="str">
        <f>IF(DM_SP!A61="","",DM_SP!A61)</f>
        <v/>
      </c>
      <c r="C67" s="35" t="str">
        <f>IF(B67="","",DM_SP!B61)</f>
        <v/>
      </c>
      <c r="D67" s="35" t="str">
        <f>IF(B67="","",DM_SP!C61)</f>
        <v/>
      </c>
      <c r="E67" s="39" t="str">
        <f>IF($B67="","",SUMIFS(Kho_SP!$B$5:$B$304,Kho_SP!$A$5:$A$304,$B67))</f>
        <v/>
      </c>
      <c r="F67" s="39" t="str">
        <f>IF($B67="","",SUMIFS(Kho_SP!$C$5:$C$304,Kho_SP!$A$5:$A$304,$B67))</f>
        <v/>
      </c>
      <c r="G67" s="39" t="str">
        <f>IF($B67="","",SUMIFS(Kho_SP!$D$5:$D$304,Kho_SP!$A$5:$A$304,$B67))</f>
        <v/>
      </c>
      <c r="H67" s="39" t="str">
        <f>IF($B67="","",SUMIFS(Kho_SP!$E$5:$E$304,Kho_SP!$A$5:$A$304,$B67))</f>
        <v/>
      </c>
      <c r="I67" s="39" t="str">
        <f>IF($B67="","",SUMIFS(Kho_SP!$F$5:$F$304,Kho_SP!$A$5:$A$304,$B67))</f>
        <v/>
      </c>
      <c r="J67" s="39" t="str">
        <f>IF($B67="","",SUMIFS(Kho_SP!$G$5:$G$304,Kho_SP!$A$5:$A$304,$B67))</f>
        <v/>
      </c>
      <c r="K67" s="39" t="str">
        <f t="shared" si="1"/>
        <v/>
      </c>
      <c r="L67" s="31" t="str">
        <f>IF($B67="","",IFERROR(INDEX(Kho_SP!$I$5:$I$304,MATCH(B67,Kho_SP!$A$5:$A$304,0))&amp;"",""))</f>
        <v/>
      </c>
      <c r="M67" s="44" t="str">
        <f>IF($B67="","",SUMIFS(Kho_SP!$H$5:$H$304,Kho_SP!$A$5:$A$304,$B67))</f>
        <v/>
      </c>
      <c r="N67" s="44" t="str">
        <f t="shared" si="2"/>
        <v/>
      </c>
      <c r="O67" s="45" t="str">
        <f t="shared" si="3"/>
        <v/>
      </c>
      <c r="P67" s="44" t="str">
        <f>IF($B67="","",SUMIFS(TK_Xuat!$E$5:$E$1004,TK_Xuat!$D$5:$D$1004,$B67,TK_Xuat!$H$5:$H$1004,1))</f>
        <v/>
      </c>
      <c r="Q67" s="44" t="str">
        <f t="shared" si="4"/>
        <v/>
      </c>
    </row>
    <row r="68" spans="1:17" x14ac:dyDescent="0.25">
      <c r="A68" s="36" t="str">
        <f t="shared" si="0"/>
        <v/>
      </c>
      <c r="B68" s="35" t="str">
        <f>IF(DM_SP!A62="","",DM_SP!A62)</f>
        <v/>
      </c>
      <c r="C68" s="35" t="str">
        <f>IF(B68="","",DM_SP!B62)</f>
        <v/>
      </c>
      <c r="D68" s="35" t="str">
        <f>IF(B68="","",DM_SP!C62)</f>
        <v/>
      </c>
      <c r="E68" s="39" t="str">
        <f>IF($B68="","",SUMIFS(Kho_SP!$B$5:$B$304,Kho_SP!$A$5:$A$304,$B68))</f>
        <v/>
      </c>
      <c r="F68" s="39" t="str">
        <f>IF($B68="","",SUMIFS(Kho_SP!$C$5:$C$304,Kho_SP!$A$5:$A$304,$B68))</f>
        <v/>
      </c>
      <c r="G68" s="39" t="str">
        <f>IF($B68="","",SUMIFS(Kho_SP!$D$5:$D$304,Kho_SP!$A$5:$A$304,$B68))</f>
        <v/>
      </c>
      <c r="H68" s="39" t="str">
        <f>IF($B68="","",SUMIFS(Kho_SP!$E$5:$E$304,Kho_SP!$A$5:$A$304,$B68))</f>
        <v/>
      </c>
      <c r="I68" s="39" t="str">
        <f>IF($B68="","",SUMIFS(Kho_SP!$F$5:$F$304,Kho_SP!$A$5:$A$304,$B68))</f>
        <v/>
      </c>
      <c r="J68" s="39" t="str">
        <f>IF($B68="","",SUMIFS(Kho_SP!$G$5:$G$304,Kho_SP!$A$5:$A$304,$B68))</f>
        <v/>
      </c>
      <c r="K68" s="39" t="str">
        <f t="shared" si="1"/>
        <v/>
      </c>
      <c r="L68" s="31" t="str">
        <f>IF($B68="","",IFERROR(INDEX(Kho_SP!$I$5:$I$304,MATCH(B68,Kho_SP!$A$5:$A$304,0))&amp;"",""))</f>
        <v/>
      </c>
      <c r="M68" s="44" t="str">
        <f>IF($B68="","",SUMIFS(Kho_SP!$H$5:$H$304,Kho_SP!$A$5:$A$304,$B68))</f>
        <v/>
      </c>
      <c r="N68" s="44" t="str">
        <f t="shared" si="2"/>
        <v/>
      </c>
      <c r="O68" s="45" t="str">
        <f t="shared" si="3"/>
        <v/>
      </c>
      <c r="P68" s="44" t="str">
        <f>IF($B68="","",SUMIFS(TK_Xuat!$E$5:$E$1004,TK_Xuat!$D$5:$D$1004,$B68,TK_Xuat!$H$5:$H$1004,1))</f>
        <v/>
      </c>
      <c r="Q68" s="44" t="str">
        <f t="shared" si="4"/>
        <v/>
      </c>
    </row>
    <row r="69" spans="1:17" x14ac:dyDescent="0.25">
      <c r="A69" s="36" t="str">
        <f t="shared" si="0"/>
        <v/>
      </c>
      <c r="B69" s="35" t="str">
        <f>IF(DM_SP!A63="","",DM_SP!A63)</f>
        <v/>
      </c>
      <c r="C69" s="35" t="str">
        <f>IF(B69="","",DM_SP!B63)</f>
        <v/>
      </c>
      <c r="D69" s="35" t="str">
        <f>IF(B69="","",DM_SP!C63)</f>
        <v/>
      </c>
      <c r="E69" s="39" t="str">
        <f>IF($B69="","",SUMIFS(Kho_SP!$B$5:$B$304,Kho_SP!$A$5:$A$304,$B69))</f>
        <v/>
      </c>
      <c r="F69" s="39" t="str">
        <f>IF($B69="","",SUMIFS(Kho_SP!$C$5:$C$304,Kho_SP!$A$5:$A$304,$B69))</f>
        <v/>
      </c>
      <c r="G69" s="39" t="str">
        <f>IF($B69="","",SUMIFS(Kho_SP!$D$5:$D$304,Kho_SP!$A$5:$A$304,$B69))</f>
        <v/>
      </c>
      <c r="H69" s="39" t="str">
        <f>IF($B69="","",SUMIFS(Kho_SP!$E$5:$E$304,Kho_SP!$A$5:$A$304,$B69))</f>
        <v/>
      </c>
      <c r="I69" s="39" t="str">
        <f>IF($B69="","",SUMIFS(Kho_SP!$F$5:$F$304,Kho_SP!$A$5:$A$304,$B69))</f>
        <v/>
      </c>
      <c r="J69" s="39" t="str">
        <f>IF($B69="","",SUMIFS(Kho_SP!$G$5:$G$304,Kho_SP!$A$5:$A$304,$B69))</f>
        <v/>
      </c>
      <c r="K69" s="39" t="str">
        <f t="shared" si="1"/>
        <v/>
      </c>
      <c r="L69" s="31" t="str">
        <f>IF($B69="","",IFERROR(INDEX(Kho_SP!$I$5:$I$304,MATCH(B69,Kho_SP!$A$5:$A$304,0))&amp;"",""))</f>
        <v/>
      </c>
      <c r="M69" s="44" t="str">
        <f>IF($B69="","",SUMIFS(Kho_SP!$H$5:$H$304,Kho_SP!$A$5:$A$304,$B69))</f>
        <v/>
      </c>
      <c r="N69" s="44" t="str">
        <f t="shared" si="2"/>
        <v/>
      </c>
      <c r="O69" s="45" t="str">
        <f t="shared" si="3"/>
        <v/>
      </c>
      <c r="P69" s="44" t="str">
        <f>IF($B69="","",SUMIFS(TK_Xuat!$E$5:$E$1004,TK_Xuat!$D$5:$D$1004,$B69,TK_Xuat!$H$5:$H$1004,1))</f>
        <v/>
      </c>
      <c r="Q69" s="44" t="str">
        <f t="shared" si="4"/>
        <v/>
      </c>
    </row>
    <row r="70" spans="1:17" x14ac:dyDescent="0.25">
      <c r="A70" s="36" t="str">
        <f t="shared" si="0"/>
        <v/>
      </c>
      <c r="B70" s="35" t="str">
        <f>IF(DM_SP!A64="","",DM_SP!A64)</f>
        <v/>
      </c>
      <c r="C70" s="35" t="str">
        <f>IF(B70="","",DM_SP!B64)</f>
        <v/>
      </c>
      <c r="D70" s="35" t="str">
        <f>IF(B70="","",DM_SP!C64)</f>
        <v/>
      </c>
      <c r="E70" s="39" t="str">
        <f>IF($B70="","",SUMIFS(Kho_SP!$B$5:$B$304,Kho_SP!$A$5:$A$304,$B70))</f>
        <v/>
      </c>
      <c r="F70" s="39" t="str">
        <f>IF($B70="","",SUMIFS(Kho_SP!$C$5:$C$304,Kho_SP!$A$5:$A$304,$B70))</f>
        <v/>
      </c>
      <c r="G70" s="39" t="str">
        <f>IF($B70="","",SUMIFS(Kho_SP!$D$5:$D$304,Kho_SP!$A$5:$A$304,$B70))</f>
        <v/>
      </c>
      <c r="H70" s="39" t="str">
        <f>IF($B70="","",SUMIFS(Kho_SP!$E$5:$E$304,Kho_SP!$A$5:$A$304,$B70))</f>
        <v/>
      </c>
      <c r="I70" s="39" t="str">
        <f>IF($B70="","",SUMIFS(Kho_SP!$F$5:$F$304,Kho_SP!$A$5:$A$304,$B70))</f>
        <v/>
      </c>
      <c r="J70" s="39" t="str">
        <f>IF($B70="","",SUMIFS(Kho_SP!$G$5:$G$304,Kho_SP!$A$5:$A$304,$B70))</f>
        <v/>
      </c>
      <c r="K70" s="39" t="str">
        <f t="shared" si="1"/>
        <v/>
      </c>
      <c r="L70" s="31" t="str">
        <f>IF($B70="","",IFERROR(INDEX(Kho_SP!$I$5:$I$304,MATCH(B70,Kho_SP!$A$5:$A$304,0))&amp;"",""))</f>
        <v/>
      </c>
      <c r="M70" s="44" t="str">
        <f>IF($B70="","",SUMIFS(Kho_SP!$H$5:$H$304,Kho_SP!$A$5:$A$304,$B70))</f>
        <v/>
      </c>
      <c r="N70" s="44" t="str">
        <f t="shared" si="2"/>
        <v/>
      </c>
      <c r="O70" s="45" t="str">
        <f t="shared" si="3"/>
        <v/>
      </c>
      <c r="P70" s="44" t="str">
        <f>IF($B70="","",SUMIFS(TK_Xuat!$E$5:$E$1004,TK_Xuat!$D$5:$D$1004,$B70,TK_Xuat!$H$5:$H$1004,1))</f>
        <v/>
      </c>
      <c r="Q70" s="44" t="str">
        <f t="shared" si="4"/>
        <v/>
      </c>
    </row>
    <row r="71" spans="1:17" x14ac:dyDescent="0.25">
      <c r="A71" s="36" t="str">
        <f t="shared" si="0"/>
        <v/>
      </c>
      <c r="B71" s="35" t="str">
        <f>IF(DM_SP!A65="","",DM_SP!A65)</f>
        <v/>
      </c>
      <c r="C71" s="35" t="str">
        <f>IF(B71="","",DM_SP!B65)</f>
        <v/>
      </c>
      <c r="D71" s="35" t="str">
        <f>IF(B71="","",DM_SP!C65)</f>
        <v/>
      </c>
      <c r="E71" s="39" t="str">
        <f>IF($B71="","",SUMIFS(Kho_SP!$B$5:$B$304,Kho_SP!$A$5:$A$304,$B71))</f>
        <v/>
      </c>
      <c r="F71" s="39" t="str">
        <f>IF($B71="","",SUMIFS(Kho_SP!$C$5:$C$304,Kho_SP!$A$5:$A$304,$B71))</f>
        <v/>
      </c>
      <c r="G71" s="39" t="str">
        <f>IF($B71="","",SUMIFS(Kho_SP!$D$5:$D$304,Kho_SP!$A$5:$A$304,$B71))</f>
        <v/>
      </c>
      <c r="H71" s="39" t="str">
        <f>IF($B71="","",SUMIFS(Kho_SP!$E$5:$E$304,Kho_SP!$A$5:$A$304,$B71))</f>
        <v/>
      </c>
      <c r="I71" s="39" t="str">
        <f>IF($B71="","",SUMIFS(Kho_SP!$F$5:$F$304,Kho_SP!$A$5:$A$304,$B71))</f>
        <v/>
      </c>
      <c r="J71" s="39" t="str">
        <f>IF($B71="","",SUMIFS(Kho_SP!$G$5:$G$304,Kho_SP!$A$5:$A$304,$B71))</f>
        <v/>
      </c>
      <c r="K71" s="39" t="str">
        <f t="shared" si="1"/>
        <v/>
      </c>
      <c r="L71" s="31" t="str">
        <f>IF($B71="","",IFERROR(INDEX(Kho_SP!$I$5:$I$304,MATCH(B71,Kho_SP!$A$5:$A$304,0))&amp;"",""))</f>
        <v/>
      </c>
      <c r="M71" s="44" t="str">
        <f>IF($B71="","",SUMIFS(Kho_SP!$H$5:$H$304,Kho_SP!$A$5:$A$304,$B71))</f>
        <v/>
      </c>
      <c r="N71" s="44" t="str">
        <f t="shared" si="2"/>
        <v/>
      </c>
      <c r="O71" s="45" t="str">
        <f t="shared" si="3"/>
        <v/>
      </c>
      <c r="P71" s="44" t="str">
        <f>IF($B71="","",SUMIFS(TK_Xuat!$E$5:$E$1004,TK_Xuat!$D$5:$D$1004,$B71,TK_Xuat!$H$5:$H$1004,1))</f>
        <v/>
      </c>
      <c r="Q71" s="44" t="str">
        <f t="shared" si="4"/>
        <v/>
      </c>
    </row>
    <row r="72" spans="1:17" x14ac:dyDescent="0.25">
      <c r="A72" s="36" t="str">
        <f t="shared" si="0"/>
        <v/>
      </c>
      <c r="B72" s="35" t="str">
        <f>IF(DM_SP!A66="","",DM_SP!A66)</f>
        <v/>
      </c>
      <c r="C72" s="35" t="str">
        <f>IF(B72="","",DM_SP!B66)</f>
        <v/>
      </c>
      <c r="D72" s="35" t="str">
        <f>IF(B72="","",DM_SP!C66)</f>
        <v/>
      </c>
      <c r="E72" s="39" t="str">
        <f>IF($B72="","",SUMIFS(Kho_SP!$B$5:$B$304,Kho_SP!$A$5:$A$304,$B72))</f>
        <v/>
      </c>
      <c r="F72" s="39" t="str">
        <f>IF($B72="","",SUMIFS(Kho_SP!$C$5:$C$304,Kho_SP!$A$5:$A$304,$B72))</f>
        <v/>
      </c>
      <c r="G72" s="39" t="str">
        <f>IF($B72="","",SUMIFS(Kho_SP!$D$5:$D$304,Kho_SP!$A$5:$A$304,$B72))</f>
        <v/>
      </c>
      <c r="H72" s="39" t="str">
        <f>IF($B72="","",SUMIFS(Kho_SP!$E$5:$E$304,Kho_SP!$A$5:$A$304,$B72))</f>
        <v/>
      </c>
      <c r="I72" s="39" t="str">
        <f>IF($B72="","",SUMIFS(Kho_SP!$F$5:$F$304,Kho_SP!$A$5:$A$304,$B72))</f>
        <v/>
      </c>
      <c r="J72" s="39" t="str">
        <f>IF($B72="","",SUMIFS(Kho_SP!$G$5:$G$304,Kho_SP!$A$5:$A$304,$B72))</f>
        <v/>
      </c>
      <c r="K72" s="39" t="str">
        <f t="shared" si="1"/>
        <v/>
      </c>
      <c r="L72" s="31" t="str">
        <f>IF($B72="","",IFERROR(INDEX(Kho_SP!$I$5:$I$304,MATCH(B72,Kho_SP!$A$5:$A$304,0))&amp;"",""))</f>
        <v/>
      </c>
      <c r="M72" s="44" t="str">
        <f>IF($B72="","",SUMIFS(Kho_SP!$H$5:$H$304,Kho_SP!$A$5:$A$304,$B72))</f>
        <v/>
      </c>
      <c r="N72" s="44" t="str">
        <f t="shared" si="2"/>
        <v/>
      </c>
      <c r="O72" s="45" t="str">
        <f t="shared" si="3"/>
        <v/>
      </c>
      <c r="P72" s="44" t="str">
        <f>IF($B72="","",SUMIFS(TK_Xuat!$E$5:$E$1004,TK_Xuat!$D$5:$D$1004,$B72,TK_Xuat!$H$5:$H$1004,1))</f>
        <v/>
      </c>
      <c r="Q72" s="44" t="str">
        <f t="shared" si="4"/>
        <v/>
      </c>
    </row>
    <row r="73" spans="1:17" x14ac:dyDescent="0.25">
      <c r="A73" s="36" t="str">
        <f t="shared" si="0"/>
        <v/>
      </c>
      <c r="B73" s="35" t="str">
        <f>IF(DM_SP!A67="","",DM_SP!A67)</f>
        <v/>
      </c>
      <c r="C73" s="35" t="str">
        <f>IF(B73="","",DM_SP!B67)</f>
        <v/>
      </c>
      <c r="D73" s="35" t="str">
        <f>IF(B73="","",DM_SP!C67)</f>
        <v/>
      </c>
      <c r="E73" s="39" t="str">
        <f>IF($B73="","",SUMIFS(Kho_SP!$B$5:$B$304,Kho_SP!$A$5:$A$304,$B73))</f>
        <v/>
      </c>
      <c r="F73" s="39" t="str">
        <f>IF($B73="","",SUMIFS(Kho_SP!$C$5:$C$304,Kho_SP!$A$5:$A$304,$B73))</f>
        <v/>
      </c>
      <c r="G73" s="39" t="str">
        <f>IF($B73="","",SUMIFS(Kho_SP!$D$5:$D$304,Kho_SP!$A$5:$A$304,$B73))</f>
        <v/>
      </c>
      <c r="H73" s="39" t="str">
        <f>IF($B73="","",SUMIFS(Kho_SP!$E$5:$E$304,Kho_SP!$A$5:$A$304,$B73))</f>
        <v/>
      </c>
      <c r="I73" s="39" t="str">
        <f>IF($B73="","",SUMIFS(Kho_SP!$F$5:$F$304,Kho_SP!$A$5:$A$304,$B73))</f>
        <v/>
      </c>
      <c r="J73" s="39" t="str">
        <f>IF($B73="","",SUMIFS(Kho_SP!$G$5:$G$304,Kho_SP!$A$5:$A$304,$B73))</f>
        <v/>
      </c>
      <c r="K73" s="39" t="str">
        <f t="shared" si="1"/>
        <v/>
      </c>
      <c r="L73" s="31" t="str">
        <f>IF($B73="","",IFERROR(INDEX(Kho_SP!$I$5:$I$304,MATCH(B73,Kho_SP!$A$5:$A$304,0))&amp;"",""))</f>
        <v/>
      </c>
      <c r="M73" s="44" t="str">
        <f>IF($B73="","",SUMIFS(Kho_SP!$H$5:$H$304,Kho_SP!$A$5:$A$304,$B73))</f>
        <v/>
      </c>
      <c r="N73" s="44" t="str">
        <f t="shared" si="2"/>
        <v/>
      </c>
      <c r="O73" s="45" t="str">
        <f t="shared" si="3"/>
        <v/>
      </c>
      <c r="P73" s="44" t="str">
        <f>IF($B73="","",SUMIFS(TK_Xuat!$E$5:$E$1004,TK_Xuat!$D$5:$D$1004,$B73,TK_Xuat!$H$5:$H$1004,1))</f>
        <v/>
      </c>
      <c r="Q73" s="44" t="str">
        <f t="shared" si="4"/>
        <v/>
      </c>
    </row>
    <row r="74" spans="1:17" x14ac:dyDescent="0.25">
      <c r="A74" s="36" t="str">
        <f t="shared" si="0"/>
        <v/>
      </c>
      <c r="B74" s="35" t="str">
        <f>IF(DM_SP!A68="","",DM_SP!A68)</f>
        <v/>
      </c>
      <c r="C74" s="35" t="str">
        <f>IF(B74="","",DM_SP!B68)</f>
        <v/>
      </c>
      <c r="D74" s="35" t="str">
        <f>IF(B74="","",DM_SP!C68)</f>
        <v/>
      </c>
      <c r="E74" s="39" t="str">
        <f>IF($B74="","",SUMIFS(Kho_SP!$B$5:$B$304,Kho_SP!$A$5:$A$304,$B74))</f>
        <v/>
      </c>
      <c r="F74" s="39" t="str">
        <f>IF($B74="","",SUMIFS(Kho_SP!$C$5:$C$304,Kho_SP!$A$5:$A$304,$B74))</f>
        <v/>
      </c>
      <c r="G74" s="39" t="str">
        <f>IF($B74="","",SUMIFS(Kho_SP!$D$5:$D$304,Kho_SP!$A$5:$A$304,$B74))</f>
        <v/>
      </c>
      <c r="H74" s="39" t="str">
        <f>IF($B74="","",SUMIFS(Kho_SP!$E$5:$E$304,Kho_SP!$A$5:$A$304,$B74))</f>
        <v/>
      </c>
      <c r="I74" s="39" t="str">
        <f>IF($B74="","",SUMIFS(Kho_SP!$F$5:$F$304,Kho_SP!$A$5:$A$304,$B74))</f>
        <v/>
      </c>
      <c r="J74" s="39" t="str">
        <f>IF($B74="","",SUMIFS(Kho_SP!$G$5:$G$304,Kho_SP!$A$5:$A$304,$B74))</f>
        <v/>
      </c>
      <c r="K74" s="39" t="str">
        <f t="shared" si="1"/>
        <v/>
      </c>
      <c r="L74" s="31" t="str">
        <f>IF($B74="","",IFERROR(INDEX(Kho_SP!$I$5:$I$304,MATCH(B74,Kho_SP!$A$5:$A$304,0))&amp;"",""))</f>
        <v/>
      </c>
      <c r="M74" s="44" t="str">
        <f>IF($B74="","",SUMIFS(Kho_SP!$H$5:$H$304,Kho_SP!$A$5:$A$304,$B74))</f>
        <v/>
      </c>
      <c r="N74" s="44" t="str">
        <f t="shared" si="2"/>
        <v/>
      </c>
      <c r="O74" s="45" t="str">
        <f t="shared" si="3"/>
        <v/>
      </c>
      <c r="P74" s="44" t="str">
        <f>IF($B74="","",SUMIFS(TK_Xuat!$E$5:$E$1004,TK_Xuat!$D$5:$D$1004,$B74,TK_Xuat!$H$5:$H$1004,1))</f>
        <v/>
      </c>
      <c r="Q74" s="44" t="str">
        <f t="shared" si="4"/>
        <v/>
      </c>
    </row>
    <row r="75" spans="1:17" x14ac:dyDescent="0.25">
      <c r="A75" s="36" t="str">
        <f t="shared" ref="A75:A138" si="5">IF(B75="","",ROW()-10)</f>
        <v/>
      </c>
      <c r="B75" s="35" t="str">
        <f>IF(DM_SP!A69="","",DM_SP!A69)</f>
        <v/>
      </c>
      <c r="C75" s="35" t="str">
        <f>IF(B75="","",DM_SP!B69)</f>
        <v/>
      </c>
      <c r="D75" s="35" t="str">
        <f>IF(B75="","",DM_SP!C69)</f>
        <v/>
      </c>
      <c r="E75" s="39" t="str">
        <f>IF($B75="","",SUMIFS(Kho_SP!$B$5:$B$304,Kho_SP!$A$5:$A$304,$B75))</f>
        <v/>
      </c>
      <c r="F75" s="39" t="str">
        <f>IF($B75="","",SUMIFS(Kho_SP!$C$5:$C$304,Kho_SP!$A$5:$A$304,$B75))</f>
        <v/>
      </c>
      <c r="G75" s="39" t="str">
        <f>IF($B75="","",SUMIFS(Kho_SP!$D$5:$D$304,Kho_SP!$A$5:$A$304,$B75))</f>
        <v/>
      </c>
      <c r="H75" s="39" t="str">
        <f>IF($B75="","",SUMIFS(Kho_SP!$E$5:$E$304,Kho_SP!$A$5:$A$304,$B75))</f>
        <v/>
      </c>
      <c r="I75" s="39" t="str">
        <f>IF($B75="","",SUMIFS(Kho_SP!$F$5:$F$304,Kho_SP!$A$5:$A$304,$B75))</f>
        <v/>
      </c>
      <c r="J75" s="39" t="str">
        <f>IF($B75="","",SUMIFS(Kho_SP!$G$5:$G$304,Kho_SP!$A$5:$A$304,$B75))</f>
        <v/>
      </c>
      <c r="K75" s="39" t="str">
        <f t="shared" ref="K75:K138" si="6">IF($B75="","",E75+F75+G75-H75-I75-J75)</f>
        <v/>
      </c>
      <c r="L75" s="31" t="str">
        <f>IF($B75="","",IFERROR(INDEX(Kho_SP!$I$5:$I$304,MATCH(B75,Kho_SP!$A$5:$A$304,0))&amp;"",""))</f>
        <v/>
      </c>
      <c r="M75" s="44" t="str">
        <f>IF($B75="","",SUMIFS(Kho_SP!$H$5:$H$304,Kho_SP!$A$5:$A$304,$B75))</f>
        <v/>
      </c>
      <c r="N75" s="44" t="str">
        <f t="shared" ref="N75:N138" si="7">IF($B75="","",K75-M75)</f>
        <v/>
      </c>
      <c r="O75" s="45" t="str">
        <f t="shared" ref="O75:O138" si="8">IF($B75="","",IF(ABS(N75)&lt;0.000001,"Khớp","Lệch"))</f>
        <v/>
      </c>
      <c r="P75" s="44" t="str">
        <f>IF($B75="","",SUMIFS(TK_Xuat!$E$5:$E$1004,TK_Xuat!$D$5:$D$1004,$B75,TK_Xuat!$H$5:$H$1004,1))</f>
        <v/>
      </c>
      <c r="Q75" s="44" t="str">
        <f t="shared" ref="Q75:Q138" si="9">IF($B75="","",I75-P75)</f>
        <v/>
      </c>
    </row>
    <row r="76" spans="1:17" x14ac:dyDescent="0.25">
      <c r="A76" s="36" t="str">
        <f t="shared" si="5"/>
        <v/>
      </c>
      <c r="B76" s="35" t="str">
        <f>IF(DM_SP!A70="","",DM_SP!A70)</f>
        <v/>
      </c>
      <c r="C76" s="35" t="str">
        <f>IF(B76="","",DM_SP!B70)</f>
        <v/>
      </c>
      <c r="D76" s="35" t="str">
        <f>IF(B76="","",DM_SP!C70)</f>
        <v/>
      </c>
      <c r="E76" s="39" t="str">
        <f>IF($B76="","",SUMIFS(Kho_SP!$B$5:$B$304,Kho_SP!$A$5:$A$304,$B76))</f>
        <v/>
      </c>
      <c r="F76" s="39" t="str">
        <f>IF($B76="","",SUMIFS(Kho_SP!$C$5:$C$304,Kho_SP!$A$5:$A$304,$B76))</f>
        <v/>
      </c>
      <c r="G76" s="39" t="str">
        <f>IF($B76="","",SUMIFS(Kho_SP!$D$5:$D$304,Kho_SP!$A$5:$A$304,$B76))</f>
        <v/>
      </c>
      <c r="H76" s="39" t="str">
        <f>IF($B76="","",SUMIFS(Kho_SP!$E$5:$E$304,Kho_SP!$A$5:$A$304,$B76))</f>
        <v/>
      </c>
      <c r="I76" s="39" t="str">
        <f>IF($B76="","",SUMIFS(Kho_SP!$F$5:$F$304,Kho_SP!$A$5:$A$304,$B76))</f>
        <v/>
      </c>
      <c r="J76" s="39" t="str">
        <f>IF($B76="","",SUMIFS(Kho_SP!$G$5:$G$304,Kho_SP!$A$5:$A$304,$B76))</f>
        <v/>
      </c>
      <c r="K76" s="39" t="str">
        <f t="shared" si="6"/>
        <v/>
      </c>
      <c r="L76" s="31" t="str">
        <f>IF($B76="","",IFERROR(INDEX(Kho_SP!$I$5:$I$304,MATCH(B76,Kho_SP!$A$5:$A$304,0))&amp;"",""))</f>
        <v/>
      </c>
      <c r="M76" s="44" t="str">
        <f>IF($B76="","",SUMIFS(Kho_SP!$H$5:$H$304,Kho_SP!$A$5:$A$304,$B76))</f>
        <v/>
      </c>
      <c r="N76" s="44" t="str">
        <f t="shared" si="7"/>
        <v/>
      </c>
      <c r="O76" s="45" t="str">
        <f t="shared" si="8"/>
        <v/>
      </c>
      <c r="P76" s="44" t="str">
        <f>IF($B76="","",SUMIFS(TK_Xuat!$E$5:$E$1004,TK_Xuat!$D$5:$D$1004,$B76,TK_Xuat!$H$5:$H$1004,1))</f>
        <v/>
      </c>
      <c r="Q76" s="44" t="str">
        <f t="shared" si="9"/>
        <v/>
      </c>
    </row>
    <row r="77" spans="1:17" x14ac:dyDescent="0.25">
      <c r="A77" s="36" t="str">
        <f t="shared" si="5"/>
        <v/>
      </c>
      <c r="B77" s="35" t="str">
        <f>IF(DM_SP!A71="","",DM_SP!A71)</f>
        <v/>
      </c>
      <c r="C77" s="35" t="str">
        <f>IF(B77="","",DM_SP!B71)</f>
        <v/>
      </c>
      <c r="D77" s="35" t="str">
        <f>IF(B77="","",DM_SP!C71)</f>
        <v/>
      </c>
      <c r="E77" s="39" t="str">
        <f>IF($B77="","",SUMIFS(Kho_SP!$B$5:$B$304,Kho_SP!$A$5:$A$304,$B77))</f>
        <v/>
      </c>
      <c r="F77" s="39" t="str">
        <f>IF($B77="","",SUMIFS(Kho_SP!$C$5:$C$304,Kho_SP!$A$5:$A$304,$B77))</f>
        <v/>
      </c>
      <c r="G77" s="39" t="str">
        <f>IF($B77="","",SUMIFS(Kho_SP!$D$5:$D$304,Kho_SP!$A$5:$A$304,$B77))</f>
        <v/>
      </c>
      <c r="H77" s="39" t="str">
        <f>IF($B77="","",SUMIFS(Kho_SP!$E$5:$E$304,Kho_SP!$A$5:$A$304,$B77))</f>
        <v/>
      </c>
      <c r="I77" s="39" t="str">
        <f>IF($B77="","",SUMIFS(Kho_SP!$F$5:$F$304,Kho_SP!$A$5:$A$304,$B77))</f>
        <v/>
      </c>
      <c r="J77" s="39" t="str">
        <f>IF($B77="","",SUMIFS(Kho_SP!$G$5:$G$304,Kho_SP!$A$5:$A$304,$B77))</f>
        <v/>
      </c>
      <c r="K77" s="39" t="str">
        <f t="shared" si="6"/>
        <v/>
      </c>
      <c r="L77" s="31" t="str">
        <f>IF($B77="","",IFERROR(INDEX(Kho_SP!$I$5:$I$304,MATCH(B77,Kho_SP!$A$5:$A$304,0))&amp;"",""))</f>
        <v/>
      </c>
      <c r="M77" s="44" t="str">
        <f>IF($B77="","",SUMIFS(Kho_SP!$H$5:$H$304,Kho_SP!$A$5:$A$304,$B77))</f>
        <v/>
      </c>
      <c r="N77" s="44" t="str">
        <f t="shared" si="7"/>
        <v/>
      </c>
      <c r="O77" s="45" t="str">
        <f t="shared" si="8"/>
        <v/>
      </c>
      <c r="P77" s="44" t="str">
        <f>IF($B77="","",SUMIFS(TK_Xuat!$E$5:$E$1004,TK_Xuat!$D$5:$D$1004,$B77,TK_Xuat!$H$5:$H$1004,1))</f>
        <v/>
      </c>
      <c r="Q77" s="44" t="str">
        <f t="shared" si="9"/>
        <v/>
      </c>
    </row>
    <row r="78" spans="1:17" x14ac:dyDescent="0.25">
      <c r="A78" s="36" t="str">
        <f t="shared" si="5"/>
        <v/>
      </c>
      <c r="B78" s="35" t="str">
        <f>IF(DM_SP!A72="","",DM_SP!A72)</f>
        <v/>
      </c>
      <c r="C78" s="35" t="str">
        <f>IF(B78="","",DM_SP!B72)</f>
        <v/>
      </c>
      <c r="D78" s="35" t="str">
        <f>IF(B78="","",DM_SP!C72)</f>
        <v/>
      </c>
      <c r="E78" s="39" t="str">
        <f>IF($B78="","",SUMIFS(Kho_SP!$B$5:$B$304,Kho_SP!$A$5:$A$304,$B78))</f>
        <v/>
      </c>
      <c r="F78" s="39" t="str">
        <f>IF($B78="","",SUMIFS(Kho_SP!$C$5:$C$304,Kho_SP!$A$5:$A$304,$B78))</f>
        <v/>
      </c>
      <c r="G78" s="39" t="str">
        <f>IF($B78="","",SUMIFS(Kho_SP!$D$5:$D$304,Kho_SP!$A$5:$A$304,$B78))</f>
        <v/>
      </c>
      <c r="H78" s="39" t="str">
        <f>IF($B78="","",SUMIFS(Kho_SP!$E$5:$E$304,Kho_SP!$A$5:$A$304,$B78))</f>
        <v/>
      </c>
      <c r="I78" s="39" t="str">
        <f>IF($B78="","",SUMIFS(Kho_SP!$F$5:$F$304,Kho_SP!$A$5:$A$304,$B78))</f>
        <v/>
      </c>
      <c r="J78" s="39" t="str">
        <f>IF($B78="","",SUMIFS(Kho_SP!$G$5:$G$304,Kho_SP!$A$5:$A$304,$B78))</f>
        <v/>
      </c>
      <c r="K78" s="39" t="str">
        <f t="shared" si="6"/>
        <v/>
      </c>
      <c r="L78" s="31" t="str">
        <f>IF($B78="","",IFERROR(INDEX(Kho_SP!$I$5:$I$304,MATCH(B78,Kho_SP!$A$5:$A$304,0))&amp;"",""))</f>
        <v/>
      </c>
      <c r="M78" s="44" t="str">
        <f>IF($B78="","",SUMIFS(Kho_SP!$H$5:$H$304,Kho_SP!$A$5:$A$304,$B78))</f>
        <v/>
      </c>
      <c r="N78" s="44" t="str">
        <f t="shared" si="7"/>
        <v/>
      </c>
      <c r="O78" s="45" t="str">
        <f t="shared" si="8"/>
        <v/>
      </c>
      <c r="P78" s="44" t="str">
        <f>IF($B78="","",SUMIFS(TK_Xuat!$E$5:$E$1004,TK_Xuat!$D$5:$D$1004,$B78,TK_Xuat!$H$5:$H$1004,1))</f>
        <v/>
      </c>
      <c r="Q78" s="44" t="str">
        <f t="shared" si="9"/>
        <v/>
      </c>
    </row>
    <row r="79" spans="1:17" x14ac:dyDescent="0.25">
      <c r="A79" s="36" t="str">
        <f t="shared" si="5"/>
        <v/>
      </c>
      <c r="B79" s="35" t="str">
        <f>IF(DM_SP!A73="","",DM_SP!A73)</f>
        <v/>
      </c>
      <c r="C79" s="35" t="str">
        <f>IF(B79="","",DM_SP!B73)</f>
        <v/>
      </c>
      <c r="D79" s="35" t="str">
        <f>IF(B79="","",DM_SP!C73)</f>
        <v/>
      </c>
      <c r="E79" s="39" t="str">
        <f>IF($B79="","",SUMIFS(Kho_SP!$B$5:$B$304,Kho_SP!$A$5:$A$304,$B79))</f>
        <v/>
      </c>
      <c r="F79" s="39" t="str">
        <f>IF($B79="","",SUMIFS(Kho_SP!$C$5:$C$304,Kho_SP!$A$5:$A$304,$B79))</f>
        <v/>
      </c>
      <c r="G79" s="39" t="str">
        <f>IF($B79="","",SUMIFS(Kho_SP!$D$5:$D$304,Kho_SP!$A$5:$A$304,$B79))</f>
        <v/>
      </c>
      <c r="H79" s="39" t="str">
        <f>IF($B79="","",SUMIFS(Kho_SP!$E$5:$E$304,Kho_SP!$A$5:$A$304,$B79))</f>
        <v/>
      </c>
      <c r="I79" s="39" t="str">
        <f>IF($B79="","",SUMIFS(Kho_SP!$F$5:$F$304,Kho_SP!$A$5:$A$304,$B79))</f>
        <v/>
      </c>
      <c r="J79" s="39" t="str">
        <f>IF($B79="","",SUMIFS(Kho_SP!$G$5:$G$304,Kho_SP!$A$5:$A$304,$B79))</f>
        <v/>
      </c>
      <c r="K79" s="39" t="str">
        <f t="shared" si="6"/>
        <v/>
      </c>
      <c r="L79" s="31" t="str">
        <f>IF($B79="","",IFERROR(INDEX(Kho_SP!$I$5:$I$304,MATCH(B79,Kho_SP!$A$5:$A$304,0))&amp;"",""))</f>
        <v/>
      </c>
      <c r="M79" s="44" t="str">
        <f>IF($B79="","",SUMIFS(Kho_SP!$H$5:$H$304,Kho_SP!$A$5:$A$304,$B79))</f>
        <v/>
      </c>
      <c r="N79" s="44" t="str">
        <f t="shared" si="7"/>
        <v/>
      </c>
      <c r="O79" s="45" t="str">
        <f t="shared" si="8"/>
        <v/>
      </c>
      <c r="P79" s="44" t="str">
        <f>IF($B79="","",SUMIFS(TK_Xuat!$E$5:$E$1004,TK_Xuat!$D$5:$D$1004,$B79,TK_Xuat!$H$5:$H$1004,1))</f>
        <v/>
      </c>
      <c r="Q79" s="44" t="str">
        <f t="shared" si="9"/>
        <v/>
      </c>
    </row>
    <row r="80" spans="1:17" x14ac:dyDescent="0.25">
      <c r="A80" s="36" t="str">
        <f t="shared" si="5"/>
        <v/>
      </c>
      <c r="B80" s="35" t="str">
        <f>IF(DM_SP!A74="","",DM_SP!A74)</f>
        <v/>
      </c>
      <c r="C80" s="35" t="str">
        <f>IF(B80="","",DM_SP!B74)</f>
        <v/>
      </c>
      <c r="D80" s="35" t="str">
        <f>IF(B80="","",DM_SP!C74)</f>
        <v/>
      </c>
      <c r="E80" s="39" t="str">
        <f>IF($B80="","",SUMIFS(Kho_SP!$B$5:$B$304,Kho_SP!$A$5:$A$304,$B80))</f>
        <v/>
      </c>
      <c r="F80" s="39" t="str">
        <f>IF($B80="","",SUMIFS(Kho_SP!$C$5:$C$304,Kho_SP!$A$5:$A$304,$B80))</f>
        <v/>
      </c>
      <c r="G80" s="39" t="str">
        <f>IF($B80="","",SUMIFS(Kho_SP!$D$5:$D$304,Kho_SP!$A$5:$A$304,$B80))</f>
        <v/>
      </c>
      <c r="H80" s="39" t="str">
        <f>IF($B80="","",SUMIFS(Kho_SP!$E$5:$E$304,Kho_SP!$A$5:$A$304,$B80))</f>
        <v/>
      </c>
      <c r="I80" s="39" t="str">
        <f>IF($B80="","",SUMIFS(Kho_SP!$F$5:$F$304,Kho_SP!$A$5:$A$304,$B80))</f>
        <v/>
      </c>
      <c r="J80" s="39" t="str">
        <f>IF($B80="","",SUMIFS(Kho_SP!$G$5:$G$304,Kho_SP!$A$5:$A$304,$B80))</f>
        <v/>
      </c>
      <c r="K80" s="39" t="str">
        <f t="shared" si="6"/>
        <v/>
      </c>
      <c r="L80" s="31" t="str">
        <f>IF($B80="","",IFERROR(INDEX(Kho_SP!$I$5:$I$304,MATCH(B80,Kho_SP!$A$5:$A$304,0))&amp;"",""))</f>
        <v/>
      </c>
      <c r="M80" s="44" t="str">
        <f>IF($B80="","",SUMIFS(Kho_SP!$H$5:$H$304,Kho_SP!$A$5:$A$304,$B80))</f>
        <v/>
      </c>
      <c r="N80" s="44" t="str">
        <f t="shared" si="7"/>
        <v/>
      </c>
      <c r="O80" s="45" t="str">
        <f t="shared" si="8"/>
        <v/>
      </c>
      <c r="P80" s="44" t="str">
        <f>IF($B80="","",SUMIFS(TK_Xuat!$E$5:$E$1004,TK_Xuat!$D$5:$D$1004,$B80,TK_Xuat!$H$5:$H$1004,1))</f>
        <v/>
      </c>
      <c r="Q80" s="44" t="str">
        <f t="shared" si="9"/>
        <v/>
      </c>
    </row>
    <row r="81" spans="1:17" x14ac:dyDescent="0.25">
      <c r="A81" s="36" t="str">
        <f t="shared" si="5"/>
        <v/>
      </c>
      <c r="B81" s="35" t="str">
        <f>IF(DM_SP!A75="","",DM_SP!A75)</f>
        <v/>
      </c>
      <c r="C81" s="35" t="str">
        <f>IF(B81="","",DM_SP!B75)</f>
        <v/>
      </c>
      <c r="D81" s="35" t="str">
        <f>IF(B81="","",DM_SP!C75)</f>
        <v/>
      </c>
      <c r="E81" s="39" t="str">
        <f>IF($B81="","",SUMIFS(Kho_SP!$B$5:$B$304,Kho_SP!$A$5:$A$304,$B81))</f>
        <v/>
      </c>
      <c r="F81" s="39" t="str">
        <f>IF($B81="","",SUMIFS(Kho_SP!$C$5:$C$304,Kho_SP!$A$5:$A$304,$B81))</f>
        <v/>
      </c>
      <c r="G81" s="39" t="str">
        <f>IF($B81="","",SUMIFS(Kho_SP!$D$5:$D$304,Kho_SP!$A$5:$A$304,$B81))</f>
        <v/>
      </c>
      <c r="H81" s="39" t="str">
        <f>IF($B81="","",SUMIFS(Kho_SP!$E$5:$E$304,Kho_SP!$A$5:$A$304,$B81))</f>
        <v/>
      </c>
      <c r="I81" s="39" t="str">
        <f>IF($B81="","",SUMIFS(Kho_SP!$F$5:$F$304,Kho_SP!$A$5:$A$304,$B81))</f>
        <v/>
      </c>
      <c r="J81" s="39" t="str">
        <f>IF($B81="","",SUMIFS(Kho_SP!$G$5:$G$304,Kho_SP!$A$5:$A$304,$B81))</f>
        <v/>
      </c>
      <c r="K81" s="39" t="str">
        <f t="shared" si="6"/>
        <v/>
      </c>
      <c r="L81" s="31" t="str">
        <f>IF($B81="","",IFERROR(INDEX(Kho_SP!$I$5:$I$304,MATCH(B81,Kho_SP!$A$5:$A$304,0))&amp;"",""))</f>
        <v/>
      </c>
      <c r="M81" s="44" t="str">
        <f>IF($B81="","",SUMIFS(Kho_SP!$H$5:$H$304,Kho_SP!$A$5:$A$304,$B81))</f>
        <v/>
      </c>
      <c r="N81" s="44" t="str">
        <f t="shared" si="7"/>
        <v/>
      </c>
      <c r="O81" s="45" t="str">
        <f t="shared" si="8"/>
        <v/>
      </c>
      <c r="P81" s="44" t="str">
        <f>IF($B81="","",SUMIFS(TK_Xuat!$E$5:$E$1004,TK_Xuat!$D$5:$D$1004,$B81,TK_Xuat!$H$5:$H$1004,1))</f>
        <v/>
      </c>
      <c r="Q81" s="44" t="str">
        <f t="shared" si="9"/>
        <v/>
      </c>
    </row>
    <row r="82" spans="1:17" x14ac:dyDescent="0.25">
      <c r="A82" s="36" t="str">
        <f t="shared" si="5"/>
        <v/>
      </c>
      <c r="B82" s="35" t="str">
        <f>IF(DM_SP!A76="","",DM_SP!A76)</f>
        <v/>
      </c>
      <c r="C82" s="35" t="str">
        <f>IF(B82="","",DM_SP!B76)</f>
        <v/>
      </c>
      <c r="D82" s="35" t="str">
        <f>IF(B82="","",DM_SP!C76)</f>
        <v/>
      </c>
      <c r="E82" s="39" t="str">
        <f>IF($B82="","",SUMIFS(Kho_SP!$B$5:$B$304,Kho_SP!$A$5:$A$304,$B82))</f>
        <v/>
      </c>
      <c r="F82" s="39" t="str">
        <f>IF($B82="","",SUMIFS(Kho_SP!$C$5:$C$304,Kho_SP!$A$5:$A$304,$B82))</f>
        <v/>
      </c>
      <c r="G82" s="39" t="str">
        <f>IF($B82="","",SUMIFS(Kho_SP!$D$5:$D$304,Kho_SP!$A$5:$A$304,$B82))</f>
        <v/>
      </c>
      <c r="H82" s="39" t="str">
        <f>IF($B82="","",SUMIFS(Kho_SP!$E$5:$E$304,Kho_SP!$A$5:$A$304,$B82))</f>
        <v/>
      </c>
      <c r="I82" s="39" t="str">
        <f>IF($B82="","",SUMIFS(Kho_SP!$F$5:$F$304,Kho_SP!$A$5:$A$304,$B82))</f>
        <v/>
      </c>
      <c r="J82" s="39" t="str">
        <f>IF($B82="","",SUMIFS(Kho_SP!$G$5:$G$304,Kho_SP!$A$5:$A$304,$B82))</f>
        <v/>
      </c>
      <c r="K82" s="39" t="str">
        <f t="shared" si="6"/>
        <v/>
      </c>
      <c r="L82" s="31" t="str">
        <f>IF($B82="","",IFERROR(INDEX(Kho_SP!$I$5:$I$304,MATCH(B82,Kho_SP!$A$5:$A$304,0))&amp;"",""))</f>
        <v/>
      </c>
      <c r="M82" s="44" t="str">
        <f>IF($B82="","",SUMIFS(Kho_SP!$H$5:$H$304,Kho_SP!$A$5:$A$304,$B82))</f>
        <v/>
      </c>
      <c r="N82" s="44" t="str">
        <f t="shared" si="7"/>
        <v/>
      </c>
      <c r="O82" s="45" t="str">
        <f t="shared" si="8"/>
        <v/>
      </c>
      <c r="P82" s="44" t="str">
        <f>IF($B82="","",SUMIFS(TK_Xuat!$E$5:$E$1004,TK_Xuat!$D$5:$D$1004,$B82,TK_Xuat!$H$5:$H$1004,1))</f>
        <v/>
      </c>
      <c r="Q82" s="44" t="str">
        <f t="shared" si="9"/>
        <v/>
      </c>
    </row>
    <row r="83" spans="1:17" x14ac:dyDescent="0.25">
      <c r="A83" s="36" t="str">
        <f t="shared" si="5"/>
        <v/>
      </c>
      <c r="B83" s="35" t="str">
        <f>IF(DM_SP!A77="","",DM_SP!A77)</f>
        <v/>
      </c>
      <c r="C83" s="35" t="str">
        <f>IF(B83="","",DM_SP!B77)</f>
        <v/>
      </c>
      <c r="D83" s="35" t="str">
        <f>IF(B83="","",DM_SP!C77)</f>
        <v/>
      </c>
      <c r="E83" s="39" t="str">
        <f>IF($B83="","",SUMIFS(Kho_SP!$B$5:$B$304,Kho_SP!$A$5:$A$304,$B83))</f>
        <v/>
      </c>
      <c r="F83" s="39" t="str">
        <f>IF($B83="","",SUMIFS(Kho_SP!$C$5:$C$304,Kho_SP!$A$5:$A$304,$B83))</f>
        <v/>
      </c>
      <c r="G83" s="39" t="str">
        <f>IF($B83="","",SUMIFS(Kho_SP!$D$5:$D$304,Kho_SP!$A$5:$A$304,$B83))</f>
        <v/>
      </c>
      <c r="H83" s="39" t="str">
        <f>IF($B83="","",SUMIFS(Kho_SP!$E$5:$E$304,Kho_SP!$A$5:$A$304,$B83))</f>
        <v/>
      </c>
      <c r="I83" s="39" t="str">
        <f>IF($B83="","",SUMIFS(Kho_SP!$F$5:$F$304,Kho_SP!$A$5:$A$304,$B83))</f>
        <v/>
      </c>
      <c r="J83" s="39" t="str">
        <f>IF($B83="","",SUMIFS(Kho_SP!$G$5:$G$304,Kho_SP!$A$5:$A$304,$B83))</f>
        <v/>
      </c>
      <c r="K83" s="39" t="str">
        <f t="shared" si="6"/>
        <v/>
      </c>
      <c r="L83" s="31" t="str">
        <f>IF($B83="","",IFERROR(INDEX(Kho_SP!$I$5:$I$304,MATCH(B83,Kho_SP!$A$5:$A$304,0))&amp;"",""))</f>
        <v/>
      </c>
      <c r="M83" s="44" t="str">
        <f>IF($B83="","",SUMIFS(Kho_SP!$H$5:$H$304,Kho_SP!$A$5:$A$304,$B83))</f>
        <v/>
      </c>
      <c r="N83" s="44" t="str">
        <f t="shared" si="7"/>
        <v/>
      </c>
      <c r="O83" s="45" t="str">
        <f t="shared" si="8"/>
        <v/>
      </c>
      <c r="P83" s="44" t="str">
        <f>IF($B83="","",SUMIFS(TK_Xuat!$E$5:$E$1004,TK_Xuat!$D$5:$D$1004,$B83,TK_Xuat!$H$5:$H$1004,1))</f>
        <v/>
      </c>
      <c r="Q83" s="44" t="str">
        <f t="shared" si="9"/>
        <v/>
      </c>
    </row>
    <row r="84" spans="1:17" x14ac:dyDescent="0.25">
      <c r="A84" s="36" t="str">
        <f t="shared" si="5"/>
        <v/>
      </c>
      <c r="B84" s="35" t="str">
        <f>IF(DM_SP!A78="","",DM_SP!A78)</f>
        <v/>
      </c>
      <c r="C84" s="35" t="str">
        <f>IF(B84="","",DM_SP!B78)</f>
        <v/>
      </c>
      <c r="D84" s="35" t="str">
        <f>IF(B84="","",DM_SP!C78)</f>
        <v/>
      </c>
      <c r="E84" s="39" t="str">
        <f>IF($B84="","",SUMIFS(Kho_SP!$B$5:$B$304,Kho_SP!$A$5:$A$304,$B84))</f>
        <v/>
      </c>
      <c r="F84" s="39" t="str">
        <f>IF($B84="","",SUMIFS(Kho_SP!$C$5:$C$304,Kho_SP!$A$5:$A$304,$B84))</f>
        <v/>
      </c>
      <c r="G84" s="39" t="str">
        <f>IF($B84="","",SUMIFS(Kho_SP!$D$5:$D$304,Kho_SP!$A$5:$A$304,$B84))</f>
        <v/>
      </c>
      <c r="H84" s="39" t="str">
        <f>IF($B84="","",SUMIFS(Kho_SP!$E$5:$E$304,Kho_SP!$A$5:$A$304,$B84))</f>
        <v/>
      </c>
      <c r="I84" s="39" t="str">
        <f>IF($B84="","",SUMIFS(Kho_SP!$F$5:$F$304,Kho_SP!$A$5:$A$304,$B84))</f>
        <v/>
      </c>
      <c r="J84" s="39" t="str">
        <f>IF($B84="","",SUMIFS(Kho_SP!$G$5:$G$304,Kho_SP!$A$5:$A$304,$B84))</f>
        <v/>
      </c>
      <c r="K84" s="39" t="str">
        <f t="shared" si="6"/>
        <v/>
      </c>
      <c r="L84" s="31" t="str">
        <f>IF($B84="","",IFERROR(INDEX(Kho_SP!$I$5:$I$304,MATCH(B84,Kho_SP!$A$5:$A$304,0))&amp;"",""))</f>
        <v/>
      </c>
      <c r="M84" s="44" t="str">
        <f>IF($B84="","",SUMIFS(Kho_SP!$H$5:$H$304,Kho_SP!$A$5:$A$304,$B84))</f>
        <v/>
      </c>
      <c r="N84" s="44" t="str">
        <f t="shared" si="7"/>
        <v/>
      </c>
      <c r="O84" s="45" t="str">
        <f t="shared" si="8"/>
        <v/>
      </c>
      <c r="P84" s="44" t="str">
        <f>IF($B84="","",SUMIFS(TK_Xuat!$E$5:$E$1004,TK_Xuat!$D$5:$D$1004,$B84,TK_Xuat!$H$5:$H$1004,1))</f>
        <v/>
      </c>
      <c r="Q84" s="44" t="str">
        <f t="shared" si="9"/>
        <v/>
      </c>
    </row>
    <row r="85" spans="1:17" x14ac:dyDescent="0.25">
      <c r="A85" s="36" t="str">
        <f t="shared" si="5"/>
        <v/>
      </c>
      <c r="B85" s="35" t="str">
        <f>IF(DM_SP!A79="","",DM_SP!A79)</f>
        <v/>
      </c>
      <c r="C85" s="35" t="str">
        <f>IF(B85="","",DM_SP!B79)</f>
        <v/>
      </c>
      <c r="D85" s="35" t="str">
        <f>IF(B85="","",DM_SP!C79)</f>
        <v/>
      </c>
      <c r="E85" s="39" t="str">
        <f>IF($B85="","",SUMIFS(Kho_SP!$B$5:$B$304,Kho_SP!$A$5:$A$304,$B85))</f>
        <v/>
      </c>
      <c r="F85" s="39" t="str">
        <f>IF($B85="","",SUMIFS(Kho_SP!$C$5:$C$304,Kho_SP!$A$5:$A$304,$B85))</f>
        <v/>
      </c>
      <c r="G85" s="39" t="str">
        <f>IF($B85="","",SUMIFS(Kho_SP!$D$5:$D$304,Kho_SP!$A$5:$A$304,$B85))</f>
        <v/>
      </c>
      <c r="H85" s="39" t="str">
        <f>IF($B85="","",SUMIFS(Kho_SP!$E$5:$E$304,Kho_SP!$A$5:$A$304,$B85))</f>
        <v/>
      </c>
      <c r="I85" s="39" t="str">
        <f>IF($B85="","",SUMIFS(Kho_SP!$F$5:$F$304,Kho_SP!$A$5:$A$304,$B85))</f>
        <v/>
      </c>
      <c r="J85" s="39" t="str">
        <f>IF($B85="","",SUMIFS(Kho_SP!$G$5:$G$304,Kho_SP!$A$5:$A$304,$B85))</f>
        <v/>
      </c>
      <c r="K85" s="39" t="str">
        <f t="shared" si="6"/>
        <v/>
      </c>
      <c r="L85" s="31" t="str">
        <f>IF($B85="","",IFERROR(INDEX(Kho_SP!$I$5:$I$304,MATCH(B85,Kho_SP!$A$5:$A$304,0))&amp;"",""))</f>
        <v/>
      </c>
      <c r="M85" s="44" t="str">
        <f>IF($B85="","",SUMIFS(Kho_SP!$H$5:$H$304,Kho_SP!$A$5:$A$304,$B85))</f>
        <v/>
      </c>
      <c r="N85" s="44" t="str">
        <f t="shared" si="7"/>
        <v/>
      </c>
      <c r="O85" s="45" t="str">
        <f t="shared" si="8"/>
        <v/>
      </c>
      <c r="P85" s="44" t="str">
        <f>IF($B85="","",SUMIFS(TK_Xuat!$E$5:$E$1004,TK_Xuat!$D$5:$D$1004,$B85,TK_Xuat!$H$5:$H$1004,1))</f>
        <v/>
      </c>
      <c r="Q85" s="44" t="str">
        <f t="shared" si="9"/>
        <v/>
      </c>
    </row>
    <row r="86" spans="1:17" x14ac:dyDescent="0.25">
      <c r="A86" s="36" t="str">
        <f t="shared" si="5"/>
        <v/>
      </c>
      <c r="B86" s="35" t="str">
        <f>IF(DM_SP!A80="","",DM_SP!A80)</f>
        <v/>
      </c>
      <c r="C86" s="35" t="str">
        <f>IF(B86="","",DM_SP!B80)</f>
        <v/>
      </c>
      <c r="D86" s="35" t="str">
        <f>IF(B86="","",DM_SP!C80)</f>
        <v/>
      </c>
      <c r="E86" s="39" t="str">
        <f>IF($B86="","",SUMIFS(Kho_SP!$B$5:$B$304,Kho_SP!$A$5:$A$304,$B86))</f>
        <v/>
      </c>
      <c r="F86" s="39" t="str">
        <f>IF($B86="","",SUMIFS(Kho_SP!$C$5:$C$304,Kho_SP!$A$5:$A$304,$B86))</f>
        <v/>
      </c>
      <c r="G86" s="39" t="str">
        <f>IF($B86="","",SUMIFS(Kho_SP!$D$5:$D$304,Kho_SP!$A$5:$A$304,$B86))</f>
        <v/>
      </c>
      <c r="H86" s="39" t="str">
        <f>IF($B86="","",SUMIFS(Kho_SP!$E$5:$E$304,Kho_SP!$A$5:$A$304,$B86))</f>
        <v/>
      </c>
      <c r="I86" s="39" t="str">
        <f>IF($B86="","",SUMIFS(Kho_SP!$F$5:$F$304,Kho_SP!$A$5:$A$304,$B86))</f>
        <v/>
      </c>
      <c r="J86" s="39" t="str">
        <f>IF($B86="","",SUMIFS(Kho_SP!$G$5:$G$304,Kho_SP!$A$5:$A$304,$B86))</f>
        <v/>
      </c>
      <c r="K86" s="39" t="str">
        <f t="shared" si="6"/>
        <v/>
      </c>
      <c r="L86" s="31" t="str">
        <f>IF($B86="","",IFERROR(INDEX(Kho_SP!$I$5:$I$304,MATCH(B86,Kho_SP!$A$5:$A$304,0))&amp;"",""))</f>
        <v/>
      </c>
      <c r="M86" s="44" t="str">
        <f>IF($B86="","",SUMIFS(Kho_SP!$H$5:$H$304,Kho_SP!$A$5:$A$304,$B86))</f>
        <v/>
      </c>
      <c r="N86" s="44" t="str">
        <f t="shared" si="7"/>
        <v/>
      </c>
      <c r="O86" s="45" t="str">
        <f t="shared" si="8"/>
        <v/>
      </c>
      <c r="P86" s="44" t="str">
        <f>IF($B86="","",SUMIFS(TK_Xuat!$E$5:$E$1004,TK_Xuat!$D$5:$D$1004,$B86,TK_Xuat!$H$5:$H$1004,1))</f>
        <v/>
      </c>
      <c r="Q86" s="44" t="str">
        <f t="shared" si="9"/>
        <v/>
      </c>
    </row>
    <row r="87" spans="1:17" x14ac:dyDescent="0.25">
      <c r="A87" s="36" t="str">
        <f t="shared" si="5"/>
        <v/>
      </c>
      <c r="B87" s="35" t="str">
        <f>IF(DM_SP!A81="","",DM_SP!A81)</f>
        <v/>
      </c>
      <c r="C87" s="35" t="str">
        <f>IF(B87="","",DM_SP!B81)</f>
        <v/>
      </c>
      <c r="D87" s="35" t="str">
        <f>IF(B87="","",DM_SP!C81)</f>
        <v/>
      </c>
      <c r="E87" s="39" t="str">
        <f>IF($B87="","",SUMIFS(Kho_SP!$B$5:$B$304,Kho_SP!$A$5:$A$304,$B87))</f>
        <v/>
      </c>
      <c r="F87" s="39" t="str">
        <f>IF($B87="","",SUMIFS(Kho_SP!$C$5:$C$304,Kho_SP!$A$5:$A$304,$B87))</f>
        <v/>
      </c>
      <c r="G87" s="39" t="str">
        <f>IF($B87="","",SUMIFS(Kho_SP!$D$5:$D$304,Kho_SP!$A$5:$A$304,$B87))</f>
        <v/>
      </c>
      <c r="H87" s="39" t="str">
        <f>IF($B87="","",SUMIFS(Kho_SP!$E$5:$E$304,Kho_SP!$A$5:$A$304,$B87))</f>
        <v/>
      </c>
      <c r="I87" s="39" t="str">
        <f>IF($B87="","",SUMIFS(Kho_SP!$F$5:$F$304,Kho_SP!$A$5:$A$304,$B87))</f>
        <v/>
      </c>
      <c r="J87" s="39" t="str">
        <f>IF($B87="","",SUMIFS(Kho_SP!$G$5:$G$304,Kho_SP!$A$5:$A$304,$B87))</f>
        <v/>
      </c>
      <c r="K87" s="39" t="str">
        <f t="shared" si="6"/>
        <v/>
      </c>
      <c r="L87" s="31" t="str">
        <f>IF($B87="","",IFERROR(INDEX(Kho_SP!$I$5:$I$304,MATCH(B87,Kho_SP!$A$5:$A$304,0))&amp;"",""))</f>
        <v/>
      </c>
      <c r="M87" s="44" t="str">
        <f>IF($B87="","",SUMIFS(Kho_SP!$H$5:$H$304,Kho_SP!$A$5:$A$304,$B87))</f>
        <v/>
      </c>
      <c r="N87" s="44" t="str">
        <f t="shared" si="7"/>
        <v/>
      </c>
      <c r="O87" s="45" t="str">
        <f t="shared" si="8"/>
        <v/>
      </c>
      <c r="P87" s="44" t="str">
        <f>IF($B87="","",SUMIFS(TK_Xuat!$E$5:$E$1004,TK_Xuat!$D$5:$D$1004,$B87,TK_Xuat!$H$5:$H$1004,1))</f>
        <v/>
      </c>
      <c r="Q87" s="44" t="str">
        <f t="shared" si="9"/>
        <v/>
      </c>
    </row>
    <row r="88" spans="1:17" x14ac:dyDescent="0.25">
      <c r="A88" s="36" t="str">
        <f t="shared" si="5"/>
        <v/>
      </c>
      <c r="B88" s="35" t="str">
        <f>IF(DM_SP!A82="","",DM_SP!A82)</f>
        <v/>
      </c>
      <c r="C88" s="35" t="str">
        <f>IF(B88="","",DM_SP!B82)</f>
        <v/>
      </c>
      <c r="D88" s="35" t="str">
        <f>IF(B88="","",DM_SP!C82)</f>
        <v/>
      </c>
      <c r="E88" s="39" t="str">
        <f>IF($B88="","",SUMIFS(Kho_SP!$B$5:$B$304,Kho_SP!$A$5:$A$304,$B88))</f>
        <v/>
      </c>
      <c r="F88" s="39" t="str">
        <f>IF($B88="","",SUMIFS(Kho_SP!$C$5:$C$304,Kho_SP!$A$5:$A$304,$B88))</f>
        <v/>
      </c>
      <c r="G88" s="39" t="str">
        <f>IF($B88="","",SUMIFS(Kho_SP!$D$5:$D$304,Kho_SP!$A$5:$A$304,$B88))</f>
        <v/>
      </c>
      <c r="H88" s="39" t="str">
        <f>IF($B88="","",SUMIFS(Kho_SP!$E$5:$E$304,Kho_SP!$A$5:$A$304,$B88))</f>
        <v/>
      </c>
      <c r="I88" s="39" t="str">
        <f>IF($B88="","",SUMIFS(Kho_SP!$F$5:$F$304,Kho_SP!$A$5:$A$304,$B88))</f>
        <v/>
      </c>
      <c r="J88" s="39" t="str">
        <f>IF($B88="","",SUMIFS(Kho_SP!$G$5:$G$304,Kho_SP!$A$5:$A$304,$B88))</f>
        <v/>
      </c>
      <c r="K88" s="39" t="str">
        <f t="shared" si="6"/>
        <v/>
      </c>
      <c r="L88" s="31" t="str">
        <f>IF($B88="","",IFERROR(INDEX(Kho_SP!$I$5:$I$304,MATCH(B88,Kho_SP!$A$5:$A$304,0))&amp;"",""))</f>
        <v/>
      </c>
      <c r="M88" s="44" t="str">
        <f>IF($B88="","",SUMIFS(Kho_SP!$H$5:$H$304,Kho_SP!$A$5:$A$304,$B88))</f>
        <v/>
      </c>
      <c r="N88" s="44" t="str">
        <f t="shared" si="7"/>
        <v/>
      </c>
      <c r="O88" s="45" t="str">
        <f t="shared" si="8"/>
        <v/>
      </c>
      <c r="P88" s="44" t="str">
        <f>IF($B88="","",SUMIFS(TK_Xuat!$E$5:$E$1004,TK_Xuat!$D$5:$D$1004,$B88,TK_Xuat!$H$5:$H$1004,1))</f>
        <v/>
      </c>
      <c r="Q88" s="44" t="str">
        <f t="shared" si="9"/>
        <v/>
      </c>
    </row>
    <row r="89" spans="1:17" x14ac:dyDescent="0.25">
      <c r="A89" s="36" t="str">
        <f t="shared" si="5"/>
        <v/>
      </c>
      <c r="B89" s="35" t="str">
        <f>IF(DM_SP!A83="","",DM_SP!A83)</f>
        <v/>
      </c>
      <c r="C89" s="35" t="str">
        <f>IF(B89="","",DM_SP!B83)</f>
        <v/>
      </c>
      <c r="D89" s="35" t="str">
        <f>IF(B89="","",DM_SP!C83)</f>
        <v/>
      </c>
      <c r="E89" s="39" t="str">
        <f>IF($B89="","",SUMIFS(Kho_SP!$B$5:$B$304,Kho_SP!$A$5:$A$304,$B89))</f>
        <v/>
      </c>
      <c r="F89" s="39" t="str">
        <f>IF($B89="","",SUMIFS(Kho_SP!$C$5:$C$304,Kho_SP!$A$5:$A$304,$B89))</f>
        <v/>
      </c>
      <c r="G89" s="39" t="str">
        <f>IF($B89="","",SUMIFS(Kho_SP!$D$5:$D$304,Kho_SP!$A$5:$A$304,$B89))</f>
        <v/>
      </c>
      <c r="H89" s="39" t="str">
        <f>IF($B89="","",SUMIFS(Kho_SP!$E$5:$E$304,Kho_SP!$A$5:$A$304,$B89))</f>
        <v/>
      </c>
      <c r="I89" s="39" t="str">
        <f>IF($B89="","",SUMIFS(Kho_SP!$F$5:$F$304,Kho_SP!$A$5:$A$304,$B89))</f>
        <v/>
      </c>
      <c r="J89" s="39" t="str">
        <f>IF($B89="","",SUMIFS(Kho_SP!$G$5:$G$304,Kho_SP!$A$5:$A$304,$B89))</f>
        <v/>
      </c>
      <c r="K89" s="39" t="str">
        <f t="shared" si="6"/>
        <v/>
      </c>
      <c r="L89" s="31" t="str">
        <f>IF($B89="","",IFERROR(INDEX(Kho_SP!$I$5:$I$304,MATCH(B89,Kho_SP!$A$5:$A$304,0))&amp;"",""))</f>
        <v/>
      </c>
      <c r="M89" s="44" t="str">
        <f>IF($B89="","",SUMIFS(Kho_SP!$H$5:$H$304,Kho_SP!$A$5:$A$304,$B89))</f>
        <v/>
      </c>
      <c r="N89" s="44" t="str">
        <f t="shared" si="7"/>
        <v/>
      </c>
      <c r="O89" s="45" t="str">
        <f t="shared" si="8"/>
        <v/>
      </c>
      <c r="P89" s="44" t="str">
        <f>IF($B89="","",SUMIFS(TK_Xuat!$E$5:$E$1004,TK_Xuat!$D$5:$D$1004,$B89,TK_Xuat!$H$5:$H$1004,1))</f>
        <v/>
      </c>
      <c r="Q89" s="44" t="str">
        <f t="shared" si="9"/>
        <v/>
      </c>
    </row>
    <row r="90" spans="1:17" x14ac:dyDescent="0.25">
      <c r="A90" s="36" t="str">
        <f t="shared" si="5"/>
        <v/>
      </c>
      <c r="B90" s="35" t="str">
        <f>IF(DM_SP!A84="","",DM_SP!A84)</f>
        <v/>
      </c>
      <c r="C90" s="35" t="str">
        <f>IF(B90="","",DM_SP!B84)</f>
        <v/>
      </c>
      <c r="D90" s="35" t="str">
        <f>IF(B90="","",DM_SP!C84)</f>
        <v/>
      </c>
      <c r="E90" s="39" t="str">
        <f>IF($B90="","",SUMIFS(Kho_SP!$B$5:$B$304,Kho_SP!$A$5:$A$304,$B90))</f>
        <v/>
      </c>
      <c r="F90" s="39" t="str">
        <f>IF($B90="","",SUMIFS(Kho_SP!$C$5:$C$304,Kho_SP!$A$5:$A$304,$B90))</f>
        <v/>
      </c>
      <c r="G90" s="39" t="str">
        <f>IF($B90="","",SUMIFS(Kho_SP!$D$5:$D$304,Kho_SP!$A$5:$A$304,$B90))</f>
        <v/>
      </c>
      <c r="H90" s="39" t="str">
        <f>IF($B90="","",SUMIFS(Kho_SP!$E$5:$E$304,Kho_SP!$A$5:$A$304,$B90))</f>
        <v/>
      </c>
      <c r="I90" s="39" t="str">
        <f>IF($B90="","",SUMIFS(Kho_SP!$F$5:$F$304,Kho_SP!$A$5:$A$304,$B90))</f>
        <v/>
      </c>
      <c r="J90" s="39" t="str">
        <f>IF($B90="","",SUMIFS(Kho_SP!$G$5:$G$304,Kho_SP!$A$5:$A$304,$B90))</f>
        <v/>
      </c>
      <c r="K90" s="39" t="str">
        <f t="shared" si="6"/>
        <v/>
      </c>
      <c r="L90" s="31" t="str">
        <f>IF($B90="","",IFERROR(INDEX(Kho_SP!$I$5:$I$304,MATCH(B90,Kho_SP!$A$5:$A$304,0))&amp;"",""))</f>
        <v/>
      </c>
      <c r="M90" s="44" t="str">
        <f>IF($B90="","",SUMIFS(Kho_SP!$H$5:$H$304,Kho_SP!$A$5:$A$304,$B90))</f>
        <v/>
      </c>
      <c r="N90" s="44" t="str">
        <f t="shared" si="7"/>
        <v/>
      </c>
      <c r="O90" s="45" t="str">
        <f t="shared" si="8"/>
        <v/>
      </c>
      <c r="P90" s="44" t="str">
        <f>IF($B90="","",SUMIFS(TK_Xuat!$E$5:$E$1004,TK_Xuat!$D$5:$D$1004,$B90,TK_Xuat!$H$5:$H$1004,1))</f>
        <v/>
      </c>
      <c r="Q90" s="44" t="str">
        <f t="shared" si="9"/>
        <v/>
      </c>
    </row>
    <row r="91" spans="1:17" x14ac:dyDescent="0.25">
      <c r="A91" s="36" t="str">
        <f t="shared" si="5"/>
        <v/>
      </c>
      <c r="B91" s="35" t="str">
        <f>IF(DM_SP!A85="","",DM_SP!A85)</f>
        <v/>
      </c>
      <c r="C91" s="35" t="str">
        <f>IF(B91="","",DM_SP!B85)</f>
        <v/>
      </c>
      <c r="D91" s="35" t="str">
        <f>IF(B91="","",DM_SP!C85)</f>
        <v/>
      </c>
      <c r="E91" s="39" t="str">
        <f>IF($B91="","",SUMIFS(Kho_SP!$B$5:$B$304,Kho_SP!$A$5:$A$304,$B91))</f>
        <v/>
      </c>
      <c r="F91" s="39" t="str">
        <f>IF($B91="","",SUMIFS(Kho_SP!$C$5:$C$304,Kho_SP!$A$5:$A$304,$B91))</f>
        <v/>
      </c>
      <c r="G91" s="39" t="str">
        <f>IF($B91="","",SUMIFS(Kho_SP!$D$5:$D$304,Kho_SP!$A$5:$A$304,$B91))</f>
        <v/>
      </c>
      <c r="H91" s="39" t="str">
        <f>IF($B91="","",SUMIFS(Kho_SP!$E$5:$E$304,Kho_SP!$A$5:$A$304,$B91))</f>
        <v/>
      </c>
      <c r="I91" s="39" t="str">
        <f>IF($B91="","",SUMIFS(Kho_SP!$F$5:$F$304,Kho_SP!$A$5:$A$304,$B91))</f>
        <v/>
      </c>
      <c r="J91" s="39" t="str">
        <f>IF($B91="","",SUMIFS(Kho_SP!$G$5:$G$304,Kho_SP!$A$5:$A$304,$B91))</f>
        <v/>
      </c>
      <c r="K91" s="39" t="str">
        <f t="shared" si="6"/>
        <v/>
      </c>
      <c r="L91" s="31" t="str">
        <f>IF($B91="","",IFERROR(INDEX(Kho_SP!$I$5:$I$304,MATCH(B91,Kho_SP!$A$5:$A$304,0))&amp;"",""))</f>
        <v/>
      </c>
      <c r="M91" s="44" t="str">
        <f>IF($B91="","",SUMIFS(Kho_SP!$H$5:$H$304,Kho_SP!$A$5:$A$304,$B91))</f>
        <v/>
      </c>
      <c r="N91" s="44" t="str">
        <f t="shared" si="7"/>
        <v/>
      </c>
      <c r="O91" s="45" t="str">
        <f t="shared" si="8"/>
        <v/>
      </c>
      <c r="P91" s="44" t="str">
        <f>IF($B91="","",SUMIFS(TK_Xuat!$E$5:$E$1004,TK_Xuat!$D$5:$D$1004,$B91,TK_Xuat!$H$5:$H$1004,1))</f>
        <v/>
      </c>
      <c r="Q91" s="44" t="str">
        <f t="shared" si="9"/>
        <v/>
      </c>
    </row>
    <row r="92" spans="1:17" x14ac:dyDescent="0.25">
      <c r="A92" s="36" t="str">
        <f t="shared" si="5"/>
        <v/>
      </c>
      <c r="B92" s="35" t="str">
        <f>IF(DM_SP!A86="","",DM_SP!A86)</f>
        <v/>
      </c>
      <c r="C92" s="35" t="str">
        <f>IF(B92="","",DM_SP!B86)</f>
        <v/>
      </c>
      <c r="D92" s="35" t="str">
        <f>IF(B92="","",DM_SP!C86)</f>
        <v/>
      </c>
      <c r="E92" s="39" t="str">
        <f>IF($B92="","",SUMIFS(Kho_SP!$B$5:$B$304,Kho_SP!$A$5:$A$304,$B92))</f>
        <v/>
      </c>
      <c r="F92" s="39" t="str">
        <f>IF($B92="","",SUMIFS(Kho_SP!$C$5:$C$304,Kho_SP!$A$5:$A$304,$B92))</f>
        <v/>
      </c>
      <c r="G92" s="39" t="str">
        <f>IF($B92="","",SUMIFS(Kho_SP!$D$5:$D$304,Kho_SP!$A$5:$A$304,$B92))</f>
        <v/>
      </c>
      <c r="H92" s="39" t="str">
        <f>IF($B92="","",SUMIFS(Kho_SP!$E$5:$E$304,Kho_SP!$A$5:$A$304,$B92))</f>
        <v/>
      </c>
      <c r="I92" s="39" t="str">
        <f>IF($B92="","",SUMIFS(Kho_SP!$F$5:$F$304,Kho_SP!$A$5:$A$304,$B92))</f>
        <v/>
      </c>
      <c r="J92" s="39" t="str">
        <f>IF($B92="","",SUMIFS(Kho_SP!$G$5:$G$304,Kho_SP!$A$5:$A$304,$B92))</f>
        <v/>
      </c>
      <c r="K92" s="39" t="str">
        <f t="shared" si="6"/>
        <v/>
      </c>
      <c r="L92" s="31" t="str">
        <f>IF($B92="","",IFERROR(INDEX(Kho_SP!$I$5:$I$304,MATCH(B92,Kho_SP!$A$5:$A$304,0))&amp;"",""))</f>
        <v/>
      </c>
      <c r="M92" s="44" t="str">
        <f>IF($B92="","",SUMIFS(Kho_SP!$H$5:$H$304,Kho_SP!$A$5:$A$304,$B92))</f>
        <v/>
      </c>
      <c r="N92" s="44" t="str">
        <f t="shared" si="7"/>
        <v/>
      </c>
      <c r="O92" s="45" t="str">
        <f t="shared" si="8"/>
        <v/>
      </c>
      <c r="P92" s="44" t="str">
        <f>IF($B92="","",SUMIFS(TK_Xuat!$E$5:$E$1004,TK_Xuat!$D$5:$D$1004,$B92,TK_Xuat!$H$5:$H$1004,1))</f>
        <v/>
      </c>
      <c r="Q92" s="44" t="str">
        <f t="shared" si="9"/>
        <v/>
      </c>
    </row>
    <row r="93" spans="1:17" x14ac:dyDescent="0.25">
      <c r="A93" s="36" t="str">
        <f t="shared" si="5"/>
        <v/>
      </c>
      <c r="B93" s="35" t="str">
        <f>IF(DM_SP!A87="","",DM_SP!A87)</f>
        <v/>
      </c>
      <c r="C93" s="35" t="str">
        <f>IF(B93="","",DM_SP!B87)</f>
        <v/>
      </c>
      <c r="D93" s="35" t="str">
        <f>IF(B93="","",DM_SP!C87)</f>
        <v/>
      </c>
      <c r="E93" s="39" t="str">
        <f>IF($B93="","",SUMIFS(Kho_SP!$B$5:$B$304,Kho_SP!$A$5:$A$304,$B93))</f>
        <v/>
      </c>
      <c r="F93" s="39" t="str">
        <f>IF($B93="","",SUMIFS(Kho_SP!$C$5:$C$304,Kho_SP!$A$5:$A$304,$B93))</f>
        <v/>
      </c>
      <c r="G93" s="39" t="str">
        <f>IF($B93="","",SUMIFS(Kho_SP!$D$5:$D$304,Kho_SP!$A$5:$A$304,$B93))</f>
        <v/>
      </c>
      <c r="H93" s="39" t="str">
        <f>IF($B93="","",SUMIFS(Kho_SP!$E$5:$E$304,Kho_SP!$A$5:$A$304,$B93))</f>
        <v/>
      </c>
      <c r="I93" s="39" t="str">
        <f>IF($B93="","",SUMIFS(Kho_SP!$F$5:$F$304,Kho_SP!$A$5:$A$304,$B93))</f>
        <v/>
      </c>
      <c r="J93" s="39" t="str">
        <f>IF($B93="","",SUMIFS(Kho_SP!$G$5:$G$304,Kho_SP!$A$5:$A$304,$B93))</f>
        <v/>
      </c>
      <c r="K93" s="39" t="str">
        <f t="shared" si="6"/>
        <v/>
      </c>
      <c r="L93" s="31" t="str">
        <f>IF($B93="","",IFERROR(INDEX(Kho_SP!$I$5:$I$304,MATCH(B93,Kho_SP!$A$5:$A$304,0))&amp;"",""))</f>
        <v/>
      </c>
      <c r="M93" s="44" t="str">
        <f>IF($B93="","",SUMIFS(Kho_SP!$H$5:$H$304,Kho_SP!$A$5:$A$304,$B93))</f>
        <v/>
      </c>
      <c r="N93" s="44" t="str">
        <f t="shared" si="7"/>
        <v/>
      </c>
      <c r="O93" s="45" t="str">
        <f t="shared" si="8"/>
        <v/>
      </c>
      <c r="P93" s="44" t="str">
        <f>IF($B93="","",SUMIFS(TK_Xuat!$E$5:$E$1004,TK_Xuat!$D$5:$D$1004,$B93,TK_Xuat!$H$5:$H$1004,1))</f>
        <v/>
      </c>
      <c r="Q93" s="44" t="str">
        <f t="shared" si="9"/>
        <v/>
      </c>
    </row>
    <row r="94" spans="1:17" x14ac:dyDescent="0.25">
      <c r="A94" s="36" t="str">
        <f t="shared" si="5"/>
        <v/>
      </c>
      <c r="B94" s="35" t="str">
        <f>IF(DM_SP!A88="","",DM_SP!A88)</f>
        <v/>
      </c>
      <c r="C94" s="35" t="str">
        <f>IF(B94="","",DM_SP!B88)</f>
        <v/>
      </c>
      <c r="D94" s="35" t="str">
        <f>IF(B94="","",DM_SP!C88)</f>
        <v/>
      </c>
      <c r="E94" s="39" t="str">
        <f>IF($B94="","",SUMIFS(Kho_SP!$B$5:$B$304,Kho_SP!$A$5:$A$304,$B94))</f>
        <v/>
      </c>
      <c r="F94" s="39" t="str">
        <f>IF($B94="","",SUMIFS(Kho_SP!$C$5:$C$304,Kho_SP!$A$5:$A$304,$B94))</f>
        <v/>
      </c>
      <c r="G94" s="39" t="str">
        <f>IF($B94="","",SUMIFS(Kho_SP!$D$5:$D$304,Kho_SP!$A$5:$A$304,$B94))</f>
        <v/>
      </c>
      <c r="H94" s="39" t="str">
        <f>IF($B94="","",SUMIFS(Kho_SP!$E$5:$E$304,Kho_SP!$A$5:$A$304,$B94))</f>
        <v/>
      </c>
      <c r="I94" s="39" t="str">
        <f>IF($B94="","",SUMIFS(Kho_SP!$F$5:$F$304,Kho_SP!$A$5:$A$304,$B94))</f>
        <v/>
      </c>
      <c r="J94" s="39" t="str">
        <f>IF($B94="","",SUMIFS(Kho_SP!$G$5:$G$304,Kho_SP!$A$5:$A$304,$B94))</f>
        <v/>
      </c>
      <c r="K94" s="39" t="str">
        <f t="shared" si="6"/>
        <v/>
      </c>
      <c r="L94" s="31" t="str">
        <f>IF($B94="","",IFERROR(INDEX(Kho_SP!$I$5:$I$304,MATCH(B94,Kho_SP!$A$5:$A$304,0))&amp;"",""))</f>
        <v/>
      </c>
      <c r="M94" s="44" t="str">
        <f>IF($B94="","",SUMIFS(Kho_SP!$H$5:$H$304,Kho_SP!$A$5:$A$304,$B94))</f>
        <v/>
      </c>
      <c r="N94" s="44" t="str">
        <f t="shared" si="7"/>
        <v/>
      </c>
      <c r="O94" s="45" t="str">
        <f t="shared" si="8"/>
        <v/>
      </c>
      <c r="P94" s="44" t="str">
        <f>IF($B94="","",SUMIFS(TK_Xuat!$E$5:$E$1004,TK_Xuat!$D$5:$D$1004,$B94,TK_Xuat!$H$5:$H$1004,1))</f>
        <v/>
      </c>
      <c r="Q94" s="44" t="str">
        <f t="shared" si="9"/>
        <v/>
      </c>
    </row>
    <row r="95" spans="1:17" x14ac:dyDescent="0.25">
      <c r="A95" s="36" t="str">
        <f t="shared" si="5"/>
        <v/>
      </c>
      <c r="B95" s="35" t="str">
        <f>IF(DM_SP!A89="","",DM_SP!A89)</f>
        <v/>
      </c>
      <c r="C95" s="35" t="str">
        <f>IF(B95="","",DM_SP!B89)</f>
        <v/>
      </c>
      <c r="D95" s="35" t="str">
        <f>IF(B95="","",DM_SP!C89)</f>
        <v/>
      </c>
      <c r="E95" s="39" t="str">
        <f>IF($B95="","",SUMIFS(Kho_SP!$B$5:$B$304,Kho_SP!$A$5:$A$304,$B95))</f>
        <v/>
      </c>
      <c r="F95" s="39" t="str">
        <f>IF($B95="","",SUMIFS(Kho_SP!$C$5:$C$304,Kho_SP!$A$5:$A$304,$B95))</f>
        <v/>
      </c>
      <c r="G95" s="39" t="str">
        <f>IF($B95="","",SUMIFS(Kho_SP!$D$5:$D$304,Kho_SP!$A$5:$A$304,$B95))</f>
        <v/>
      </c>
      <c r="H95" s="39" t="str">
        <f>IF($B95="","",SUMIFS(Kho_SP!$E$5:$E$304,Kho_SP!$A$5:$A$304,$B95))</f>
        <v/>
      </c>
      <c r="I95" s="39" t="str">
        <f>IF($B95="","",SUMIFS(Kho_SP!$F$5:$F$304,Kho_SP!$A$5:$A$304,$B95))</f>
        <v/>
      </c>
      <c r="J95" s="39" t="str">
        <f>IF($B95="","",SUMIFS(Kho_SP!$G$5:$G$304,Kho_SP!$A$5:$A$304,$B95))</f>
        <v/>
      </c>
      <c r="K95" s="39" t="str">
        <f t="shared" si="6"/>
        <v/>
      </c>
      <c r="L95" s="31" t="str">
        <f>IF($B95="","",IFERROR(INDEX(Kho_SP!$I$5:$I$304,MATCH(B95,Kho_SP!$A$5:$A$304,0))&amp;"",""))</f>
        <v/>
      </c>
      <c r="M95" s="44" t="str">
        <f>IF($B95="","",SUMIFS(Kho_SP!$H$5:$H$304,Kho_SP!$A$5:$A$304,$B95))</f>
        <v/>
      </c>
      <c r="N95" s="44" t="str">
        <f t="shared" si="7"/>
        <v/>
      </c>
      <c r="O95" s="45" t="str">
        <f t="shared" si="8"/>
        <v/>
      </c>
      <c r="P95" s="44" t="str">
        <f>IF($B95="","",SUMIFS(TK_Xuat!$E$5:$E$1004,TK_Xuat!$D$5:$D$1004,$B95,TK_Xuat!$H$5:$H$1004,1))</f>
        <v/>
      </c>
      <c r="Q95" s="44" t="str">
        <f t="shared" si="9"/>
        <v/>
      </c>
    </row>
    <row r="96" spans="1:17" x14ac:dyDescent="0.25">
      <c r="A96" s="36" t="str">
        <f t="shared" si="5"/>
        <v/>
      </c>
      <c r="B96" s="35" t="str">
        <f>IF(DM_SP!A90="","",DM_SP!A90)</f>
        <v/>
      </c>
      <c r="C96" s="35" t="str">
        <f>IF(B96="","",DM_SP!B90)</f>
        <v/>
      </c>
      <c r="D96" s="35" t="str">
        <f>IF(B96="","",DM_SP!C90)</f>
        <v/>
      </c>
      <c r="E96" s="39" t="str">
        <f>IF($B96="","",SUMIFS(Kho_SP!$B$5:$B$304,Kho_SP!$A$5:$A$304,$B96))</f>
        <v/>
      </c>
      <c r="F96" s="39" t="str">
        <f>IF($B96="","",SUMIFS(Kho_SP!$C$5:$C$304,Kho_SP!$A$5:$A$304,$B96))</f>
        <v/>
      </c>
      <c r="G96" s="39" t="str">
        <f>IF($B96="","",SUMIFS(Kho_SP!$D$5:$D$304,Kho_SP!$A$5:$A$304,$B96))</f>
        <v/>
      </c>
      <c r="H96" s="39" t="str">
        <f>IF($B96="","",SUMIFS(Kho_SP!$E$5:$E$304,Kho_SP!$A$5:$A$304,$B96))</f>
        <v/>
      </c>
      <c r="I96" s="39" t="str">
        <f>IF($B96="","",SUMIFS(Kho_SP!$F$5:$F$304,Kho_SP!$A$5:$A$304,$B96))</f>
        <v/>
      </c>
      <c r="J96" s="39" t="str">
        <f>IF($B96="","",SUMIFS(Kho_SP!$G$5:$G$304,Kho_SP!$A$5:$A$304,$B96))</f>
        <v/>
      </c>
      <c r="K96" s="39" t="str">
        <f t="shared" si="6"/>
        <v/>
      </c>
      <c r="L96" s="31" t="str">
        <f>IF($B96="","",IFERROR(INDEX(Kho_SP!$I$5:$I$304,MATCH(B96,Kho_SP!$A$5:$A$304,0))&amp;"",""))</f>
        <v/>
      </c>
      <c r="M96" s="44" t="str">
        <f>IF($B96="","",SUMIFS(Kho_SP!$H$5:$H$304,Kho_SP!$A$5:$A$304,$B96))</f>
        <v/>
      </c>
      <c r="N96" s="44" t="str">
        <f t="shared" si="7"/>
        <v/>
      </c>
      <c r="O96" s="45" t="str">
        <f t="shared" si="8"/>
        <v/>
      </c>
      <c r="P96" s="44" t="str">
        <f>IF($B96="","",SUMIFS(TK_Xuat!$E$5:$E$1004,TK_Xuat!$D$5:$D$1004,$B96,TK_Xuat!$H$5:$H$1004,1))</f>
        <v/>
      </c>
      <c r="Q96" s="44" t="str">
        <f t="shared" si="9"/>
        <v/>
      </c>
    </row>
    <row r="97" spans="1:17" x14ac:dyDescent="0.25">
      <c r="A97" s="36" t="str">
        <f t="shared" si="5"/>
        <v/>
      </c>
      <c r="B97" s="35" t="str">
        <f>IF(DM_SP!A91="","",DM_SP!A91)</f>
        <v/>
      </c>
      <c r="C97" s="35" t="str">
        <f>IF(B97="","",DM_SP!B91)</f>
        <v/>
      </c>
      <c r="D97" s="35" t="str">
        <f>IF(B97="","",DM_SP!C91)</f>
        <v/>
      </c>
      <c r="E97" s="39" t="str">
        <f>IF($B97="","",SUMIFS(Kho_SP!$B$5:$B$304,Kho_SP!$A$5:$A$304,$B97))</f>
        <v/>
      </c>
      <c r="F97" s="39" t="str">
        <f>IF($B97="","",SUMIFS(Kho_SP!$C$5:$C$304,Kho_SP!$A$5:$A$304,$B97))</f>
        <v/>
      </c>
      <c r="G97" s="39" t="str">
        <f>IF($B97="","",SUMIFS(Kho_SP!$D$5:$D$304,Kho_SP!$A$5:$A$304,$B97))</f>
        <v/>
      </c>
      <c r="H97" s="39" t="str">
        <f>IF($B97="","",SUMIFS(Kho_SP!$E$5:$E$304,Kho_SP!$A$5:$A$304,$B97))</f>
        <v/>
      </c>
      <c r="I97" s="39" t="str">
        <f>IF($B97="","",SUMIFS(Kho_SP!$F$5:$F$304,Kho_SP!$A$5:$A$304,$B97))</f>
        <v/>
      </c>
      <c r="J97" s="39" t="str">
        <f>IF($B97="","",SUMIFS(Kho_SP!$G$5:$G$304,Kho_SP!$A$5:$A$304,$B97))</f>
        <v/>
      </c>
      <c r="K97" s="39" t="str">
        <f t="shared" si="6"/>
        <v/>
      </c>
      <c r="L97" s="31" t="str">
        <f>IF($B97="","",IFERROR(INDEX(Kho_SP!$I$5:$I$304,MATCH(B97,Kho_SP!$A$5:$A$304,0))&amp;"",""))</f>
        <v/>
      </c>
      <c r="M97" s="44" t="str">
        <f>IF($B97="","",SUMIFS(Kho_SP!$H$5:$H$304,Kho_SP!$A$5:$A$304,$B97))</f>
        <v/>
      </c>
      <c r="N97" s="44" t="str">
        <f t="shared" si="7"/>
        <v/>
      </c>
      <c r="O97" s="45" t="str">
        <f t="shared" si="8"/>
        <v/>
      </c>
      <c r="P97" s="44" t="str">
        <f>IF($B97="","",SUMIFS(TK_Xuat!$E$5:$E$1004,TK_Xuat!$D$5:$D$1004,$B97,TK_Xuat!$H$5:$H$1004,1))</f>
        <v/>
      </c>
      <c r="Q97" s="44" t="str">
        <f t="shared" si="9"/>
        <v/>
      </c>
    </row>
    <row r="98" spans="1:17" x14ac:dyDescent="0.25">
      <c r="A98" s="36" t="str">
        <f t="shared" si="5"/>
        <v/>
      </c>
      <c r="B98" s="35" t="str">
        <f>IF(DM_SP!A92="","",DM_SP!A92)</f>
        <v/>
      </c>
      <c r="C98" s="35" t="str">
        <f>IF(B98="","",DM_SP!B92)</f>
        <v/>
      </c>
      <c r="D98" s="35" t="str">
        <f>IF(B98="","",DM_SP!C92)</f>
        <v/>
      </c>
      <c r="E98" s="39" t="str">
        <f>IF($B98="","",SUMIFS(Kho_SP!$B$5:$B$304,Kho_SP!$A$5:$A$304,$B98))</f>
        <v/>
      </c>
      <c r="F98" s="39" t="str">
        <f>IF($B98="","",SUMIFS(Kho_SP!$C$5:$C$304,Kho_SP!$A$5:$A$304,$B98))</f>
        <v/>
      </c>
      <c r="G98" s="39" t="str">
        <f>IF($B98="","",SUMIFS(Kho_SP!$D$5:$D$304,Kho_SP!$A$5:$A$304,$B98))</f>
        <v/>
      </c>
      <c r="H98" s="39" t="str">
        <f>IF($B98="","",SUMIFS(Kho_SP!$E$5:$E$304,Kho_SP!$A$5:$A$304,$B98))</f>
        <v/>
      </c>
      <c r="I98" s="39" t="str">
        <f>IF($B98="","",SUMIFS(Kho_SP!$F$5:$F$304,Kho_SP!$A$5:$A$304,$B98))</f>
        <v/>
      </c>
      <c r="J98" s="39" t="str">
        <f>IF($B98="","",SUMIFS(Kho_SP!$G$5:$G$304,Kho_SP!$A$5:$A$304,$B98))</f>
        <v/>
      </c>
      <c r="K98" s="39" t="str">
        <f t="shared" si="6"/>
        <v/>
      </c>
      <c r="L98" s="31" t="str">
        <f>IF($B98="","",IFERROR(INDEX(Kho_SP!$I$5:$I$304,MATCH(B98,Kho_SP!$A$5:$A$304,0))&amp;"",""))</f>
        <v/>
      </c>
      <c r="M98" s="44" t="str">
        <f>IF($B98="","",SUMIFS(Kho_SP!$H$5:$H$304,Kho_SP!$A$5:$A$304,$B98))</f>
        <v/>
      </c>
      <c r="N98" s="44" t="str">
        <f t="shared" si="7"/>
        <v/>
      </c>
      <c r="O98" s="45" t="str">
        <f t="shared" si="8"/>
        <v/>
      </c>
      <c r="P98" s="44" t="str">
        <f>IF($B98="","",SUMIFS(TK_Xuat!$E$5:$E$1004,TK_Xuat!$D$5:$D$1004,$B98,TK_Xuat!$H$5:$H$1004,1))</f>
        <v/>
      </c>
      <c r="Q98" s="44" t="str">
        <f t="shared" si="9"/>
        <v/>
      </c>
    </row>
    <row r="99" spans="1:17" x14ac:dyDescent="0.25">
      <c r="A99" s="36" t="str">
        <f t="shared" si="5"/>
        <v/>
      </c>
      <c r="B99" s="35" t="str">
        <f>IF(DM_SP!A93="","",DM_SP!A93)</f>
        <v/>
      </c>
      <c r="C99" s="35" t="str">
        <f>IF(B99="","",DM_SP!B93)</f>
        <v/>
      </c>
      <c r="D99" s="35" t="str">
        <f>IF(B99="","",DM_SP!C93)</f>
        <v/>
      </c>
      <c r="E99" s="39" t="str">
        <f>IF($B99="","",SUMIFS(Kho_SP!$B$5:$B$304,Kho_SP!$A$5:$A$304,$B99))</f>
        <v/>
      </c>
      <c r="F99" s="39" t="str">
        <f>IF($B99="","",SUMIFS(Kho_SP!$C$5:$C$304,Kho_SP!$A$5:$A$304,$B99))</f>
        <v/>
      </c>
      <c r="G99" s="39" t="str">
        <f>IF($B99="","",SUMIFS(Kho_SP!$D$5:$D$304,Kho_SP!$A$5:$A$304,$B99))</f>
        <v/>
      </c>
      <c r="H99" s="39" t="str">
        <f>IF($B99="","",SUMIFS(Kho_SP!$E$5:$E$304,Kho_SP!$A$5:$A$304,$B99))</f>
        <v/>
      </c>
      <c r="I99" s="39" t="str">
        <f>IF($B99="","",SUMIFS(Kho_SP!$F$5:$F$304,Kho_SP!$A$5:$A$304,$B99))</f>
        <v/>
      </c>
      <c r="J99" s="39" t="str">
        <f>IF($B99="","",SUMIFS(Kho_SP!$G$5:$G$304,Kho_SP!$A$5:$A$304,$B99))</f>
        <v/>
      </c>
      <c r="K99" s="39" t="str">
        <f t="shared" si="6"/>
        <v/>
      </c>
      <c r="L99" s="31" t="str">
        <f>IF($B99="","",IFERROR(INDEX(Kho_SP!$I$5:$I$304,MATCH(B99,Kho_SP!$A$5:$A$304,0))&amp;"",""))</f>
        <v/>
      </c>
      <c r="M99" s="44" t="str">
        <f>IF($B99="","",SUMIFS(Kho_SP!$H$5:$H$304,Kho_SP!$A$5:$A$304,$B99))</f>
        <v/>
      </c>
      <c r="N99" s="44" t="str">
        <f t="shared" si="7"/>
        <v/>
      </c>
      <c r="O99" s="45" t="str">
        <f t="shared" si="8"/>
        <v/>
      </c>
      <c r="P99" s="44" t="str">
        <f>IF($B99="","",SUMIFS(TK_Xuat!$E$5:$E$1004,TK_Xuat!$D$5:$D$1004,$B99,TK_Xuat!$H$5:$H$1004,1))</f>
        <v/>
      </c>
      <c r="Q99" s="44" t="str">
        <f t="shared" si="9"/>
        <v/>
      </c>
    </row>
    <row r="100" spans="1:17" x14ac:dyDescent="0.25">
      <c r="A100" s="36" t="str">
        <f t="shared" si="5"/>
        <v/>
      </c>
      <c r="B100" s="35" t="str">
        <f>IF(DM_SP!A94="","",DM_SP!A94)</f>
        <v/>
      </c>
      <c r="C100" s="35" t="str">
        <f>IF(B100="","",DM_SP!B94)</f>
        <v/>
      </c>
      <c r="D100" s="35" t="str">
        <f>IF(B100="","",DM_SP!C94)</f>
        <v/>
      </c>
      <c r="E100" s="39" t="str">
        <f>IF($B100="","",SUMIFS(Kho_SP!$B$5:$B$304,Kho_SP!$A$5:$A$304,$B100))</f>
        <v/>
      </c>
      <c r="F100" s="39" t="str">
        <f>IF($B100="","",SUMIFS(Kho_SP!$C$5:$C$304,Kho_SP!$A$5:$A$304,$B100))</f>
        <v/>
      </c>
      <c r="G100" s="39" t="str">
        <f>IF($B100="","",SUMIFS(Kho_SP!$D$5:$D$304,Kho_SP!$A$5:$A$304,$B100))</f>
        <v/>
      </c>
      <c r="H100" s="39" t="str">
        <f>IF($B100="","",SUMIFS(Kho_SP!$E$5:$E$304,Kho_SP!$A$5:$A$304,$B100))</f>
        <v/>
      </c>
      <c r="I100" s="39" t="str">
        <f>IF($B100="","",SUMIFS(Kho_SP!$F$5:$F$304,Kho_SP!$A$5:$A$304,$B100))</f>
        <v/>
      </c>
      <c r="J100" s="39" t="str">
        <f>IF($B100="","",SUMIFS(Kho_SP!$G$5:$G$304,Kho_SP!$A$5:$A$304,$B100))</f>
        <v/>
      </c>
      <c r="K100" s="39" t="str">
        <f t="shared" si="6"/>
        <v/>
      </c>
      <c r="L100" s="31" t="str">
        <f>IF($B100="","",IFERROR(INDEX(Kho_SP!$I$5:$I$304,MATCH(B100,Kho_SP!$A$5:$A$304,0))&amp;"",""))</f>
        <v/>
      </c>
      <c r="M100" s="44" t="str">
        <f>IF($B100="","",SUMIFS(Kho_SP!$H$5:$H$304,Kho_SP!$A$5:$A$304,$B100))</f>
        <v/>
      </c>
      <c r="N100" s="44" t="str">
        <f t="shared" si="7"/>
        <v/>
      </c>
      <c r="O100" s="45" t="str">
        <f t="shared" si="8"/>
        <v/>
      </c>
      <c r="P100" s="44" t="str">
        <f>IF($B100="","",SUMIFS(TK_Xuat!$E$5:$E$1004,TK_Xuat!$D$5:$D$1004,$B100,TK_Xuat!$H$5:$H$1004,1))</f>
        <v/>
      </c>
      <c r="Q100" s="44" t="str">
        <f t="shared" si="9"/>
        <v/>
      </c>
    </row>
    <row r="101" spans="1:17" x14ac:dyDescent="0.25">
      <c r="A101" s="36" t="str">
        <f t="shared" si="5"/>
        <v/>
      </c>
      <c r="B101" s="35" t="str">
        <f>IF(DM_SP!A95="","",DM_SP!A95)</f>
        <v/>
      </c>
      <c r="C101" s="35" t="str">
        <f>IF(B101="","",DM_SP!B95)</f>
        <v/>
      </c>
      <c r="D101" s="35" t="str">
        <f>IF(B101="","",DM_SP!C95)</f>
        <v/>
      </c>
      <c r="E101" s="39" t="str">
        <f>IF($B101="","",SUMIFS(Kho_SP!$B$5:$B$304,Kho_SP!$A$5:$A$304,$B101))</f>
        <v/>
      </c>
      <c r="F101" s="39" t="str">
        <f>IF($B101="","",SUMIFS(Kho_SP!$C$5:$C$304,Kho_SP!$A$5:$A$304,$B101))</f>
        <v/>
      </c>
      <c r="G101" s="39" t="str">
        <f>IF($B101="","",SUMIFS(Kho_SP!$D$5:$D$304,Kho_SP!$A$5:$A$304,$B101))</f>
        <v/>
      </c>
      <c r="H101" s="39" t="str">
        <f>IF($B101="","",SUMIFS(Kho_SP!$E$5:$E$304,Kho_SP!$A$5:$A$304,$B101))</f>
        <v/>
      </c>
      <c r="I101" s="39" t="str">
        <f>IF($B101="","",SUMIFS(Kho_SP!$F$5:$F$304,Kho_SP!$A$5:$A$304,$B101))</f>
        <v/>
      </c>
      <c r="J101" s="39" t="str">
        <f>IF($B101="","",SUMIFS(Kho_SP!$G$5:$G$304,Kho_SP!$A$5:$A$304,$B101))</f>
        <v/>
      </c>
      <c r="K101" s="39" t="str">
        <f t="shared" si="6"/>
        <v/>
      </c>
      <c r="L101" s="31" t="str">
        <f>IF($B101="","",IFERROR(INDEX(Kho_SP!$I$5:$I$304,MATCH(B101,Kho_SP!$A$5:$A$304,0))&amp;"",""))</f>
        <v/>
      </c>
      <c r="M101" s="44" t="str">
        <f>IF($B101="","",SUMIFS(Kho_SP!$H$5:$H$304,Kho_SP!$A$5:$A$304,$B101))</f>
        <v/>
      </c>
      <c r="N101" s="44" t="str">
        <f t="shared" si="7"/>
        <v/>
      </c>
      <c r="O101" s="45" t="str">
        <f t="shared" si="8"/>
        <v/>
      </c>
      <c r="P101" s="44" t="str">
        <f>IF($B101="","",SUMIFS(TK_Xuat!$E$5:$E$1004,TK_Xuat!$D$5:$D$1004,$B101,TK_Xuat!$H$5:$H$1004,1))</f>
        <v/>
      </c>
      <c r="Q101" s="44" t="str">
        <f t="shared" si="9"/>
        <v/>
      </c>
    </row>
    <row r="102" spans="1:17" x14ac:dyDescent="0.25">
      <c r="A102" s="36" t="str">
        <f t="shared" si="5"/>
        <v/>
      </c>
      <c r="B102" s="35" t="str">
        <f>IF(DM_SP!A96="","",DM_SP!A96)</f>
        <v/>
      </c>
      <c r="C102" s="35" t="str">
        <f>IF(B102="","",DM_SP!B96)</f>
        <v/>
      </c>
      <c r="D102" s="35" t="str">
        <f>IF(B102="","",DM_SP!C96)</f>
        <v/>
      </c>
      <c r="E102" s="39" t="str">
        <f>IF($B102="","",SUMIFS(Kho_SP!$B$5:$B$304,Kho_SP!$A$5:$A$304,$B102))</f>
        <v/>
      </c>
      <c r="F102" s="39" t="str">
        <f>IF($B102="","",SUMIFS(Kho_SP!$C$5:$C$304,Kho_SP!$A$5:$A$304,$B102))</f>
        <v/>
      </c>
      <c r="G102" s="39" t="str">
        <f>IF($B102="","",SUMIFS(Kho_SP!$D$5:$D$304,Kho_SP!$A$5:$A$304,$B102))</f>
        <v/>
      </c>
      <c r="H102" s="39" t="str">
        <f>IF($B102="","",SUMIFS(Kho_SP!$E$5:$E$304,Kho_SP!$A$5:$A$304,$B102))</f>
        <v/>
      </c>
      <c r="I102" s="39" t="str">
        <f>IF($B102="","",SUMIFS(Kho_SP!$F$5:$F$304,Kho_SP!$A$5:$A$304,$B102))</f>
        <v/>
      </c>
      <c r="J102" s="39" t="str">
        <f>IF($B102="","",SUMIFS(Kho_SP!$G$5:$G$304,Kho_SP!$A$5:$A$304,$B102))</f>
        <v/>
      </c>
      <c r="K102" s="39" t="str">
        <f t="shared" si="6"/>
        <v/>
      </c>
      <c r="L102" s="31" t="str">
        <f>IF($B102="","",IFERROR(INDEX(Kho_SP!$I$5:$I$304,MATCH(B102,Kho_SP!$A$5:$A$304,0))&amp;"",""))</f>
        <v/>
      </c>
      <c r="M102" s="44" t="str">
        <f>IF($B102="","",SUMIFS(Kho_SP!$H$5:$H$304,Kho_SP!$A$5:$A$304,$B102))</f>
        <v/>
      </c>
      <c r="N102" s="44" t="str">
        <f t="shared" si="7"/>
        <v/>
      </c>
      <c r="O102" s="45" t="str">
        <f t="shared" si="8"/>
        <v/>
      </c>
      <c r="P102" s="44" t="str">
        <f>IF($B102="","",SUMIFS(TK_Xuat!$E$5:$E$1004,TK_Xuat!$D$5:$D$1004,$B102,TK_Xuat!$H$5:$H$1004,1))</f>
        <v/>
      </c>
      <c r="Q102" s="44" t="str">
        <f t="shared" si="9"/>
        <v/>
      </c>
    </row>
    <row r="103" spans="1:17" x14ac:dyDescent="0.25">
      <c r="A103" s="36" t="str">
        <f t="shared" si="5"/>
        <v/>
      </c>
      <c r="B103" s="35" t="str">
        <f>IF(DM_SP!A97="","",DM_SP!A97)</f>
        <v/>
      </c>
      <c r="C103" s="35" t="str">
        <f>IF(B103="","",DM_SP!B97)</f>
        <v/>
      </c>
      <c r="D103" s="35" t="str">
        <f>IF(B103="","",DM_SP!C97)</f>
        <v/>
      </c>
      <c r="E103" s="39" t="str">
        <f>IF($B103="","",SUMIFS(Kho_SP!$B$5:$B$304,Kho_SP!$A$5:$A$304,$B103))</f>
        <v/>
      </c>
      <c r="F103" s="39" t="str">
        <f>IF($B103="","",SUMIFS(Kho_SP!$C$5:$C$304,Kho_SP!$A$5:$A$304,$B103))</f>
        <v/>
      </c>
      <c r="G103" s="39" t="str">
        <f>IF($B103="","",SUMIFS(Kho_SP!$D$5:$D$304,Kho_SP!$A$5:$A$304,$B103))</f>
        <v/>
      </c>
      <c r="H103" s="39" t="str">
        <f>IF($B103="","",SUMIFS(Kho_SP!$E$5:$E$304,Kho_SP!$A$5:$A$304,$B103))</f>
        <v/>
      </c>
      <c r="I103" s="39" t="str">
        <f>IF($B103="","",SUMIFS(Kho_SP!$F$5:$F$304,Kho_SP!$A$5:$A$304,$B103))</f>
        <v/>
      </c>
      <c r="J103" s="39" t="str">
        <f>IF($B103="","",SUMIFS(Kho_SP!$G$5:$G$304,Kho_SP!$A$5:$A$304,$B103))</f>
        <v/>
      </c>
      <c r="K103" s="39" t="str">
        <f t="shared" si="6"/>
        <v/>
      </c>
      <c r="L103" s="31" t="str">
        <f>IF($B103="","",IFERROR(INDEX(Kho_SP!$I$5:$I$304,MATCH(B103,Kho_SP!$A$5:$A$304,0))&amp;"",""))</f>
        <v/>
      </c>
      <c r="M103" s="44" t="str">
        <f>IF($B103="","",SUMIFS(Kho_SP!$H$5:$H$304,Kho_SP!$A$5:$A$304,$B103))</f>
        <v/>
      </c>
      <c r="N103" s="44" t="str">
        <f t="shared" si="7"/>
        <v/>
      </c>
      <c r="O103" s="45" t="str">
        <f t="shared" si="8"/>
        <v/>
      </c>
      <c r="P103" s="44" t="str">
        <f>IF($B103="","",SUMIFS(TK_Xuat!$E$5:$E$1004,TK_Xuat!$D$5:$D$1004,$B103,TK_Xuat!$H$5:$H$1004,1))</f>
        <v/>
      </c>
      <c r="Q103" s="44" t="str">
        <f t="shared" si="9"/>
        <v/>
      </c>
    </row>
    <row r="104" spans="1:17" x14ac:dyDescent="0.25">
      <c r="A104" s="36" t="str">
        <f t="shared" si="5"/>
        <v/>
      </c>
      <c r="B104" s="35" t="str">
        <f>IF(DM_SP!A98="","",DM_SP!A98)</f>
        <v/>
      </c>
      <c r="C104" s="35" t="str">
        <f>IF(B104="","",DM_SP!B98)</f>
        <v/>
      </c>
      <c r="D104" s="35" t="str">
        <f>IF(B104="","",DM_SP!C98)</f>
        <v/>
      </c>
      <c r="E104" s="39" t="str">
        <f>IF($B104="","",SUMIFS(Kho_SP!$B$5:$B$304,Kho_SP!$A$5:$A$304,$B104))</f>
        <v/>
      </c>
      <c r="F104" s="39" t="str">
        <f>IF($B104="","",SUMIFS(Kho_SP!$C$5:$C$304,Kho_SP!$A$5:$A$304,$B104))</f>
        <v/>
      </c>
      <c r="G104" s="39" t="str">
        <f>IF($B104="","",SUMIFS(Kho_SP!$D$5:$D$304,Kho_SP!$A$5:$A$304,$B104))</f>
        <v/>
      </c>
      <c r="H104" s="39" t="str">
        <f>IF($B104="","",SUMIFS(Kho_SP!$E$5:$E$304,Kho_SP!$A$5:$A$304,$B104))</f>
        <v/>
      </c>
      <c r="I104" s="39" t="str">
        <f>IF($B104="","",SUMIFS(Kho_SP!$F$5:$F$304,Kho_SP!$A$5:$A$304,$B104))</f>
        <v/>
      </c>
      <c r="J104" s="39" t="str">
        <f>IF($B104="","",SUMIFS(Kho_SP!$G$5:$G$304,Kho_SP!$A$5:$A$304,$B104))</f>
        <v/>
      </c>
      <c r="K104" s="39" t="str">
        <f t="shared" si="6"/>
        <v/>
      </c>
      <c r="L104" s="31" t="str">
        <f>IF($B104="","",IFERROR(INDEX(Kho_SP!$I$5:$I$304,MATCH(B104,Kho_SP!$A$5:$A$304,0))&amp;"",""))</f>
        <v/>
      </c>
      <c r="M104" s="44" t="str">
        <f>IF($B104="","",SUMIFS(Kho_SP!$H$5:$H$304,Kho_SP!$A$5:$A$304,$B104))</f>
        <v/>
      </c>
      <c r="N104" s="44" t="str">
        <f t="shared" si="7"/>
        <v/>
      </c>
      <c r="O104" s="45" t="str">
        <f t="shared" si="8"/>
        <v/>
      </c>
      <c r="P104" s="44" t="str">
        <f>IF($B104="","",SUMIFS(TK_Xuat!$E$5:$E$1004,TK_Xuat!$D$5:$D$1004,$B104,TK_Xuat!$H$5:$H$1004,1))</f>
        <v/>
      </c>
      <c r="Q104" s="44" t="str">
        <f t="shared" si="9"/>
        <v/>
      </c>
    </row>
    <row r="105" spans="1:17" x14ac:dyDescent="0.25">
      <c r="A105" s="36" t="str">
        <f t="shared" si="5"/>
        <v/>
      </c>
      <c r="B105" s="35" t="str">
        <f>IF(DM_SP!A99="","",DM_SP!A99)</f>
        <v/>
      </c>
      <c r="C105" s="35" t="str">
        <f>IF(B105="","",DM_SP!B99)</f>
        <v/>
      </c>
      <c r="D105" s="35" t="str">
        <f>IF(B105="","",DM_SP!C99)</f>
        <v/>
      </c>
      <c r="E105" s="39" t="str">
        <f>IF($B105="","",SUMIFS(Kho_SP!$B$5:$B$304,Kho_SP!$A$5:$A$304,$B105))</f>
        <v/>
      </c>
      <c r="F105" s="39" t="str">
        <f>IF($B105="","",SUMIFS(Kho_SP!$C$5:$C$304,Kho_SP!$A$5:$A$304,$B105))</f>
        <v/>
      </c>
      <c r="G105" s="39" t="str">
        <f>IF($B105="","",SUMIFS(Kho_SP!$D$5:$D$304,Kho_SP!$A$5:$A$304,$B105))</f>
        <v/>
      </c>
      <c r="H105" s="39" t="str">
        <f>IF($B105="","",SUMIFS(Kho_SP!$E$5:$E$304,Kho_SP!$A$5:$A$304,$B105))</f>
        <v/>
      </c>
      <c r="I105" s="39" t="str">
        <f>IF($B105="","",SUMIFS(Kho_SP!$F$5:$F$304,Kho_SP!$A$5:$A$304,$B105))</f>
        <v/>
      </c>
      <c r="J105" s="39" t="str">
        <f>IF($B105="","",SUMIFS(Kho_SP!$G$5:$G$304,Kho_SP!$A$5:$A$304,$B105))</f>
        <v/>
      </c>
      <c r="K105" s="39" t="str">
        <f t="shared" si="6"/>
        <v/>
      </c>
      <c r="L105" s="31" t="str">
        <f>IF($B105="","",IFERROR(INDEX(Kho_SP!$I$5:$I$304,MATCH(B105,Kho_SP!$A$5:$A$304,0))&amp;"",""))</f>
        <v/>
      </c>
      <c r="M105" s="44" t="str">
        <f>IF($B105="","",SUMIFS(Kho_SP!$H$5:$H$304,Kho_SP!$A$5:$A$304,$B105))</f>
        <v/>
      </c>
      <c r="N105" s="44" t="str">
        <f t="shared" si="7"/>
        <v/>
      </c>
      <c r="O105" s="45" t="str">
        <f t="shared" si="8"/>
        <v/>
      </c>
      <c r="P105" s="44" t="str">
        <f>IF($B105="","",SUMIFS(TK_Xuat!$E$5:$E$1004,TK_Xuat!$D$5:$D$1004,$B105,TK_Xuat!$H$5:$H$1004,1))</f>
        <v/>
      </c>
      <c r="Q105" s="44" t="str">
        <f t="shared" si="9"/>
        <v/>
      </c>
    </row>
    <row r="106" spans="1:17" x14ac:dyDescent="0.25">
      <c r="A106" s="36" t="str">
        <f t="shared" si="5"/>
        <v/>
      </c>
      <c r="B106" s="35" t="str">
        <f>IF(DM_SP!A100="","",DM_SP!A100)</f>
        <v/>
      </c>
      <c r="C106" s="35" t="str">
        <f>IF(B106="","",DM_SP!B100)</f>
        <v/>
      </c>
      <c r="D106" s="35" t="str">
        <f>IF(B106="","",DM_SP!C100)</f>
        <v/>
      </c>
      <c r="E106" s="39" t="str">
        <f>IF($B106="","",SUMIFS(Kho_SP!$B$5:$B$304,Kho_SP!$A$5:$A$304,$B106))</f>
        <v/>
      </c>
      <c r="F106" s="39" t="str">
        <f>IF($B106="","",SUMIFS(Kho_SP!$C$5:$C$304,Kho_SP!$A$5:$A$304,$B106))</f>
        <v/>
      </c>
      <c r="G106" s="39" t="str">
        <f>IF($B106="","",SUMIFS(Kho_SP!$D$5:$D$304,Kho_SP!$A$5:$A$304,$B106))</f>
        <v/>
      </c>
      <c r="H106" s="39" t="str">
        <f>IF($B106="","",SUMIFS(Kho_SP!$E$5:$E$304,Kho_SP!$A$5:$A$304,$B106))</f>
        <v/>
      </c>
      <c r="I106" s="39" t="str">
        <f>IF($B106="","",SUMIFS(Kho_SP!$F$5:$F$304,Kho_SP!$A$5:$A$304,$B106))</f>
        <v/>
      </c>
      <c r="J106" s="39" t="str">
        <f>IF($B106="","",SUMIFS(Kho_SP!$G$5:$G$304,Kho_SP!$A$5:$A$304,$B106))</f>
        <v/>
      </c>
      <c r="K106" s="39" t="str">
        <f t="shared" si="6"/>
        <v/>
      </c>
      <c r="L106" s="31" t="str">
        <f>IF($B106="","",IFERROR(INDEX(Kho_SP!$I$5:$I$304,MATCH(B106,Kho_SP!$A$5:$A$304,0))&amp;"",""))</f>
        <v/>
      </c>
      <c r="M106" s="44" t="str">
        <f>IF($B106="","",SUMIFS(Kho_SP!$H$5:$H$304,Kho_SP!$A$5:$A$304,$B106))</f>
        <v/>
      </c>
      <c r="N106" s="44" t="str">
        <f t="shared" si="7"/>
        <v/>
      </c>
      <c r="O106" s="45" t="str">
        <f t="shared" si="8"/>
        <v/>
      </c>
      <c r="P106" s="44" t="str">
        <f>IF($B106="","",SUMIFS(TK_Xuat!$E$5:$E$1004,TK_Xuat!$D$5:$D$1004,$B106,TK_Xuat!$H$5:$H$1004,1))</f>
        <v/>
      </c>
      <c r="Q106" s="44" t="str">
        <f t="shared" si="9"/>
        <v/>
      </c>
    </row>
    <row r="107" spans="1:17" x14ac:dyDescent="0.25">
      <c r="A107" s="36" t="str">
        <f t="shared" si="5"/>
        <v/>
      </c>
      <c r="B107" s="35" t="str">
        <f>IF(DM_SP!A101="","",DM_SP!A101)</f>
        <v/>
      </c>
      <c r="C107" s="35" t="str">
        <f>IF(B107="","",DM_SP!B101)</f>
        <v/>
      </c>
      <c r="D107" s="35" t="str">
        <f>IF(B107="","",DM_SP!C101)</f>
        <v/>
      </c>
      <c r="E107" s="39" t="str">
        <f>IF($B107="","",SUMIFS(Kho_SP!$B$5:$B$304,Kho_SP!$A$5:$A$304,$B107))</f>
        <v/>
      </c>
      <c r="F107" s="39" t="str">
        <f>IF($B107="","",SUMIFS(Kho_SP!$C$5:$C$304,Kho_SP!$A$5:$A$304,$B107))</f>
        <v/>
      </c>
      <c r="G107" s="39" t="str">
        <f>IF($B107="","",SUMIFS(Kho_SP!$D$5:$D$304,Kho_SP!$A$5:$A$304,$B107))</f>
        <v/>
      </c>
      <c r="H107" s="39" t="str">
        <f>IF($B107="","",SUMIFS(Kho_SP!$E$5:$E$304,Kho_SP!$A$5:$A$304,$B107))</f>
        <v/>
      </c>
      <c r="I107" s="39" t="str">
        <f>IF($B107="","",SUMIFS(Kho_SP!$F$5:$F$304,Kho_SP!$A$5:$A$304,$B107))</f>
        <v/>
      </c>
      <c r="J107" s="39" t="str">
        <f>IF($B107="","",SUMIFS(Kho_SP!$G$5:$G$304,Kho_SP!$A$5:$A$304,$B107))</f>
        <v/>
      </c>
      <c r="K107" s="39" t="str">
        <f t="shared" si="6"/>
        <v/>
      </c>
      <c r="L107" s="31" t="str">
        <f>IF($B107="","",IFERROR(INDEX(Kho_SP!$I$5:$I$304,MATCH(B107,Kho_SP!$A$5:$A$304,0))&amp;"",""))</f>
        <v/>
      </c>
      <c r="M107" s="44" t="str">
        <f>IF($B107="","",SUMIFS(Kho_SP!$H$5:$H$304,Kho_SP!$A$5:$A$304,$B107))</f>
        <v/>
      </c>
      <c r="N107" s="44" t="str">
        <f t="shared" si="7"/>
        <v/>
      </c>
      <c r="O107" s="45" t="str">
        <f t="shared" si="8"/>
        <v/>
      </c>
      <c r="P107" s="44" t="str">
        <f>IF($B107="","",SUMIFS(TK_Xuat!$E$5:$E$1004,TK_Xuat!$D$5:$D$1004,$B107,TK_Xuat!$H$5:$H$1004,1))</f>
        <v/>
      </c>
      <c r="Q107" s="44" t="str">
        <f t="shared" si="9"/>
        <v/>
      </c>
    </row>
    <row r="108" spans="1:17" x14ac:dyDescent="0.25">
      <c r="A108" s="36" t="str">
        <f t="shared" si="5"/>
        <v/>
      </c>
      <c r="B108" s="35" t="str">
        <f>IF(DM_SP!A102="","",DM_SP!A102)</f>
        <v/>
      </c>
      <c r="C108" s="35" t="str">
        <f>IF(B108="","",DM_SP!B102)</f>
        <v/>
      </c>
      <c r="D108" s="35" t="str">
        <f>IF(B108="","",DM_SP!C102)</f>
        <v/>
      </c>
      <c r="E108" s="39" t="str">
        <f>IF($B108="","",SUMIFS(Kho_SP!$B$5:$B$304,Kho_SP!$A$5:$A$304,$B108))</f>
        <v/>
      </c>
      <c r="F108" s="39" t="str">
        <f>IF($B108="","",SUMIFS(Kho_SP!$C$5:$C$304,Kho_SP!$A$5:$A$304,$B108))</f>
        <v/>
      </c>
      <c r="G108" s="39" t="str">
        <f>IF($B108="","",SUMIFS(Kho_SP!$D$5:$D$304,Kho_SP!$A$5:$A$304,$B108))</f>
        <v/>
      </c>
      <c r="H108" s="39" t="str">
        <f>IF($B108="","",SUMIFS(Kho_SP!$E$5:$E$304,Kho_SP!$A$5:$A$304,$B108))</f>
        <v/>
      </c>
      <c r="I108" s="39" t="str">
        <f>IF($B108="","",SUMIFS(Kho_SP!$F$5:$F$304,Kho_SP!$A$5:$A$304,$B108))</f>
        <v/>
      </c>
      <c r="J108" s="39" t="str">
        <f>IF($B108="","",SUMIFS(Kho_SP!$G$5:$G$304,Kho_SP!$A$5:$A$304,$B108))</f>
        <v/>
      </c>
      <c r="K108" s="39" t="str">
        <f t="shared" si="6"/>
        <v/>
      </c>
      <c r="L108" s="31" t="str">
        <f>IF($B108="","",IFERROR(INDEX(Kho_SP!$I$5:$I$304,MATCH(B108,Kho_SP!$A$5:$A$304,0))&amp;"",""))</f>
        <v/>
      </c>
      <c r="M108" s="44" t="str">
        <f>IF($B108="","",SUMIFS(Kho_SP!$H$5:$H$304,Kho_SP!$A$5:$A$304,$B108))</f>
        <v/>
      </c>
      <c r="N108" s="44" t="str">
        <f t="shared" si="7"/>
        <v/>
      </c>
      <c r="O108" s="45" t="str">
        <f t="shared" si="8"/>
        <v/>
      </c>
      <c r="P108" s="44" t="str">
        <f>IF($B108="","",SUMIFS(TK_Xuat!$E$5:$E$1004,TK_Xuat!$D$5:$D$1004,$B108,TK_Xuat!$H$5:$H$1004,1))</f>
        <v/>
      </c>
      <c r="Q108" s="44" t="str">
        <f t="shared" si="9"/>
        <v/>
      </c>
    </row>
    <row r="109" spans="1:17" x14ac:dyDescent="0.25">
      <c r="A109" s="36" t="str">
        <f t="shared" si="5"/>
        <v/>
      </c>
      <c r="B109" s="35" t="str">
        <f>IF(DM_SP!A103="","",DM_SP!A103)</f>
        <v/>
      </c>
      <c r="C109" s="35" t="str">
        <f>IF(B109="","",DM_SP!B103)</f>
        <v/>
      </c>
      <c r="D109" s="35" t="str">
        <f>IF(B109="","",DM_SP!C103)</f>
        <v/>
      </c>
      <c r="E109" s="39" t="str">
        <f>IF($B109="","",SUMIFS(Kho_SP!$B$5:$B$304,Kho_SP!$A$5:$A$304,$B109))</f>
        <v/>
      </c>
      <c r="F109" s="39" t="str">
        <f>IF($B109="","",SUMIFS(Kho_SP!$C$5:$C$304,Kho_SP!$A$5:$A$304,$B109))</f>
        <v/>
      </c>
      <c r="G109" s="39" t="str">
        <f>IF($B109="","",SUMIFS(Kho_SP!$D$5:$D$304,Kho_SP!$A$5:$A$304,$B109))</f>
        <v/>
      </c>
      <c r="H109" s="39" t="str">
        <f>IF($B109="","",SUMIFS(Kho_SP!$E$5:$E$304,Kho_SP!$A$5:$A$304,$B109))</f>
        <v/>
      </c>
      <c r="I109" s="39" t="str">
        <f>IF($B109="","",SUMIFS(Kho_SP!$F$5:$F$304,Kho_SP!$A$5:$A$304,$B109))</f>
        <v/>
      </c>
      <c r="J109" s="39" t="str">
        <f>IF($B109="","",SUMIFS(Kho_SP!$G$5:$G$304,Kho_SP!$A$5:$A$304,$B109))</f>
        <v/>
      </c>
      <c r="K109" s="39" t="str">
        <f t="shared" si="6"/>
        <v/>
      </c>
      <c r="L109" s="31" t="str">
        <f>IF($B109="","",IFERROR(INDEX(Kho_SP!$I$5:$I$304,MATCH(B109,Kho_SP!$A$5:$A$304,0))&amp;"",""))</f>
        <v/>
      </c>
      <c r="M109" s="44" t="str">
        <f>IF($B109="","",SUMIFS(Kho_SP!$H$5:$H$304,Kho_SP!$A$5:$A$304,$B109))</f>
        <v/>
      </c>
      <c r="N109" s="44" t="str">
        <f t="shared" si="7"/>
        <v/>
      </c>
      <c r="O109" s="45" t="str">
        <f t="shared" si="8"/>
        <v/>
      </c>
      <c r="P109" s="44" t="str">
        <f>IF($B109="","",SUMIFS(TK_Xuat!$E$5:$E$1004,TK_Xuat!$D$5:$D$1004,$B109,TK_Xuat!$H$5:$H$1004,1))</f>
        <v/>
      </c>
      <c r="Q109" s="44" t="str">
        <f t="shared" si="9"/>
        <v/>
      </c>
    </row>
    <row r="110" spans="1:17" x14ac:dyDescent="0.25">
      <c r="A110" s="36" t="str">
        <f t="shared" si="5"/>
        <v/>
      </c>
      <c r="B110" s="35" t="str">
        <f>IF(DM_SP!A104="","",DM_SP!A104)</f>
        <v/>
      </c>
      <c r="C110" s="35" t="str">
        <f>IF(B110="","",DM_SP!B104)</f>
        <v/>
      </c>
      <c r="D110" s="35" t="str">
        <f>IF(B110="","",DM_SP!C104)</f>
        <v/>
      </c>
      <c r="E110" s="39" t="str">
        <f>IF($B110="","",SUMIFS(Kho_SP!$B$5:$B$304,Kho_SP!$A$5:$A$304,$B110))</f>
        <v/>
      </c>
      <c r="F110" s="39" t="str">
        <f>IF($B110="","",SUMIFS(Kho_SP!$C$5:$C$304,Kho_SP!$A$5:$A$304,$B110))</f>
        <v/>
      </c>
      <c r="G110" s="39" t="str">
        <f>IF($B110="","",SUMIFS(Kho_SP!$D$5:$D$304,Kho_SP!$A$5:$A$304,$B110))</f>
        <v/>
      </c>
      <c r="H110" s="39" t="str">
        <f>IF($B110="","",SUMIFS(Kho_SP!$E$5:$E$304,Kho_SP!$A$5:$A$304,$B110))</f>
        <v/>
      </c>
      <c r="I110" s="39" t="str">
        <f>IF($B110="","",SUMIFS(Kho_SP!$F$5:$F$304,Kho_SP!$A$5:$A$304,$B110))</f>
        <v/>
      </c>
      <c r="J110" s="39" t="str">
        <f>IF($B110="","",SUMIFS(Kho_SP!$G$5:$G$304,Kho_SP!$A$5:$A$304,$B110))</f>
        <v/>
      </c>
      <c r="K110" s="39" t="str">
        <f t="shared" si="6"/>
        <v/>
      </c>
      <c r="L110" s="31" t="str">
        <f>IF($B110="","",IFERROR(INDEX(Kho_SP!$I$5:$I$304,MATCH(B110,Kho_SP!$A$5:$A$304,0))&amp;"",""))</f>
        <v/>
      </c>
      <c r="M110" s="44" t="str">
        <f>IF($B110="","",SUMIFS(Kho_SP!$H$5:$H$304,Kho_SP!$A$5:$A$304,$B110))</f>
        <v/>
      </c>
      <c r="N110" s="44" t="str">
        <f t="shared" si="7"/>
        <v/>
      </c>
      <c r="O110" s="45" t="str">
        <f t="shared" si="8"/>
        <v/>
      </c>
      <c r="P110" s="44" t="str">
        <f>IF($B110="","",SUMIFS(TK_Xuat!$E$5:$E$1004,TK_Xuat!$D$5:$D$1004,$B110,TK_Xuat!$H$5:$H$1004,1))</f>
        <v/>
      </c>
      <c r="Q110" s="44" t="str">
        <f t="shared" si="9"/>
        <v/>
      </c>
    </row>
    <row r="111" spans="1:17" x14ac:dyDescent="0.25">
      <c r="A111" s="36" t="str">
        <f t="shared" si="5"/>
        <v/>
      </c>
      <c r="B111" s="35" t="str">
        <f>IF(DM_SP!A105="","",DM_SP!A105)</f>
        <v/>
      </c>
      <c r="C111" s="35" t="str">
        <f>IF(B111="","",DM_SP!B105)</f>
        <v/>
      </c>
      <c r="D111" s="35" t="str">
        <f>IF(B111="","",DM_SP!C105)</f>
        <v/>
      </c>
      <c r="E111" s="39" t="str">
        <f>IF($B111="","",SUMIFS(Kho_SP!$B$5:$B$304,Kho_SP!$A$5:$A$304,$B111))</f>
        <v/>
      </c>
      <c r="F111" s="39" t="str">
        <f>IF($B111="","",SUMIFS(Kho_SP!$C$5:$C$304,Kho_SP!$A$5:$A$304,$B111))</f>
        <v/>
      </c>
      <c r="G111" s="39" t="str">
        <f>IF($B111="","",SUMIFS(Kho_SP!$D$5:$D$304,Kho_SP!$A$5:$A$304,$B111))</f>
        <v/>
      </c>
      <c r="H111" s="39" t="str">
        <f>IF($B111="","",SUMIFS(Kho_SP!$E$5:$E$304,Kho_SP!$A$5:$A$304,$B111))</f>
        <v/>
      </c>
      <c r="I111" s="39" t="str">
        <f>IF($B111="","",SUMIFS(Kho_SP!$F$5:$F$304,Kho_SP!$A$5:$A$304,$B111))</f>
        <v/>
      </c>
      <c r="J111" s="39" t="str">
        <f>IF($B111="","",SUMIFS(Kho_SP!$G$5:$G$304,Kho_SP!$A$5:$A$304,$B111))</f>
        <v/>
      </c>
      <c r="K111" s="39" t="str">
        <f t="shared" si="6"/>
        <v/>
      </c>
      <c r="L111" s="31" t="str">
        <f>IF($B111="","",IFERROR(INDEX(Kho_SP!$I$5:$I$304,MATCH(B111,Kho_SP!$A$5:$A$304,0))&amp;"",""))</f>
        <v/>
      </c>
      <c r="M111" s="44" t="str">
        <f>IF($B111="","",SUMIFS(Kho_SP!$H$5:$H$304,Kho_SP!$A$5:$A$304,$B111))</f>
        <v/>
      </c>
      <c r="N111" s="44" t="str">
        <f t="shared" si="7"/>
        <v/>
      </c>
      <c r="O111" s="45" t="str">
        <f t="shared" si="8"/>
        <v/>
      </c>
      <c r="P111" s="44" t="str">
        <f>IF($B111="","",SUMIFS(TK_Xuat!$E$5:$E$1004,TK_Xuat!$D$5:$D$1004,$B111,TK_Xuat!$H$5:$H$1004,1))</f>
        <v/>
      </c>
      <c r="Q111" s="44" t="str">
        <f t="shared" si="9"/>
        <v/>
      </c>
    </row>
    <row r="112" spans="1:17" x14ac:dyDescent="0.25">
      <c r="A112" s="36" t="str">
        <f t="shared" si="5"/>
        <v/>
      </c>
      <c r="B112" s="35" t="str">
        <f>IF(DM_SP!A106="","",DM_SP!A106)</f>
        <v/>
      </c>
      <c r="C112" s="35" t="str">
        <f>IF(B112="","",DM_SP!B106)</f>
        <v/>
      </c>
      <c r="D112" s="35" t="str">
        <f>IF(B112="","",DM_SP!C106)</f>
        <v/>
      </c>
      <c r="E112" s="39" t="str">
        <f>IF($B112="","",SUMIFS(Kho_SP!$B$5:$B$304,Kho_SP!$A$5:$A$304,$B112))</f>
        <v/>
      </c>
      <c r="F112" s="39" t="str">
        <f>IF($B112="","",SUMIFS(Kho_SP!$C$5:$C$304,Kho_SP!$A$5:$A$304,$B112))</f>
        <v/>
      </c>
      <c r="G112" s="39" t="str">
        <f>IF($B112="","",SUMIFS(Kho_SP!$D$5:$D$304,Kho_SP!$A$5:$A$304,$B112))</f>
        <v/>
      </c>
      <c r="H112" s="39" t="str">
        <f>IF($B112="","",SUMIFS(Kho_SP!$E$5:$E$304,Kho_SP!$A$5:$A$304,$B112))</f>
        <v/>
      </c>
      <c r="I112" s="39" t="str">
        <f>IF($B112="","",SUMIFS(Kho_SP!$F$5:$F$304,Kho_SP!$A$5:$A$304,$B112))</f>
        <v/>
      </c>
      <c r="J112" s="39" t="str">
        <f>IF($B112="","",SUMIFS(Kho_SP!$G$5:$G$304,Kho_SP!$A$5:$A$304,$B112))</f>
        <v/>
      </c>
      <c r="K112" s="39" t="str">
        <f t="shared" si="6"/>
        <v/>
      </c>
      <c r="L112" s="31" t="str">
        <f>IF($B112="","",IFERROR(INDEX(Kho_SP!$I$5:$I$304,MATCH(B112,Kho_SP!$A$5:$A$304,0))&amp;"",""))</f>
        <v/>
      </c>
      <c r="M112" s="44" t="str">
        <f>IF($B112="","",SUMIFS(Kho_SP!$H$5:$H$304,Kho_SP!$A$5:$A$304,$B112))</f>
        <v/>
      </c>
      <c r="N112" s="44" t="str">
        <f t="shared" si="7"/>
        <v/>
      </c>
      <c r="O112" s="45" t="str">
        <f t="shared" si="8"/>
        <v/>
      </c>
      <c r="P112" s="44" t="str">
        <f>IF($B112="","",SUMIFS(TK_Xuat!$E$5:$E$1004,TK_Xuat!$D$5:$D$1004,$B112,TK_Xuat!$H$5:$H$1004,1))</f>
        <v/>
      </c>
      <c r="Q112" s="44" t="str">
        <f t="shared" si="9"/>
        <v/>
      </c>
    </row>
    <row r="113" spans="1:17" x14ac:dyDescent="0.25">
      <c r="A113" s="36" t="str">
        <f t="shared" si="5"/>
        <v/>
      </c>
      <c r="B113" s="35" t="str">
        <f>IF(DM_SP!A107="","",DM_SP!A107)</f>
        <v/>
      </c>
      <c r="C113" s="35" t="str">
        <f>IF(B113="","",DM_SP!B107)</f>
        <v/>
      </c>
      <c r="D113" s="35" t="str">
        <f>IF(B113="","",DM_SP!C107)</f>
        <v/>
      </c>
      <c r="E113" s="39" t="str">
        <f>IF($B113="","",SUMIFS(Kho_SP!$B$5:$B$304,Kho_SP!$A$5:$A$304,$B113))</f>
        <v/>
      </c>
      <c r="F113" s="39" t="str">
        <f>IF($B113="","",SUMIFS(Kho_SP!$C$5:$C$304,Kho_SP!$A$5:$A$304,$B113))</f>
        <v/>
      </c>
      <c r="G113" s="39" t="str">
        <f>IF($B113="","",SUMIFS(Kho_SP!$D$5:$D$304,Kho_SP!$A$5:$A$304,$B113))</f>
        <v/>
      </c>
      <c r="H113" s="39" t="str">
        <f>IF($B113="","",SUMIFS(Kho_SP!$E$5:$E$304,Kho_SP!$A$5:$A$304,$B113))</f>
        <v/>
      </c>
      <c r="I113" s="39" t="str">
        <f>IF($B113="","",SUMIFS(Kho_SP!$F$5:$F$304,Kho_SP!$A$5:$A$304,$B113))</f>
        <v/>
      </c>
      <c r="J113" s="39" t="str">
        <f>IF($B113="","",SUMIFS(Kho_SP!$G$5:$G$304,Kho_SP!$A$5:$A$304,$B113))</f>
        <v/>
      </c>
      <c r="K113" s="39" t="str">
        <f t="shared" si="6"/>
        <v/>
      </c>
      <c r="L113" s="31" t="str">
        <f>IF($B113="","",IFERROR(INDEX(Kho_SP!$I$5:$I$304,MATCH(B113,Kho_SP!$A$5:$A$304,0))&amp;"",""))</f>
        <v/>
      </c>
      <c r="M113" s="44" t="str">
        <f>IF($B113="","",SUMIFS(Kho_SP!$H$5:$H$304,Kho_SP!$A$5:$A$304,$B113))</f>
        <v/>
      </c>
      <c r="N113" s="44" t="str">
        <f t="shared" si="7"/>
        <v/>
      </c>
      <c r="O113" s="45" t="str">
        <f t="shared" si="8"/>
        <v/>
      </c>
      <c r="P113" s="44" t="str">
        <f>IF($B113="","",SUMIFS(TK_Xuat!$E$5:$E$1004,TK_Xuat!$D$5:$D$1004,$B113,TK_Xuat!$H$5:$H$1004,1))</f>
        <v/>
      </c>
      <c r="Q113" s="44" t="str">
        <f t="shared" si="9"/>
        <v/>
      </c>
    </row>
    <row r="114" spans="1:17" x14ac:dyDescent="0.25">
      <c r="A114" s="36" t="str">
        <f t="shared" si="5"/>
        <v/>
      </c>
      <c r="B114" s="35" t="str">
        <f>IF(DM_SP!A108="","",DM_SP!A108)</f>
        <v/>
      </c>
      <c r="C114" s="35" t="str">
        <f>IF(B114="","",DM_SP!B108)</f>
        <v/>
      </c>
      <c r="D114" s="35" t="str">
        <f>IF(B114="","",DM_SP!C108)</f>
        <v/>
      </c>
      <c r="E114" s="39" t="str">
        <f>IF($B114="","",SUMIFS(Kho_SP!$B$5:$B$304,Kho_SP!$A$5:$A$304,$B114))</f>
        <v/>
      </c>
      <c r="F114" s="39" t="str">
        <f>IF($B114="","",SUMIFS(Kho_SP!$C$5:$C$304,Kho_SP!$A$5:$A$304,$B114))</f>
        <v/>
      </c>
      <c r="G114" s="39" t="str">
        <f>IF($B114="","",SUMIFS(Kho_SP!$D$5:$D$304,Kho_SP!$A$5:$A$304,$B114))</f>
        <v/>
      </c>
      <c r="H114" s="39" t="str">
        <f>IF($B114="","",SUMIFS(Kho_SP!$E$5:$E$304,Kho_SP!$A$5:$A$304,$B114))</f>
        <v/>
      </c>
      <c r="I114" s="39" t="str">
        <f>IF($B114="","",SUMIFS(Kho_SP!$F$5:$F$304,Kho_SP!$A$5:$A$304,$B114))</f>
        <v/>
      </c>
      <c r="J114" s="39" t="str">
        <f>IF($B114="","",SUMIFS(Kho_SP!$G$5:$G$304,Kho_SP!$A$5:$A$304,$B114))</f>
        <v/>
      </c>
      <c r="K114" s="39" t="str">
        <f t="shared" si="6"/>
        <v/>
      </c>
      <c r="L114" s="31" t="str">
        <f>IF($B114="","",IFERROR(INDEX(Kho_SP!$I$5:$I$304,MATCH(B114,Kho_SP!$A$5:$A$304,0))&amp;"",""))</f>
        <v/>
      </c>
      <c r="M114" s="44" t="str">
        <f>IF($B114="","",SUMIFS(Kho_SP!$H$5:$H$304,Kho_SP!$A$5:$A$304,$B114))</f>
        <v/>
      </c>
      <c r="N114" s="44" t="str">
        <f t="shared" si="7"/>
        <v/>
      </c>
      <c r="O114" s="45" t="str">
        <f t="shared" si="8"/>
        <v/>
      </c>
      <c r="P114" s="44" t="str">
        <f>IF($B114="","",SUMIFS(TK_Xuat!$E$5:$E$1004,TK_Xuat!$D$5:$D$1004,$B114,TK_Xuat!$H$5:$H$1004,1))</f>
        <v/>
      </c>
      <c r="Q114" s="44" t="str">
        <f t="shared" si="9"/>
        <v/>
      </c>
    </row>
    <row r="115" spans="1:17" x14ac:dyDescent="0.25">
      <c r="A115" s="36" t="str">
        <f t="shared" si="5"/>
        <v/>
      </c>
      <c r="B115" s="35" t="str">
        <f>IF(DM_SP!A109="","",DM_SP!A109)</f>
        <v/>
      </c>
      <c r="C115" s="35" t="str">
        <f>IF(B115="","",DM_SP!B109)</f>
        <v/>
      </c>
      <c r="D115" s="35" t="str">
        <f>IF(B115="","",DM_SP!C109)</f>
        <v/>
      </c>
      <c r="E115" s="39" t="str">
        <f>IF($B115="","",SUMIFS(Kho_SP!$B$5:$B$304,Kho_SP!$A$5:$A$304,$B115))</f>
        <v/>
      </c>
      <c r="F115" s="39" t="str">
        <f>IF($B115="","",SUMIFS(Kho_SP!$C$5:$C$304,Kho_SP!$A$5:$A$304,$B115))</f>
        <v/>
      </c>
      <c r="G115" s="39" t="str">
        <f>IF($B115="","",SUMIFS(Kho_SP!$D$5:$D$304,Kho_SP!$A$5:$A$304,$B115))</f>
        <v/>
      </c>
      <c r="H115" s="39" t="str">
        <f>IF($B115="","",SUMIFS(Kho_SP!$E$5:$E$304,Kho_SP!$A$5:$A$304,$B115))</f>
        <v/>
      </c>
      <c r="I115" s="39" t="str">
        <f>IF($B115="","",SUMIFS(Kho_SP!$F$5:$F$304,Kho_SP!$A$5:$A$304,$B115))</f>
        <v/>
      </c>
      <c r="J115" s="39" t="str">
        <f>IF($B115="","",SUMIFS(Kho_SP!$G$5:$G$304,Kho_SP!$A$5:$A$304,$B115))</f>
        <v/>
      </c>
      <c r="K115" s="39" t="str">
        <f t="shared" si="6"/>
        <v/>
      </c>
      <c r="L115" s="31" t="str">
        <f>IF($B115="","",IFERROR(INDEX(Kho_SP!$I$5:$I$304,MATCH(B115,Kho_SP!$A$5:$A$304,0))&amp;"",""))</f>
        <v/>
      </c>
      <c r="M115" s="44" t="str">
        <f>IF($B115="","",SUMIFS(Kho_SP!$H$5:$H$304,Kho_SP!$A$5:$A$304,$B115))</f>
        <v/>
      </c>
      <c r="N115" s="44" t="str">
        <f t="shared" si="7"/>
        <v/>
      </c>
      <c r="O115" s="45" t="str">
        <f t="shared" si="8"/>
        <v/>
      </c>
      <c r="P115" s="44" t="str">
        <f>IF($B115="","",SUMIFS(TK_Xuat!$E$5:$E$1004,TK_Xuat!$D$5:$D$1004,$B115,TK_Xuat!$H$5:$H$1004,1))</f>
        <v/>
      </c>
      <c r="Q115" s="44" t="str">
        <f t="shared" si="9"/>
        <v/>
      </c>
    </row>
    <row r="116" spans="1:17" x14ac:dyDescent="0.25">
      <c r="A116" s="36" t="str">
        <f t="shared" si="5"/>
        <v/>
      </c>
      <c r="B116" s="35" t="str">
        <f>IF(DM_SP!A110="","",DM_SP!A110)</f>
        <v/>
      </c>
      <c r="C116" s="35" t="str">
        <f>IF(B116="","",DM_SP!B110)</f>
        <v/>
      </c>
      <c r="D116" s="35" t="str">
        <f>IF(B116="","",DM_SP!C110)</f>
        <v/>
      </c>
      <c r="E116" s="39" t="str">
        <f>IF($B116="","",SUMIFS(Kho_SP!$B$5:$B$304,Kho_SP!$A$5:$A$304,$B116))</f>
        <v/>
      </c>
      <c r="F116" s="39" t="str">
        <f>IF($B116="","",SUMIFS(Kho_SP!$C$5:$C$304,Kho_SP!$A$5:$A$304,$B116))</f>
        <v/>
      </c>
      <c r="G116" s="39" t="str">
        <f>IF($B116="","",SUMIFS(Kho_SP!$D$5:$D$304,Kho_SP!$A$5:$A$304,$B116))</f>
        <v/>
      </c>
      <c r="H116" s="39" t="str">
        <f>IF($B116="","",SUMIFS(Kho_SP!$E$5:$E$304,Kho_SP!$A$5:$A$304,$B116))</f>
        <v/>
      </c>
      <c r="I116" s="39" t="str">
        <f>IF($B116="","",SUMIFS(Kho_SP!$F$5:$F$304,Kho_SP!$A$5:$A$304,$B116))</f>
        <v/>
      </c>
      <c r="J116" s="39" t="str">
        <f>IF($B116="","",SUMIFS(Kho_SP!$G$5:$G$304,Kho_SP!$A$5:$A$304,$B116))</f>
        <v/>
      </c>
      <c r="K116" s="39" t="str">
        <f t="shared" si="6"/>
        <v/>
      </c>
      <c r="L116" s="31" t="str">
        <f>IF($B116="","",IFERROR(INDEX(Kho_SP!$I$5:$I$304,MATCH(B116,Kho_SP!$A$5:$A$304,0))&amp;"",""))</f>
        <v/>
      </c>
      <c r="M116" s="44" t="str">
        <f>IF($B116="","",SUMIFS(Kho_SP!$H$5:$H$304,Kho_SP!$A$5:$A$304,$B116))</f>
        <v/>
      </c>
      <c r="N116" s="44" t="str">
        <f t="shared" si="7"/>
        <v/>
      </c>
      <c r="O116" s="45" t="str">
        <f t="shared" si="8"/>
        <v/>
      </c>
      <c r="P116" s="44" t="str">
        <f>IF($B116="","",SUMIFS(TK_Xuat!$E$5:$E$1004,TK_Xuat!$D$5:$D$1004,$B116,TK_Xuat!$H$5:$H$1004,1))</f>
        <v/>
      </c>
      <c r="Q116" s="44" t="str">
        <f t="shared" si="9"/>
        <v/>
      </c>
    </row>
    <row r="117" spans="1:17" x14ac:dyDescent="0.25">
      <c r="A117" s="36" t="str">
        <f t="shared" si="5"/>
        <v/>
      </c>
      <c r="B117" s="35" t="str">
        <f>IF(DM_SP!A111="","",DM_SP!A111)</f>
        <v/>
      </c>
      <c r="C117" s="35" t="str">
        <f>IF(B117="","",DM_SP!B111)</f>
        <v/>
      </c>
      <c r="D117" s="35" t="str">
        <f>IF(B117="","",DM_SP!C111)</f>
        <v/>
      </c>
      <c r="E117" s="39" t="str">
        <f>IF($B117="","",SUMIFS(Kho_SP!$B$5:$B$304,Kho_SP!$A$5:$A$304,$B117))</f>
        <v/>
      </c>
      <c r="F117" s="39" t="str">
        <f>IF($B117="","",SUMIFS(Kho_SP!$C$5:$C$304,Kho_SP!$A$5:$A$304,$B117))</f>
        <v/>
      </c>
      <c r="G117" s="39" t="str">
        <f>IF($B117="","",SUMIFS(Kho_SP!$D$5:$D$304,Kho_SP!$A$5:$A$304,$B117))</f>
        <v/>
      </c>
      <c r="H117" s="39" t="str">
        <f>IF($B117="","",SUMIFS(Kho_SP!$E$5:$E$304,Kho_SP!$A$5:$A$304,$B117))</f>
        <v/>
      </c>
      <c r="I117" s="39" t="str">
        <f>IF($B117="","",SUMIFS(Kho_SP!$F$5:$F$304,Kho_SP!$A$5:$A$304,$B117))</f>
        <v/>
      </c>
      <c r="J117" s="39" t="str">
        <f>IF($B117="","",SUMIFS(Kho_SP!$G$5:$G$304,Kho_SP!$A$5:$A$304,$B117))</f>
        <v/>
      </c>
      <c r="K117" s="39" t="str">
        <f t="shared" si="6"/>
        <v/>
      </c>
      <c r="L117" s="31" t="str">
        <f>IF($B117="","",IFERROR(INDEX(Kho_SP!$I$5:$I$304,MATCH(B117,Kho_SP!$A$5:$A$304,0))&amp;"",""))</f>
        <v/>
      </c>
      <c r="M117" s="44" t="str">
        <f>IF($B117="","",SUMIFS(Kho_SP!$H$5:$H$304,Kho_SP!$A$5:$A$304,$B117))</f>
        <v/>
      </c>
      <c r="N117" s="44" t="str">
        <f t="shared" si="7"/>
        <v/>
      </c>
      <c r="O117" s="45" t="str">
        <f t="shared" si="8"/>
        <v/>
      </c>
      <c r="P117" s="44" t="str">
        <f>IF($B117="","",SUMIFS(TK_Xuat!$E$5:$E$1004,TK_Xuat!$D$5:$D$1004,$B117,TK_Xuat!$H$5:$H$1004,1))</f>
        <v/>
      </c>
      <c r="Q117" s="44" t="str">
        <f t="shared" si="9"/>
        <v/>
      </c>
    </row>
    <row r="118" spans="1:17" x14ac:dyDescent="0.25">
      <c r="A118" s="36" t="str">
        <f t="shared" si="5"/>
        <v/>
      </c>
      <c r="B118" s="35" t="str">
        <f>IF(DM_SP!A112="","",DM_SP!A112)</f>
        <v/>
      </c>
      <c r="C118" s="35" t="str">
        <f>IF(B118="","",DM_SP!B112)</f>
        <v/>
      </c>
      <c r="D118" s="35" t="str">
        <f>IF(B118="","",DM_SP!C112)</f>
        <v/>
      </c>
      <c r="E118" s="39" t="str">
        <f>IF($B118="","",SUMIFS(Kho_SP!$B$5:$B$304,Kho_SP!$A$5:$A$304,$B118))</f>
        <v/>
      </c>
      <c r="F118" s="39" t="str">
        <f>IF($B118="","",SUMIFS(Kho_SP!$C$5:$C$304,Kho_SP!$A$5:$A$304,$B118))</f>
        <v/>
      </c>
      <c r="G118" s="39" t="str">
        <f>IF($B118="","",SUMIFS(Kho_SP!$D$5:$D$304,Kho_SP!$A$5:$A$304,$B118))</f>
        <v/>
      </c>
      <c r="H118" s="39" t="str">
        <f>IF($B118="","",SUMIFS(Kho_SP!$E$5:$E$304,Kho_SP!$A$5:$A$304,$B118))</f>
        <v/>
      </c>
      <c r="I118" s="39" t="str">
        <f>IF($B118="","",SUMIFS(Kho_SP!$F$5:$F$304,Kho_SP!$A$5:$A$304,$B118))</f>
        <v/>
      </c>
      <c r="J118" s="39" t="str">
        <f>IF($B118="","",SUMIFS(Kho_SP!$G$5:$G$304,Kho_SP!$A$5:$A$304,$B118))</f>
        <v/>
      </c>
      <c r="K118" s="39" t="str">
        <f t="shared" si="6"/>
        <v/>
      </c>
      <c r="L118" s="31" t="str">
        <f>IF($B118="","",IFERROR(INDEX(Kho_SP!$I$5:$I$304,MATCH(B118,Kho_SP!$A$5:$A$304,0))&amp;"",""))</f>
        <v/>
      </c>
      <c r="M118" s="44" t="str">
        <f>IF($B118="","",SUMIFS(Kho_SP!$H$5:$H$304,Kho_SP!$A$5:$A$304,$B118))</f>
        <v/>
      </c>
      <c r="N118" s="44" t="str">
        <f t="shared" si="7"/>
        <v/>
      </c>
      <c r="O118" s="45" t="str">
        <f t="shared" si="8"/>
        <v/>
      </c>
      <c r="P118" s="44" t="str">
        <f>IF($B118="","",SUMIFS(TK_Xuat!$E$5:$E$1004,TK_Xuat!$D$5:$D$1004,$B118,TK_Xuat!$H$5:$H$1004,1))</f>
        <v/>
      </c>
      <c r="Q118" s="44" t="str">
        <f t="shared" si="9"/>
        <v/>
      </c>
    </row>
    <row r="119" spans="1:17" x14ac:dyDescent="0.25">
      <c r="A119" s="36" t="str">
        <f t="shared" si="5"/>
        <v/>
      </c>
      <c r="B119" s="35" t="str">
        <f>IF(DM_SP!A113="","",DM_SP!A113)</f>
        <v/>
      </c>
      <c r="C119" s="35" t="str">
        <f>IF(B119="","",DM_SP!B113)</f>
        <v/>
      </c>
      <c r="D119" s="35" t="str">
        <f>IF(B119="","",DM_SP!C113)</f>
        <v/>
      </c>
      <c r="E119" s="39" t="str">
        <f>IF($B119="","",SUMIFS(Kho_SP!$B$5:$B$304,Kho_SP!$A$5:$A$304,$B119))</f>
        <v/>
      </c>
      <c r="F119" s="39" t="str">
        <f>IF($B119="","",SUMIFS(Kho_SP!$C$5:$C$304,Kho_SP!$A$5:$A$304,$B119))</f>
        <v/>
      </c>
      <c r="G119" s="39" t="str">
        <f>IF($B119="","",SUMIFS(Kho_SP!$D$5:$D$304,Kho_SP!$A$5:$A$304,$B119))</f>
        <v/>
      </c>
      <c r="H119" s="39" t="str">
        <f>IF($B119="","",SUMIFS(Kho_SP!$E$5:$E$304,Kho_SP!$A$5:$A$304,$B119))</f>
        <v/>
      </c>
      <c r="I119" s="39" t="str">
        <f>IF($B119="","",SUMIFS(Kho_SP!$F$5:$F$304,Kho_SP!$A$5:$A$304,$B119))</f>
        <v/>
      </c>
      <c r="J119" s="39" t="str">
        <f>IF($B119="","",SUMIFS(Kho_SP!$G$5:$G$304,Kho_SP!$A$5:$A$304,$B119))</f>
        <v/>
      </c>
      <c r="K119" s="39" t="str">
        <f t="shared" si="6"/>
        <v/>
      </c>
      <c r="L119" s="31" t="str">
        <f>IF($B119="","",IFERROR(INDEX(Kho_SP!$I$5:$I$304,MATCH(B119,Kho_SP!$A$5:$A$304,0))&amp;"",""))</f>
        <v/>
      </c>
      <c r="M119" s="44" t="str">
        <f>IF($B119="","",SUMIFS(Kho_SP!$H$5:$H$304,Kho_SP!$A$5:$A$304,$B119))</f>
        <v/>
      </c>
      <c r="N119" s="44" t="str">
        <f t="shared" si="7"/>
        <v/>
      </c>
      <c r="O119" s="45" t="str">
        <f t="shared" si="8"/>
        <v/>
      </c>
      <c r="P119" s="44" t="str">
        <f>IF($B119="","",SUMIFS(TK_Xuat!$E$5:$E$1004,TK_Xuat!$D$5:$D$1004,$B119,TK_Xuat!$H$5:$H$1004,1))</f>
        <v/>
      </c>
      <c r="Q119" s="44" t="str">
        <f t="shared" si="9"/>
        <v/>
      </c>
    </row>
    <row r="120" spans="1:17" x14ac:dyDescent="0.25">
      <c r="A120" s="36" t="str">
        <f t="shared" si="5"/>
        <v/>
      </c>
      <c r="B120" s="35" t="str">
        <f>IF(DM_SP!A114="","",DM_SP!A114)</f>
        <v/>
      </c>
      <c r="C120" s="35" t="str">
        <f>IF(B120="","",DM_SP!B114)</f>
        <v/>
      </c>
      <c r="D120" s="35" t="str">
        <f>IF(B120="","",DM_SP!C114)</f>
        <v/>
      </c>
      <c r="E120" s="39" t="str">
        <f>IF($B120="","",SUMIFS(Kho_SP!$B$5:$B$304,Kho_SP!$A$5:$A$304,$B120))</f>
        <v/>
      </c>
      <c r="F120" s="39" t="str">
        <f>IF($B120="","",SUMIFS(Kho_SP!$C$5:$C$304,Kho_SP!$A$5:$A$304,$B120))</f>
        <v/>
      </c>
      <c r="G120" s="39" t="str">
        <f>IF($B120="","",SUMIFS(Kho_SP!$D$5:$D$304,Kho_SP!$A$5:$A$304,$B120))</f>
        <v/>
      </c>
      <c r="H120" s="39" t="str">
        <f>IF($B120="","",SUMIFS(Kho_SP!$E$5:$E$304,Kho_SP!$A$5:$A$304,$B120))</f>
        <v/>
      </c>
      <c r="I120" s="39" t="str">
        <f>IF($B120="","",SUMIFS(Kho_SP!$F$5:$F$304,Kho_SP!$A$5:$A$304,$B120))</f>
        <v/>
      </c>
      <c r="J120" s="39" t="str">
        <f>IF($B120="","",SUMIFS(Kho_SP!$G$5:$G$304,Kho_SP!$A$5:$A$304,$B120))</f>
        <v/>
      </c>
      <c r="K120" s="39" t="str">
        <f t="shared" si="6"/>
        <v/>
      </c>
      <c r="L120" s="31" t="str">
        <f>IF($B120="","",IFERROR(INDEX(Kho_SP!$I$5:$I$304,MATCH(B120,Kho_SP!$A$5:$A$304,0))&amp;"",""))</f>
        <v/>
      </c>
      <c r="M120" s="44" t="str">
        <f>IF($B120="","",SUMIFS(Kho_SP!$H$5:$H$304,Kho_SP!$A$5:$A$304,$B120))</f>
        <v/>
      </c>
      <c r="N120" s="44" t="str">
        <f t="shared" si="7"/>
        <v/>
      </c>
      <c r="O120" s="45" t="str">
        <f t="shared" si="8"/>
        <v/>
      </c>
      <c r="P120" s="44" t="str">
        <f>IF($B120="","",SUMIFS(TK_Xuat!$E$5:$E$1004,TK_Xuat!$D$5:$D$1004,$B120,TK_Xuat!$H$5:$H$1004,1))</f>
        <v/>
      </c>
      <c r="Q120" s="44" t="str">
        <f t="shared" si="9"/>
        <v/>
      </c>
    </row>
    <row r="121" spans="1:17" x14ac:dyDescent="0.25">
      <c r="A121" s="36" t="str">
        <f t="shared" si="5"/>
        <v/>
      </c>
      <c r="B121" s="35" t="str">
        <f>IF(DM_SP!A115="","",DM_SP!A115)</f>
        <v/>
      </c>
      <c r="C121" s="35" t="str">
        <f>IF(B121="","",DM_SP!B115)</f>
        <v/>
      </c>
      <c r="D121" s="35" t="str">
        <f>IF(B121="","",DM_SP!C115)</f>
        <v/>
      </c>
      <c r="E121" s="39" t="str">
        <f>IF($B121="","",SUMIFS(Kho_SP!$B$5:$B$304,Kho_SP!$A$5:$A$304,$B121))</f>
        <v/>
      </c>
      <c r="F121" s="39" t="str">
        <f>IF($B121="","",SUMIFS(Kho_SP!$C$5:$C$304,Kho_SP!$A$5:$A$304,$B121))</f>
        <v/>
      </c>
      <c r="G121" s="39" t="str">
        <f>IF($B121="","",SUMIFS(Kho_SP!$D$5:$D$304,Kho_SP!$A$5:$A$304,$B121))</f>
        <v/>
      </c>
      <c r="H121" s="39" t="str">
        <f>IF($B121="","",SUMIFS(Kho_SP!$E$5:$E$304,Kho_SP!$A$5:$A$304,$B121))</f>
        <v/>
      </c>
      <c r="I121" s="39" t="str">
        <f>IF($B121="","",SUMIFS(Kho_SP!$F$5:$F$304,Kho_SP!$A$5:$A$304,$B121))</f>
        <v/>
      </c>
      <c r="J121" s="39" t="str">
        <f>IF($B121="","",SUMIFS(Kho_SP!$G$5:$G$304,Kho_SP!$A$5:$A$304,$B121))</f>
        <v/>
      </c>
      <c r="K121" s="39" t="str">
        <f t="shared" si="6"/>
        <v/>
      </c>
      <c r="L121" s="31" t="str">
        <f>IF($B121="","",IFERROR(INDEX(Kho_SP!$I$5:$I$304,MATCH(B121,Kho_SP!$A$5:$A$304,0))&amp;"",""))</f>
        <v/>
      </c>
      <c r="M121" s="44" t="str">
        <f>IF($B121="","",SUMIFS(Kho_SP!$H$5:$H$304,Kho_SP!$A$5:$A$304,$B121))</f>
        <v/>
      </c>
      <c r="N121" s="44" t="str">
        <f t="shared" si="7"/>
        <v/>
      </c>
      <c r="O121" s="45" t="str">
        <f t="shared" si="8"/>
        <v/>
      </c>
      <c r="P121" s="44" t="str">
        <f>IF($B121="","",SUMIFS(TK_Xuat!$E$5:$E$1004,TK_Xuat!$D$5:$D$1004,$B121,TK_Xuat!$H$5:$H$1004,1))</f>
        <v/>
      </c>
      <c r="Q121" s="44" t="str">
        <f t="shared" si="9"/>
        <v/>
      </c>
    </row>
    <row r="122" spans="1:17" x14ac:dyDescent="0.25">
      <c r="A122" s="36" t="str">
        <f t="shared" si="5"/>
        <v/>
      </c>
      <c r="B122" s="35" t="str">
        <f>IF(DM_SP!A116="","",DM_SP!A116)</f>
        <v/>
      </c>
      <c r="C122" s="35" t="str">
        <f>IF(B122="","",DM_SP!B116)</f>
        <v/>
      </c>
      <c r="D122" s="35" t="str">
        <f>IF(B122="","",DM_SP!C116)</f>
        <v/>
      </c>
      <c r="E122" s="39" t="str">
        <f>IF($B122="","",SUMIFS(Kho_SP!$B$5:$B$304,Kho_SP!$A$5:$A$304,$B122))</f>
        <v/>
      </c>
      <c r="F122" s="39" t="str">
        <f>IF($B122="","",SUMIFS(Kho_SP!$C$5:$C$304,Kho_SP!$A$5:$A$304,$B122))</f>
        <v/>
      </c>
      <c r="G122" s="39" t="str">
        <f>IF($B122="","",SUMIFS(Kho_SP!$D$5:$D$304,Kho_SP!$A$5:$A$304,$B122))</f>
        <v/>
      </c>
      <c r="H122" s="39" t="str">
        <f>IF($B122="","",SUMIFS(Kho_SP!$E$5:$E$304,Kho_SP!$A$5:$A$304,$B122))</f>
        <v/>
      </c>
      <c r="I122" s="39" t="str">
        <f>IF($B122="","",SUMIFS(Kho_SP!$F$5:$F$304,Kho_SP!$A$5:$A$304,$B122))</f>
        <v/>
      </c>
      <c r="J122" s="39" t="str">
        <f>IF($B122="","",SUMIFS(Kho_SP!$G$5:$G$304,Kho_SP!$A$5:$A$304,$B122))</f>
        <v/>
      </c>
      <c r="K122" s="39" t="str">
        <f t="shared" si="6"/>
        <v/>
      </c>
      <c r="L122" s="31" t="str">
        <f>IF($B122="","",IFERROR(INDEX(Kho_SP!$I$5:$I$304,MATCH(B122,Kho_SP!$A$5:$A$304,0))&amp;"",""))</f>
        <v/>
      </c>
      <c r="M122" s="44" t="str">
        <f>IF($B122="","",SUMIFS(Kho_SP!$H$5:$H$304,Kho_SP!$A$5:$A$304,$B122))</f>
        <v/>
      </c>
      <c r="N122" s="44" t="str">
        <f t="shared" si="7"/>
        <v/>
      </c>
      <c r="O122" s="45" t="str">
        <f t="shared" si="8"/>
        <v/>
      </c>
      <c r="P122" s="44" t="str">
        <f>IF($B122="","",SUMIFS(TK_Xuat!$E$5:$E$1004,TK_Xuat!$D$5:$D$1004,$B122,TK_Xuat!$H$5:$H$1004,1))</f>
        <v/>
      </c>
      <c r="Q122" s="44" t="str">
        <f t="shared" si="9"/>
        <v/>
      </c>
    </row>
    <row r="123" spans="1:17" x14ac:dyDescent="0.25">
      <c r="A123" s="36" t="str">
        <f t="shared" si="5"/>
        <v/>
      </c>
      <c r="B123" s="35" t="str">
        <f>IF(DM_SP!A117="","",DM_SP!A117)</f>
        <v/>
      </c>
      <c r="C123" s="35" t="str">
        <f>IF(B123="","",DM_SP!B117)</f>
        <v/>
      </c>
      <c r="D123" s="35" t="str">
        <f>IF(B123="","",DM_SP!C117)</f>
        <v/>
      </c>
      <c r="E123" s="39" t="str">
        <f>IF($B123="","",SUMIFS(Kho_SP!$B$5:$B$304,Kho_SP!$A$5:$A$304,$B123))</f>
        <v/>
      </c>
      <c r="F123" s="39" t="str">
        <f>IF($B123="","",SUMIFS(Kho_SP!$C$5:$C$304,Kho_SP!$A$5:$A$304,$B123))</f>
        <v/>
      </c>
      <c r="G123" s="39" t="str">
        <f>IF($B123="","",SUMIFS(Kho_SP!$D$5:$D$304,Kho_SP!$A$5:$A$304,$B123))</f>
        <v/>
      </c>
      <c r="H123" s="39" t="str">
        <f>IF($B123="","",SUMIFS(Kho_SP!$E$5:$E$304,Kho_SP!$A$5:$A$304,$B123))</f>
        <v/>
      </c>
      <c r="I123" s="39" t="str">
        <f>IF($B123="","",SUMIFS(Kho_SP!$F$5:$F$304,Kho_SP!$A$5:$A$304,$B123))</f>
        <v/>
      </c>
      <c r="J123" s="39" t="str">
        <f>IF($B123="","",SUMIFS(Kho_SP!$G$5:$G$304,Kho_SP!$A$5:$A$304,$B123))</f>
        <v/>
      </c>
      <c r="K123" s="39" t="str">
        <f t="shared" si="6"/>
        <v/>
      </c>
      <c r="L123" s="31" t="str">
        <f>IF($B123="","",IFERROR(INDEX(Kho_SP!$I$5:$I$304,MATCH(B123,Kho_SP!$A$5:$A$304,0))&amp;"",""))</f>
        <v/>
      </c>
      <c r="M123" s="44" t="str">
        <f>IF($B123="","",SUMIFS(Kho_SP!$H$5:$H$304,Kho_SP!$A$5:$A$304,$B123))</f>
        <v/>
      </c>
      <c r="N123" s="44" t="str">
        <f t="shared" si="7"/>
        <v/>
      </c>
      <c r="O123" s="45" t="str">
        <f t="shared" si="8"/>
        <v/>
      </c>
      <c r="P123" s="44" t="str">
        <f>IF($B123="","",SUMIFS(TK_Xuat!$E$5:$E$1004,TK_Xuat!$D$5:$D$1004,$B123,TK_Xuat!$H$5:$H$1004,1))</f>
        <v/>
      </c>
      <c r="Q123" s="44" t="str">
        <f t="shared" si="9"/>
        <v/>
      </c>
    </row>
    <row r="124" spans="1:17" x14ac:dyDescent="0.25">
      <c r="A124" s="36" t="str">
        <f t="shared" si="5"/>
        <v/>
      </c>
      <c r="B124" s="35" t="str">
        <f>IF(DM_SP!A118="","",DM_SP!A118)</f>
        <v/>
      </c>
      <c r="C124" s="35" t="str">
        <f>IF(B124="","",DM_SP!B118)</f>
        <v/>
      </c>
      <c r="D124" s="35" t="str">
        <f>IF(B124="","",DM_SP!C118)</f>
        <v/>
      </c>
      <c r="E124" s="39" t="str">
        <f>IF($B124="","",SUMIFS(Kho_SP!$B$5:$B$304,Kho_SP!$A$5:$A$304,$B124))</f>
        <v/>
      </c>
      <c r="F124" s="39" t="str">
        <f>IF($B124="","",SUMIFS(Kho_SP!$C$5:$C$304,Kho_SP!$A$5:$A$304,$B124))</f>
        <v/>
      </c>
      <c r="G124" s="39" t="str">
        <f>IF($B124="","",SUMIFS(Kho_SP!$D$5:$D$304,Kho_SP!$A$5:$A$304,$B124))</f>
        <v/>
      </c>
      <c r="H124" s="39" t="str">
        <f>IF($B124="","",SUMIFS(Kho_SP!$E$5:$E$304,Kho_SP!$A$5:$A$304,$B124))</f>
        <v/>
      </c>
      <c r="I124" s="39" t="str">
        <f>IF($B124="","",SUMIFS(Kho_SP!$F$5:$F$304,Kho_SP!$A$5:$A$304,$B124))</f>
        <v/>
      </c>
      <c r="J124" s="39" t="str">
        <f>IF($B124="","",SUMIFS(Kho_SP!$G$5:$G$304,Kho_SP!$A$5:$A$304,$B124))</f>
        <v/>
      </c>
      <c r="K124" s="39" t="str">
        <f t="shared" si="6"/>
        <v/>
      </c>
      <c r="L124" s="31" t="str">
        <f>IF($B124="","",IFERROR(INDEX(Kho_SP!$I$5:$I$304,MATCH(B124,Kho_SP!$A$5:$A$304,0))&amp;"",""))</f>
        <v/>
      </c>
      <c r="M124" s="44" t="str">
        <f>IF($B124="","",SUMIFS(Kho_SP!$H$5:$H$304,Kho_SP!$A$5:$A$304,$B124))</f>
        <v/>
      </c>
      <c r="N124" s="44" t="str">
        <f t="shared" si="7"/>
        <v/>
      </c>
      <c r="O124" s="45" t="str">
        <f t="shared" si="8"/>
        <v/>
      </c>
      <c r="P124" s="44" t="str">
        <f>IF($B124="","",SUMIFS(TK_Xuat!$E$5:$E$1004,TK_Xuat!$D$5:$D$1004,$B124,TK_Xuat!$H$5:$H$1004,1))</f>
        <v/>
      </c>
      <c r="Q124" s="44" t="str">
        <f t="shared" si="9"/>
        <v/>
      </c>
    </row>
    <row r="125" spans="1:17" x14ac:dyDescent="0.25">
      <c r="A125" s="36" t="str">
        <f t="shared" si="5"/>
        <v/>
      </c>
      <c r="B125" s="35" t="str">
        <f>IF(DM_SP!A119="","",DM_SP!A119)</f>
        <v/>
      </c>
      <c r="C125" s="35" t="str">
        <f>IF(B125="","",DM_SP!B119)</f>
        <v/>
      </c>
      <c r="D125" s="35" t="str">
        <f>IF(B125="","",DM_SP!C119)</f>
        <v/>
      </c>
      <c r="E125" s="39" t="str">
        <f>IF($B125="","",SUMIFS(Kho_SP!$B$5:$B$304,Kho_SP!$A$5:$A$304,$B125))</f>
        <v/>
      </c>
      <c r="F125" s="39" t="str">
        <f>IF($B125="","",SUMIFS(Kho_SP!$C$5:$C$304,Kho_SP!$A$5:$A$304,$B125))</f>
        <v/>
      </c>
      <c r="G125" s="39" t="str">
        <f>IF($B125="","",SUMIFS(Kho_SP!$D$5:$D$304,Kho_SP!$A$5:$A$304,$B125))</f>
        <v/>
      </c>
      <c r="H125" s="39" t="str">
        <f>IF($B125="","",SUMIFS(Kho_SP!$E$5:$E$304,Kho_SP!$A$5:$A$304,$B125))</f>
        <v/>
      </c>
      <c r="I125" s="39" t="str">
        <f>IF($B125="","",SUMIFS(Kho_SP!$F$5:$F$304,Kho_SP!$A$5:$A$304,$B125))</f>
        <v/>
      </c>
      <c r="J125" s="39" t="str">
        <f>IF($B125="","",SUMIFS(Kho_SP!$G$5:$G$304,Kho_SP!$A$5:$A$304,$B125))</f>
        <v/>
      </c>
      <c r="K125" s="39" t="str">
        <f t="shared" si="6"/>
        <v/>
      </c>
      <c r="L125" s="31" t="str">
        <f>IF($B125="","",IFERROR(INDEX(Kho_SP!$I$5:$I$304,MATCH(B125,Kho_SP!$A$5:$A$304,0))&amp;"",""))</f>
        <v/>
      </c>
      <c r="M125" s="44" t="str">
        <f>IF($B125="","",SUMIFS(Kho_SP!$H$5:$H$304,Kho_SP!$A$5:$A$304,$B125))</f>
        <v/>
      </c>
      <c r="N125" s="44" t="str">
        <f t="shared" si="7"/>
        <v/>
      </c>
      <c r="O125" s="45" t="str">
        <f t="shared" si="8"/>
        <v/>
      </c>
      <c r="P125" s="44" t="str">
        <f>IF($B125="","",SUMIFS(TK_Xuat!$E$5:$E$1004,TK_Xuat!$D$5:$D$1004,$B125,TK_Xuat!$H$5:$H$1004,1))</f>
        <v/>
      </c>
      <c r="Q125" s="44" t="str">
        <f t="shared" si="9"/>
        <v/>
      </c>
    </row>
    <row r="126" spans="1:17" x14ac:dyDescent="0.25">
      <c r="A126" s="36" t="str">
        <f t="shared" si="5"/>
        <v/>
      </c>
      <c r="B126" s="35" t="str">
        <f>IF(DM_SP!A120="","",DM_SP!A120)</f>
        <v/>
      </c>
      <c r="C126" s="35" t="str">
        <f>IF(B126="","",DM_SP!B120)</f>
        <v/>
      </c>
      <c r="D126" s="35" t="str">
        <f>IF(B126="","",DM_SP!C120)</f>
        <v/>
      </c>
      <c r="E126" s="39" t="str">
        <f>IF($B126="","",SUMIFS(Kho_SP!$B$5:$B$304,Kho_SP!$A$5:$A$304,$B126))</f>
        <v/>
      </c>
      <c r="F126" s="39" t="str">
        <f>IF($B126="","",SUMIFS(Kho_SP!$C$5:$C$304,Kho_SP!$A$5:$A$304,$B126))</f>
        <v/>
      </c>
      <c r="G126" s="39" t="str">
        <f>IF($B126="","",SUMIFS(Kho_SP!$D$5:$D$304,Kho_SP!$A$5:$A$304,$B126))</f>
        <v/>
      </c>
      <c r="H126" s="39" t="str">
        <f>IF($B126="","",SUMIFS(Kho_SP!$E$5:$E$304,Kho_SP!$A$5:$A$304,$B126))</f>
        <v/>
      </c>
      <c r="I126" s="39" t="str">
        <f>IF($B126="","",SUMIFS(Kho_SP!$F$5:$F$304,Kho_SP!$A$5:$A$304,$B126))</f>
        <v/>
      </c>
      <c r="J126" s="39" t="str">
        <f>IF($B126="","",SUMIFS(Kho_SP!$G$5:$G$304,Kho_SP!$A$5:$A$304,$B126))</f>
        <v/>
      </c>
      <c r="K126" s="39" t="str">
        <f t="shared" si="6"/>
        <v/>
      </c>
      <c r="L126" s="31" t="str">
        <f>IF($B126="","",IFERROR(INDEX(Kho_SP!$I$5:$I$304,MATCH(B126,Kho_SP!$A$5:$A$304,0))&amp;"",""))</f>
        <v/>
      </c>
      <c r="M126" s="44" t="str">
        <f>IF($B126="","",SUMIFS(Kho_SP!$H$5:$H$304,Kho_SP!$A$5:$A$304,$B126))</f>
        <v/>
      </c>
      <c r="N126" s="44" t="str">
        <f t="shared" si="7"/>
        <v/>
      </c>
      <c r="O126" s="45" t="str">
        <f t="shared" si="8"/>
        <v/>
      </c>
      <c r="P126" s="44" t="str">
        <f>IF($B126="","",SUMIFS(TK_Xuat!$E$5:$E$1004,TK_Xuat!$D$5:$D$1004,$B126,TK_Xuat!$H$5:$H$1004,1))</f>
        <v/>
      </c>
      <c r="Q126" s="44" t="str">
        <f t="shared" si="9"/>
        <v/>
      </c>
    </row>
    <row r="127" spans="1:17" x14ac:dyDescent="0.25">
      <c r="A127" s="36" t="str">
        <f t="shared" si="5"/>
        <v/>
      </c>
      <c r="B127" s="35" t="str">
        <f>IF(DM_SP!A121="","",DM_SP!A121)</f>
        <v/>
      </c>
      <c r="C127" s="35" t="str">
        <f>IF(B127="","",DM_SP!B121)</f>
        <v/>
      </c>
      <c r="D127" s="35" t="str">
        <f>IF(B127="","",DM_SP!C121)</f>
        <v/>
      </c>
      <c r="E127" s="39" t="str">
        <f>IF($B127="","",SUMIFS(Kho_SP!$B$5:$B$304,Kho_SP!$A$5:$A$304,$B127))</f>
        <v/>
      </c>
      <c r="F127" s="39" t="str">
        <f>IF($B127="","",SUMIFS(Kho_SP!$C$5:$C$304,Kho_SP!$A$5:$A$304,$B127))</f>
        <v/>
      </c>
      <c r="G127" s="39" t="str">
        <f>IF($B127="","",SUMIFS(Kho_SP!$D$5:$D$304,Kho_SP!$A$5:$A$304,$B127))</f>
        <v/>
      </c>
      <c r="H127" s="39" t="str">
        <f>IF($B127="","",SUMIFS(Kho_SP!$E$5:$E$304,Kho_SP!$A$5:$A$304,$B127))</f>
        <v/>
      </c>
      <c r="I127" s="39" t="str">
        <f>IF($B127="","",SUMIFS(Kho_SP!$F$5:$F$304,Kho_SP!$A$5:$A$304,$B127))</f>
        <v/>
      </c>
      <c r="J127" s="39" t="str">
        <f>IF($B127="","",SUMIFS(Kho_SP!$G$5:$G$304,Kho_SP!$A$5:$A$304,$B127))</f>
        <v/>
      </c>
      <c r="K127" s="39" t="str">
        <f t="shared" si="6"/>
        <v/>
      </c>
      <c r="L127" s="31" t="str">
        <f>IF($B127="","",IFERROR(INDEX(Kho_SP!$I$5:$I$304,MATCH(B127,Kho_SP!$A$5:$A$304,0))&amp;"",""))</f>
        <v/>
      </c>
      <c r="M127" s="44" t="str">
        <f>IF($B127="","",SUMIFS(Kho_SP!$H$5:$H$304,Kho_SP!$A$5:$A$304,$B127))</f>
        <v/>
      </c>
      <c r="N127" s="44" t="str">
        <f t="shared" si="7"/>
        <v/>
      </c>
      <c r="O127" s="45" t="str">
        <f t="shared" si="8"/>
        <v/>
      </c>
      <c r="P127" s="44" t="str">
        <f>IF($B127="","",SUMIFS(TK_Xuat!$E$5:$E$1004,TK_Xuat!$D$5:$D$1004,$B127,TK_Xuat!$H$5:$H$1004,1))</f>
        <v/>
      </c>
      <c r="Q127" s="44" t="str">
        <f t="shared" si="9"/>
        <v/>
      </c>
    </row>
    <row r="128" spans="1:17" x14ac:dyDescent="0.25">
      <c r="A128" s="36" t="str">
        <f t="shared" si="5"/>
        <v/>
      </c>
      <c r="B128" s="35" t="str">
        <f>IF(DM_SP!A122="","",DM_SP!A122)</f>
        <v/>
      </c>
      <c r="C128" s="35" t="str">
        <f>IF(B128="","",DM_SP!B122)</f>
        <v/>
      </c>
      <c r="D128" s="35" t="str">
        <f>IF(B128="","",DM_SP!C122)</f>
        <v/>
      </c>
      <c r="E128" s="39" t="str">
        <f>IF($B128="","",SUMIFS(Kho_SP!$B$5:$B$304,Kho_SP!$A$5:$A$304,$B128))</f>
        <v/>
      </c>
      <c r="F128" s="39" t="str">
        <f>IF($B128="","",SUMIFS(Kho_SP!$C$5:$C$304,Kho_SP!$A$5:$A$304,$B128))</f>
        <v/>
      </c>
      <c r="G128" s="39" t="str">
        <f>IF($B128="","",SUMIFS(Kho_SP!$D$5:$D$304,Kho_SP!$A$5:$A$304,$B128))</f>
        <v/>
      </c>
      <c r="H128" s="39" t="str">
        <f>IF($B128="","",SUMIFS(Kho_SP!$E$5:$E$304,Kho_SP!$A$5:$A$304,$B128))</f>
        <v/>
      </c>
      <c r="I128" s="39" t="str">
        <f>IF($B128="","",SUMIFS(Kho_SP!$F$5:$F$304,Kho_SP!$A$5:$A$304,$B128))</f>
        <v/>
      </c>
      <c r="J128" s="39" t="str">
        <f>IF($B128="","",SUMIFS(Kho_SP!$G$5:$G$304,Kho_SP!$A$5:$A$304,$B128))</f>
        <v/>
      </c>
      <c r="K128" s="39" t="str">
        <f t="shared" si="6"/>
        <v/>
      </c>
      <c r="L128" s="31" t="str">
        <f>IF($B128="","",IFERROR(INDEX(Kho_SP!$I$5:$I$304,MATCH(B128,Kho_SP!$A$5:$A$304,0))&amp;"",""))</f>
        <v/>
      </c>
      <c r="M128" s="44" t="str">
        <f>IF($B128="","",SUMIFS(Kho_SP!$H$5:$H$304,Kho_SP!$A$5:$A$304,$B128))</f>
        <v/>
      </c>
      <c r="N128" s="44" t="str">
        <f t="shared" si="7"/>
        <v/>
      </c>
      <c r="O128" s="45" t="str">
        <f t="shared" si="8"/>
        <v/>
      </c>
      <c r="P128" s="44" t="str">
        <f>IF($B128="","",SUMIFS(TK_Xuat!$E$5:$E$1004,TK_Xuat!$D$5:$D$1004,$B128,TK_Xuat!$H$5:$H$1004,1))</f>
        <v/>
      </c>
      <c r="Q128" s="44" t="str">
        <f t="shared" si="9"/>
        <v/>
      </c>
    </row>
    <row r="129" spans="1:17" x14ac:dyDescent="0.25">
      <c r="A129" s="36" t="str">
        <f t="shared" si="5"/>
        <v/>
      </c>
      <c r="B129" s="35" t="str">
        <f>IF(DM_SP!A123="","",DM_SP!A123)</f>
        <v/>
      </c>
      <c r="C129" s="35" t="str">
        <f>IF(B129="","",DM_SP!B123)</f>
        <v/>
      </c>
      <c r="D129" s="35" t="str">
        <f>IF(B129="","",DM_SP!C123)</f>
        <v/>
      </c>
      <c r="E129" s="39" t="str">
        <f>IF($B129="","",SUMIFS(Kho_SP!$B$5:$B$304,Kho_SP!$A$5:$A$304,$B129))</f>
        <v/>
      </c>
      <c r="F129" s="39" t="str">
        <f>IF($B129="","",SUMIFS(Kho_SP!$C$5:$C$304,Kho_SP!$A$5:$A$304,$B129))</f>
        <v/>
      </c>
      <c r="G129" s="39" t="str">
        <f>IF($B129="","",SUMIFS(Kho_SP!$D$5:$D$304,Kho_SP!$A$5:$A$304,$B129))</f>
        <v/>
      </c>
      <c r="H129" s="39" t="str">
        <f>IF($B129="","",SUMIFS(Kho_SP!$E$5:$E$304,Kho_SP!$A$5:$A$304,$B129))</f>
        <v/>
      </c>
      <c r="I129" s="39" t="str">
        <f>IF($B129="","",SUMIFS(Kho_SP!$F$5:$F$304,Kho_SP!$A$5:$A$304,$B129))</f>
        <v/>
      </c>
      <c r="J129" s="39" t="str">
        <f>IF($B129="","",SUMIFS(Kho_SP!$G$5:$G$304,Kho_SP!$A$5:$A$304,$B129))</f>
        <v/>
      </c>
      <c r="K129" s="39" t="str">
        <f t="shared" si="6"/>
        <v/>
      </c>
      <c r="L129" s="31" t="str">
        <f>IF($B129="","",IFERROR(INDEX(Kho_SP!$I$5:$I$304,MATCH(B129,Kho_SP!$A$5:$A$304,0))&amp;"",""))</f>
        <v/>
      </c>
      <c r="M129" s="44" t="str">
        <f>IF($B129="","",SUMIFS(Kho_SP!$H$5:$H$304,Kho_SP!$A$5:$A$304,$B129))</f>
        <v/>
      </c>
      <c r="N129" s="44" t="str">
        <f t="shared" si="7"/>
        <v/>
      </c>
      <c r="O129" s="45" t="str">
        <f t="shared" si="8"/>
        <v/>
      </c>
      <c r="P129" s="44" t="str">
        <f>IF($B129="","",SUMIFS(TK_Xuat!$E$5:$E$1004,TK_Xuat!$D$5:$D$1004,$B129,TK_Xuat!$H$5:$H$1004,1))</f>
        <v/>
      </c>
      <c r="Q129" s="44" t="str">
        <f t="shared" si="9"/>
        <v/>
      </c>
    </row>
    <row r="130" spans="1:17" x14ac:dyDescent="0.25">
      <c r="A130" s="36" t="str">
        <f t="shared" si="5"/>
        <v/>
      </c>
      <c r="B130" s="35" t="str">
        <f>IF(DM_SP!A124="","",DM_SP!A124)</f>
        <v/>
      </c>
      <c r="C130" s="35" t="str">
        <f>IF(B130="","",DM_SP!B124)</f>
        <v/>
      </c>
      <c r="D130" s="35" t="str">
        <f>IF(B130="","",DM_SP!C124)</f>
        <v/>
      </c>
      <c r="E130" s="39" t="str">
        <f>IF($B130="","",SUMIFS(Kho_SP!$B$5:$B$304,Kho_SP!$A$5:$A$304,$B130))</f>
        <v/>
      </c>
      <c r="F130" s="39" t="str">
        <f>IF($B130="","",SUMIFS(Kho_SP!$C$5:$C$304,Kho_SP!$A$5:$A$304,$B130))</f>
        <v/>
      </c>
      <c r="G130" s="39" t="str">
        <f>IF($B130="","",SUMIFS(Kho_SP!$D$5:$D$304,Kho_SP!$A$5:$A$304,$B130))</f>
        <v/>
      </c>
      <c r="H130" s="39" t="str">
        <f>IF($B130="","",SUMIFS(Kho_SP!$E$5:$E$304,Kho_SP!$A$5:$A$304,$B130))</f>
        <v/>
      </c>
      <c r="I130" s="39" t="str">
        <f>IF($B130="","",SUMIFS(Kho_SP!$F$5:$F$304,Kho_SP!$A$5:$A$304,$B130))</f>
        <v/>
      </c>
      <c r="J130" s="39" t="str">
        <f>IF($B130="","",SUMIFS(Kho_SP!$G$5:$G$304,Kho_SP!$A$5:$A$304,$B130))</f>
        <v/>
      </c>
      <c r="K130" s="39" t="str">
        <f t="shared" si="6"/>
        <v/>
      </c>
      <c r="L130" s="31" t="str">
        <f>IF($B130="","",IFERROR(INDEX(Kho_SP!$I$5:$I$304,MATCH(B130,Kho_SP!$A$5:$A$304,0))&amp;"",""))</f>
        <v/>
      </c>
      <c r="M130" s="44" t="str">
        <f>IF($B130="","",SUMIFS(Kho_SP!$H$5:$H$304,Kho_SP!$A$5:$A$304,$B130))</f>
        <v/>
      </c>
      <c r="N130" s="44" t="str">
        <f t="shared" si="7"/>
        <v/>
      </c>
      <c r="O130" s="45" t="str">
        <f t="shared" si="8"/>
        <v/>
      </c>
      <c r="P130" s="44" t="str">
        <f>IF($B130="","",SUMIFS(TK_Xuat!$E$5:$E$1004,TK_Xuat!$D$5:$D$1004,$B130,TK_Xuat!$H$5:$H$1004,1))</f>
        <v/>
      </c>
      <c r="Q130" s="44" t="str">
        <f t="shared" si="9"/>
        <v/>
      </c>
    </row>
    <row r="131" spans="1:17" x14ac:dyDescent="0.25">
      <c r="A131" s="36" t="str">
        <f t="shared" si="5"/>
        <v/>
      </c>
      <c r="B131" s="35" t="str">
        <f>IF(DM_SP!A125="","",DM_SP!A125)</f>
        <v/>
      </c>
      <c r="C131" s="35" t="str">
        <f>IF(B131="","",DM_SP!B125)</f>
        <v/>
      </c>
      <c r="D131" s="35" t="str">
        <f>IF(B131="","",DM_SP!C125)</f>
        <v/>
      </c>
      <c r="E131" s="39" t="str">
        <f>IF($B131="","",SUMIFS(Kho_SP!$B$5:$B$304,Kho_SP!$A$5:$A$304,$B131))</f>
        <v/>
      </c>
      <c r="F131" s="39" t="str">
        <f>IF($B131="","",SUMIFS(Kho_SP!$C$5:$C$304,Kho_SP!$A$5:$A$304,$B131))</f>
        <v/>
      </c>
      <c r="G131" s="39" t="str">
        <f>IF($B131="","",SUMIFS(Kho_SP!$D$5:$D$304,Kho_SP!$A$5:$A$304,$B131))</f>
        <v/>
      </c>
      <c r="H131" s="39" t="str">
        <f>IF($B131="","",SUMIFS(Kho_SP!$E$5:$E$304,Kho_SP!$A$5:$A$304,$B131))</f>
        <v/>
      </c>
      <c r="I131" s="39" t="str">
        <f>IF($B131="","",SUMIFS(Kho_SP!$F$5:$F$304,Kho_SP!$A$5:$A$304,$B131))</f>
        <v/>
      </c>
      <c r="J131" s="39" t="str">
        <f>IF($B131="","",SUMIFS(Kho_SP!$G$5:$G$304,Kho_SP!$A$5:$A$304,$B131))</f>
        <v/>
      </c>
      <c r="K131" s="39" t="str">
        <f t="shared" si="6"/>
        <v/>
      </c>
      <c r="L131" s="31" t="str">
        <f>IF($B131="","",IFERROR(INDEX(Kho_SP!$I$5:$I$304,MATCH(B131,Kho_SP!$A$5:$A$304,0))&amp;"",""))</f>
        <v/>
      </c>
      <c r="M131" s="44" t="str">
        <f>IF($B131="","",SUMIFS(Kho_SP!$H$5:$H$304,Kho_SP!$A$5:$A$304,$B131))</f>
        <v/>
      </c>
      <c r="N131" s="44" t="str">
        <f t="shared" si="7"/>
        <v/>
      </c>
      <c r="O131" s="45" t="str">
        <f t="shared" si="8"/>
        <v/>
      </c>
      <c r="P131" s="44" t="str">
        <f>IF($B131="","",SUMIFS(TK_Xuat!$E$5:$E$1004,TK_Xuat!$D$5:$D$1004,$B131,TK_Xuat!$H$5:$H$1004,1))</f>
        <v/>
      </c>
      <c r="Q131" s="44" t="str">
        <f t="shared" si="9"/>
        <v/>
      </c>
    </row>
    <row r="132" spans="1:17" x14ac:dyDescent="0.25">
      <c r="A132" s="36" t="str">
        <f t="shared" si="5"/>
        <v/>
      </c>
      <c r="B132" s="35" t="str">
        <f>IF(DM_SP!A126="","",DM_SP!A126)</f>
        <v/>
      </c>
      <c r="C132" s="35" t="str">
        <f>IF(B132="","",DM_SP!B126)</f>
        <v/>
      </c>
      <c r="D132" s="35" t="str">
        <f>IF(B132="","",DM_SP!C126)</f>
        <v/>
      </c>
      <c r="E132" s="39" t="str">
        <f>IF($B132="","",SUMIFS(Kho_SP!$B$5:$B$304,Kho_SP!$A$5:$A$304,$B132))</f>
        <v/>
      </c>
      <c r="F132" s="39" t="str">
        <f>IF($B132="","",SUMIFS(Kho_SP!$C$5:$C$304,Kho_SP!$A$5:$A$304,$B132))</f>
        <v/>
      </c>
      <c r="G132" s="39" t="str">
        <f>IF($B132="","",SUMIFS(Kho_SP!$D$5:$D$304,Kho_SP!$A$5:$A$304,$B132))</f>
        <v/>
      </c>
      <c r="H132" s="39" t="str">
        <f>IF($B132="","",SUMIFS(Kho_SP!$E$5:$E$304,Kho_SP!$A$5:$A$304,$B132))</f>
        <v/>
      </c>
      <c r="I132" s="39" t="str">
        <f>IF($B132="","",SUMIFS(Kho_SP!$F$5:$F$304,Kho_SP!$A$5:$A$304,$B132))</f>
        <v/>
      </c>
      <c r="J132" s="39" t="str">
        <f>IF($B132="","",SUMIFS(Kho_SP!$G$5:$G$304,Kho_SP!$A$5:$A$304,$B132))</f>
        <v/>
      </c>
      <c r="K132" s="39" t="str">
        <f t="shared" si="6"/>
        <v/>
      </c>
      <c r="L132" s="31" t="str">
        <f>IF($B132="","",IFERROR(INDEX(Kho_SP!$I$5:$I$304,MATCH(B132,Kho_SP!$A$5:$A$304,0))&amp;"",""))</f>
        <v/>
      </c>
      <c r="M132" s="44" t="str">
        <f>IF($B132="","",SUMIFS(Kho_SP!$H$5:$H$304,Kho_SP!$A$5:$A$304,$B132))</f>
        <v/>
      </c>
      <c r="N132" s="44" t="str">
        <f t="shared" si="7"/>
        <v/>
      </c>
      <c r="O132" s="45" t="str">
        <f t="shared" si="8"/>
        <v/>
      </c>
      <c r="P132" s="44" t="str">
        <f>IF($B132="","",SUMIFS(TK_Xuat!$E$5:$E$1004,TK_Xuat!$D$5:$D$1004,$B132,TK_Xuat!$H$5:$H$1004,1))</f>
        <v/>
      </c>
      <c r="Q132" s="44" t="str">
        <f t="shared" si="9"/>
        <v/>
      </c>
    </row>
    <row r="133" spans="1:17" x14ac:dyDescent="0.25">
      <c r="A133" s="36" t="str">
        <f t="shared" si="5"/>
        <v/>
      </c>
      <c r="B133" s="35" t="str">
        <f>IF(DM_SP!A127="","",DM_SP!A127)</f>
        <v/>
      </c>
      <c r="C133" s="35" t="str">
        <f>IF(B133="","",DM_SP!B127)</f>
        <v/>
      </c>
      <c r="D133" s="35" t="str">
        <f>IF(B133="","",DM_SP!C127)</f>
        <v/>
      </c>
      <c r="E133" s="39" t="str">
        <f>IF($B133="","",SUMIFS(Kho_SP!$B$5:$B$304,Kho_SP!$A$5:$A$304,$B133))</f>
        <v/>
      </c>
      <c r="F133" s="39" t="str">
        <f>IF($B133="","",SUMIFS(Kho_SP!$C$5:$C$304,Kho_SP!$A$5:$A$304,$B133))</f>
        <v/>
      </c>
      <c r="G133" s="39" t="str">
        <f>IF($B133="","",SUMIFS(Kho_SP!$D$5:$D$304,Kho_SP!$A$5:$A$304,$B133))</f>
        <v/>
      </c>
      <c r="H133" s="39" t="str">
        <f>IF($B133="","",SUMIFS(Kho_SP!$E$5:$E$304,Kho_SP!$A$5:$A$304,$B133))</f>
        <v/>
      </c>
      <c r="I133" s="39" t="str">
        <f>IF($B133="","",SUMIFS(Kho_SP!$F$5:$F$304,Kho_SP!$A$5:$A$304,$B133))</f>
        <v/>
      </c>
      <c r="J133" s="39" t="str">
        <f>IF($B133="","",SUMIFS(Kho_SP!$G$5:$G$304,Kho_SP!$A$5:$A$304,$B133))</f>
        <v/>
      </c>
      <c r="K133" s="39" t="str">
        <f t="shared" si="6"/>
        <v/>
      </c>
      <c r="L133" s="31" t="str">
        <f>IF($B133="","",IFERROR(INDEX(Kho_SP!$I$5:$I$304,MATCH(B133,Kho_SP!$A$5:$A$304,0))&amp;"",""))</f>
        <v/>
      </c>
      <c r="M133" s="44" t="str">
        <f>IF($B133="","",SUMIFS(Kho_SP!$H$5:$H$304,Kho_SP!$A$5:$A$304,$B133))</f>
        <v/>
      </c>
      <c r="N133" s="44" t="str">
        <f t="shared" si="7"/>
        <v/>
      </c>
      <c r="O133" s="45" t="str">
        <f t="shared" si="8"/>
        <v/>
      </c>
      <c r="P133" s="44" t="str">
        <f>IF($B133="","",SUMIFS(TK_Xuat!$E$5:$E$1004,TK_Xuat!$D$5:$D$1004,$B133,TK_Xuat!$H$5:$H$1004,1))</f>
        <v/>
      </c>
      <c r="Q133" s="44" t="str">
        <f t="shared" si="9"/>
        <v/>
      </c>
    </row>
    <row r="134" spans="1:17" x14ac:dyDescent="0.25">
      <c r="A134" s="36" t="str">
        <f t="shared" si="5"/>
        <v/>
      </c>
      <c r="B134" s="35" t="str">
        <f>IF(DM_SP!A128="","",DM_SP!A128)</f>
        <v/>
      </c>
      <c r="C134" s="35" t="str">
        <f>IF(B134="","",DM_SP!B128)</f>
        <v/>
      </c>
      <c r="D134" s="35" t="str">
        <f>IF(B134="","",DM_SP!C128)</f>
        <v/>
      </c>
      <c r="E134" s="39" t="str">
        <f>IF($B134="","",SUMIFS(Kho_SP!$B$5:$B$304,Kho_SP!$A$5:$A$304,$B134))</f>
        <v/>
      </c>
      <c r="F134" s="39" t="str">
        <f>IF($B134="","",SUMIFS(Kho_SP!$C$5:$C$304,Kho_SP!$A$5:$A$304,$B134))</f>
        <v/>
      </c>
      <c r="G134" s="39" t="str">
        <f>IF($B134="","",SUMIFS(Kho_SP!$D$5:$D$304,Kho_SP!$A$5:$A$304,$B134))</f>
        <v/>
      </c>
      <c r="H134" s="39" t="str">
        <f>IF($B134="","",SUMIFS(Kho_SP!$E$5:$E$304,Kho_SP!$A$5:$A$304,$B134))</f>
        <v/>
      </c>
      <c r="I134" s="39" t="str">
        <f>IF($B134="","",SUMIFS(Kho_SP!$F$5:$F$304,Kho_SP!$A$5:$A$304,$B134))</f>
        <v/>
      </c>
      <c r="J134" s="39" t="str">
        <f>IF($B134="","",SUMIFS(Kho_SP!$G$5:$G$304,Kho_SP!$A$5:$A$304,$B134))</f>
        <v/>
      </c>
      <c r="K134" s="39" t="str">
        <f t="shared" si="6"/>
        <v/>
      </c>
      <c r="L134" s="31" t="str">
        <f>IF($B134="","",IFERROR(INDEX(Kho_SP!$I$5:$I$304,MATCH(B134,Kho_SP!$A$5:$A$304,0))&amp;"",""))</f>
        <v/>
      </c>
      <c r="M134" s="44" t="str">
        <f>IF($B134="","",SUMIFS(Kho_SP!$H$5:$H$304,Kho_SP!$A$5:$A$304,$B134))</f>
        <v/>
      </c>
      <c r="N134" s="44" t="str">
        <f t="shared" si="7"/>
        <v/>
      </c>
      <c r="O134" s="45" t="str">
        <f t="shared" si="8"/>
        <v/>
      </c>
      <c r="P134" s="44" t="str">
        <f>IF($B134="","",SUMIFS(TK_Xuat!$E$5:$E$1004,TK_Xuat!$D$5:$D$1004,$B134,TK_Xuat!$H$5:$H$1004,1))</f>
        <v/>
      </c>
      <c r="Q134" s="44" t="str">
        <f t="shared" si="9"/>
        <v/>
      </c>
    </row>
    <row r="135" spans="1:17" x14ac:dyDescent="0.25">
      <c r="A135" s="36" t="str">
        <f t="shared" si="5"/>
        <v/>
      </c>
      <c r="B135" s="35" t="str">
        <f>IF(DM_SP!A129="","",DM_SP!A129)</f>
        <v/>
      </c>
      <c r="C135" s="35" t="str">
        <f>IF(B135="","",DM_SP!B129)</f>
        <v/>
      </c>
      <c r="D135" s="35" t="str">
        <f>IF(B135="","",DM_SP!C129)</f>
        <v/>
      </c>
      <c r="E135" s="39" t="str">
        <f>IF($B135="","",SUMIFS(Kho_SP!$B$5:$B$304,Kho_SP!$A$5:$A$304,$B135))</f>
        <v/>
      </c>
      <c r="F135" s="39" t="str">
        <f>IF($B135="","",SUMIFS(Kho_SP!$C$5:$C$304,Kho_SP!$A$5:$A$304,$B135))</f>
        <v/>
      </c>
      <c r="G135" s="39" t="str">
        <f>IF($B135="","",SUMIFS(Kho_SP!$D$5:$D$304,Kho_SP!$A$5:$A$304,$B135))</f>
        <v/>
      </c>
      <c r="H135" s="39" t="str">
        <f>IF($B135="","",SUMIFS(Kho_SP!$E$5:$E$304,Kho_SP!$A$5:$A$304,$B135))</f>
        <v/>
      </c>
      <c r="I135" s="39" t="str">
        <f>IF($B135="","",SUMIFS(Kho_SP!$F$5:$F$304,Kho_SP!$A$5:$A$304,$B135))</f>
        <v/>
      </c>
      <c r="J135" s="39" t="str">
        <f>IF($B135="","",SUMIFS(Kho_SP!$G$5:$G$304,Kho_SP!$A$5:$A$304,$B135))</f>
        <v/>
      </c>
      <c r="K135" s="39" t="str">
        <f t="shared" si="6"/>
        <v/>
      </c>
      <c r="L135" s="31" t="str">
        <f>IF($B135="","",IFERROR(INDEX(Kho_SP!$I$5:$I$304,MATCH(B135,Kho_SP!$A$5:$A$304,0))&amp;"",""))</f>
        <v/>
      </c>
      <c r="M135" s="44" t="str">
        <f>IF($B135="","",SUMIFS(Kho_SP!$H$5:$H$304,Kho_SP!$A$5:$A$304,$B135))</f>
        <v/>
      </c>
      <c r="N135" s="44" t="str">
        <f t="shared" si="7"/>
        <v/>
      </c>
      <c r="O135" s="45" t="str">
        <f t="shared" si="8"/>
        <v/>
      </c>
      <c r="P135" s="44" t="str">
        <f>IF($B135="","",SUMIFS(TK_Xuat!$E$5:$E$1004,TK_Xuat!$D$5:$D$1004,$B135,TK_Xuat!$H$5:$H$1004,1))</f>
        <v/>
      </c>
      <c r="Q135" s="44" t="str">
        <f t="shared" si="9"/>
        <v/>
      </c>
    </row>
    <row r="136" spans="1:17" x14ac:dyDescent="0.25">
      <c r="A136" s="36" t="str">
        <f t="shared" si="5"/>
        <v/>
      </c>
      <c r="B136" s="35" t="str">
        <f>IF(DM_SP!A130="","",DM_SP!A130)</f>
        <v/>
      </c>
      <c r="C136" s="35" t="str">
        <f>IF(B136="","",DM_SP!B130)</f>
        <v/>
      </c>
      <c r="D136" s="35" t="str">
        <f>IF(B136="","",DM_SP!C130)</f>
        <v/>
      </c>
      <c r="E136" s="39" t="str">
        <f>IF($B136="","",SUMIFS(Kho_SP!$B$5:$B$304,Kho_SP!$A$5:$A$304,$B136))</f>
        <v/>
      </c>
      <c r="F136" s="39" t="str">
        <f>IF($B136="","",SUMIFS(Kho_SP!$C$5:$C$304,Kho_SP!$A$5:$A$304,$B136))</f>
        <v/>
      </c>
      <c r="G136" s="39" t="str">
        <f>IF($B136="","",SUMIFS(Kho_SP!$D$5:$D$304,Kho_SP!$A$5:$A$304,$B136))</f>
        <v/>
      </c>
      <c r="H136" s="39" t="str">
        <f>IF($B136="","",SUMIFS(Kho_SP!$E$5:$E$304,Kho_SP!$A$5:$A$304,$B136))</f>
        <v/>
      </c>
      <c r="I136" s="39" t="str">
        <f>IF($B136="","",SUMIFS(Kho_SP!$F$5:$F$304,Kho_SP!$A$5:$A$304,$B136))</f>
        <v/>
      </c>
      <c r="J136" s="39" t="str">
        <f>IF($B136="","",SUMIFS(Kho_SP!$G$5:$G$304,Kho_SP!$A$5:$A$304,$B136))</f>
        <v/>
      </c>
      <c r="K136" s="39" t="str">
        <f t="shared" si="6"/>
        <v/>
      </c>
      <c r="L136" s="31" t="str">
        <f>IF($B136="","",IFERROR(INDEX(Kho_SP!$I$5:$I$304,MATCH(B136,Kho_SP!$A$5:$A$304,0))&amp;"",""))</f>
        <v/>
      </c>
      <c r="M136" s="44" t="str">
        <f>IF($B136="","",SUMIFS(Kho_SP!$H$5:$H$304,Kho_SP!$A$5:$A$304,$B136))</f>
        <v/>
      </c>
      <c r="N136" s="44" t="str">
        <f t="shared" si="7"/>
        <v/>
      </c>
      <c r="O136" s="45" t="str">
        <f t="shared" si="8"/>
        <v/>
      </c>
      <c r="P136" s="44" t="str">
        <f>IF($B136="","",SUMIFS(TK_Xuat!$E$5:$E$1004,TK_Xuat!$D$5:$D$1004,$B136,TK_Xuat!$H$5:$H$1004,1))</f>
        <v/>
      </c>
      <c r="Q136" s="44" t="str">
        <f t="shared" si="9"/>
        <v/>
      </c>
    </row>
    <row r="137" spans="1:17" x14ac:dyDescent="0.25">
      <c r="A137" s="36" t="str">
        <f t="shared" si="5"/>
        <v/>
      </c>
      <c r="B137" s="35" t="str">
        <f>IF(DM_SP!A131="","",DM_SP!A131)</f>
        <v/>
      </c>
      <c r="C137" s="35" t="str">
        <f>IF(B137="","",DM_SP!B131)</f>
        <v/>
      </c>
      <c r="D137" s="35" t="str">
        <f>IF(B137="","",DM_SP!C131)</f>
        <v/>
      </c>
      <c r="E137" s="39" t="str">
        <f>IF($B137="","",SUMIFS(Kho_SP!$B$5:$B$304,Kho_SP!$A$5:$A$304,$B137))</f>
        <v/>
      </c>
      <c r="F137" s="39" t="str">
        <f>IF($B137="","",SUMIFS(Kho_SP!$C$5:$C$304,Kho_SP!$A$5:$A$304,$B137))</f>
        <v/>
      </c>
      <c r="G137" s="39" t="str">
        <f>IF($B137="","",SUMIFS(Kho_SP!$D$5:$D$304,Kho_SP!$A$5:$A$304,$B137))</f>
        <v/>
      </c>
      <c r="H137" s="39" t="str">
        <f>IF($B137="","",SUMIFS(Kho_SP!$E$5:$E$304,Kho_SP!$A$5:$A$304,$B137))</f>
        <v/>
      </c>
      <c r="I137" s="39" t="str">
        <f>IF($B137="","",SUMIFS(Kho_SP!$F$5:$F$304,Kho_SP!$A$5:$A$304,$B137))</f>
        <v/>
      </c>
      <c r="J137" s="39" t="str">
        <f>IF($B137="","",SUMIFS(Kho_SP!$G$5:$G$304,Kho_SP!$A$5:$A$304,$B137))</f>
        <v/>
      </c>
      <c r="K137" s="39" t="str">
        <f t="shared" si="6"/>
        <v/>
      </c>
      <c r="L137" s="31" t="str">
        <f>IF($B137="","",IFERROR(INDEX(Kho_SP!$I$5:$I$304,MATCH(B137,Kho_SP!$A$5:$A$304,0))&amp;"",""))</f>
        <v/>
      </c>
      <c r="M137" s="44" t="str">
        <f>IF($B137="","",SUMIFS(Kho_SP!$H$5:$H$304,Kho_SP!$A$5:$A$304,$B137))</f>
        <v/>
      </c>
      <c r="N137" s="44" t="str">
        <f t="shared" si="7"/>
        <v/>
      </c>
      <c r="O137" s="45" t="str">
        <f t="shared" si="8"/>
        <v/>
      </c>
      <c r="P137" s="44" t="str">
        <f>IF($B137="","",SUMIFS(TK_Xuat!$E$5:$E$1004,TK_Xuat!$D$5:$D$1004,$B137,TK_Xuat!$H$5:$H$1004,1))</f>
        <v/>
      </c>
      <c r="Q137" s="44" t="str">
        <f t="shared" si="9"/>
        <v/>
      </c>
    </row>
    <row r="138" spans="1:17" x14ac:dyDescent="0.25">
      <c r="A138" s="36" t="str">
        <f t="shared" si="5"/>
        <v/>
      </c>
      <c r="B138" s="35" t="str">
        <f>IF(DM_SP!A132="","",DM_SP!A132)</f>
        <v/>
      </c>
      <c r="C138" s="35" t="str">
        <f>IF(B138="","",DM_SP!B132)</f>
        <v/>
      </c>
      <c r="D138" s="35" t="str">
        <f>IF(B138="","",DM_SP!C132)</f>
        <v/>
      </c>
      <c r="E138" s="39" t="str">
        <f>IF($B138="","",SUMIFS(Kho_SP!$B$5:$B$304,Kho_SP!$A$5:$A$304,$B138))</f>
        <v/>
      </c>
      <c r="F138" s="39" t="str">
        <f>IF($B138="","",SUMIFS(Kho_SP!$C$5:$C$304,Kho_SP!$A$5:$A$304,$B138))</f>
        <v/>
      </c>
      <c r="G138" s="39" t="str">
        <f>IF($B138="","",SUMIFS(Kho_SP!$D$5:$D$304,Kho_SP!$A$5:$A$304,$B138))</f>
        <v/>
      </c>
      <c r="H138" s="39" t="str">
        <f>IF($B138="","",SUMIFS(Kho_SP!$E$5:$E$304,Kho_SP!$A$5:$A$304,$B138))</f>
        <v/>
      </c>
      <c r="I138" s="39" t="str">
        <f>IF($B138="","",SUMIFS(Kho_SP!$F$5:$F$304,Kho_SP!$A$5:$A$304,$B138))</f>
        <v/>
      </c>
      <c r="J138" s="39" t="str">
        <f>IF($B138="","",SUMIFS(Kho_SP!$G$5:$G$304,Kho_SP!$A$5:$A$304,$B138))</f>
        <v/>
      </c>
      <c r="K138" s="39" t="str">
        <f t="shared" si="6"/>
        <v/>
      </c>
      <c r="L138" s="31" t="str">
        <f>IF($B138="","",IFERROR(INDEX(Kho_SP!$I$5:$I$304,MATCH(B138,Kho_SP!$A$5:$A$304,0))&amp;"",""))</f>
        <v/>
      </c>
      <c r="M138" s="44" t="str">
        <f>IF($B138="","",SUMIFS(Kho_SP!$H$5:$H$304,Kho_SP!$A$5:$A$304,$B138))</f>
        <v/>
      </c>
      <c r="N138" s="44" t="str">
        <f t="shared" si="7"/>
        <v/>
      </c>
      <c r="O138" s="45" t="str">
        <f t="shared" si="8"/>
        <v/>
      </c>
      <c r="P138" s="44" t="str">
        <f>IF($B138="","",SUMIFS(TK_Xuat!$E$5:$E$1004,TK_Xuat!$D$5:$D$1004,$B138,TK_Xuat!$H$5:$H$1004,1))</f>
        <v/>
      </c>
      <c r="Q138" s="44" t="str">
        <f t="shared" si="9"/>
        <v/>
      </c>
    </row>
    <row r="139" spans="1:17" x14ac:dyDescent="0.25">
      <c r="A139" s="36" t="str">
        <f t="shared" ref="A139:A202" si="10">IF(B139="","",ROW()-10)</f>
        <v/>
      </c>
      <c r="B139" s="35" t="str">
        <f>IF(DM_SP!A133="","",DM_SP!A133)</f>
        <v/>
      </c>
      <c r="C139" s="35" t="str">
        <f>IF(B139="","",DM_SP!B133)</f>
        <v/>
      </c>
      <c r="D139" s="35" t="str">
        <f>IF(B139="","",DM_SP!C133)</f>
        <v/>
      </c>
      <c r="E139" s="39" t="str">
        <f>IF($B139="","",SUMIFS(Kho_SP!$B$5:$B$304,Kho_SP!$A$5:$A$304,$B139))</f>
        <v/>
      </c>
      <c r="F139" s="39" t="str">
        <f>IF($B139="","",SUMIFS(Kho_SP!$C$5:$C$304,Kho_SP!$A$5:$A$304,$B139))</f>
        <v/>
      </c>
      <c r="G139" s="39" t="str">
        <f>IF($B139="","",SUMIFS(Kho_SP!$D$5:$D$304,Kho_SP!$A$5:$A$304,$B139))</f>
        <v/>
      </c>
      <c r="H139" s="39" t="str">
        <f>IF($B139="","",SUMIFS(Kho_SP!$E$5:$E$304,Kho_SP!$A$5:$A$304,$B139))</f>
        <v/>
      </c>
      <c r="I139" s="39" t="str">
        <f>IF($B139="","",SUMIFS(Kho_SP!$F$5:$F$304,Kho_SP!$A$5:$A$304,$B139))</f>
        <v/>
      </c>
      <c r="J139" s="39" t="str">
        <f>IF($B139="","",SUMIFS(Kho_SP!$G$5:$G$304,Kho_SP!$A$5:$A$304,$B139))</f>
        <v/>
      </c>
      <c r="K139" s="39" t="str">
        <f t="shared" ref="K139:K202" si="11">IF($B139="","",E139+F139+G139-H139-I139-J139)</f>
        <v/>
      </c>
      <c r="L139" s="31" t="str">
        <f>IF($B139="","",IFERROR(INDEX(Kho_SP!$I$5:$I$304,MATCH(B139,Kho_SP!$A$5:$A$304,0))&amp;"",""))</f>
        <v/>
      </c>
      <c r="M139" s="44" t="str">
        <f>IF($B139="","",SUMIFS(Kho_SP!$H$5:$H$304,Kho_SP!$A$5:$A$304,$B139))</f>
        <v/>
      </c>
      <c r="N139" s="44" t="str">
        <f t="shared" ref="N139:N202" si="12">IF($B139="","",K139-M139)</f>
        <v/>
      </c>
      <c r="O139" s="45" t="str">
        <f t="shared" ref="O139:O202" si="13">IF($B139="","",IF(ABS(N139)&lt;0.000001,"Khớp","Lệch"))</f>
        <v/>
      </c>
      <c r="P139" s="44" t="str">
        <f>IF($B139="","",SUMIFS(TK_Xuat!$E$5:$E$1004,TK_Xuat!$D$5:$D$1004,$B139,TK_Xuat!$H$5:$H$1004,1))</f>
        <v/>
      </c>
      <c r="Q139" s="44" t="str">
        <f t="shared" ref="Q139:Q202" si="14">IF($B139="","",I139-P139)</f>
        <v/>
      </c>
    </row>
    <row r="140" spans="1:17" x14ac:dyDescent="0.25">
      <c r="A140" s="36" t="str">
        <f t="shared" si="10"/>
        <v/>
      </c>
      <c r="B140" s="35" t="str">
        <f>IF(DM_SP!A134="","",DM_SP!A134)</f>
        <v/>
      </c>
      <c r="C140" s="35" t="str">
        <f>IF(B140="","",DM_SP!B134)</f>
        <v/>
      </c>
      <c r="D140" s="35" t="str">
        <f>IF(B140="","",DM_SP!C134)</f>
        <v/>
      </c>
      <c r="E140" s="39" t="str">
        <f>IF($B140="","",SUMIFS(Kho_SP!$B$5:$B$304,Kho_SP!$A$5:$A$304,$B140))</f>
        <v/>
      </c>
      <c r="F140" s="39" t="str">
        <f>IF($B140="","",SUMIFS(Kho_SP!$C$5:$C$304,Kho_SP!$A$5:$A$304,$B140))</f>
        <v/>
      </c>
      <c r="G140" s="39" t="str">
        <f>IF($B140="","",SUMIFS(Kho_SP!$D$5:$D$304,Kho_SP!$A$5:$A$304,$B140))</f>
        <v/>
      </c>
      <c r="H140" s="39" t="str">
        <f>IF($B140="","",SUMIFS(Kho_SP!$E$5:$E$304,Kho_SP!$A$5:$A$304,$B140))</f>
        <v/>
      </c>
      <c r="I140" s="39" t="str">
        <f>IF($B140="","",SUMIFS(Kho_SP!$F$5:$F$304,Kho_SP!$A$5:$A$304,$B140))</f>
        <v/>
      </c>
      <c r="J140" s="39" t="str">
        <f>IF($B140="","",SUMIFS(Kho_SP!$G$5:$G$304,Kho_SP!$A$5:$A$304,$B140))</f>
        <v/>
      </c>
      <c r="K140" s="39" t="str">
        <f t="shared" si="11"/>
        <v/>
      </c>
      <c r="L140" s="31" t="str">
        <f>IF($B140="","",IFERROR(INDEX(Kho_SP!$I$5:$I$304,MATCH(B140,Kho_SP!$A$5:$A$304,0))&amp;"",""))</f>
        <v/>
      </c>
      <c r="M140" s="44" t="str">
        <f>IF($B140="","",SUMIFS(Kho_SP!$H$5:$H$304,Kho_SP!$A$5:$A$304,$B140))</f>
        <v/>
      </c>
      <c r="N140" s="44" t="str">
        <f t="shared" si="12"/>
        <v/>
      </c>
      <c r="O140" s="45" t="str">
        <f t="shared" si="13"/>
        <v/>
      </c>
      <c r="P140" s="44" t="str">
        <f>IF($B140="","",SUMIFS(TK_Xuat!$E$5:$E$1004,TK_Xuat!$D$5:$D$1004,$B140,TK_Xuat!$H$5:$H$1004,1))</f>
        <v/>
      </c>
      <c r="Q140" s="44" t="str">
        <f t="shared" si="14"/>
        <v/>
      </c>
    </row>
    <row r="141" spans="1:17" x14ac:dyDescent="0.25">
      <c r="A141" s="36" t="str">
        <f t="shared" si="10"/>
        <v/>
      </c>
      <c r="B141" s="35" t="str">
        <f>IF(DM_SP!A135="","",DM_SP!A135)</f>
        <v/>
      </c>
      <c r="C141" s="35" t="str">
        <f>IF(B141="","",DM_SP!B135)</f>
        <v/>
      </c>
      <c r="D141" s="35" t="str">
        <f>IF(B141="","",DM_SP!C135)</f>
        <v/>
      </c>
      <c r="E141" s="39" t="str">
        <f>IF($B141="","",SUMIFS(Kho_SP!$B$5:$B$304,Kho_SP!$A$5:$A$304,$B141))</f>
        <v/>
      </c>
      <c r="F141" s="39" t="str">
        <f>IF($B141="","",SUMIFS(Kho_SP!$C$5:$C$304,Kho_SP!$A$5:$A$304,$B141))</f>
        <v/>
      </c>
      <c r="G141" s="39" t="str">
        <f>IF($B141="","",SUMIFS(Kho_SP!$D$5:$D$304,Kho_SP!$A$5:$A$304,$B141))</f>
        <v/>
      </c>
      <c r="H141" s="39" t="str">
        <f>IF($B141="","",SUMIFS(Kho_SP!$E$5:$E$304,Kho_SP!$A$5:$A$304,$B141))</f>
        <v/>
      </c>
      <c r="I141" s="39" t="str">
        <f>IF($B141="","",SUMIFS(Kho_SP!$F$5:$F$304,Kho_SP!$A$5:$A$304,$B141))</f>
        <v/>
      </c>
      <c r="J141" s="39" t="str">
        <f>IF($B141="","",SUMIFS(Kho_SP!$G$5:$G$304,Kho_SP!$A$5:$A$304,$B141))</f>
        <v/>
      </c>
      <c r="K141" s="39" t="str">
        <f t="shared" si="11"/>
        <v/>
      </c>
      <c r="L141" s="31" t="str">
        <f>IF($B141="","",IFERROR(INDEX(Kho_SP!$I$5:$I$304,MATCH(B141,Kho_SP!$A$5:$A$304,0))&amp;"",""))</f>
        <v/>
      </c>
      <c r="M141" s="44" t="str">
        <f>IF($B141="","",SUMIFS(Kho_SP!$H$5:$H$304,Kho_SP!$A$5:$A$304,$B141))</f>
        <v/>
      </c>
      <c r="N141" s="44" t="str">
        <f t="shared" si="12"/>
        <v/>
      </c>
      <c r="O141" s="45" t="str">
        <f t="shared" si="13"/>
        <v/>
      </c>
      <c r="P141" s="44" t="str">
        <f>IF($B141="","",SUMIFS(TK_Xuat!$E$5:$E$1004,TK_Xuat!$D$5:$D$1004,$B141,TK_Xuat!$H$5:$H$1004,1))</f>
        <v/>
      </c>
      <c r="Q141" s="44" t="str">
        <f t="shared" si="14"/>
        <v/>
      </c>
    </row>
    <row r="142" spans="1:17" x14ac:dyDescent="0.25">
      <c r="A142" s="36" t="str">
        <f t="shared" si="10"/>
        <v/>
      </c>
      <c r="B142" s="35" t="str">
        <f>IF(DM_SP!A136="","",DM_SP!A136)</f>
        <v/>
      </c>
      <c r="C142" s="35" t="str">
        <f>IF(B142="","",DM_SP!B136)</f>
        <v/>
      </c>
      <c r="D142" s="35" t="str">
        <f>IF(B142="","",DM_SP!C136)</f>
        <v/>
      </c>
      <c r="E142" s="39" t="str">
        <f>IF($B142="","",SUMIFS(Kho_SP!$B$5:$B$304,Kho_SP!$A$5:$A$304,$B142))</f>
        <v/>
      </c>
      <c r="F142" s="39" t="str">
        <f>IF($B142="","",SUMIFS(Kho_SP!$C$5:$C$304,Kho_SP!$A$5:$A$304,$B142))</f>
        <v/>
      </c>
      <c r="G142" s="39" t="str">
        <f>IF($B142="","",SUMIFS(Kho_SP!$D$5:$D$304,Kho_SP!$A$5:$A$304,$B142))</f>
        <v/>
      </c>
      <c r="H142" s="39" t="str">
        <f>IF($B142="","",SUMIFS(Kho_SP!$E$5:$E$304,Kho_SP!$A$5:$A$304,$B142))</f>
        <v/>
      </c>
      <c r="I142" s="39" t="str">
        <f>IF($B142="","",SUMIFS(Kho_SP!$F$5:$F$304,Kho_SP!$A$5:$A$304,$B142))</f>
        <v/>
      </c>
      <c r="J142" s="39" t="str">
        <f>IF($B142="","",SUMIFS(Kho_SP!$G$5:$G$304,Kho_SP!$A$5:$A$304,$B142))</f>
        <v/>
      </c>
      <c r="K142" s="39" t="str">
        <f t="shared" si="11"/>
        <v/>
      </c>
      <c r="L142" s="31" t="str">
        <f>IF($B142="","",IFERROR(INDEX(Kho_SP!$I$5:$I$304,MATCH(B142,Kho_SP!$A$5:$A$304,0))&amp;"",""))</f>
        <v/>
      </c>
      <c r="M142" s="44" t="str">
        <f>IF($B142="","",SUMIFS(Kho_SP!$H$5:$H$304,Kho_SP!$A$5:$A$304,$B142))</f>
        <v/>
      </c>
      <c r="N142" s="44" t="str">
        <f t="shared" si="12"/>
        <v/>
      </c>
      <c r="O142" s="45" t="str">
        <f t="shared" si="13"/>
        <v/>
      </c>
      <c r="P142" s="44" t="str">
        <f>IF($B142="","",SUMIFS(TK_Xuat!$E$5:$E$1004,TK_Xuat!$D$5:$D$1004,$B142,TK_Xuat!$H$5:$H$1004,1))</f>
        <v/>
      </c>
      <c r="Q142" s="44" t="str">
        <f t="shared" si="14"/>
        <v/>
      </c>
    </row>
    <row r="143" spans="1:17" x14ac:dyDescent="0.25">
      <c r="A143" s="36" t="str">
        <f t="shared" si="10"/>
        <v/>
      </c>
      <c r="B143" s="35" t="str">
        <f>IF(DM_SP!A137="","",DM_SP!A137)</f>
        <v/>
      </c>
      <c r="C143" s="35" t="str">
        <f>IF(B143="","",DM_SP!B137)</f>
        <v/>
      </c>
      <c r="D143" s="35" t="str">
        <f>IF(B143="","",DM_SP!C137)</f>
        <v/>
      </c>
      <c r="E143" s="39" t="str">
        <f>IF($B143="","",SUMIFS(Kho_SP!$B$5:$B$304,Kho_SP!$A$5:$A$304,$B143))</f>
        <v/>
      </c>
      <c r="F143" s="39" t="str">
        <f>IF($B143="","",SUMIFS(Kho_SP!$C$5:$C$304,Kho_SP!$A$5:$A$304,$B143))</f>
        <v/>
      </c>
      <c r="G143" s="39" t="str">
        <f>IF($B143="","",SUMIFS(Kho_SP!$D$5:$D$304,Kho_SP!$A$5:$A$304,$B143))</f>
        <v/>
      </c>
      <c r="H143" s="39" t="str">
        <f>IF($B143="","",SUMIFS(Kho_SP!$E$5:$E$304,Kho_SP!$A$5:$A$304,$B143))</f>
        <v/>
      </c>
      <c r="I143" s="39" t="str">
        <f>IF($B143="","",SUMIFS(Kho_SP!$F$5:$F$304,Kho_SP!$A$5:$A$304,$B143))</f>
        <v/>
      </c>
      <c r="J143" s="39" t="str">
        <f>IF($B143="","",SUMIFS(Kho_SP!$G$5:$G$304,Kho_SP!$A$5:$A$304,$B143))</f>
        <v/>
      </c>
      <c r="K143" s="39" t="str">
        <f t="shared" si="11"/>
        <v/>
      </c>
      <c r="L143" s="31" t="str">
        <f>IF($B143="","",IFERROR(INDEX(Kho_SP!$I$5:$I$304,MATCH(B143,Kho_SP!$A$5:$A$304,0))&amp;"",""))</f>
        <v/>
      </c>
      <c r="M143" s="44" t="str">
        <f>IF($B143="","",SUMIFS(Kho_SP!$H$5:$H$304,Kho_SP!$A$5:$A$304,$B143))</f>
        <v/>
      </c>
      <c r="N143" s="44" t="str">
        <f t="shared" si="12"/>
        <v/>
      </c>
      <c r="O143" s="45" t="str">
        <f t="shared" si="13"/>
        <v/>
      </c>
      <c r="P143" s="44" t="str">
        <f>IF($B143="","",SUMIFS(TK_Xuat!$E$5:$E$1004,TK_Xuat!$D$5:$D$1004,$B143,TK_Xuat!$H$5:$H$1004,1))</f>
        <v/>
      </c>
      <c r="Q143" s="44" t="str">
        <f t="shared" si="14"/>
        <v/>
      </c>
    </row>
    <row r="144" spans="1:17" x14ac:dyDescent="0.25">
      <c r="A144" s="36" t="str">
        <f t="shared" si="10"/>
        <v/>
      </c>
      <c r="B144" s="35" t="str">
        <f>IF(DM_SP!A138="","",DM_SP!A138)</f>
        <v/>
      </c>
      <c r="C144" s="35" t="str">
        <f>IF(B144="","",DM_SP!B138)</f>
        <v/>
      </c>
      <c r="D144" s="35" t="str">
        <f>IF(B144="","",DM_SP!C138)</f>
        <v/>
      </c>
      <c r="E144" s="39" t="str">
        <f>IF($B144="","",SUMIFS(Kho_SP!$B$5:$B$304,Kho_SP!$A$5:$A$304,$B144))</f>
        <v/>
      </c>
      <c r="F144" s="39" t="str">
        <f>IF($B144="","",SUMIFS(Kho_SP!$C$5:$C$304,Kho_SP!$A$5:$A$304,$B144))</f>
        <v/>
      </c>
      <c r="G144" s="39" t="str">
        <f>IF($B144="","",SUMIFS(Kho_SP!$D$5:$D$304,Kho_SP!$A$5:$A$304,$B144))</f>
        <v/>
      </c>
      <c r="H144" s="39" t="str">
        <f>IF($B144="","",SUMIFS(Kho_SP!$E$5:$E$304,Kho_SP!$A$5:$A$304,$B144))</f>
        <v/>
      </c>
      <c r="I144" s="39" t="str">
        <f>IF($B144="","",SUMIFS(Kho_SP!$F$5:$F$304,Kho_SP!$A$5:$A$304,$B144))</f>
        <v/>
      </c>
      <c r="J144" s="39" t="str">
        <f>IF($B144="","",SUMIFS(Kho_SP!$G$5:$G$304,Kho_SP!$A$5:$A$304,$B144))</f>
        <v/>
      </c>
      <c r="K144" s="39" t="str">
        <f t="shared" si="11"/>
        <v/>
      </c>
      <c r="L144" s="31" t="str">
        <f>IF($B144="","",IFERROR(INDEX(Kho_SP!$I$5:$I$304,MATCH(B144,Kho_SP!$A$5:$A$304,0))&amp;"",""))</f>
        <v/>
      </c>
      <c r="M144" s="44" t="str">
        <f>IF($B144="","",SUMIFS(Kho_SP!$H$5:$H$304,Kho_SP!$A$5:$A$304,$B144))</f>
        <v/>
      </c>
      <c r="N144" s="44" t="str">
        <f t="shared" si="12"/>
        <v/>
      </c>
      <c r="O144" s="45" t="str">
        <f t="shared" si="13"/>
        <v/>
      </c>
      <c r="P144" s="44" t="str">
        <f>IF($B144="","",SUMIFS(TK_Xuat!$E$5:$E$1004,TK_Xuat!$D$5:$D$1004,$B144,TK_Xuat!$H$5:$H$1004,1))</f>
        <v/>
      </c>
      <c r="Q144" s="44" t="str">
        <f t="shared" si="14"/>
        <v/>
      </c>
    </row>
    <row r="145" spans="1:17" x14ac:dyDescent="0.25">
      <c r="A145" s="36" t="str">
        <f t="shared" si="10"/>
        <v/>
      </c>
      <c r="B145" s="35" t="str">
        <f>IF(DM_SP!A139="","",DM_SP!A139)</f>
        <v/>
      </c>
      <c r="C145" s="35" t="str">
        <f>IF(B145="","",DM_SP!B139)</f>
        <v/>
      </c>
      <c r="D145" s="35" t="str">
        <f>IF(B145="","",DM_SP!C139)</f>
        <v/>
      </c>
      <c r="E145" s="39" t="str">
        <f>IF($B145="","",SUMIFS(Kho_SP!$B$5:$B$304,Kho_SP!$A$5:$A$304,$B145))</f>
        <v/>
      </c>
      <c r="F145" s="39" t="str">
        <f>IF($B145="","",SUMIFS(Kho_SP!$C$5:$C$304,Kho_SP!$A$5:$A$304,$B145))</f>
        <v/>
      </c>
      <c r="G145" s="39" t="str">
        <f>IF($B145="","",SUMIFS(Kho_SP!$D$5:$D$304,Kho_SP!$A$5:$A$304,$B145))</f>
        <v/>
      </c>
      <c r="H145" s="39" t="str">
        <f>IF($B145="","",SUMIFS(Kho_SP!$E$5:$E$304,Kho_SP!$A$5:$A$304,$B145))</f>
        <v/>
      </c>
      <c r="I145" s="39" t="str">
        <f>IF($B145="","",SUMIFS(Kho_SP!$F$5:$F$304,Kho_SP!$A$5:$A$304,$B145))</f>
        <v/>
      </c>
      <c r="J145" s="39" t="str">
        <f>IF($B145="","",SUMIFS(Kho_SP!$G$5:$G$304,Kho_SP!$A$5:$A$304,$B145))</f>
        <v/>
      </c>
      <c r="K145" s="39" t="str">
        <f t="shared" si="11"/>
        <v/>
      </c>
      <c r="L145" s="31" t="str">
        <f>IF($B145="","",IFERROR(INDEX(Kho_SP!$I$5:$I$304,MATCH(B145,Kho_SP!$A$5:$A$304,0))&amp;"",""))</f>
        <v/>
      </c>
      <c r="M145" s="44" t="str">
        <f>IF($B145="","",SUMIFS(Kho_SP!$H$5:$H$304,Kho_SP!$A$5:$A$304,$B145))</f>
        <v/>
      </c>
      <c r="N145" s="44" t="str">
        <f t="shared" si="12"/>
        <v/>
      </c>
      <c r="O145" s="45" t="str">
        <f t="shared" si="13"/>
        <v/>
      </c>
      <c r="P145" s="44" t="str">
        <f>IF($B145="","",SUMIFS(TK_Xuat!$E$5:$E$1004,TK_Xuat!$D$5:$D$1004,$B145,TK_Xuat!$H$5:$H$1004,1))</f>
        <v/>
      </c>
      <c r="Q145" s="44" t="str">
        <f t="shared" si="14"/>
        <v/>
      </c>
    </row>
    <row r="146" spans="1:17" x14ac:dyDescent="0.25">
      <c r="A146" s="36" t="str">
        <f t="shared" si="10"/>
        <v/>
      </c>
      <c r="B146" s="35" t="str">
        <f>IF(DM_SP!A140="","",DM_SP!A140)</f>
        <v/>
      </c>
      <c r="C146" s="35" t="str">
        <f>IF(B146="","",DM_SP!B140)</f>
        <v/>
      </c>
      <c r="D146" s="35" t="str">
        <f>IF(B146="","",DM_SP!C140)</f>
        <v/>
      </c>
      <c r="E146" s="39" t="str">
        <f>IF($B146="","",SUMIFS(Kho_SP!$B$5:$B$304,Kho_SP!$A$5:$A$304,$B146))</f>
        <v/>
      </c>
      <c r="F146" s="39" t="str">
        <f>IF($B146="","",SUMIFS(Kho_SP!$C$5:$C$304,Kho_SP!$A$5:$A$304,$B146))</f>
        <v/>
      </c>
      <c r="G146" s="39" t="str">
        <f>IF($B146="","",SUMIFS(Kho_SP!$D$5:$D$304,Kho_SP!$A$5:$A$304,$B146))</f>
        <v/>
      </c>
      <c r="H146" s="39" t="str">
        <f>IF($B146="","",SUMIFS(Kho_SP!$E$5:$E$304,Kho_SP!$A$5:$A$304,$B146))</f>
        <v/>
      </c>
      <c r="I146" s="39" t="str">
        <f>IF($B146="","",SUMIFS(Kho_SP!$F$5:$F$304,Kho_SP!$A$5:$A$304,$B146))</f>
        <v/>
      </c>
      <c r="J146" s="39" t="str">
        <f>IF($B146="","",SUMIFS(Kho_SP!$G$5:$G$304,Kho_SP!$A$5:$A$304,$B146))</f>
        <v/>
      </c>
      <c r="K146" s="39" t="str">
        <f t="shared" si="11"/>
        <v/>
      </c>
      <c r="L146" s="31" t="str">
        <f>IF($B146="","",IFERROR(INDEX(Kho_SP!$I$5:$I$304,MATCH(B146,Kho_SP!$A$5:$A$304,0))&amp;"",""))</f>
        <v/>
      </c>
      <c r="M146" s="44" t="str">
        <f>IF($B146="","",SUMIFS(Kho_SP!$H$5:$H$304,Kho_SP!$A$5:$A$304,$B146))</f>
        <v/>
      </c>
      <c r="N146" s="44" t="str">
        <f t="shared" si="12"/>
        <v/>
      </c>
      <c r="O146" s="45" t="str">
        <f t="shared" si="13"/>
        <v/>
      </c>
      <c r="P146" s="44" t="str">
        <f>IF($B146="","",SUMIFS(TK_Xuat!$E$5:$E$1004,TK_Xuat!$D$5:$D$1004,$B146,TK_Xuat!$H$5:$H$1004,1))</f>
        <v/>
      </c>
      <c r="Q146" s="44" t="str">
        <f t="shared" si="14"/>
        <v/>
      </c>
    </row>
    <row r="147" spans="1:17" x14ac:dyDescent="0.25">
      <c r="A147" s="36" t="str">
        <f t="shared" si="10"/>
        <v/>
      </c>
      <c r="B147" s="35" t="str">
        <f>IF(DM_SP!A141="","",DM_SP!A141)</f>
        <v/>
      </c>
      <c r="C147" s="35" t="str">
        <f>IF(B147="","",DM_SP!B141)</f>
        <v/>
      </c>
      <c r="D147" s="35" t="str">
        <f>IF(B147="","",DM_SP!C141)</f>
        <v/>
      </c>
      <c r="E147" s="39" t="str">
        <f>IF($B147="","",SUMIFS(Kho_SP!$B$5:$B$304,Kho_SP!$A$5:$A$304,$B147))</f>
        <v/>
      </c>
      <c r="F147" s="39" t="str">
        <f>IF($B147="","",SUMIFS(Kho_SP!$C$5:$C$304,Kho_SP!$A$5:$A$304,$B147))</f>
        <v/>
      </c>
      <c r="G147" s="39" t="str">
        <f>IF($B147="","",SUMIFS(Kho_SP!$D$5:$D$304,Kho_SP!$A$5:$A$304,$B147))</f>
        <v/>
      </c>
      <c r="H147" s="39" t="str">
        <f>IF($B147="","",SUMIFS(Kho_SP!$E$5:$E$304,Kho_SP!$A$5:$A$304,$B147))</f>
        <v/>
      </c>
      <c r="I147" s="39" t="str">
        <f>IF($B147="","",SUMIFS(Kho_SP!$F$5:$F$304,Kho_SP!$A$5:$A$304,$B147))</f>
        <v/>
      </c>
      <c r="J147" s="39" t="str">
        <f>IF($B147="","",SUMIFS(Kho_SP!$G$5:$G$304,Kho_SP!$A$5:$A$304,$B147))</f>
        <v/>
      </c>
      <c r="K147" s="39" t="str">
        <f t="shared" si="11"/>
        <v/>
      </c>
      <c r="L147" s="31" t="str">
        <f>IF($B147="","",IFERROR(INDEX(Kho_SP!$I$5:$I$304,MATCH(B147,Kho_SP!$A$5:$A$304,0))&amp;"",""))</f>
        <v/>
      </c>
      <c r="M147" s="44" t="str">
        <f>IF($B147="","",SUMIFS(Kho_SP!$H$5:$H$304,Kho_SP!$A$5:$A$304,$B147))</f>
        <v/>
      </c>
      <c r="N147" s="44" t="str">
        <f t="shared" si="12"/>
        <v/>
      </c>
      <c r="O147" s="45" t="str">
        <f t="shared" si="13"/>
        <v/>
      </c>
      <c r="P147" s="44" t="str">
        <f>IF($B147="","",SUMIFS(TK_Xuat!$E$5:$E$1004,TK_Xuat!$D$5:$D$1004,$B147,TK_Xuat!$H$5:$H$1004,1))</f>
        <v/>
      </c>
      <c r="Q147" s="44" t="str">
        <f t="shared" si="14"/>
        <v/>
      </c>
    </row>
    <row r="148" spans="1:17" x14ac:dyDescent="0.25">
      <c r="A148" s="36" t="str">
        <f t="shared" si="10"/>
        <v/>
      </c>
      <c r="B148" s="35" t="str">
        <f>IF(DM_SP!A142="","",DM_SP!A142)</f>
        <v/>
      </c>
      <c r="C148" s="35" t="str">
        <f>IF(B148="","",DM_SP!B142)</f>
        <v/>
      </c>
      <c r="D148" s="35" t="str">
        <f>IF(B148="","",DM_SP!C142)</f>
        <v/>
      </c>
      <c r="E148" s="39" t="str">
        <f>IF($B148="","",SUMIFS(Kho_SP!$B$5:$B$304,Kho_SP!$A$5:$A$304,$B148))</f>
        <v/>
      </c>
      <c r="F148" s="39" t="str">
        <f>IF($B148="","",SUMIFS(Kho_SP!$C$5:$C$304,Kho_SP!$A$5:$A$304,$B148))</f>
        <v/>
      </c>
      <c r="G148" s="39" t="str">
        <f>IF($B148="","",SUMIFS(Kho_SP!$D$5:$D$304,Kho_SP!$A$5:$A$304,$B148))</f>
        <v/>
      </c>
      <c r="H148" s="39" t="str">
        <f>IF($B148="","",SUMIFS(Kho_SP!$E$5:$E$304,Kho_SP!$A$5:$A$304,$B148))</f>
        <v/>
      </c>
      <c r="I148" s="39" t="str">
        <f>IF($B148="","",SUMIFS(Kho_SP!$F$5:$F$304,Kho_SP!$A$5:$A$304,$B148))</f>
        <v/>
      </c>
      <c r="J148" s="39" t="str">
        <f>IF($B148="","",SUMIFS(Kho_SP!$G$5:$G$304,Kho_SP!$A$5:$A$304,$B148))</f>
        <v/>
      </c>
      <c r="K148" s="39" t="str">
        <f t="shared" si="11"/>
        <v/>
      </c>
      <c r="L148" s="31" t="str">
        <f>IF($B148="","",IFERROR(INDEX(Kho_SP!$I$5:$I$304,MATCH(B148,Kho_SP!$A$5:$A$304,0))&amp;"",""))</f>
        <v/>
      </c>
      <c r="M148" s="44" t="str">
        <f>IF($B148="","",SUMIFS(Kho_SP!$H$5:$H$304,Kho_SP!$A$5:$A$304,$B148))</f>
        <v/>
      </c>
      <c r="N148" s="44" t="str">
        <f t="shared" si="12"/>
        <v/>
      </c>
      <c r="O148" s="45" t="str">
        <f t="shared" si="13"/>
        <v/>
      </c>
      <c r="P148" s="44" t="str">
        <f>IF($B148="","",SUMIFS(TK_Xuat!$E$5:$E$1004,TK_Xuat!$D$5:$D$1004,$B148,TK_Xuat!$H$5:$H$1004,1))</f>
        <v/>
      </c>
      <c r="Q148" s="44" t="str">
        <f t="shared" si="14"/>
        <v/>
      </c>
    </row>
    <row r="149" spans="1:17" x14ac:dyDescent="0.25">
      <c r="A149" s="36" t="str">
        <f t="shared" si="10"/>
        <v/>
      </c>
      <c r="B149" s="35" t="str">
        <f>IF(DM_SP!A143="","",DM_SP!A143)</f>
        <v/>
      </c>
      <c r="C149" s="35" t="str">
        <f>IF(B149="","",DM_SP!B143)</f>
        <v/>
      </c>
      <c r="D149" s="35" t="str">
        <f>IF(B149="","",DM_SP!C143)</f>
        <v/>
      </c>
      <c r="E149" s="39" t="str">
        <f>IF($B149="","",SUMIFS(Kho_SP!$B$5:$B$304,Kho_SP!$A$5:$A$304,$B149))</f>
        <v/>
      </c>
      <c r="F149" s="39" t="str">
        <f>IF($B149="","",SUMIFS(Kho_SP!$C$5:$C$304,Kho_SP!$A$5:$A$304,$B149))</f>
        <v/>
      </c>
      <c r="G149" s="39" t="str">
        <f>IF($B149="","",SUMIFS(Kho_SP!$D$5:$D$304,Kho_SP!$A$5:$A$304,$B149))</f>
        <v/>
      </c>
      <c r="H149" s="39" t="str">
        <f>IF($B149="","",SUMIFS(Kho_SP!$E$5:$E$304,Kho_SP!$A$5:$A$304,$B149))</f>
        <v/>
      </c>
      <c r="I149" s="39" t="str">
        <f>IF($B149="","",SUMIFS(Kho_SP!$F$5:$F$304,Kho_SP!$A$5:$A$304,$B149))</f>
        <v/>
      </c>
      <c r="J149" s="39" t="str">
        <f>IF($B149="","",SUMIFS(Kho_SP!$G$5:$G$304,Kho_SP!$A$5:$A$304,$B149))</f>
        <v/>
      </c>
      <c r="K149" s="39" t="str">
        <f t="shared" si="11"/>
        <v/>
      </c>
      <c r="L149" s="31" t="str">
        <f>IF($B149="","",IFERROR(INDEX(Kho_SP!$I$5:$I$304,MATCH(B149,Kho_SP!$A$5:$A$304,0))&amp;"",""))</f>
        <v/>
      </c>
      <c r="M149" s="44" t="str">
        <f>IF($B149="","",SUMIFS(Kho_SP!$H$5:$H$304,Kho_SP!$A$5:$A$304,$B149))</f>
        <v/>
      </c>
      <c r="N149" s="44" t="str">
        <f t="shared" si="12"/>
        <v/>
      </c>
      <c r="O149" s="45" t="str">
        <f t="shared" si="13"/>
        <v/>
      </c>
      <c r="P149" s="44" t="str">
        <f>IF($B149="","",SUMIFS(TK_Xuat!$E$5:$E$1004,TK_Xuat!$D$5:$D$1004,$B149,TK_Xuat!$H$5:$H$1004,1))</f>
        <v/>
      </c>
      <c r="Q149" s="44" t="str">
        <f t="shared" si="14"/>
        <v/>
      </c>
    </row>
    <row r="150" spans="1:17" x14ac:dyDescent="0.25">
      <c r="A150" s="36" t="str">
        <f t="shared" si="10"/>
        <v/>
      </c>
      <c r="B150" s="35" t="str">
        <f>IF(DM_SP!A144="","",DM_SP!A144)</f>
        <v/>
      </c>
      <c r="C150" s="35" t="str">
        <f>IF(B150="","",DM_SP!B144)</f>
        <v/>
      </c>
      <c r="D150" s="35" t="str">
        <f>IF(B150="","",DM_SP!C144)</f>
        <v/>
      </c>
      <c r="E150" s="39" t="str">
        <f>IF($B150="","",SUMIFS(Kho_SP!$B$5:$B$304,Kho_SP!$A$5:$A$304,$B150))</f>
        <v/>
      </c>
      <c r="F150" s="39" t="str">
        <f>IF($B150="","",SUMIFS(Kho_SP!$C$5:$C$304,Kho_SP!$A$5:$A$304,$B150))</f>
        <v/>
      </c>
      <c r="G150" s="39" t="str">
        <f>IF($B150="","",SUMIFS(Kho_SP!$D$5:$D$304,Kho_SP!$A$5:$A$304,$B150))</f>
        <v/>
      </c>
      <c r="H150" s="39" t="str">
        <f>IF($B150="","",SUMIFS(Kho_SP!$E$5:$E$304,Kho_SP!$A$5:$A$304,$B150))</f>
        <v/>
      </c>
      <c r="I150" s="39" t="str">
        <f>IF($B150="","",SUMIFS(Kho_SP!$F$5:$F$304,Kho_SP!$A$5:$A$304,$B150))</f>
        <v/>
      </c>
      <c r="J150" s="39" t="str">
        <f>IF($B150="","",SUMIFS(Kho_SP!$G$5:$G$304,Kho_SP!$A$5:$A$304,$B150))</f>
        <v/>
      </c>
      <c r="K150" s="39" t="str">
        <f t="shared" si="11"/>
        <v/>
      </c>
      <c r="L150" s="31" t="str">
        <f>IF($B150="","",IFERROR(INDEX(Kho_SP!$I$5:$I$304,MATCH(B150,Kho_SP!$A$5:$A$304,0))&amp;"",""))</f>
        <v/>
      </c>
      <c r="M150" s="44" t="str">
        <f>IF($B150="","",SUMIFS(Kho_SP!$H$5:$H$304,Kho_SP!$A$5:$A$304,$B150))</f>
        <v/>
      </c>
      <c r="N150" s="44" t="str">
        <f t="shared" si="12"/>
        <v/>
      </c>
      <c r="O150" s="45" t="str">
        <f t="shared" si="13"/>
        <v/>
      </c>
      <c r="P150" s="44" t="str">
        <f>IF($B150="","",SUMIFS(TK_Xuat!$E$5:$E$1004,TK_Xuat!$D$5:$D$1004,$B150,TK_Xuat!$H$5:$H$1004,1))</f>
        <v/>
      </c>
      <c r="Q150" s="44" t="str">
        <f t="shared" si="14"/>
        <v/>
      </c>
    </row>
    <row r="151" spans="1:17" x14ac:dyDescent="0.25">
      <c r="A151" s="36" t="str">
        <f t="shared" si="10"/>
        <v/>
      </c>
      <c r="B151" s="35" t="str">
        <f>IF(DM_SP!A145="","",DM_SP!A145)</f>
        <v/>
      </c>
      <c r="C151" s="35" t="str">
        <f>IF(B151="","",DM_SP!B145)</f>
        <v/>
      </c>
      <c r="D151" s="35" t="str">
        <f>IF(B151="","",DM_SP!C145)</f>
        <v/>
      </c>
      <c r="E151" s="39" t="str">
        <f>IF($B151="","",SUMIFS(Kho_SP!$B$5:$B$304,Kho_SP!$A$5:$A$304,$B151))</f>
        <v/>
      </c>
      <c r="F151" s="39" t="str">
        <f>IF($B151="","",SUMIFS(Kho_SP!$C$5:$C$304,Kho_SP!$A$5:$A$304,$B151))</f>
        <v/>
      </c>
      <c r="G151" s="39" t="str">
        <f>IF($B151="","",SUMIFS(Kho_SP!$D$5:$D$304,Kho_SP!$A$5:$A$304,$B151))</f>
        <v/>
      </c>
      <c r="H151" s="39" t="str">
        <f>IF($B151="","",SUMIFS(Kho_SP!$E$5:$E$304,Kho_SP!$A$5:$A$304,$B151))</f>
        <v/>
      </c>
      <c r="I151" s="39" t="str">
        <f>IF($B151="","",SUMIFS(Kho_SP!$F$5:$F$304,Kho_SP!$A$5:$A$304,$B151))</f>
        <v/>
      </c>
      <c r="J151" s="39" t="str">
        <f>IF($B151="","",SUMIFS(Kho_SP!$G$5:$G$304,Kho_SP!$A$5:$A$304,$B151))</f>
        <v/>
      </c>
      <c r="K151" s="39" t="str">
        <f t="shared" si="11"/>
        <v/>
      </c>
      <c r="L151" s="31" t="str">
        <f>IF($B151="","",IFERROR(INDEX(Kho_SP!$I$5:$I$304,MATCH(B151,Kho_SP!$A$5:$A$304,0))&amp;"",""))</f>
        <v/>
      </c>
      <c r="M151" s="44" t="str">
        <f>IF($B151="","",SUMIFS(Kho_SP!$H$5:$H$304,Kho_SP!$A$5:$A$304,$B151))</f>
        <v/>
      </c>
      <c r="N151" s="44" t="str">
        <f t="shared" si="12"/>
        <v/>
      </c>
      <c r="O151" s="45" t="str">
        <f t="shared" si="13"/>
        <v/>
      </c>
      <c r="P151" s="44" t="str">
        <f>IF($B151="","",SUMIFS(TK_Xuat!$E$5:$E$1004,TK_Xuat!$D$5:$D$1004,$B151,TK_Xuat!$H$5:$H$1004,1))</f>
        <v/>
      </c>
      <c r="Q151" s="44" t="str">
        <f t="shared" si="14"/>
        <v/>
      </c>
    </row>
    <row r="152" spans="1:17" x14ac:dyDescent="0.25">
      <c r="A152" s="36" t="str">
        <f t="shared" si="10"/>
        <v/>
      </c>
      <c r="B152" s="35" t="str">
        <f>IF(DM_SP!A146="","",DM_SP!A146)</f>
        <v/>
      </c>
      <c r="C152" s="35" t="str">
        <f>IF(B152="","",DM_SP!B146)</f>
        <v/>
      </c>
      <c r="D152" s="35" t="str">
        <f>IF(B152="","",DM_SP!C146)</f>
        <v/>
      </c>
      <c r="E152" s="39" t="str">
        <f>IF($B152="","",SUMIFS(Kho_SP!$B$5:$B$304,Kho_SP!$A$5:$A$304,$B152))</f>
        <v/>
      </c>
      <c r="F152" s="39" t="str">
        <f>IF($B152="","",SUMIFS(Kho_SP!$C$5:$C$304,Kho_SP!$A$5:$A$304,$B152))</f>
        <v/>
      </c>
      <c r="G152" s="39" t="str">
        <f>IF($B152="","",SUMIFS(Kho_SP!$D$5:$D$304,Kho_SP!$A$5:$A$304,$B152))</f>
        <v/>
      </c>
      <c r="H152" s="39" t="str">
        <f>IF($B152="","",SUMIFS(Kho_SP!$E$5:$E$304,Kho_SP!$A$5:$A$304,$B152))</f>
        <v/>
      </c>
      <c r="I152" s="39" t="str">
        <f>IF($B152="","",SUMIFS(Kho_SP!$F$5:$F$304,Kho_SP!$A$5:$A$304,$B152))</f>
        <v/>
      </c>
      <c r="J152" s="39" t="str">
        <f>IF($B152="","",SUMIFS(Kho_SP!$G$5:$G$304,Kho_SP!$A$5:$A$304,$B152))</f>
        <v/>
      </c>
      <c r="K152" s="39" t="str">
        <f t="shared" si="11"/>
        <v/>
      </c>
      <c r="L152" s="31" t="str">
        <f>IF($B152="","",IFERROR(INDEX(Kho_SP!$I$5:$I$304,MATCH(B152,Kho_SP!$A$5:$A$304,0))&amp;"",""))</f>
        <v/>
      </c>
      <c r="M152" s="44" t="str">
        <f>IF($B152="","",SUMIFS(Kho_SP!$H$5:$H$304,Kho_SP!$A$5:$A$304,$B152))</f>
        <v/>
      </c>
      <c r="N152" s="44" t="str">
        <f t="shared" si="12"/>
        <v/>
      </c>
      <c r="O152" s="45" t="str">
        <f t="shared" si="13"/>
        <v/>
      </c>
      <c r="P152" s="44" t="str">
        <f>IF($B152="","",SUMIFS(TK_Xuat!$E$5:$E$1004,TK_Xuat!$D$5:$D$1004,$B152,TK_Xuat!$H$5:$H$1004,1))</f>
        <v/>
      </c>
      <c r="Q152" s="44" t="str">
        <f t="shared" si="14"/>
        <v/>
      </c>
    </row>
    <row r="153" spans="1:17" x14ac:dyDescent="0.25">
      <c r="A153" s="36" t="str">
        <f t="shared" si="10"/>
        <v/>
      </c>
      <c r="B153" s="35" t="str">
        <f>IF(DM_SP!A147="","",DM_SP!A147)</f>
        <v/>
      </c>
      <c r="C153" s="35" t="str">
        <f>IF(B153="","",DM_SP!B147)</f>
        <v/>
      </c>
      <c r="D153" s="35" t="str">
        <f>IF(B153="","",DM_SP!C147)</f>
        <v/>
      </c>
      <c r="E153" s="39" t="str">
        <f>IF($B153="","",SUMIFS(Kho_SP!$B$5:$B$304,Kho_SP!$A$5:$A$304,$B153))</f>
        <v/>
      </c>
      <c r="F153" s="39" t="str">
        <f>IF($B153="","",SUMIFS(Kho_SP!$C$5:$C$304,Kho_SP!$A$5:$A$304,$B153))</f>
        <v/>
      </c>
      <c r="G153" s="39" t="str">
        <f>IF($B153="","",SUMIFS(Kho_SP!$D$5:$D$304,Kho_SP!$A$5:$A$304,$B153))</f>
        <v/>
      </c>
      <c r="H153" s="39" t="str">
        <f>IF($B153="","",SUMIFS(Kho_SP!$E$5:$E$304,Kho_SP!$A$5:$A$304,$B153))</f>
        <v/>
      </c>
      <c r="I153" s="39" t="str">
        <f>IF($B153="","",SUMIFS(Kho_SP!$F$5:$F$304,Kho_SP!$A$5:$A$304,$B153))</f>
        <v/>
      </c>
      <c r="J153" s="39" t="str">
        <f>IF($B153="","",SUMIFS(Kho_SP!$G$5:$G$304,Kho_SP!$A$5:$A$304,$B153))</f>
        <v/>
      </c>
      <c r="K153" s="39" t="str">
        <f t="shared" si="11"/>
        <v/>
      </c>
      <c r="L153" s="31" t="str">
        <f>IF($B153="","",IFERROR(INDEX(Kho_SP!$I$5:$I$304,MATCH(B153,Kho_SP!$A$5:$A$304,0))&amp;"",""))</f>
        <v/>
      </c>
      <c r="M153" s="44" t="str">
        <f>IF($B153="","",SUMIFS(Kho_SP!$H$5:$H$304,Kho_SP!$A$5:$A$304,$B153))</f>
        <v/>
      </c>
      <c r="N153" s="44" t="str">
        <f t="shared" si="12"/>
        <v/>
      </c>
      <c r="O153" s="45" t="str">
        <f t="shared" si="13"/>
        <v/>
      </c>
      <c r="P153" s="44" t="str">
        <f>IF($B153="","",SUMIFS(TK_Xuat!$E$5:$E$1004,TK_Xuat!$D$5:$D$1004,$B153,TK_Xuat!$H$5:$H$1004,1))</f>
        <v/>
      </c>
      <c r="Q153" s="44" t="str">
        <f t="shared" si="14"/>
        <v/>
      </c>
    </row>
    <row r="154" spans="1:17" x14ac:dyDescent="0.25">
      <c r="A154" s="36" t="str">
        <f t="shared" si="10"/>
        <v/>
      </c>
      <c r="B154" s="35" t="str">
        <f>IF(DM_SP!A148="","",DM_SP!A148)</f>
        <v/>
      </c>
      <c r="C154" s="35" t="str">
        <f>IF(B154="","",DM_SP!B148)</f>
        <v/>
      </c>
      <c r="D154" s="35" t="str">
        <f>IF(B154="","",DM_SP!C148)</f>
        <v/>
      </c>
      <c r="E154" s="39" t="str">
        <f>IF($B154="","",SUMIFS(Kho_SP!$B$5:$B$304,Kho_SP!$A$5:$A$304,$B154))</f>
        <v/>
      </c>
      <c r="F154" s="39" t="str">
        <f>IF($B154="","",SUMIFS(Kho_SP!$C$5:$C$304,Kho_SP!$A$5:$A$304,$B154))</f>
        <v/>
      </c>
      <c r="G154" s="39" t="str">
        <f>IF($B154="","",SUMIFS(Kho_SP!$D$5:$D$304,Kho_SP!$A$5:$A$304,$B154))</f>
        <v/>
      </c>
      <c r="H154" s="39" t="str">
        <f>IF($B154="","",SUMIFS(Kho_SP!$E$5:$E$304,Kho_SP!$A$5:$A$304,$B154))</f>
        <v/>
      </c>
      <c r="I154" s="39" t="str">
        <f>IF($B154="","",SUMIFS(Kho_SP!$F$5:$F$304,Kho_SP!$A$5:$A$304,$B154))</f>
        <v/>
      </c>
      <c r="J154" s="39" t="str">
        <f>IF($B154="","",SUMIFS(Kho_SP!$G$5:$G$304,Kho_SP!$A$5:$A$304,$B154))</f>
        <v/>
      </c>
      <c r="K154" s="39" t="str">
        <f t="shared" si="11"/>
        <v/>
      </c>
      <c r="L154" s="31" t="str">
        <f>IF($B154="","",IFERROR(INDEX(Kho_SP!$I$5:$I$304,MATCH(B154,Kho_SP!$A$5:$A$304,0))&amp;"",""))</f>
        <v/>
      </c>
      <c r="M154" s="44" t="str">
        <f>IF($B154="","",SUMIFS(Kho_SP!$H$5:$H$304,Kho_SP!$A$5:$A$304,$B154))</f>
        <v/>
      </c>
      <c r="N154" s="44" t="str">
        <f t="shared" si="12"/>
        <v/>
      </c>
      <c r="O154" s="45" t="str">
        <f t="shared" si="13"/>
        <v/>
      </c>
      <c r="P154" s="44" t="str">
        <f>IF($B154="","",SUMIFS(TK_Xuat!$E$5:$E$1004,TK_Xuat!$D$5:$D$1004,$B154,TK_Xuat!$H$5:$H$1004,1))</f>
        <v/>
      </c>
      <c r="Q154" s="44" t="str">
        <f t="shared" si="14"/>
        <v/>
      </c>
    </row>
    <row r="155" spans="1:17" x14ac:dyDescent="0.25">
      <c r="A155" s="36" t="str">
        <f t="shared" si="10"/>
        <v/>
      </c>
      <c r="B155" s="35" t="str">
        <f>IF(DM_SP!A149="","",DM_SP!A149)</f>
        <v/>
      </c>
      <c r="C155" s="35" t="str">
        <f>IF(B155="","",DM_SP!B149)</f>
        <v/>
      </c>
      <c r="D155" s="35" t="str">
        <f>IF(B155="","",DM_SP!C149)</f>
        <v/>
      </c>
      <c r="E155" s="39" t="str">
        <f>IF($B155="","",SUMIFS(Kho_SP!$B$5:$B$304,Kho_SP!$A$5:$A$304,$B155))</f>
        <v/>
      </c>
      <c r="F155" s="39" t="str">
        <f>IF($B155="","",SUMIFS(Kho_SP!$C$5:$C$304,Kho_SP!$A$5:$A$304,$B155))</f>
        <v/>
      </c>
      <c r="G155" s="39" t="str">
        <f>IF($B155="","",SUMIFS(Kho_SP!$D$5:$D$304,Kho_SP!$A$5:$A$304,$B155))</f>
        <v/>
      </c>
      <c r="H155" s="39" t="str">
        <f>IF($B155="","",SUMIFS(Kho_SP!$E$5:$E$304,Kho_SP!$A$5:$A$304,$B155))</f>
        <v/>
      </c>
      <c r="I155" s="39" t="str">
        <f>IF($B155="","",SUMIFS(Kho_SP!$F$5:$F$304,Kho_SP!$A$5:$A$304,$B155))</f>
        <v/>
      </c>
      <c r="J155" s="39" t="str">
        <f>IF($B155="","",SUMIFS(Kho_SP!$G$5:$G$304,Kho_SP!$A$5:$A$304,$B155))</f>
        <v/>
      </c>
      <c r="K155" s="39" t="str">
        <f t="shared" si="11"/>
        <v/>
      </c>
      <c r="L155" s="31" t="str">
        <f>IF($B155="","",IFERROR(INDEX(Kho_SP!$I$5:$I$304,MATCH(B155,Kho_SP!$A$5:$A$304,0))&amp;"",""))</f>
        <v/>
      </c>
      <c r="M155" s="44" t="str">
        <f>IF($B155="","",SUMIFS(Kho_SP!$H$5:$H$304,Kho_SP!$A$5:$A$304,$B155))</f>
        <v/>
      </c>
      <c r="N155" s="44" t="str">
        <f t="shared" si="12"/>
        <v/>
      </c>
      <c r="O155" s="45" t="str">
        <f t="shared" si="13"/>
        <v/>
      </c>
      <c r="P155" s="44" t="str">
        <f>IF($B155="","",SUMIFS(TK_Xuat!$E$5:$E$1004,TK_Xuat!$D$5:$D$1004,$B155,TK_Xuat!$H$5:$H$1004,1))</f>
        <v/>
      </c>
      <c r="Q155" s="44" t="str">
        <f t="shared" si="14"/>
        <v/>
      </c>
    </row>
    <row r="156" spans="1:17" x14ac:dyDescent="0.25">
      <c r="A156" s="36" t="str">
        <f t="shared" si="10"/>
        <v/>
      </c>
      <c r="B156" s="35" t="str">
        <f>IF(DM_SP!A150="","",DM_SP!A150)</f>
        <v/>
      </c>
      <c r="C156" s="35" t="str">
        <f>IF(B156="","",DM_SP!B150)</f>
        <v/>
      </c>
      <c r="D156" s="35" t="str">
        <f>IF(B156="","",DM_SP!C150)</f>
        <v/>
      </c>
      <c r="E156" s="39" t="str">
        <f>IF($B156="","",SUMIFS(Kho_SP!$B$5:$B$304,Kho_SP!$A$5:$A$304,$B156))</f>
        <v/>
      </c>
      <c r="F156" s="39" t="str">
        <f>IF($B156="","",SUMIFS(Kho_SP!$C$5:$C$304,Kho_SP!$A$5:$A$304,$B156))</f>
        <v/>
      </c>
      <c r="G156" s="39" t="str">
        <f>IF($B156="","",SUMIFS(Kho_SP!$D$5:$D$304,Kho_SP!$A$5:$A$304,$B156))</f>
        <v/>
      </c>
      <c r="H156" s="39" t="str">
        <f>IF($B156="","",SUMIFS(Kho_SP!$E$5:$E$304,Kho_SP!$A$5:$A$304,$B156))</f>
        <v/>
      </c>
      <c r="I156" s="39" t="str">
        <f>IF($B156="","",SUMIFS(Kho_SP!$F$5:$F$304,Kho_SP!$A$5:$A$304,$B156))</f>
        <v/>
      </c>
      <c r="J156" s="39" t="str">
        <f>IF($B156="","",SUMIFS(Kho_SP!$G$5:$G$304,Kho_SP!$A$5:$A$304,$B156))</f>
        <v/>
      </c>
      <c r="K156" s="39" t="str">
        <f t="shared" si="11"/>
        <v/>
      </c>
      <c r="L156" s="31" t="str">
        <f>IF($B156="","",IFERROR(INDEX(Kho_SP!$I$5:$I$304,MATCH(B156,Kho_SP!$A$5:$A$304,0))&amp;"",""))</f>
        <v/>
      </c>
      <c r="M156" s="44" t="str">
        <f>IF($B156="","",SUMIFS(Kho_SP!$H$5:$H$304,Kho_SP!$A$5:$A$304,$B156))</f>
        <v/>
      </c>
      <c r="N156" s="44" t="str">
        <f t="shared" si="12"/>
        <v/>
      </c>
      <c r="O156" s="45" t="str">
        <f t="shared" si="13"/>
        <v/>
      </c>
      <c r="P156" s="44" t="str">
        <f>IF($B156="","",SUMIFS(TK_Xuat!$E$5:$E$1004,TK_Xuat!$D$5:$D$1004,$B156,TK_Xuat!$H$5:$H$1004,1))</f>
        <v/>
      </c>
      <c r="Q156" s="44" t="str">
        <f t="shared" si="14"/>
        <v/>
      </c>
    </row>
    <row r="157" spans="1:17" x14ac:dyDescent="0.25">
      <c r="A157" s="36" t="str">
        <f t="shared" si="10"/>
        <v/>
      </c>
      <c r="B157" s="35" t="str">
        <f>IF(DM_SP!A151="","",DM_SP!A151)</f>
        <v/>
      </c>
      <c r="C157" s="35" t="str">
        <f>IF(B157="","",DM_SP!B151)</f>
        <v/>
      </c>
      <c r="D157" s="35" t="str">
        <f>IF(B157="","",DM_SP!C151)</f>
        <v/>
      </c>
      <c r="E157" s="39" t="str">
        <f>IF($B157="","",SUMIFS(Kho_SP!$B$5:$B$304,Kho_SP!$A$5:$A$304,$B157))</f>
        <v/>
      </c>
      <c r="F157" s="39" t="str">
        <f>IF($B157="","",SUMIFS(Kho_SP!$C$5:$C$304,Kho_SP!$A$5:$A$304,$B157))</f>
        <v/>
      </c>
      <c r="G157" s="39" t="str">
        <f>IF($B157="","",SUMIFS(Kho_SP!$D$5:$D$304,Kho_SP!$A$5:$A$304,$B157))</f>
        <v/>
      </c>
      <c r="H157" s="39" t="str">
        <f>IF($B157="","",SUMIFS(Kho_SP!$E$5:$E$304,Kho_SP!$A$5:$A$304,$B157))</f>
        <v/>
      </c>
      <c r="I157" s="39" t="str">
        <f>IF($B157="","",SUMIFS(Kho_SP!$F$5:$F$304,Kho_SP!$A$5:$A$304,$B157))</f>
        <v/>
      </c>
      <c r="J157" s="39" t="str">
        <f>IF($B157="","",SUMIFS(Kho_SP!$G$5:$G$304,Kho_SP!$A$5:$A$304,$B157))</f>
        <v/>
      </c>
      <c r="K157" s="39" t="str">
        <f t="shared" si="11"/>
        <v/>
      </c>
      <c r="L157" s="31" t="str">
        <f>IF($B157="","",IFERROR(INDEX(Kho_SP!$I$5:$I$304,MATCH(B157,Kho_SP!$A$5:$A$304,0))&amp;"",""))</f>
        <v/>
      </c>
      <c r="M157" s="44" t="str">
        <f>IF($B157="","",SUMIFS(Kho_SP!$H$5:$H$304,Kho_SP!$A$5:$A$304,$B157))</f>
        <v/>
      </c>
      <c r="N157" s="44" t="str">
        <f t="shared" si="12"/>
        <v/>
      </c>
      <c r="O157" s="45" t="str">
        <f t="shared" si="13"/>
        <v/>
      </c>
      <c r="P157" s="44" t="str">
        <f>IF($B157="","",SUMIFS(TK_Xuat!$E$5:$E$1004,TK_Xuat!$D$5:$D$1004,$B157,TK_Xuat!$H$5:$H$1004,1))</f>
        <v/>
      </c>
      <c r="Q157" s="44" t="str">
        <f t="shared" si="14"/>
        <v/>
      </c>
    </row>
    <row r="158" spans="1:17" x14ac:dyDescent="0.25">
      <c r="A158" s="36" t="str">
        <f t="shared" si="10"/>
        <v/>
      </c>
      <c r="B158" s="35" t="str">
        <f>IF(DM_SP!A152="","",DM_SP!A152)</f>
        <v/>
      </c>
      <c r="C158" s="35" t="str">
        <f>IF(B158="","",DM_SP!B152)</f>
        <v/>
      </c>
      <c r="D158" s="35" t="str">
        <f>IF(B158="","",DM_SP!C152)</f>
        <v/>
      </c>
      <c r="E158" s="39" t="str">
        <f>IF($B158="","",SUMIFS(Kho_SP!$B$5:$B$304,Kho_SP!$A$5:$A$304,$B158))</f>
        <v/>
      </c>
      <c r="F158" s="39" t="str">
        <f>IF($B158="","",SUMIFS(Kho_SP!$C$5:$C$304,Kho_SP!$A$5:$A$304,$B158))</f>
        <v/>
      </c>
      <c r="G158" s="39" t="str">
        <f>IF($B158="","",SUMIFS(Kho_SP!$D$5:$D$304,Kho_SP!$A$5:$A$304,$B158))</f>
        <v/>
      </c>
      <c r="H158" s="39" t="str">
        <f>IF($B158="","",SUMIFS(Kho_SP!$E$5:$E$304,Kho_SP!$A$5:$A$304,$B158))</f>
        <v/>
      </c>
      <c r="I158" s="39" t="str">
        <f>IF($B158="","",SUMIFS(Kho_SP!$F$5:$F$304,Kho_SP!$A$5:$A$304,$B158))</f>
        <v/>
      </c>
      <c r="J158" s="39" t="str">
        <f>IF($B158="","",SUMIFS(Kho_SP!$G$5:$G$304,Kho_SP!$A$5:$A$304,$B158))</f>
        <v/>
      </c>
      <c r="K158" s="39" t="str">
        <f t="shared" si="11"/>
        <v/>
      </c>
      <c r="L158" s="31" t="str">
        <f>IF($B158="","",IFERROR(INDEX(Kho_SP!$I$5:$I$304,MATCH(B158,Kho_SP!$A$5:$A$304,0))&amp;"",""))</f>
        <v/>
      </c>
      <c r="M158" s="44" t="str">
        <f>IF($B158="","",SUMIFS(Kho_SP!$H$5:$H$304,Kho_SP!$A$5:$A$304,$B158))</f>
        <v/>
      </c>
      <c r="N158" s="44" t="str">
        <f t="shared" si="12"/>
        <v/>
      </c>
      <c r="O158" s="45" t="str">
        <f t="shared" si="13"/>
        <v/>
      </c>
      <c r="P158" s="44" t="str">
        <f>IF($B158="","",SUMIFS(TK_Xuat!$E$5:$E$1004,TK_Xuat!$D$5:$D$1004,$B158,TK_Xuat!$H$5:$H$1004,1))</f>
        <v/>
      </c>
      <c r="Q158" s="44" t="str">
        <f t="shared" si="14"/>
        <v/>
      </c>
    </row>
    <row r="159" spans="1:17" x14ac:dyDescent="0.25">
      <c r="A159" s="36" t="str">
        <f t="shared" si="10"/>
        <v/>
      </c>
      <c r="B159" s="35" t="str">
        <f>IF(DM_SP!A153="","",DM_SP!A153)</f>
        <v/>
      </c>
      <c r="C159" s="35" t="str">
        <f>IF(B159="","",DM_SP!B153)</f>
        <v/>
      </c>
      <c r="D159" s="35" t="str">
        <f>IF(B159="","",DM_SP!C153)</f>
        <v/>
      </c>
      <c r="E159" s="39" t="str">
        <f>IF($B159="","",SUMIFS(Kho_SP!$B$5:$B$304,Kho_SP!$A$5:$A$304,$B159))</f>
        <v/>
      </c>
      <c r="F159" s="39" t="str">
        <f>IF($B159="","",SUMIFS(Kho_SP!$C$5:$C$304,Kho_SP!$A$5:$A$304,$B159))</f>
        <v/>
      </c>
      <c r="G159" s="39" t="str">
        <f>IF($B159="","",SUMIFS(Kho_SP!$D$5:$D$304,Kho_SP!$A$5:$A$304,$B159))</f>
        <v/>
      </c>
      <c r="H159" s="39" t="str">
        <f>IF($B159="","",SUMIFS(Kho_SP!$E$5:$E$304,Kho_SP!$A$5:$A$304,$B159))</f>
        <v/>
      </c>
      <c r="I159" s="39" t="str">
        <f>IF($B159="","",SUMIFS(Kho_SP!$F$5:$F$304,Kho_SP!$A$5:$A$304,$B159))</f>
        <v/>
      </c>
      <c r="J159" s="39" t="str">
        <f>IF($B159="","",SUMIFS(Kho_SP!$G$5:$G$304,Kho_SP!$A$5:$A$304,$B159))</f>
        <v/>
      </c>
      <c r="K159" s="39" t="str">
        <f t="shared" si="11"/>
        <v/>
      </c>
      <c r="L159" s="31" t="str">
        <f>IF($B159="","",IFERROR(INDEX(Kho_SP!$I$5:$I$304,MATCH(B159,Kho_SP!$A$5:$A$304,0))&amp;"",""))</f>
        <v/>
      </c>
      <c r="M159" s="44" t="str">
        <f>IF($B159="","",SUMIFS(Kho_SP!$H$5:$H$304,Kho_SP!$A$5:$A$304,$B159))</f>
        <v/>
      </c>
      <c r="N159" s="44" t="str">
        <f t="shared" si="12"/>
        <v/>
      </c>
      <c r="O159" s="45" t="str">
        <f t="shared" si="13"/>
        <v/>
      </c>
      <c r="P159" s="44" t="str">
        <f>IF($B159="","",SUMIFS(TK_Xuat!$E$5:$E$1004,TK_Xuat!$D$5:$D$1004,$B159,TK_Xuat!$H$5:$H$1004,1))</f>
        <v/>
      </c>
      <c r="Q159" s="44" t="str">
        <f t="shared" si="14"/>
        <v/>
      </c>
    </row>
    <row r="160" spans="1:17" x14ac:dyDescent="0.25">
      <c r="A160" s="36" t="str">
        <f t="shared" si="10"/>
        <v/>
      </c>
      <c r="B160" s="35" t="str">
        <f>IF(DM_SP!A154="","",DM_SP!A154)</f>
        <v/>
      </c>
      <c r="C160" s="35" t="str">
        <f>IF(B160="","",DM_SP!B154)</f>
        <v/>
      </c>
      <c r="D160" s="35" t="str">
        <f>IF(B160="","",DM_SP!C154)</f>
        <v/>
      </c>
      <c r="E160" s="39" t="str">
        <f>IF($B160="","",SUMIFS(Kho_SP!$B$5:$B$304,Kho_SP!$A$5:$A$304,$B160))</f>
        <v/>
      </c>
      <c r="F160" s="39" t="str">
        <f>IF($B160="","",SUMIFS(Kho_SP!$C$5:$C$304,Kho_SP!$A$5:$A$304,$B160))</f>
        <v/>
      </c>
      <c r="G160" s="39" t="str">
        <f>IF($B160="","",SUMIFS(Kho_SP!$D$5:$D$304,Kho_SP!$A$5:$A$304,$B160))</f>
        <v/>
      </c>
      <c r="H160" s="39" t="str">
        <f>IF($B160="","",SUMIFS(Kho_SP!$E$5:$E$304,Kho_SP!$A$5:$A$304,$B160))</f>
        <v/>
      </c>
      <c r="I160" s="39" t="str">
        <f>IF($B160="","",SUMIFS(Kho_SP!$F$5:$F$304,Kho_SP!$A$5:$A$304,$B160))</f>
        <v/>
      </c>
      <c r="J160" s="39" t="str">
        <f>IF($B160="","",SUMIFS(Kho_SP!$G$5:$G$304,Kho_SP!$A$5:$A$304,$B160))</f>
        <v/>
      </c>
      <c r="K160" s="39" t="str">
        <f t="shared" si="11"/>
        <v/>
      </c>
      <c r="L160" s="31" t="str">
        <f>IF($B160="","",IFERROR(INDEX(Kho_SP!$I$5:$I$304,MATCH(B160,Kho_SP!$A$5:$A$304,0))&amp;"",""))</f>
        <v/>
      </c>
      <c r="M160" s="44" t="str">
        <f>IF($B160="","",SUMIFS(Kho_SP!$H$5:$H$304,Kho_SP!$A$5:$A$304,$B160))</f>
        <v/>
      </c>
      <c r="N160" s="44" t="str">
        <f t="shared" si="12"/>
        <v/>
      </c>
      <c r="O160" s="45" t="str">
        <f t="shared" si="13"/>
        <v/>
      </c>
      <c r="P160" s="44" t="str">
        <f>IF($B160="","",SUMIFS(TK_Xuat!$E$5:$E$1004,TK_Xuat!$D$5:$D$1004,$B160,TK_Xuat!$H$5:$H$1004,1))</f>
        <v/>
      </c>
      <c r="Q160" s="44" t="str">
        <f t="shared" si="14"/>
        <v/>
      </c>
    </row>
    <row r="161" spans="1:17" x14ac:dyDescent="0.25">
      <c r="A161" s="36" t="str">
        <f t="shared" si="10"/>
        <v/>
      </c>
      <c r="B161" s="35" t="str">
        <f>IF(DM_SP!A155="","",DM_SP!A155)</f>
        <v/>
      </c>
      <c r="C161" s="35" t="str">
        <f>IF(B161="","",DM_SP!B155)</f>
        <v/>
      </c>
      <c r="D161" s="35" t="str">
        <f>IF(B161="","",DM_SP!C155)</f>
        <v/>
      </c>
      <c r="E161" s="39" t="str">
        <f>IF($B161="","",SUMIFS(Kho_SP!$B$5:$B$304,Kho_SP!$A$5:$A$304,$B161))</f>
        <v/>
      </c>
      <c r="F161" s="39" t="str">
        <f>IF($B161="","",SUMIFS(Kho_SP!$C$5:$C$304,Kho_SP!$A$5:$A$304,$B161))</f>
        <v/>
      </c>
      <c r="G161" s="39" t="str">
        <f>IF($B161="","",SUMIFS(Kho_SP!$D$5:$D$304,Kho_SP!$A$5:$A$304,$B161))</f>
        <v/>
      </c>
      <c r="H161" s="39" t="str">
        <f>IF($B161="","",SUMIFS(Kho_SP!$E$5:$E$304,Kho_SP!$A$5:$A$304,$B161))</f>
        <v/>
      </c>
      <c r="I161" s="39" t="str">
        <f>IF($B161="","",SUMIFS(Kho_SP!$F$5:$F$304,Kho_SP!$A$5:$A$304,$B161))</f>
        <v/>
      </c>
      <c r="J161" s="39" t="str">
        <f>IF($B161="","",SUMIFS(Kho_SP!$G$5:$G$304,Kho_SP!$A$5:$A$304,$B161))</f>
        <v/>
      </c>
      <c r="K161" s="39" t="str">
        <f t="shared" si="11"/>
        <v/>
      </c>
      <c r="L161" s="31" t="str">
        <f>IF($B161="","",IFERROR(INDEX(Kho_SP!$I$5:$I$304,MATCH(B161,Kho_SP!$A$5:$A$304,0))&amp;"",""))</f>
        <v/>
      </c>
      <c r="M161" s="44" t="str">
        <f>IF($B161="","",SUMIFS(Kho_SP!$H$5:$H$304,Kho_SP!$A$5:$A$304,$B161))</f>
        <v/>
      </c>
      <c r="N161" s="44" t="str">
        <f t="shared" si="12"/>
        <v/>
      </c>
      <c r="O161" s="45" t="str">
        <f t="shared" si="13"/>
        <v/>
      </c>
      <c r="P161" s="44" t="str">
        <f>IF($B161="","",SUMIFS(TK_Xuat!$E$5:$E$1004,TK_Xuat!$D$5:$D$1004,$B161,TK_Xuat!$H$5:$H$1004,1))</f>
        <v/>
      </c>
      <c r="Q161" s="44" t="str">
        <f t="shared" si="14"/>
        <v/>
      </c>
    </row>
    <row r="162" spans="1:17" x14ac:dyDescent="0.25">
      <c r="A162" s="36" t="str">
        <f t="shared" si="10"/>
        <v/>
      </c>
      <c r="B162" s="35" t="str">
        <f>IF(DM_SP!A156="","",DM_SP!A156)</f>
        <v/>
      </c>
      <c r="C162" s="35" t="str">
        <f>IF(B162="","",DM_SP!B156)</f>
        <v/>
      </c>
      <c r="D162" s="35" t="str">
        <f>IF(B162="","",DM_SP!C156)</f>
        <v/>
      </c>
      <c r="E162" s="39" t="str">
        <f>IF($B162="","",SUMIFS(Kho_SP!$B$5:$B$304,Kho_SP!$A$5:$A$304,$B162))</f>
        <v/>
      </c>
      <c r="F162" s="39" t="str">
        <f>IF($B162="","",SUMIFS(Kho_SP!$C$5:$C$304,Kho_SP!$A$5:$A$304,$B162))</f>
        <v/>
      </c>
      <c r="G162" s="39" t="str">
        <f>IF($B162="","",SUMIFS(Kho_SP!$D$5:$D$304,Kho_SP!$A$5:$A$304,$B162))</f>
        <v/>
      </c>
      <c r="H162" s="39" t="str">
        <f>IF($B162="","",SUMIFS(Kho_SP!$E$5:$E$304,Kho_SP!$A$5:$A$304,$B162))</f>
        <v/>
      </c>
      <c r="I162" s="39" t="str">
        <f>IF($B162="","",SUMIFS(Kho_SP!$F$5:$F$304,Kho_SP!$A$5:$A$304,$B162))</f>
        <v/>
      </c>
      <c r="J162" s="39" t="str">
        <f>IF($B162="","",SUMIFS(Kho_SP!$G$5:$G$304,Kho_SP!$A$5:$A$304,$B162))</f>
        <v/>
      </c>
      <c r="K162" s="39" t="str">
        <f t="shared" si="11"/>
        <v/>
      </c>
      <c r="L162" s="31" t="str">
        <f>IF($B162="","",IFERROR(INDEX(Kho_SP!$I$5:$I$304,MATCH(B162,Kho_SP!$A$5:$A$304,0))&amp;"",""))</f>
        <v/>
      </c>
      <c r="M162" s="44" t="str">
        <f>IF($B162="","",SUMIFS(Kho_SP!$H$5:$H$304,Kho_SP!$A$5:$A$304,$B162))</f>
        <v/>
      </c>
      <c r="N162" s="44" t="str">
        <f t="shared" si="12"/>
        <v/>
      </c>
      <c r="O162" s="45" t="str">
        <f t="shared" si="13"/>
        <v/>
      </c>
      <c r="P162" s="44" t="str">
        <f>IF($B162="","",SUMIFS(TK_Xuat!$E$5:$E$1004,TK_Xuat!$D$5:$D$1004,$B162,TK_Xuat!$H$5:$H$1004,1))</f>
        <v/>
      </c>
      <c r="Q162" s="44" t="str">
        <f t="shared" si="14"/>
        <v/>
      </c>
    </row>
    <row r="163" spans="1:17" x14ac:dyDescent="0.25">
      <c r="A163" s="36" t="str">
        <f t="shared" si="10"/>
        <v/>
      </c>
      <c r="B163" s="35" t="str">
        <f>IF(DM_SP!A157="","",DM_SP!A157)</f>
        <v/>
      </c>
      <c r="C163" s="35" t="str">
        <f>IF(B163="","",DM_SP!B157)</f>
        <v/>
      </c>
      <c r="D163" s="35" t="str">
        <f>IF(B163="","",DM_SP!C157)</f>
        <v/>
      </c>
      <c r="E163" s="39" t="str">
        <f>IF($B163="","",SUMIFS(Kho_SP!$B$5:$B$304,Kho_SP!$A$5:$A$304,$B163))</f>
        <v/>
      </c>
      <c r="F163" s="39" t="str">
        <f>IF($B163="","",SUMIFS(Kho_SP!$C$5:$C$304,Kho_SP!$A$5:$A$304,$B163))</f>
        <v/>
      </c>
      <c r="G163" s="39" t="str">
        <f>IF($B163="","",SUMIFS(Kho_SP!$D$5:$D$304,Kho_SP!$A$5:$A$304,$B163))</f>
        <v/>
      </c>
      <c r="H163" s="39" t="str">
        <f>IF($B163="","",SUMIFS(Kho_SP!$E$5:$E$304,Kho_SP!$A$5:$A$304,$B163))</f>
        <v/>
      </c>
      <c r="I163" s="39" t="str">
        <f>IF($B163="","",SUMIFS(Kho_SP!$F$5:$F$304,Kho_SP!$A$5:$A$304,$B163))</f>
        <v/>
      </c>
      <c r="J163" s="39" t="str">
        <f>IF($B163="","",SUMIFS(Kho_SP!$G$5:$G$304,Kho_SP!$A$5:$A$304,$B163))</f>
        <v/>
      </c>
      <c r="K163" s="39" t="str">
        <f t="shared" si="11"/>
        <v/>
      </c>
      <c r="L163" s="31" t="str">
        <f>IF($B163="","",IFERROR(INDEX(Kho_SP!$I$5:$I$304,MATCH(B163,Kho_SP!$A$5:$A$304,0))&amp;"",""))</f>
        <v/>
      </c>
      <c r="M163" s="44" t="str">
        <f>IF($B163="","",SUMIFS(Kho_SP!$H$5:$H$304,Kho_SP!$A$5:$A$304,$B163))</f>
        <v/>
      </c>
      <c r="N163" s="44" t="str">
        <f t="shared" si="12"/>
        <v/>
      </c>
      <c r="O163" s="45" t="str">
        <f t="shared" si="13"/>
        <v/>
      </c>
      <c r="P163" s="44" t="str">
        <f>IF($B163="","",SUMIFS(TK_Xuat!$E$5:$E$1004,TK_Xuat!$D$5:$D$1004,$B163,TK_Xuat!$H$5:$H$1004,1))</f>
        <v/>
      </c>
      <c r="Q163" s="44" t="str">
        <f t="shared" si="14"/>
        <v/>
      </c>
    </row>
    <row r="164" spans="1:17" x14ac:dyDescent="0.25">
      <c r="A164" s="36" t="str">
        <f t="shared" si="10"/>
        <v/>
      </c>
      <c r="B164" s="35" t="str">
        <f>IF(DM_SP!A158="","",DM_SP!A158)</f>
        <v/>
      </c>
      <c r="C164" s="35" t="str">
        <f>IF(B164="","",DM_SP!B158)</f>
        <v/>
      </c>
      <c r="D164" s="35" t="str">
        <f>IF(B164="","",DM_SP!C158)</f>
        <v/>
      </c>
      <c r="E164" s="39" t="str">
        <f>IF($B164="","",SUMIFS(Kho_SP!$B$5:$B$304,Kho_SP!$A$5:$A$304,$B164))</f>
        <v/>
      </c>
      <c r="F164" s="39" t="str">
        <f>IF($B164="","",SUMIFS(Kho_SP!$C$5:$C$304,Kho_SP!$A$5:$A$304,$B164))</f>
        <v/>
      </c>
      <c r="G164" s="39" t="str">
        <f>IF($B164="","",SUMIFS(Kho_SP!$D$5:$D$304,Kho_SP!$A$5:$A$304,$B164))</f>
        <v/>
      </c>
      <c r="H164" s="39" t="str">
        <f>IF($B164="","",SUMIFS(Kho_SP!$E$5:$E$304,Kho_SP!$A$5:$A$304,$B164))</f>
        <v/>
      </c>
      <c r="I164" s="39" t="str">
        <f>IF($B164="","",SUMIFS(Kho_SP!$F$5:$F$304,Kho_SP!$A$5:$A$304,$B164))</f>
        <v/>
      </c>
      <c r="J164" s="39" t="str">
        <f>IF($B164="","",SUMIFS(Kho_SP!$G$5:$G$304,Kho_SP!$A$5:$A$304,$B164))</f>
        <v/>
      </c>
      <c r="K164" s="39" t="str">
        <f t="shared" si="11"/>
        <v/>
      </c>
      <c r="L164" s="31" t="str">
        <f>IF($B164="","",IFERROR(INDEX(Kho_SP!$I$5:$I$304,MATCH(B164,Kho_SP!$A$5:$A$304,0))&amp;"",""))</f>
        <v/>
      </c>
      <c r="M164" s="44" t="str">
        <f>IF($B164="","",SUMIFS(Kho_SP!$H$5:$H$304,Kho_SP!$A$5:$A$304,$B164))</f>
        <v/>
      </c>
      <c r="N164" s="44" t="str">
        <f t="shared" si="12"/>
        <v/>
      </c>
      <c r="O164" s="45" t="str">
        <f t="shared" si="13"/>
        <v/>
      </c>
      <c r="P164" s="44" t="str">
        <f>IF($B164="","",SUMIFS(TK_Xuat!$E$5:$E$1004,TK_Xuat!$D$5:$D$1004,$B164,TK_Xuat!$H$5:$H$1004,1))</f>
        <v/>
      </c>
      <c r="Q164" s="44" t="str">
        <f t="shared" si="14"/>
        <v/>
      </c>
    </row>
    <row r="165" spans="1:17" x14ac:dyDescent="0.25">
      <c r="A165" s="36" t="str">
        <f t="shared" si="10"/>
        <v/>
      </c>
      <c r="B165" s="35" t="str">
        <f>IF(DM_SP!A159="","",DM_SP!A159)</f>
        <v/>
      </c>
      <c r="C165" s="35" t="str">
        <f>IF(B165="","",DM_SP!B159)</f>
        <v/>
      </c>
      <c r="D165" s="35" t="str">
        <f>IF(B165="","",DM_SP!C159)</f>
        <v/>
      </c>
      <c r="E165" s="39" t="str">
        <f>IF($B165="","",SUMIFS(Kho_SP!$B$5:$B$304,Kho_SP!$A$5:$A$304,$B165))</f>
        <v/>
      </c>
      <c r="F165" s="39" t="str">
        <f>IF($B165="","",SUMIFS(Kho_SP!$C$5:$C$304,Kho_SP!$A$5:$A$304,$B165))</f>
        <v/>
      </c>
      <c r="G165" s="39" t="str">
        <f>IF($B165="","",SUMIFS(Kho_SP!$D$5:$D$304,Kho_SP!$A$5:$A$304,$B165))</f>
        <v/>
      </c>
      <c r="H165" s="39" t="str">
        <f>IF($B165="","",SUMIFS(Kho_SP!$E$5:$E$304,Kho_SP!$A$5:$A$304,$B165))</f>
        <v/>
      </c>
      <c r="I165" s="39" t="str">
        <f>IF($B165="","",SUMIFS(Kho_SP!$F$5:$F$304,Kho_SP!$A$5:$A$304,$B165))</f>
        <v/>
      </c>
      <c r="J165" s="39" t="str">
        <f>IF($B165="","",SUMIFS(Kho_SP!$G$5:$G$304,Kho_SP!$A$5:$A$304,$B165))</f>
        <v/>
      </c>
      <c r="K165" s="39" t="str">
        <f t="shared" si="11"/>
        <v/>
      </c>
      <c r="L165" s="31" t="str">
        <f>IF($B165="","",IFERROR(INDEX(Kho_SP!$I$5:$I$304,MATCH(B165,Kho_SP!$A$5:$A$304,0))&amp;"",""))</f>
        <v/>
      </c>
      <c r="M165" s="44" t="str">
        <f>IF($B165="","",SUMIFS(Kho_SP!$H$5:$H$304,Kho_SP!$A$5:$A$304,$B165))</f>
        <v/>
      </c>
      <c r="N165" s="44" t="str">
        <f t="shared" si="12"/>
        <v/>
      </c>
      <c r="O165" s="45" t="str">
        <f t="shared" si="13"/>
        <v/>
      </c>
      <c r="P165" s="44" t="str">
        <f>IF($B165="","",SUMIFS(TK_Xuat!$E$5:$E$1004,TK_Xuat!$D$5:$D$1004,$B165,TK_Xuat!$H$5:$H$1004,1))</f>
        <v/>
      </c>
      <c r="Q165" s="44" t="str">
        <f t="shared" si="14"/>
        <v/>
      </c>
    </row>
    <row r="166" spans="1:17" x14ac:dyDescent="0.25">
      <c r="A166" s="36" t="str">
        <f t="shared" si="10"/>
        <v/>
      </c>
      <c r="B166" s="35" t="str">
        <f>IF(DM_SP!A160="","",DM_SP!A160)</f>
        <v/>
      </c>
      <c r="C166" s="35" t="str">
        <f>IF(B166="","",DM_SP!B160)</f>
        <v/>
      </c>
      <c r="D166" s="35" t="str">
        <f>IF(B166="","",DM_SP!C160)</f>
        <v/>
      </c>
      <c r="E166" s="39" t="str">
        <f>IF($B166="","",SUMIFS(Kho_SP!$B$5:$B$304,Kho_SP!$A$5:$A$304,$B166))</f>
        <v/>
      </c>
      <c r="F166" s="39" t="str">
        <f>IF($B166="","",SUMIFS(Kho_SP!$C$5:$C$304,Kho_SP!$A$5:$A$304,$B166))</f>
        <v/>
      </c>
      <c r="G166" s="39" t="str">
        <f>IF($B166="","",SUMIFS(Kho_SP!$D$5:$D$304,Kho_SP!$A$5:$A$304,$B166))</f>
        <v/>
      </c>
      <c r="H166" s="39" t="str">
        <f>IF($B166="","",SUMIFS(Kho_SP!$E$5:$E$304,Kho_SP!$A$5:$A$304,$B166))</f>
        <v/>
      </c>
      <c r="I166" s="39" t="str">
        <f>IF($B166="","",SUMIFS(Kho_SP!$F$5:$F$304,Kho_SP!$A$5:$A$304,$B166))</f>
        <v/>
      </c>
      <c r="J166" s="39" t="str">
        <f>IF($B166="","",SUMIFS(Kho_SP!$G$5:$G$304,Kho_SP!$A$5:$A$304,$B166))</f>
        <v/>
      </c>
      <c r="K166" s="39" t="str">
        <f t="shared" si="11"/>
        <v/>
      </c>
      <c r="L166" s="31" t="str">
        <f>IF($B166="","",IFERROR(INDEX(Kho_SP!$I$5:$I$304,MATCH(B166,Kho_SP!$A$5:$A$304,0))&amp;"",""))</f>
        <v/>
      </c>
      <c r="M166" s="44" t="str">
        <f>IF($B166="","",SUMIFS(Kho_SP!$H$5:$H$304,Kho_SP!$A$5:$A$304,$B166))</f>
        <v/>
      </c>
      <c r="N166" s="44" t="str">
        <f t="shared" si="12"/>
        <v/>
      </c>
      <c r="O166" s="45" t="str">
        <f t="shared" si="13"/>
        <v/>
      </c>
      <c r="P166" s="44" t="str">
        <f>IF($B166="","",SUMIFS(TK_Xuat!$E$5:$E$1004,TK_Xuat!$D$5:$D$1004,$B166,TK_Xuat!$H$5:$H$1004,1))</f>
        <v/>
      </c>
      <c r="Q166" s="44" t="str">
        <f t="shared" si="14"/>
        <v/>
      </c>
    </row>
    <row r="167" spans="1:17" x14ac:dyDescent="0.25">
      <c r="A167" s="36" t="str">
        <f t="shared" si="10"/>
        <v/>
      </c>
      <c r="B167" s="35" t="str">
        <f>IF(DM_SP!A161="","",DM_SP!A161)</f>
        <v/>
      </c>
      <c r="C167" s="35" t="str">
        <f>IF(B167="","",DM_SP!B161)</f>
        <v/>
      </c>
      <c r="D167" s="35" t="str">
        <f>IF(B167="","",DM_SP!C161)</f>
        <v/>
      </c>
      <c r="E167" s="39" t="str">
        <f>IF($B167="","",SUMIFS(Kho_SP!$B$5:$B$304,Kho_SP!$A$5:$A$304,$B167))</f>
        <v/>
      </c>
      <c r="F167" s="39" t="str">
        <f>IF($B167="","",SUMIFS(Kho_SP!$C$5:$C$304,Kho_SP!$A$5:$A$304,$B167))</f>
        <v/>
      </c>
      <c r="G167" s="39" t="str">
        <f>IF($B167="","",SUMIFS(Kho_SP!$D$5:$D$304,Kho_SP!$A$5:$A$304,$B167))</f>
        <v/>
      </c>
      <c r="H167" s="39" t="str">
        <f>IF($B167="","",SUMIFS(Kho_SP!$E$5:$E$304,Kho_SP!$A$5:$A$304,$B167))</f>
        <v/>
      </c>
      <c r="I167" s="39" t="str">
        <f>IF($B167="","",SUMIFS(Kho_SP!$F$5:$F$304,Kho_SP!$A$5:$A$304,$B167))</f>
        <v/>
      </c>
      <c r="J167" s="39" t="str">
        <f>IF($B167="","",SUMIFS(Kho_SP!$G$5:$G$304,Kho_SP!$A$5:$A$304,$B167))</f>
        <v/>
      </c>
      <c r="K167" s="39" t="str">
        <f t="shared" si="11"/>
        <v/>
      </c>
      <c r="L167" s="31" t="str">
        <f>IF($B167="","",IFERROR(INDEX(Kho_SP!$I$5:$I$304,MATCH(B167,Kho_SP!$A$5:$A$304,0))&amp;"",""))</f>
        <v/>
      </c>
      <c r="M167" s="44" t="str">
        <f>IF($B167="","",SUMIFS(Kho_SP!$H$5:$H$304,Kho_SP!$A$5:$A$304,$B167))</f>
        <v/>
      </c>
      <c r="N167" s="44" t="str">
        <f t="shared" si="12"/>
        <v/>
      </c>
      <c r="O167" s="45" t="str">
        <f t="shared" si="13"/>
        <v/>
      </c>
      <c r="P167" s="44" t="str">
        <f>IF($B167="","",SUMIFS(TK_Xuat!$E$5:$E$1004,TK_Xuat!$D$5:$D$1004,$B167,TK_Xuat!$H$5:$H$1004,1))</f>
        <v/>
      </c>
      <c r="Q167" s="44" t="str">
        <f t="shared" si="14"/>
        <v/>
      </c>
    </row>
    <row r="168" spans="1:17" x14ac:dyDescent="0.25">
      <c r="A168" s="36" t="str">
        <f t="shared" si="10"/>
        <v/>
      </c>
      <c r="B168" s="35" t="str">
        <f>IF(DM_SP!A162="","",DM_SP!A162)</f>
        <v/>
      </c>
      <c r="C168" s="35" t="str">
        <f>IF(B168="","",DM_SP!B162)</f>
        <v/>
      </c>
      <c r="D168" s="35" t="str">
        <f>IF(B168="","",DM_SP!C162)</f>
        <v/>
      </c>
      <c r="E168" s="39" t="str">
        <f>IF($B168="","",SUMIFS(Kho_SP!$B$5:$B$304,Kho_SP!$A$5:$A$304,$B168))</f>
        <v/>
      </c>
      <c r="F168" s="39" t="str">
        <f>IF($B168="","",SUMIFS(Kho_SP!$C$5:$C$304,Kho_SP!$A$5:$A$304,$B168))</f>
        <v/>
      </c>
      <c r="G168" s="39" t="str">
        <f>IF($B168="","",SUMIFS(Kho_SP!$D$5:$D$304,Kho_SP!$A$5:$A$304,$B168))</f>
        <v/>
      </c>
      <c r="H168" s="39" t="str">
        <f>IF($B168="","",SUMIFS(Kho_SP!$E$5:$E$304,Kho_SP!$A$5:$A$304,$B168))</f>
        <v/>
      </c>
      <c r="I168" s="39" t="str">
        <f>IF($B168="","",SUMIFS(Kho_SP!$F$5:$F$304,Kho_SP!$A$5:$A$304,$B168))</f>
        <v/>
      </c>
      <c r="J168" s="39" t="str">
        <f>IF($B168="","",SUMIFS(Kho_SP!$G$5:$G$304,Kho_SP!$A$5:$A$304,$B168))</f>
        <v/>
      </c>
      <c r="K168" s="39" t="str">
        <f t="shared" si="11"/>
        <v/>
      </c>
      <c r="L168" s="31" t="str">
        <f>IF($B168="","",IFERROR(INDEX(Kho_SP!$I$5:$I$304,MATCH(B168,Kho_SP!$A$5:$A$304,0))&amp;"",""))</f>
        <v/>
      </c>
      <c r="M168" s="44" t="str">
        <f>IF($B168="","",SUMIFS(Kho_SP!$H$5:$H$304,Kho_SP!$A$5:$A$304,$B168))</f>
        <v/>
      </c>
      <c r="N168" s="44" t="str">
        <f t="shared" si="12"/>
        <v/>
      </c>
      <c r="O168" s="45" t="str">
        <f t="shared" si="13"/>
        <v/>
      </c>
      <c r="P168" s="44" t="str">
        <f>IF($B168="","",SUMIFS(TK_Xuat!$E$5:$E$1004,TK_Xuat!$D$5:$D$1004,$B168,TK_Xuat!$H$5:$H$1004,1))</f>
        <v/>
      </c>
      <c r="Q168" s="44" t="str">
        <f t="shared" si="14"/>
        <v/>
      </c>
    </row>
    <row r="169" spans="1:17" x14ac:dyDescent="0.25">
      <c r="A169" s="36" t="str">
        <f t="shared" si="10"/>
        <v/>
      </c>
      <c r="B169" s="35" t="str">
        <f>IF(DM_SP!A163="","",DM_SP!A163)</f>
        <v/>
      </c>
      <c r="C169" s="35" t="str">
        <f>IF(B169="","",DM_SP!B163)</f>
        <v/>
      </c>
      <c r="D169" s="35" t="str">
        <f>IF(B169="","",DM_SP!C163)</f>
        <v/>
      </c>
      <c r="E169" s="39" t="str">
        <f>IF($B169="","",SUMIFS(Kho_SP!$B$5:$B$304,Kho_SP!$A$5:$A$304,$B169))</f>
        <v/>
      </c>
      <c r="F169" s="39" t="str">
        <f>IF($B169="","",SUMIFS(Kho_SP!$C$5:$C$304,Kho_SP!$A$5:$A$304,$B169))</f>
        <v/>
      </c>
      <c r="G169" s="39" t="str">
        <f>IF($B169="","",SUMIFS(Kho_SP!$D$5:$D$304,Kho_SP!$A$5:$A$304,$B169))</f>
        <v/>
      </c>
      <c r="H169" s="39" t="str">
        <f>IF($B169="","",SUMIFS(Kho_SP!$E$5:$E$304,Kho_SP!$A$5:$A$304,$B169))</f>
        <v/>
      </c>
      <c r="I169" s="39" t="str">
        <f>IF($B169="","",SUMIFS(Kho_SP!$F$5:$F$304,Kho_SP!$A$5:$A$304,$B169))</f>
        <v/>
      </c>
      <c r="J169" s="39" t="str">
        <f>IF($B169="","",SUMIFS(Kho_SP!$G$5:$G$304,Kho_SP!$A$5:$A$304,$B169))</f>
        <v/>
      </c>
      <c r="K169" s="39" t="str">
        <f t="shared" si="11"/>
        <v/>
      </c>
      <c r="L169" s="31" t="str">
        <f>IF($B169="","",IFERROR(INDEX(Kho_SP!$I$5:$I$304,MATCH(B169,Kho_SP!$A$5:$A$304,0))&amp;"",""))</f>
        <v/>
      </c>
      <c r="M169" s="44" t="str">
        <f>IF($B169="","",SUMIFS(Kho_SP!$H$5:$H$304,Kho_SP!$A$5:$A$304,$B169))</f>
        <v/>
      </c>
      <c r="N169" s="44" t="str">
        <f t="shared" si="12"/>
        <v/>
      </c>
      <c r="O169" s="45" t="str">
        <f t="shared" si="13"/>
        <v/>
      </c>
      <c r="P169" s="44" t="str">
        <f>IF($B169="","",SUMIFS(TK_Xuat!$E$5:$E$1004,TK_Xuat!$D$5:$D$1004,$B169,TK_Xuat!$H$5:$H$1004,1))</f>
        <v/>
      </c>
      <c r="Q169" s="44" t="str">
        <f t="shared" si="14"/>
        <v/>
      </c>
    </row>
    <row r="170" spans="1:17" x14ac:dyDescent="0.25">
      <c r="A170" s="36" t="str">
        <f t="shared" si="10"/>
        <v/>
      </c>
      <c r="B170" s="35" t="str">
        <f>IF(DM_SP!A164="","",DM_SP!A164)</f>
        <v/>
      </c>
      <c r="C170" s="35" t="str">
        <f>IF(B170="","",DM_SP!B164)</f>
        <v/>
      </c>
      <c r="D170" s="35" t="str">
        <f>IF(B170="","",DM_SP!C164)</f>
        <v/>
      </c>
      <c r="E170" s="39" t="str">
        <f>IF($B170="","",SUMIFS(Kho_SP!$B$5:$B$304,Kho_SP!$A$5:$A$304,$B170))</f>
        <v/>
      </c>
      <c r="F170" s="39" t="str">
        <f>IF($B170="","",SUMIFS(Kho_SP!$C$5:$C$304,Kho_SP!$A$5:$A$304,$B170))</f>
        <v/>
      </c>
      <c r="G170" s="39" t="str">
        <f>IF($B170="","",SUMIFS(Kho_SP!$D$5:$D$304,Kho_SP!$A$5:$A$304,$B170))</f>
        <v/>
      </c>
      <c r="H170" s="39" t="str">
        <f>IF($B170="","",SUMIFS(Kho_SP!$E$5:$E$304,Kho_SP!$A$5:$A$304,$B170))</f>
        <v/>
      </c>
      <c r="I170" s="39" t="str">
        <f>IF($B170="","",SUMIFS(Kho_SP!$F$5:$F$304,Kho_SP!$A$5:$A$304,$B170))</f>
        <v/>
      </c>
      <c r="J170" s="39" t="str">
        <f>IF($B170="","",SUMIFS(Kho_SP!$G$5:$G$304,Kho_SP!$A$5:$A$304,$B170))</f>
        <v/>
      </c>
      <c r="K170" s="39" t="str">
        <f t="shared" si="11"/>
        <v/>
      </c>
      <c r="L170" s="31" t="str">
        <f>IF($B170="","",IFERROR(INDEX(Kho_SP!$I$5:$I$304,MATCH(B170,Kho_SP!$A$5:$A$304,0))&amp;"",""))</f>
        <v/>
      </c>
      <c r="M170" s="44" t="str">
        <f>IF($B170="","",SUMIFS(Kho_SP!$H$5:$H$304,Kho_SP!$A$5:$A$304,$B170))</f>
        <v/>
      </c>
      <c r="N170" s="44" t="str">
        <f t="shared" si="12"/>
        <v/>
      </c>
      <c r="O170" s="45" t="str">
        <f t="shared" si="13"/>
        <v/>
      </c>
      <c r="P170" s="44" t="str">
        <f>IF($B170="","",SUMIFS(TK_Xuat!$E$5:$E$1004,TK_Xuat!$D$5:$D$1004,$B170,TK_Xuat!$H$5:$H$1004,1))</f>
        <v/>
      </c>
      <c r="Q170" s="44" t="str">
        <f t="shared" si="14"/>
        <v/>
      </c>
    </row>
    <row r="171" spans="1:17" x14ac:dyDescent="0.25">
      <c r="A171" s="36" t="str">
        <f t="shared" si="10"/>
        <v/>
      </c>
      <c r="B171" s="35" t="str">
        <f>IF(DM_SP!A165="","",DM_SP!A165)</f>
        <v/>
      </c>
      <c r="C171" s="35" t="str">
        <f>IF(B171="","",DM_SP!B165)</f>
        <v/>
      </c>
      <c r="D171" s="35" t="str">
        <f>IF(B171="","",DM_SP!C165)</f>
        <v/>
      </c>
      <c r="E171" s="39" t="str">
        <f>IF($B171="","",SUMIFS(Kho_SP!$B$5:$B$304,Kho_SP!$A$5:$A$304,$B171))</f>
        <v/>
      </c>
      <c r="F171" s="39" t="str">
        <f>IF($B171="","",SUMIFS(Kho_SP!$C$5:$C$304,Kho_SP!$A$5:$A$304,$B171))</f>
        <v/>
      </c>
      <c r="G171" s="39" t="str">
        <f>IF($B171="","",SUMIFS(Kho_SP!$D$5:$D$304,Kho_SP!$A$5:$A$304,$B171))</f>
        <v/>
      </c>
      <c r="H171" s="39" t="str">
        <f>IF($B171="","",SUMIFS(Kho_SP!$E$5:$E$304,Kho_SP!$A$5:$A$304,$B171))</f>
        <v/>
      </c>
      <c r="I171" s="39" t="str">
        <f>IF($B171="","",SUMIFS(Kho_SP!$F$5:$F$304,Kho_SP!$A$5:$A$304,$B171))</f>
        <v/>
      </c>
      <c r="J171" s="39" t="str">
        <f>IF($B171="","",SUMIFS(Kho_SP!$G$5:$G$304,Kho_SP!$A$5:$A$304,$B171))</f>
        <v/>
      </c>
      <c r="K171" s="39" t="str">
        <f t="shared" si="11"/>
        <v/>
      </c>
      <c r="L171" s="31" t="str">
        <f>IF($B171="","",IFERROR(INDEX(Kho_SP!$I$5:$I$304,MATCH(B171,Kho_SP!$A$5:$A$304,0))&amp;"",""))</f>
        <v/>
      </c>
      <c r="M171" s="44" t="str">
        <f>IF($B171="","",SUMIFS(Kho_SP!$H$5:$H$304,Kho_SP!$A$5:$A$304,$B171))</f>
        <v/>
      </c>
      <c r="N171" s="44" t="str">
        <f t="shared" si="12"/>
        <v/>
      </c>
      <c r="O171" s="45" t="str">
        <f t="shared" si="13"/>
        <v/>
      </c>
      <c r="P171" s="44" t="str">
        <f>IF($B171="","",SUMIFS(TK_Xuat!$E$5:$E$1004,TK_Xuat!$D$5:$D$1004,$B171,TK_Xuat!$H$5:$H$1004,1))</f>
        <v/>
      </c>
      <c r="Q171" s="44" t="str">
        <f t="shared" si="14"/>
        <v/>
      </c>
    </row>
    <row r="172" spans="1:17" x14ac:dyDescent="0.25">
      <c r="A172" s="36" t="str">
        <f t="shared" si="10"/>
        <v/>
      </c>
      <c r="B172" s="35" t="str">
        <f>IF(DM_SP!A166="","",DM_SP!A166)</f>
        <v/>
      </c>
      <c r="C172" s="35" t="str">
        <f>IF(B172="","",DM_SP!B166)</f>
        <v/>
      </c>
      <c r="D172" s="35" t="str">
        <f>IF(B172="","",DM_SP!C166)</f>
        <v/>
      </c>
      <c r="E172" s="39" t="str">
        <f>IF($B172="","",SUMIFS(Kho_SP!$B$5:$B$304,Kho_SP!$A$5:$A$304,$B172))</f>
        <v/>
      </c>
      <c r="F172" s="39" t="str">
        <f>IF($B172="","",SUMIFS(Kho_SP!$C$5:$C$304,Kho_SP!$A$5:$A$304,$B172))</f>
        <v/>
      </c>
      <c r="G172" s="39" t="str">
        <f>IF($B172="","",SUMIFS(Kho_SP!$D$5:$D$304,Kho_SP!$A$5:$A$304,$B172))</f>
        <v/>
      </c>
      <c r="H172" s="39" t="str">
        <f>IF($B172="","",SUMIFS(Kho_SP!$E$5:$E$304,Kho_SP!$A$5:$A$304,$B172))</f>
        <v/>
      </c>
      <c r="I172" s="39" t="str">
        <f>IF($B172="","",SUMIFS(Kho_SP!$F$5:$F$304,Kho_SP!$A$5:$A$304,$B172))</f>
        <v/>
      </c>
      <c r="J172" s="39" t="str">
        <f>IF($B172="","",SUMIFS(Kho_SP!$G$5:$G$304,Kho_SP!$A$5:$A$304,$B172))</f>
        <v/>
      </c>
      <c r="K172" s="39" t="str">
        <f t="shared" si="11"/>
        <v/>
      </c>
      <c r="L172" s="31" t="str">
        <f>IF($B172="","",IFERROR(INDEX(Kho_SP!$I$5:$I$304,MATCH(B172,Kho_SP!$A$5:$A$304,0))&amp;"",""))</f>
        <v/>
      </c>
      <c r="M172" s="44" t="str">
        <f>IF($B172="","",SUMIFS(Kho_SP!$H$5:$H$304,Kho_SP!$A$5:$A$304,$B172))</f>
        <v/>
      </c>
      <c r="N172" s="44" t="str">
        <f t="shared" si="12"/>
        <v/>
      </c>
      <c r="O172" s="45" t="str">
        <f t="shared" si="13"/>
        <v/>
      </c>
      <c r="P172" s="44" t="str">
        <f>IF($B172="","",SUMIFS(TK_Xuat!$E$5:$E$1004,TK_Xuat!$D$5:$D$1004,$B172,TK_Xuat!$H$5:$H$1004,1))</f>
        <v/>
      </c>
      <c r="Q172" s="44" t="str">
        <f t="shared" si="14"/>
        <v/>
      </c>
    </row>
    <row r="173" spans="1:17" x14ac:dyDescent="0.25">
      <c r="A173" s="36" t="str">
        <f t="shared" si="10"/>
        <v/>
      </c>
      <c r="B173" s="35" t="str">
        <f>IF(DM_SP!A167="","",DM_SP!A167)</f>
        <v/>
      </c>
      <c r="C173" s="35" t="str">
        <f>IF(B173="","",DM_SP!B167)</f>
        <v/>
      </c>
      <c r="D173" s="35" t="str">
        <f>IF(B173="","",DM_SP!C167)</f>
        <v/>
      </c>
      <c r="E173" s="39" t="str">
        <f>IF($B173="","",SUMIFS(Kho_SP!$B$5:$B$304,Kho_SP!$A$5:$A$304,$B173))</f>
        <v/>
      </c>
      <c r="F173" s="39" t="str">
        <f>IF($B173="","",SUMIFS(Kho_SP!$C$5:$C$304,Kho_SP!$A$5:$A$304,$B173))</f>
        <v/>
      </c>
      <c r="G173" s="39" t="str">
        <f>IF($B173="","",SUMIFS(Kho_SP!$D$5:$D$304,Kho_SP!$A$5:$A$304,$B173))</f>
        <v/>
      </c>
      <c r="H173" s="39" t="str">
        <f>IF($B173="","",SUMIFS(Kho_SP!$E$5:$E$304,Kho_SP!$A$5:$A$304,$B173))</f>
        <v/>
      </c>
      <c r="I173" s="39" t="str">
        <f>IF($B173="","",SUMIFS(Kho_SP!$F$5:$F$304,Kho_SP!$A$5:$A$304,$B173))</f>
        <v/>
      </c>
      <c r="J173" s="39" t="str">
        <f>IF($B173="","",SUMIFS(Kho_SP!$G$5:$G$304,Kho_SP!$A$5:$A$304,$B173))</f>
        <v/>
      </c>
      <c r="K173" s="39" t="str">
        <f t="shared" si="11"/>
        <v/>
      </c>
      <c r="L173" s="31" t="str">
        <f>IF($B173="","",IFERROR(INDEX(Kho_SP!$I$5:$I$304,MATCH(B173,Kho_SP!$A$5:$A$304,0))&amp;"",""))</f>
        <v/>
      </c>
      <c r="M173" s="44" t="str">
        <f>IF($B173="","",SUMIFS(Kho_SP!$H$5:$H$304,Kho_SP!$A$5:$A$304,$B173))</f>
        <v/>
      </c>
      <c r="N173" s="44" t="str">
        <f t="shared" si="12"/>
        <v/>
      </c>
      <c r="O173" s="45" t="str">
        <f t="shared" si="13"/>
        <v/>
      </c>
      <c r="P173" s="44" t="str">
        <f>IF($B173="","",SUMIFS(TK_Xuat!$E$5:$E$1004,TK_Xuat!$D$5:$D$1004,$B173,TK_Xuat!$H$5:$H$1004,1))</f>
        <v/>
      </c>
      <c r="Q173" s="44" t="str">
        <f t="shared" si="14"/>
        <v/>
      </c>
    </row>
    <row r="174" spans="1:17" x14ac:dyDescent="0.25">
      <c r="A174" s="36" t="str">
        <f t="shared" si="10"/>
        <v/>
      </c>
      <c r="B174" s="35" t="str">
        <f>IF(DM_SP!A168="","",DM_SP!A168)</f>
        <v/>
      </c>
      <c r="C174" s="35" t="str">
        <f>IF(B174="","",DM_SP!B168)</f>
        <v/>
      </c>
      <c r="D174" s="35" t="str">
        <f>IF(B174="","",DM_SP!C168)</f>
        <v/>
      </c>
      <c r="E174" s="39" t="str">
        <f>IF($B174="","",SUMIFS(Kho_SP!$B$5:$B$304,Kho_SP!$A$5:$A$304,$B174))</f>
        <v/>
      </c>
      <c r="F174" s="39" t="str">
        <f>IF($B174="","",SUMIFS(Kho_SP!$C$5:$C$304,Kho_SP!$A$5:$A$304,$B174))</f>
        <v/>
      </c>
      <c r="G174" s="39" t="str">
        <f>IF($B174="","",SUMIFS(Kho_SP!$D$5:$D$304,Kho_SP!$A$5:$A$304,$B174))</f>
        <v/>
      </c>
      <c r="H174" s="39" t="str">
        <f>IF($B174="","",SUMIFS(Kho_SP!$E$5:$E$304,Kho_SP!$A$5:$A$304,$B174))</f>
        <v/>
      </c>
      <c r="I174" s="39" t="str">
        <f>IF($B174="","",SUMIFS(Kho_SP!$F$5:$F$304,Kho_SP!$A$5:$A$304,$B174))</f>
        <v/>
      </c>
      <c r="J174" s="39" t="str">
        <f>IF($B174="","",SUMIFS(Kho_SP!$G$5:$G$304,Kho_SP!$A$5:$A$304,$B174))</f>
        <v/>
      </c>
      <c r="K174" s="39" t="str">
        <f t="shared" si="11"/>
        <v/>
      </c>
      <c r="L174" s="31" t="str">
        <f>IF($B174="","",IFERROR(INDEX(Kho_SP!$I$5:$I$304,MATCH(B174,Kho_SP!$A$5:$A$304,0))&amp;"",""))</f>
        <v/>
      </c>
      <c r="M174" s="44" t="str">
        <f>IF($B174="","",SUMIFS(Kho_SP!$H$5:$H$304,Kho_SP!$A$5:$A$304,$B174))</f>
        <v/>
      </c>
      <c r="N174" s="44" t="str">
        <f t="shared" si="12"/>
        <v/>
      </c>
      <c r="O174" s="45" t="str">
        <f t="shared" si="13"/>
        <v/>
      </c>
      <c r="P174" s="44" t="str">
        <f>IF($B174="","",SUMIFS(TK_Xuat!$E$5:$E$1004,TK_Xuat!$D$5:$D$1004,$B174,TK_Xuat!$H$5:$H$1004,1))</f>
        <v/>
      </c>
      <c r="Q174" s="44" t="str">
        <f t="shared" si="14"/>
        <v/>
      </c>
    </row>
    <row r="175" spans="1:17" x14ac:dyDescent="0.25">
      <c r="A175" s="36" t="str">
        <f t="shared" si="10"/>
        <v/>
      </c>
      <c r="B175" s="35" t="str">
        <f>IF(DM_SP!A169="","",DM_SP!A169)</f>
        <v/>
      </c>
      <c r="C175" s="35" t="str">
        <f>IF(B175="","",DM_SP!B169)</f>
        <v/>
      </c>
      <c r="D175" s="35" t="str">
        <f>IF(B175="","",DM_SP!C169)</f>
        <v/>
      </c>
      <c r="E175" s="39" t="str">
        <f>IF($B175="","",SUMIFS(Kho_SP!$B$5:$B$304,Kho_SP!$A$5:$A$304,$B175))</f>
        <v/>
      </c>
      <c r="F175" s="39" t="str">
        <f>IF($B175="","",SUMIFS(Kho_SP!$C$5:$C$304,Kho_SP!$A$5:$A$304,$B175))</f>
        <v/>
      </c>
      <c r="G175" s="39" t="str">
        <f>IF($B175="","",SUMIFS(Kho_SP!$D$5:$D$304,Kho_SP!$A$5:$A$304,$B175))</f>
        <v/>
      </c>
      <c r="H175" s="39" t="str">
        <f>IF($B175="","",SUMIFS(Kho_SP!$E$5:$E$304,Kho_SP!$A$5:$A$304,$B175))</f>
        <v/>
      </c>
      <c r="I175" s="39" t="str">
        <f>IF($B175="","",SUMIFS(Kho_SP!$F$5:$F$304,Kho_SP!$A$5:$A$304,$B175))</f>
        <v/>
      </c>
      <c r="J175" s="39" t="str">
        <f>IF($B175="","",SUMIFS(Kho_SP!$G$5:$G$304,Kho_SP!$A$5:$A$304,$B175))</f>
        <v/>
      </c>
      <c r="K175" s="39" t="str">
        <f t="shared" si="11"/>
        <v/>
      </c>
      <c r="L175" s="31" t="str">
        <f>IF($B175="","",IFERROR(INDEX(Kho_SP!$I$5:$I$304,MATCH(B175,Kho_SP!$A$5:$A$304,0))&amp;"",""))</f>
        <v/>
      </c>
      <c r="M175" s="44" t="str">
        <f>IF($B175="","",SUMIFS(Kho_SP!$H$5:$H$304,Kho_SP!$A$5:$A$304,$B175))</f>
        <v/>
      </c>
      <c r="N175" s="44" t="str">
        <f t="shared" si="12"/>
        <v/>
      </c>
      <c r="O175" s="45" t="str">
        <f t="shared" si="13"/>
        <v/>
      </c>
      <c r="P175" s="44" t="str">
        <f>IF($B175="","",SUMIFS(TK_Xuat!$E$5:$E$1004,TK_Xuat!$D$5:$D$1004,$B175,TK_Xuat!$H$5:$H$1004,1))</f>
        <v/>
      </c>
      <c r="Q175" s="44" t="str">
        <f t="shared" si="14"/>
        <v/>
      </c>
    </row>
    <row r="176" spans="1:17" x14ac:dyDescent="0.25">
      <c r="A176" s="36" t="str">
        <f t="shared" si="10"/>
        <v/>
      </c>
      <c r="B176" s="35" t="str">
        <f>IF(DM_SP!A170="","",DM_SP!A170)</f>
        <v/>
      </c>
      <c r="C176" s="35" t="str">
        <f>IF(B176="","",DM_SP!B170)</f>
        <v/>
      </c>
      <c r="D176" s="35" t="str">
        <f>IF(B176="","",DM_SP!C170)</f>
        <v/>
      </c>
      <c r="E176" s="39" t="str">
        <f>IF($B176="","",SUMIFS(Kho_SP!$B$5:$B$304,Kho_SP!$A$5:$A$304,$B176))</f>
        <v/>
      </c>
      <c r="F176" s="39" t="str">
        <f>IF($B176="","",SUMIFS(Kho_SP!$C$5:$C$304,Kho_SP!$A$5:$A$304,$B176))</f>
        <v/>
      </c>
      <c r="G176" s="39" t="str">
        <f>IF($B176="","",SUMIFS(Kho_SP!$D$5:$D$304,Kho_SP!$A$5:$A$304,$B176))</f>
        <v/>
      </c>
      <c r="H176" s="39" t="str">
        <f>IF($B176="","",SUMIFS(Kho_SP!$E$5:$E$304,Kho_SP!$A$5:$A$304,$B176))</f>
        <v/>
      </c>
      <c r="I176" s="39" t="str">
        <f>IF($B176="","",SUMIFS(Kho_SP!$F$5:$F$304,Kho_SP!$A$5:$A$304,$B176))</f>
        <v/>
      </c>
      <c r="J176" s="39" t="str">
        <f>IF($B176="","",SUMIFS(Kho_SP!$G$5:$G$304,Kho_SP!$A$5:$A$304,$B176))</f>
        <v/>
      </c>
      <c r="K176" s="39" t="str">
        <f t="shared" si="11"/>
        <v/>
      </c>
      <c r="L176" s="31" t="str">
        <f>IF($B176="","",IFERROR(INDEX(Kho_SP!$I$5:$I$304,MATCH(B176,Kho_SP!$A$5:$A$304,0))&amp;"",""))</f>
        <v/>
      </c>
      <c r="M176" s="44" t="str">
        <f>IF($B176="","",SUMIFS(Kho_SP!$H$5:$H$304,Kho_SP!$A$5:$A$304,$B176))</f>
        <v/>
      </c>
      <c r="N176" s="44" t="str">
        <f t="shared" si="12"/>
        <v/>
      </c>
      <c r="O176" s="45" t="str">
        <f t="shared" si="13"/>
        <v/>
      </c>
      <c r="P176" s="44" t="str">
        <f>IF($B176="","",SUMIFS(TK_Xuat!$E$5:$E$1004,TK_Xuat!$D$5:$D$1004,$B176,TK_Xuat!$H$5:$H$1004,1))</f>
        <v/>
      </c>
      <c r="Q176" s="44" t="str">
        <f t="shared" si="14"/>
        <v/>
      </c>
    </row>
    <row r="177" spans="1:17" x14ac:dyDescent="0.25">
      <c r="A177" s="36" t="str">
        <f t="shared" si="10"/>
        <v/>
      </c>
      <c r="B177" s="35" t="str">
        <f>IF(DM_SP!A171="","",DM_SP!A171)</f>
        <v/>
      </c>
      <c r="C177" s="35" t="str">
        <f>IF(B177="","",DM_SP!B171)</f>
        <v/>
      </c>
      <c r="D177" s="35" t="str">
        <f>IF(B177="","",DM_SP!C171)</f>
        <v/>
      </c>
      <c r="E177" s="39" t="str">
        <f>IF($B177="","",SUMIFS(Kho_SP!$B$5:$B$304,Kho_SP!$A$5:$A$304,$B177))</f>
        <v/>
      </c>
      <c r="F177" s="39" t="str">
        <f>IF($B177="","",SUMIFS(Kho_SP!$C$5:$C$304,Kho_SP!$A$5:$A$304,$B177))</f>
        <v/>
      </c>
      <c r="G177" s="39" t="str">
        <f>IF($B177="","",SUMIFS(Kho_SP!$D$5:$D$304,Kho_SP!$A$5:$A$304,$B177))</f>
        <v/>
      </c>
      <c r="H177" s="39" t="str">
        <f>IF($B177="","",SUMIFS(Kho_SP!$E$5:$E$304,Kho_SP!$A$5:$A$304,$B177))</f>
        <v/>
      </c>
      <c r="I177" s="39" t="str">
        <f>IF($B177="","",SUMIFS(Kho_SP!$F$5:$F$304,Kho_SP!$A$5:$A$304,$B177))</f>
        <v/>
      </c>
      <c r="J177" s="39" t="str">
        <f>IF($B177="","",SUMIFS(Kho_SP!$G$5:$G$304,Kho_SP!$A$5:$A$304,$B177))</f>
        <v/>
      </c>
      <c r="K177" s="39" t="str">
        <f t="shared" si="11"/>
        <v/>
      </c>
      <c r="L177" s="31" t="str">
        <f>IF($B177="","",IFERROR(INDEX(Kho_SP!$I$5:$I$304,MATCH(B177,Kho_SP!$A$5:$A$304,0))&amp;"",""))</f>
        <v/>
      </c>
      <c r="M177" s="44" t="str">
        <f>IF($B177="","",SUMIFS(Kho_SP!$H$5:$H$304,Kho_SP!$A$5:$A$304,$B177))</f>
        <v/>
      </c>
      <c r="N177" s="44" t="str">
        <f t="shared" si="12"/>
        <v/>
      </c>
      <c r="O177" s="45" t="str">
        <f t="shared" si="13"/>
        <v/>
      </c>
      <c r="P177" s="44" t="str">
        <f>IF($B177="","",SUMIFS(TK_Xuat!$E$5:$E$1004,TK_Xuat!$D$5:$D$1004,$B177,TK_Xuat!$H$5:$H$1004,1))</f>
        <v/>
      </c>
      <c r="Q177" s="44" t="str">
        <f t="shared" si="14"/>
        <v/>
      </c>
    </row>
    <row r="178" spans="1:17" x14ac:dyDescent="0.25">
      <c r="A178" s="36" t="str">
        <f t="shared" si="10"/>
        <v/>
      </c>
      <c r="B178" s="35" t="str">
        <f>IF(DM_SP!A172="","",DM_SP!A172)</f>
        <v/>
      </c>
      <c r="C178" s="35" t="str">
        <f>IF(B178="","",DM_SP!B172)</f>
        <v/>
      </c>
      <c r="D178" s="35" t="str">
        <f>IF(B178="","",DM_SP!C172)</f>
        <v/>
      </c>
      <c r="E178" s="39" t="str">
        <f>IF($B178="","",SUMIFS(Kho_SP!$B$5:$B$304,Kho_SP!$A$5:$A$304,$B178))</f>
        <v/>
      </c>
      <c r="F178" s="39" t="str">
        <f>IF($B178="","",SUMIFS(Kho_SP!$C$5:$C$304,Kho_SP!$A$5:$A$304,$B178))</f>
        <v/>
      </c>
      <c r="G178" s="39" t="str">
        <f>IF($B178="","",SUMIFS(Kho_SP!$D$5:$D$304,Kho_SP!$A$5:$A$304,$B178))</f>
        <v/>
      </c>
      <c r="H178" s="39" t="str">
        <f>IF($B178="","",SUMIFS(Kho_SP!$E$5:$E$304,Kho_SP!$A$5:$A$304,$B178))</f>
        <v/>
      </c>
      <c r="I178" s="39" t="str">
        <f>IF($B178="","",SUMIFS(Kho_SP!$F$5:$F$304,Kho_SP!$A$5:$A$304,$B178))</f>
        <v/>
      </c>
      <c r="J178" s="39" t="str">
        <f>IF($B178="","",SUMIFS(Kho_SP!$G$5:$G$304,Kho_SP!$A$5:$A$304,$B178))</f>
        <v/>
      </c>
      <c r="K178" s="39" t="str">
        <f t="shared" si="11"/>
        <v/>
      </c>
      <c r="L178" s="31" t="str">
        <f>IF($B178="","",IFERROR(INDEX(Kho_SP!$I$5:$I$304,MATCH(B178,Kho_SP!$A$5:$A$304,0))&amp;"",""))</f>
        <v/>
      </c>
      <c r="M178" s="44" t="str">
        <f>IF($B178="","",SUMIFS(Kho_SP!$H$5:$H$304,Kho_SP!$A$5:$A$304,$B178))</f>
        <v/>
      </c>
      <c r="N178" s="44" t="str">
        <f t="shared" si="12"/>
        <v/>
      </c>
      <c r="O178" s="45" t="str">
        <f t="shared" si="13"/>
        <v/>
      </c>
      <c r="P178" s="44" t="str">
        <f>IF($B178="","",SUMIFS(TK_Xuat!$E$5:$E$1004,TK_Xuat!$D$5:$D$1004,$B178,TK_Xuat!$H$5:$H$1004,1))</f>
        <v/>
      </c>
      <c r="Q178" s="44" t="str">
        <f t="shared" si="14"/>
        <v/>
      </c>
    </row>
    <row r="179" spans="1:17" x14ac:dyDescent="0.25">
      <c r="A179" s="36" t="str">
        <f t="shared" si="10"/>
        <v/>
      </c>
      <c r="B179" s="35" t="str">
        <f>IF(DM_SP!A173="","",DM_SP!A173)</f>
        <v/>
      </c>
      <c r="C179" s="35" t="str">
        <f>IF(B179="","",DM_SP!B173)</f>
        <v/>
      </c>
      <c r="D179" s="35" t="str">
        <f>IF(B179="","",DM_SP!C173)</f>
        <v/>
      </c>
      <c r="E179" s="39" t="str">
        <f>IF($B179="","",SUMIFS(Kho_SP!$B$5:$B$304,Kho_SP!$A$5:$A$304,$B179))</f>
        <v/>
      </c>
      <c r="F179" s="39" t="str">
        <f>IF($B179="","",SUMIFS(Kho_SP!$C$5:$C$304,Kho_SP!$A$5:$A$304,$B179))</f>
        <v/>
      </c>
      <c r="G179" s="39" t="str">
        <f>IF($B179="","",SUMIFS(Kho_SP!$D$5:$D$304,Kho_SP!$A$5:$A$304,$B179))</f>
        <v/>
      </c>
      <c r="H179" s="39" t="str">
        <f>IF($B179="","",SUMIFS(Kho_SP!$E$5:$E$304,Kho_SP!$A$5:$A$304,$B179))</f>
        <v/>
      </c>
      <c r="I179" s="39" t="str">
        <f>IF($B179="","",SUMIFS(Kho_SP!$F$5:$F$304,Kho_SP!$A$5:$A$304,$B179))</f>
        <v/>
      </c>
      <c r="J179" s="39" t="str">
        <f>IF($B179="","",SUMIFS(Kho_SP!$G$5:$G$304,Kho_SP!$A$5:$A$304,$B179))</f>
        <v/>
      </c>
      <c r="K179" s="39" t="str">
        <f t="shared" si="11"/>
        <v/>
      </c>
      <c r="L179" s="31" t="str">
        <f>IF($B179="","",IFERROR(INDEX(Kho_SP!$I$5:$I$304,MATCH(B179,Kho_SP!$A$5:$A$304,0))&amp;"",""))</f>
        <v/>
      </c>
      <c r="M179" s="44" t="str">
        <f>IF($B179="","",SUMIFS(Kho_SP!$H$5:$H$304,Kho_SP!$A$5:$A$304,$B179))</f>
        <v/>
      </c>
      <c r="N179" s="44" t="str">
        <f t="shared" si="12"/>
        <v/>
      </c>
      <c r="O179" s="45" t="str">
        <f t="shared" si="13"/>
        <v/>
      </c>
      <c r="P179" s="44" t="str">
        <f>IF($B179="","",SUMIFS(TK_Xuat!$E$5:$E$1004,TK_Xuat!$D$5:$D$1004,$B179,TK_Xuat!$H$5:$H$1004,1))</f>
        <v/>
      </c>
      <c r="Q179" s="44" t="str">
        <f t="shared" si="14"/>
        <v/>
      </c>
    </row>
    <row r="180" spans="1:17" x14ac:dyDescent="0.25">
      <c r="A180" s="36" t="str">
        <f t="shared" si="10"/>
        <v/>
      </c>
      <c r="B180" s="35" t="str">
        <f>IF(DM_SP!A174="","",DM_SP!A174)</f>
        <v/>
      </c>
      <c r="C180" s="35" t="str">
        <f>IF(B180="","",DM_SP!B174)</f>
        <v/>
      </c>
      <c r="D180" s="35" t="str">
        <f>IF(B180="","",DM_SP!C174)</f>
        <v/>
      </c>
      <c r="E180" s="39" t="str">
        <f>IF($B180="","",SUMIFS(Kho_SP!$B$5:$B$304,Kho_SP!$A$5:$A$304,$B180))</f>
        <v/>
      </c>
      <c r="F180" s="39" t="str">
        <f>IF($B180="","",SUMIFS(Kho_SP!$C$5:$C$304,Kho_SP!$A$5:$A$304,$B180))</f>
        <v/>
      </c>
      <c r="G180" s="39" t="str">
        <f>IF($B180="","",SUMIFS(Kho_SP!$D$5:$D$304,Kho_SP!$A$5:$A$304,$B180))</f>
        <v/>
      </c>
      <c r="H180" s="39" t="str">
        <f>IF($B180="","",SUMIFS(Kho_SP!$E$5:$E$304,Kho_SP!$A$5:$A$304,$B180))</f>
        <v/>
      </c>
      <c r="I180" s="39" t="str">
        <f>IF($B180="","",SUMIFS(Kho_SP!$F$5:$F$304,Kho_SP!$A$5:$A$304,$B180))</f>
        <v/>
      </c>
      <c r="J180" s="39" t="str">
        <f>IF($B180="","",SUMIFS(Kho_SP!$G$5:$G$304,Kho_SP!$A$5:$A$304,$B180))</f>
        <v/>
      </c>
      <c r="K180" s="39" t="str">
        <f t="shared" si="11"/>
        <v/>
      </c>
      <c r="L180" s="31" t="str">
        <f>IF($B180="","",IFERROR(INDEX(Kho_SP!$I$5:$I$304,MATCH(B180,Kho_SP!$A$5:$A$304,0))&amp;"",""))</f>
        <v/>
      </c>
      <c r="M180" s="44" t="str">
        <f>IF($B180="","",SUMIFS(Kho_SP!$H$5:$H$304,Kho_SP!$A$5:$A$304,$B180))</f>
        <v/>
      </c>
      <c r="N180" s="44" t="str">
        <f t="shared" si="12"/>
        <v/>
      </c>
      <c r="O180" s="45" t="str">
        <f t="shared" si="13"/>
        <v/>
      </c>
      <c r="P180" s="44" t="str">
        <f>IF($B180="","",SUMIFS(TK_Xuat!$E$5:$E$1004,TK_Xuat!$D$5:$D$1004,$B180,TK_Xuat!$H$5:$H$1004,1))</f>
        <v/>
      </c>
      <c r="Q180" s="44" t="str">
        <f t="shared" si="14"/>
        <v/>
      </c>
    </row>
    <row r="181" spans="1:17" x14ac:dyDescent="0.25">
      <c r="A181" s="36" t="str">
        <f t="shared" si="10"/>
        <v/>
      </c>
      <c r="B181" s="35" t="str">
        <f>IF(DM_SP!A175="","",DM_SP!A175)</f>
        <v/>
      </c>
      <c r="C181" s="35" t="str">
        <f>IF(B181="","",DM_SP!B175)</f>
        <v/>
      </c>
      <c r="D181" s="35" t="str">
        <f>IF(B181="","",DM_SP!C175)</f>
        <v/>
      </c>
      <c r="E181" s="39" t="str">
        <f>IF($B181="","",SUMIFS(Kho_SP!$B$5:$B$304,Kho_SP!$A$5:$A$304,$B181))</f>
        <v/>
      </c>
      <c r="F181" s="39" t="str">
        <f>IF($B181="","",SUMIFS(Kho_SP!$C$5:$C$304,Kho_SP!$A$5:$A$304,$B181))</f>
        <v/>
      </c>
      <c r="G181" s="39" t="str">
        <f>IF($B181="","",SUMIFS(Kho_SP!$D$5:$D$304,Kho_SP!$A$5:$A$304,$B181))</f>
        <v/>
      </c>
      <c r="H181" s="39" t="str">
        <f>IF($B181="","",SUMIFS(Kho_SP!$E$5:$E$304,Kho_SP!$A$5:$A$304,$B181))</f>
        <v/>
      </c>
      <c r="I181" s="39" t="str">
        <f>IF($B181="","",SUMIFS(Kho_SP!$F$5:$F$304,Kho_SP!$A$5:$A$304,$B181))</f>
        <v/>
      </c>
      <c r="J181" s="39" t="str">
        <f>IF($B181="","",SUMIFS(Kho_SP!$G$5:$G$304,Kho_SP!$A$5:$A$304,$B181))</f>
        <v/>
      </c>
      <c r="K181" s="39" t="str">
        <f t="shared" si="11"/>
        <v/>
      </c>
      <c r="L181" s="31" t="str">
        <f>IF($B181="","",IFERROR(INDEX(Kho_SP!$I$5:$I$304,MATCH(B181,Kho_SP!$A$5:$A$304,0))&amp;"",""))</f>
        <v/>
      </c>
      <c r="M181" s="44" t="str">
        <f>IF($B181="","",SUMIFS(Kho_SP!$H$5:$H$304,Kho_SP!$A$5:$A$304,$B181))</f>
        <v/>
      </c>
      <c r="N181" s="44" t="str">
        <f t="shared" si="12"/>
        <v/>
      </c>
      <c r="O181" s="45" t="str">
        <f t="shared" si="13"/>
        <v/>
      </c>
      <c r="P181" s="44" t="str">
        <f>IF($B181="","",SUMIFS(TK_Xuat!$E$5:$E$1004,TK_Xuat!$D$5:$D$1004,$B181,TK_Xuat!$H$5:$H$1004,1))</f>
        <v/>
      </c>
      <c r="Q181" s="44" t="str">
        <f t="shared" si="14"/>
        <v/>
      </c>
    </row>
    <row r="182" spans="1:17" x14ac:dyDescent="0.25">
      <c r="A182" s="36" t="str">
        <f t="shared" si="10"/>
        <v/>
      </c>
      <c r="B182" s="35" t="str">
        <f>IF(DM_SP!A176="","",DM_SP!A176)</f>
        <v/>
      </c>
      <c r="C182" s="35" t="str">
        <f>IF(B182="","",DM_SP!B176)</f>
        <v/>
      </c>
      <c r="D182" s="35" t="str">
        <f>IF(B182="","",DM_SP!C176)</f>
        <v/>
      </c>
      <c r="E182" s="39" t="str">
        <f>IF($B182="","",SUMIFS(Kho_SP!$B$5:$B$304,Kho_SP!$A$5:$A$304,$B182))</f>
        <v/>
      </c>
      <c r="F182" s="39" t="str">
        <f>IF($B182="","",SUMIFS(Kho_SP!$C$5:$C$304,Kho_SP!$A$5:$A$304,$B182))</f>
        <v/>
      </c>
      <c r="G182" s="39" t="str">
        <f>IF($B182="","",SUMIFS(Kho_SP!$D$5:$D$304,Kho_SP!$A$5:$A$304,$B182))</f>
        <v/>
      </c>
      <c r="H182" s="39" t="str">
        <f>IF($B182="","",SUMIFS(Kho_SP!$E$5:$E$304,Kho_SP!$A$5:$A$304,$B182))</f>
        <v/>
      </c>
      <c r="I182" s="39" t="str">
        <f>IF($B182="","",SUMIFS(Kho_SP!$F$5:$F$304,Kho_SP!$A$5:$A$304,$B182))</f>
        <v/>
      </c>
      <c r="J182" s="39" t="str">
        <f>IF($B182="","",SUMIFS(Kho_SP!$G$5:$G$304,Kho_SP!$A$5:$A$304,$B182))</f>
        <v/>
      </c>
      <c r="K182" s="39" t="str">
        <f t="shared" si="11"/>
        <v/>
      </c>
      <c r="L182" s="31" t="str">
        <f>IF($B182="","",IFERROR(INDEX(Kho_SP!$I$5:$I$304,MATCH(B182,Kho_SP!$A$5:$A$304,0))&amp;"",""))</f>
        <v/>
      </c>
      <c r="M182" s="44" t="str">
        <f>IF($B182="","",SUMIFS(Kho_SP!$H$5:$H$304,Kho_SP!$A$5:$A$304,$B182))</f>
        <v/>
      </c>
      <c r="N182" s="44" t="str">
        <f t="shared" si="12"/>
        <v/>
      </c>
      <c r="O182" s="45" t="str">
        <f t="shared" si="13"/>
        <v/>
      </c>
      <c r="P182" s="44" t="str">
        <f>IF($B182="","",SUMIFS(TK_Xuat!$E$5:$E$1004,TK_Xuat!$D$5:$D$1004,$B182,TK_Xuat!$H$5:$H$1004,1))</f>
        <v/>
      </c>
      <c r="Q182" s="44" t="str">
        <f t="shared" si="14"/>
        <v/>
      </c>
    </row>
    <row r="183" spans="1:17" x14ac:dyDescent="0.25">
      <c r="A183" s="36" t="str">
        <f t="shared" si="10"/>
        <v/>
      </c>
      <c r="B183" s="35" t="str">
        <f>IF(DM_SP!A177="","",DM_SP!A177)</f>
        <v/>
      </c>
      <c r="C183" s="35" t="str">
        <f>IF(B183="","",DM_SP!B177)</f>
        <v/>
      </c>
      <c r="D183" s="35" t="str">
        <f>IF(B183="","",DM_SP!C177)</f>
        <v/>
      </c>
      <c r="E183" s="39" t="str">
        <f>IF($B183="","",SUMIFS(Kho_SP!$B$5:$B$304,Kho_SP!$A$5:$A$304,$B183))</f>
        <v/>
      </c>
      <c r="F183" s="39" t="str">
        <f>IF($B183="","",SUMIFS(Kho_SP!$C$5:$C$304,Kho_SP!$A$5:$A$304,$B183))</f>
        <v/>
      </c>
      <c r="G183" s="39" t="str">
        <f>IF($B183="","",SUMIFS(Kho_SP!$D$5:$D$304,Kho_SP!$A$5:$A$304,$B183))</f>
        <v/>
      </c>
      <c r="H183" s="39" t="str">
        <f>IF($B183="","",SUMIFS(Kho_SP!$E$5:$E$304,Kho_SP!$A$5:$A$304,$B183))</f>
        <v/>
      </c>
      <c r="I183" s="39" t="str">
        <f>IF($B183="","",SUMIFS(Kho_SP!$F$5:$F$304,Kho_SP!$A$5:$A$304,$B183))</f>
        <v/>
      </c>
      <c r="J183" s="39" t="str">
        <f>IF($B183="","",SUMIFS(Kho_SP!$G$5:$G$304,Kho_SP!$A$5:$A$304,$B183))</f>
        <v/>
      </c>
      <c r="K183" s="39" t="str">
        <f t="shared" si="11"/>
        <v/>
      </c>
      <c r="L183" s="31" t="str">
        <f>IF($B183="","",IFERROR(INDEX(Kho_SP!$I$5:$I$304,MATCH(B183,Kho_SP!$A$5:$A$304,0))&amp;"",""))</f>
        <v/>
      </c>
      <c r="M183" s="44" t="str">
        <f>IF($B183="","",SUMIFS(Kho_SP!$H$5:$H$304,Kho_SP!$A$5:$A$304,$B183))</f>
        <v/>
      </c>
      <c r="N183" s="44" t="str">
        <f t="shared" si="12"/>
        <v/>
      </c>
      <c r="O183" s="45" t="str">
        <f t="shared" si="13"/>
        <v/>
      </c>
      <c r="P183" s="44" t="str">
        <f>IF($B183="","",SUMIFS(TK_Xuat!$E$5:$E$1004,TK_Xuat!$D$5:$D$1004,$B183,TK_Xuat!$H$5:$H$1004,1))</f>
        <v/>
      </c>
      <c r="Q183" s="44" t="str">
        <f t="shared" si="14"/>
        <v/>
      </c>
    </row>
    <row r="184" spans="1:17" x14ac:dyDescent="0.25">
      <c r="A184" s="36" t="str">
        <f t="shared" si="10"/>
        <v/>
      </c>
      <c r="B184" s="35" t="str">
        <f>IF(DM_SP!A178="","",DM_SP!A178)</f>
        <v/>
      </c>
      <c r="C184" s="35" t="str">
        <f>IF(B184="","",DM_SP!B178)</f>
        <v/>
      </c>
      <c r="D184" s="35" t="str">
        <f>IF(B184="","",DM_SP!C178)</f>
        <v/>
      </c>
      <c r="E184" s="39" t="str">
        <f>IF($B184="","",SUMIFS(Kho_SP!$B$5:$B$304,Kho_SP!$A$5:$A$304,$B184))</f>
        <v/>
      </c>
      <c r="F184" s="39" t="str">
        <f>IF($B184="","",SUMIFS(Kho_SP!$C$5:$C$304,Kho_SP!$A$5:$A$304,$B184))</f>
        <v/>
      </c>
      <c r="G184" s="39" t="str">
        <f>IF($B184="","",SUMIFS(Kho_SP!$D$5:$D$304,Kho_SP!$A$5:$A$304,$B184))</f>
        <v/>
      </c>
      <c r="H184" s="39" t="str">
        <f>IF($B184="","",SUMIFS(Kho_SP!$E$5:$E$304,Kho_SP!$A$5:$A$304,$B184))</f>
        <v/>
      </c>
      <c r="I184" s="39" t="str">
        <f>IF($B184="","",SUMIFS(Kho_SP!$F$5:$F$304,Kho_SP!$A$5:$A$304,$B184))</f>
        <v/>
      </c>
      <c r="J184" s="39" t="str">
        <f>IF($B184="","",SUMIFS(Kho_SP!$G$5:$G$304,Kho_SP!$A$5:$A$304,$B184))</f>
        <v/>
      </c>
      <c r="K184" s="39" t="str">
        <f t="shared" si="11"/>
        <v/>
      </c>
      <c r="L184" s="31" t="str">
        <f>IF($B184="","",IFERROR(INDEX(Kho_SP!$I$5:$I$304,MATCH(B184,Kho_SP!$A$5:$A$304,0))&amp;"",""))</f>
        <v/>
      </c>
      <c r="M184" s="44" t="str">
        <f>IF($B184="","",SUMIFS(Kho_SP!$H$5:$H$304,Kho_SP!$A$5:$A$304,$B184))</f>
        <v/>
      </c>
      <c r="N184" s="44" t="str">
        <f t="shared" si="12"/>
        <v/>
      </c>
      <c r="O184" s="45" t="str">
        <f t="shared" si="13"/>
        <v/>
      </c>
      <c r="P184" s="44" t="str">
        <f>IF($B184="","",SUMIFS(TK_Xuat!$E$5:$E$1004,TK_Xuat!$D$5:$D$1004,$B184,TK_Xuat!$H$5:$H$1004,1))</f>
        <v/>
      </c>
      <c r="Q184" s="44" t="str">
        <f t="shared" si="14"/>
        <v/>
      </c>
    </row>
    <row r="185" spans="1:17" x14ac:dyDescent="0.25">
      <c r="A185" s="36" t="str">
        <f t="shared" si="10"/>
        <v/>
      </c>
      <c r="B185" s="35" t="str">
        <f>IF(DM_SP!A179="","",DM_SP!A179)</f>
        <v/>
      </c>
      <c r="C185" s="35" t="str">
        <f>IF(B185="","",DM_SP!B179)</f>
        <v/>
      </c>
      <c r="D185" s="35" t="str">
        <f>IF(B185="","",DM_SP!C179)</f>
        <v/>
      </c>
      <c r="E185" s="39" t="str">
        <f>IF($B185="","",SUMIFS(Kho_SP!$B$5:$B$304,Kho_SP!$A$5:$A$304,$B185))</f>
        <v/>
      </c>
      <c r="F185" s="39" t="str">
        <f>IF($B185="","",SUMIFS(Kho_SP!$C$5:$C$304,Kho_SP!$A$5:$A$304,$B185))</f>
        <v/>
      </c>
      <c r="G185" s="39" t="str">
        <f>IF($B185="","",SUMIFS(Kho_SP!$D$5:$D$304,Kho_SP!$A$5:$A$304,$B185))</f>
        <v/>
      </c>
      <c r="H185" s="39" t="str">
        <f>IF($B185="","",SUMIFS(Kho_SP!$E$5:$E$304,Kho_SP!$A$5:$A$304,$B185))</f>
        <v/>
      </c>
      <c r="I185" s="39" t="str">
        <f>IF($B185="","",SUMIFS(Kho_SP!$F$5:$F$304,Kho_SP!$A$5:$A$304,$B185))</f>
        <v/>
      </c>
      <c r="J185" s="39" t="str">
        <f>IF($B185="","",SUMIFS(Kho_SP!$G$5:$G$304,Kho_SP!$A$5:$A$304,$B185))</f>
        <v/>
      </c>
      <c r="K185" s="39" t="str">
        <f t="shared" si="11"/>
        <v/>
      </c>
      <c r="L185" s="31" t="str">
        <f>IF($B185="","",IFERROR(INDEX(Kho_SP!$I$5:$I$304,MATCH(B185,Kho_SP!$A$5:$A$304,0))&amp;"",""))</f>
        <v/>
      </c>
      <c r="M185" s="44" t="str">
        <f>IF($B185="","",SUMIFS(Kho_SP!$H$5:$H$304,Kho_SP!$A$5:$A$304,$B185))</f>
        <v/>
      </c>
      <c r="N185" s="44" t="str">
        <f t="shared" si="12"/>
        <v/>
      </c>
      <c r="O185" s="45" t="str">
        <f t="shared" si="13"/>
        <v/>
      </c>
      <c r="P185" s="44" t="str">
        <f>IF($B185="","",SUMIFS(TK_Xuat!$E$5:$E$1004,TK_Xuat!$D$5:$D$1004,$B185,TK_Xuat!$H$5:$H$1004,1))</f>
        <v/>
      </c>
      <c r="Q185" s="44" t="str">
        <f t="shared" si="14"/>
        <v/>
      </c>
    </row>
    <row r="186" spans="1:17" x14ac:dyDescent="0.25">
      <c r="A186" s="36" t="str">
        <f t="shared" si="10"/>
        <v/>
      </c>
      <c r="B186" s="35" t="str">
        <f>IF(DM_SP!A180="","",DM_SP!A180)</f>
        <v/>
      </c>
      <c r="C186" s="35" t="str">
        <f>IF(B186="","",DM_SP!B180)</f>
        <v/>
      </c>
      <c r="D186" s="35" t="str">
        <f>IF(B186="","",DM_SP!C180)</f>
        <v/>
      </c>
      <c r="E186" s="39" t="str">
        <f>IF($B186="","",SUMIFS(Kho_SP!$B$5:$B$304,Kho_SP!$A$5:$A$304,$B186))</f>
        <v/>
      </c>
      <c r="F186" s="39" t="str">
        <f>IF($B186="","",SUMIFS(Kho_SP!$C$5:$C$304,Kho_SP!$A$5:$A$304,$B186))</f>
        <v/>
      </c>
      <c r="G186" s="39" t="str">
        <f>IF($B186="","",SUMIFS(Kho_SP!$D$5:$D$304,Kho_SP!$A$5:$A$304,$B186))</f>
        <v/>
      </c>
      <c r="H186" s="39" t="str">
        <f>IF($B186="","",SUMIFS(Kho_SP!$E$5:$E$304,Kho_SP!$A$5:$A$304,$B186))</f>
        <v/>
      </c>
      <c r="I186" s="39" t="str">
        <f>IF($B186="","",SUMIFS(Kho_SP!$F$5:$F$304,Kho_SP!$A$5:$A$304,$B186))</f>
        <v/>
      </c>
      <c r="J186" s="39" t="str">
        <f>IF($B186="","",SUMIFS(Kho_SP!$G$5:$G$304,Kho_SP!$A$5:$A$304,$B186))</f>
        <v/>
      </c>
      <c r="K186" s="39" t="str">
        <f t="shared" si="11"/>
        <v/>
      </c>
      <c r="L186" s="31" t="str">
        <f>IF($B186="","",IFERROR(INDEX(Kho_SP!$I$5:$I$304,MATCH(B186,Kho_SP!$A$5:$A$304,0))&amp;"",""))</f>
        <v/>
      </c>
      <c r="M186" s="44" t="str">
        <f>IF($B186="","",SUMIFS(Kho_SP!$H$5:$H$304,Kho_SP!$A$5:$A$304,$B186))</f>
        <v/>
      </c>
      <c r="N186" s="44" t="str">
        <f t="shared" si="12"/>
        <v/>
      </c>
      <c r="O186" s="45" t="str">
        <f t="shared" si="13"/>
        <v/>
      </c>
      <c r="P186" s="44" t="str">
        <f>IF($B186="","",SUMIFS(TK_Xuat!$E$5:$E$1004,TK_Xuat!$D$5:$D$1004,$B186,TK_Xuat!$H$5:$H$1004,1))</f>
        <v/>
      </c>
      <c r="Q186" s="44" t="str">
        <f t="shared" si="14"/>
        <v/>
      </c>
    </row>
    <row r="187" spans="1:17" x14ac:dyDescent="0.25">
      <c r="A187" s="36" t="str">
        <f t="shared" si="10"/>
        <v/>
      </c>
      <c r="B187" s="35" t="str">
        <f>IF(DM_SP!A181="","",DM_SP!A181)</f>
        <v/>
      </c>
      <c r="C187" s="35" t="str">
        <f>IF(B187="","",DM_SP!B181)</f>
        <v/>
      </c>
      <c r="D187" s="35" t="str">
        <f>IF(B187="","",DM_SP!C181)</f>
        <v/>
      </c>
      <c r="E187" s="39" t="str">
        <f>IF($B187="","",SUMIFS(Kho_SP!$B$5:$B$304,Kho_SP!$A$5:$A$304,$B187))</f>
        <v/>
      </c>
      <c r="F187" s="39" t="str">
        <f>IF($B187="","",SUMIFS(Kho_SP!$C$5:$C$304,Kho_SP!$A$5:$A$304,$B187))</f>
        <v/>
      </c>
      <c r="G187" s="39" t="str">
        <f>IF($B187="","",SUMIFS(Kho_SP!$D$5:$D$304,Kho_SP!$A$5:$A$304,$B187))</f>
        <v/>
      </c>
      <c r="H187" s="39" t="str">
        <f>IF($B187="","",SUMIFS(Kho_SP!$E$5:$E$304,Kho_SP!$A$5:$A$304,$B187))</f>
        <v/>
      </c>
      <c r="I187" s="39" t="str">
        <f>IF($B187="","",SUMIFS(Kho_SP!$F$5:$F$304,Kho_SP!$A$5:$A$304,$B187))</f>
        <v/>
      </c>
      <c r="J187" s="39" t="str">
        <f>IF($B187="","",SUMIFS(Kho_SP!$G$5:$G$304,Kho_SP!$A$5:$A$304,$B187))</f>
        <v/>
      </c>
      <c r="K187" s="39" t="str">
        <f t="shared" si="11"/>
        <v/>
      </c>
      <c r="L187" s="31" t="str">
        <f>IF($B187="","",IFERROR(INDEX(Kho_SP!$I$5:$I$304,MATCH(B187,Kho_SP!$A$5:$A$304,0))&amp;"",""))</f>
        <v/>
      </c>
      <c r="M187" s="44" t="str">
        <f>IF($B187="","",SUMIFS(Kho_SP!$H$5:$H$304,Kho_SP!$A$5:$A$304,$B187))</f>
        <v/>
      </c>
      <c r="N187" s="44" t="str">
        <f t="shared" si="12"/>
        <v/>
      </c>
      <c r="O187" s="45" t="str">
        <f t="shared" si="13"/>
        <v/>
      </c>
      <c r="P187" s="44" t="str">
        <f>IF($B187="","",SUMIFS(TK_Xuat!$E$5:$E$1004,TK_Xuat!$D$5:$D$1004,$B187,TK_Xuat!$H$5:$H$1004,1))</f>
        <v/>
      </c>
      <c r="Q187" s="44" t="str">
        <f t="shared" si="14"/>
        <v/>
      </c>
    </row>
    <row r="188" spans="1:17" x14ac:dyDescent="0.25">
      <c r="A188" s="36" t="str">
        <f t="shared" si="10"/>
        <v/>
      </c>
      <c r="B188" s="35" t="str">
        <f>IF(DM_SP!A182="","",DM_SP!A182)</f>
        <v/>
      </c>
      <c r="C188" s="35" t="str">
        <f>IF(B188="","",DM_SP!B182)</f>
        <v/>
      </c>
      <c r="D188" s="35" t="str">
        <f>IF(B188="","",DM_SP!C182)</f>
        <v/>
      </c>
      <c r="E188" s="39" t="str">
        <f>IF($B188="","",SUMIFS(Kho_SP!$B$5:$B$304,Kho_SP!$A$5:$A$304,$B188))</f>
        <v/>
      </c>
      <c r="F188" s="39" t="str">
        <f>IF($B188="","",SUMIFS(Kho_SP!$C$5:$C$304,Kho_SP!$A$5:$A$304,$B188))</f>
        <v/>
      </c>
      <c r="G188" s="39" t="str">
        <f>IF($B188="","",SUMIFS(Kho_SP!$D$5:$D$304,Kho_SP!$A$5:$A$304,$B188))</f>
        <v/>
      </c>
      <c r="H188" s="39" t="str">
        <f>IF($B188="","",SUMIFS(Kho_SP!$E$5:$E$304,Kho_SP!$A$5:$A$304,$B188))</f>
        <v/>
      </c>
      <c r="I188" s="39" t="str">
        <f>IF($B188="","",SUMIFS(Kho_SP!$F$5:$F$304,Kho_SP!$A$5:$A$304,$B188))</f>
        <v/>
      </c>
      <c r="J188" s="39" t="str">
        <f>IF($B188="","",SUMIFS(Kho_SP!$G$5:$G$304,Kho_SP!$A$5:$A$304,$B188))</f>
        <v/>
      </c>
      <c r="K188" s="39" t="str">
        <f t="shared" si="11"/>
        <v/>
      </c>
      <c r="L188" s="31" t="str">
        <f>IF($B188="","",IFERROR(INDEX(Kho_SP!$I$5:$I$304,MATCH(B188,Kho_SP!$A$5:$A$304,0))&amp;"",""))</f>
        <v/>
      </c>
      <c r="M188" s="44" t="str">
        <f>IF($B188="","",SUMIFS(Kho_SP!$H$5:$H$304,Kho_SP!$A$5:$A$304,$B188))</f>
        <v/>
      </c>
      <c r="N188" s="44" t="str">
        <f t="shared" si="12"/>
        <v/>
      </c>
      <c r="O188" s="45" t="str">
        <f t="shared" si="13"/>
        <v/>
      </c>
      <c r="P188" s="44" t="str">
        <f>IF($B188="","",SUMIFS(TK_Xuat!$E$5:$E$1004,TK_Xuat!$D$5:$D$1004,$B188,TK_Xuat!$H$5:$H$1004,1))</f>
        <v/>
      </c>
      <c r="Q188" s="44" t="str">
        <f t="shared" si="14"/>
        <v/>
      </c>
    </row>
    <row r="189" spans="1:17" x14ac:dyDescent="0.25">
      <c r="A189" s="36" t="str">
        <f t="shared" si="10"/>
        <v/>
      </c>
      <c r="B189" s="35" t="str">
        <f>IF(DM_SP!A183="","",DM_SP!A183)</f>
        <v/>
      </c>
      <c r="C189" s="35" t="str">
        <f>IF(B189="","",DM_SP!B183)</f>
        <v/>
      </c>
      <c r="D189" s="35" t="str">
        <f>IF(B189="","",DM_SP!C183)</f>
        <v/>
      </c>
      <c r="E189" s="39" t="str">
        <f>IF($B189="","",SUMIFS(Kho_SP!$B$5:$B$304,Kho_SP!$A$5:$A$304,$B189))</f>
        <v/>
      </c>
      <c r="F189" s="39" t="str">
        <f>IF($B189="","",SUMIFS(Kho_SP!$C$5:$C$304,Kho_SP!$A$5:$A$304,$B189))</f>
        <v/>
      </c>
      <c r="G189" s="39" t="str">
        <f>IF($B189="","",SUMIFS(Kho_SP!$D$5:$D$304,Kho_SP!$A$5:$A$304,$B189))</f>
        <v/>
      </c>
      <c r="H189" s="39" t="str">
        <f>IF($B189="","",SUMIFS(Kho_SP!$E$5:$E$304,Kho_SP!$A$5:$A$304,$B189))</f>
        <v/>
      </c>
      <c r="I189" s="39" t="str">
        <f>IF($B189="","",SUMIFS(Kho_SP!$F$5:$F$304,Kho_SP!$A$5:$A$304,$B189))</f>
        <v/>
      </c>
      <c r="J189" s="39" t="str">
        <f>IF($B189="","",SUMIFS(Kho_SP!$G$5:$G$304,Kho_SP!$A$5:$A$304,$B189))</f>
        <v/>
      </c>
      <c r="K189" s="39" t="str">
        <f t="shared" si="11"/>
        <v/>
      </c>
      <c r="L189" s="31" t="str">
        <f>IF($B189="","",IFERROR(INDEX(Kho_SP!$I$5:$I$304,MATCH(B189,Kho_SP!$A$5:$A$304,0))&amp;"",""))</f>
        <v/>
      </c>
      <c r="M189" s="44" t="str">
        <f>IF($B189="","",SUMIFS(Kho_SP!$H$5:$H$304,Kho_SP!$A$5:$A$304,$B189))</f>
        <v/>
      </c>
      <c r="N189" s="44" t="str">
        <f t="shared" si="12"/>
        <v/>
      </c>
      <c r="O189" s="45" t="str">
        <f t="shared" si="13"/>
        <v/>
      </c>
      <c r="P189" s="44" t="str">
        <f>IF($B189="","",SUMIFS(TK_Xuat!$E$5:$E$1004,TK_Xuat!$D$5:$D$1004,$B189,TK_Xuat!$H$5:$H$1004,1))</f>
        <v/>
      </c>
      <c r="Q189" s="44" t="str">
        <f t="shared" si="14"/>
        <v/>
      </c>
    </row>
    <row r="190" spans="1:17" x14ac:dyDescent="0.25">
      <c r="A190" s="36" t="str">
        <f t="shared" si="10"/>
        <v/>
      </c>
      <c r="B190" s="35" t="str">
        <f>IF(DM_SP!A184="","",DM_SP!A184)</f>
        <v/>
      </c>
      <c r="C190" s="35" t="str">
        <f>IF(B190="","",DM_SP!B184)</f>
        <v/>
      </c>
      <c r="D190" s="35" t="str">
        <f>IF(B190="","",DM_SP!C184)</f>
        <v/>
      </c>
      <c r="E190" s="39" t="str">
        <f>IF($B190="","",SUMIFS(Kho_SP!$B$5:$B$304,Kho_SP!$A$5:$A$304,$B190))</f>
        <v/>
      </c>
      <c r="F190" s="39" t="str">
        <f>IF($B190="","",SUMIFS(Kho_SP!$C$5:$C$304,Kho_SP!$A$5:$A$304,$B190))</f>
        <v/>
      </c>
      <c r="G190" s="39" t="str">
        <f>IF($B190="","",SUMIFS(Kho_SP!$D$5:$D$304,Kho_SP!$A$5:$A$304,$B190))</f>
        <v/>
      </c>
      <c r="H190" s="39" t="str">
        <f>IF($B190="","",SUMIFS(Kho_SP!$E$5:$E$304,Kho_SP!$A$5:$A$304,$B190))</f>
        <v/>
      </c>
      <c r="I190" s="39" t="str">
        <f>IF($B190="","",SUMIFS(Kho_SP!$F$5:$F$304,Kho_SP!$A$5:$A$304,$B190))</f>
        <v/>
      </c>
      <c r="J190" s="39" t="str">
        <f>IF($B190="","",SUMIFS(Kho_SP!$G$5:$G$304,Kho_SP!$A$5:$A$304,$B190))</f>
        <v/>
      </c>
      <c r="K190" s="39" t="str">
        <f t="shared" si="11"/>
        <v/>
      </c>
      <c r="L190" s="31" t="str">
        <f>IF($B190="","",IFERROR(INDEX(Kho_SP!$I$5:$I$304,MATCH(B190,Kho_SP!$A$5:$A$304,0))&amp;"",""))</f>
        <v/>
      </c>
      <c r="M190" s="44" t="str">
        <f>IF($B190="","",SUMIFS(Kho_SP!$H$5:$H$304,Kho_SP!$A$5:$A$304,$B190))</f>
        <v/>
      </c>
      <c r="N190" s="44" t="str">
        <f t="shared" si="12"/>
        <v/>
      </c>
      <c r="O190" s="45" t="str">
        <f t="shared" si="13"/>
        <v/>
      </c>
      <c r="P190" s="44" t="str">
        <f>IF($B190="","",SUMIFS(TK_Xuat!$E$5:$E$1004,TK_Xuat!$D$5:$D$1004,$B190,TK_Xuat!$H$5:$H$1004,1))</f>
        <v/>
      </c>
      <c r="Q190" s="44" t="str">
        <f t="shared" si="14"/>
        <v/>
      </c>
    </row>
    <row r="191" spans="1:17" x14ac:dyDescent="0.25">
      <c r="A191" s="36" t="str">
        <f t="shared" si="10"/>
        <v/>
      </c>
      <c r="B191" s="35" t="str">
        <f>IF(DM_SP!A185="","",DM_SP!A185)</f>
        <v/>
      </c>
      <c r="C191" s="35" t="str">
        <f>IF(B191="","",DM_SP!B185)</f>
        <v/>
      </c>
      <c r="D191" s="35" t="str">
        <f>IF(B191="","",DM_SP!C185)</f>
        <v/>
      </c>
      <c r="E191" s="39" t="str">
        <f>IF($B191="","",SUMIFS(Kho_SP!$B$5:$B$304,Kho_SP!$A$5:$A$304,$B191))</f>
        <v/>
      </c>
      <c r="F191" s="39" t="str">
        <f>IF($B191="","",SUMIFS(Kho_SP!$C$5:$C$304,Kho_SP!$A$5:$A$304,$B191))</f>
        <v/>
      </c>
      <c r="G191" s="39" t="str">
        <f>IF($B191="","",SUMIFS(Kho_SP!$D$5:$D$304,Kho_SP!$A$5:$A$304,$B191))</f>
        <v/>
      </c>
      <c r="H191" s="39" t="str">
        <f>IF($B191="","",SUMIFS(Kho_SP!$E$5:$E$304,Kho_SP!$A$5:$A$304,$B191))</f>
        <v/>
      </c>
      <c r="I191" s="39" t="str">
        <f>IF($B191="","",SUMIFS(Kho_SP!$F$5:$F$304,Kho_SP!$A$5:$A$304,$B191))</f>
        <v/>
      </c>
      <c r="J191" s="39" t="str">
        <f>IF($B191="","",SUMIFS(Kho_SP!$G$5:$G$304,Kho_SP!$A$5:$A$304,$B191))</f>
        <v/>
      </c>
      <c r="K191" s="39" t="str">
        <f t="shared" si="11"/>
        <v/>
      </c>
      <c r="L191" s="31" t="str">
        <f>IF($B191="","",IFERROR(INDEX(Kho_SP!$I$5:$I$304,MATCH(B191,Kho_SP!$A$5:$A$304,0))&amp;"",""))</f>
        <v/>
      </c>
      <c r="M191" s="44" t="str">
        <f>IF($B191="","",SUMIFS(Kho_SP!$H$5:$H$304,Kho_SP!$A$5:$A$304,$B191))</f>
        <v/>
      </c>
      <c r="N191" s="44" t="str">
        <f t="shared" si="12"/>
        <v/>
      </c>
      <c r="O191" s="45" t="str">
        <f t="shared" si="13"/>
        <v/>
      </c>
      <c r="P191" s="44" t="str">
        <f>IF($B191="","",SUMIFS(TK_Xuat!$E$5:$E$1004,TK_Xuat!$D$5:$D$1004,$B191,TK_Xuat!$H$5:$H$1004,1))</f>
        <v/>
      </c>
      <c r="Q191" s="44" t="str">
        <f t="shared" si="14"/>
        <v/>
      </c>
    </row>
    <row r="192" spans="1:17" x14ac:dyDescent="0.25">
      <c r="A192" s="36" t="str">
        <f t="shared" si="10"/>
        <v/>
      </c>
      <c r="B192" s="35" t="str">
        <f>IF(DM_SP!A186="","",DM_SP!A186)</f>
        <v/>
      </c>
      <c r="C192" s="35" t="str">
        <f>IF(B192="","",DM_SP!B186)</f>
        <v/>
      </c>
      <c r="D192" s="35" t="str">
        <f>IF(B192="","",DM_SP!C186)</f>
        <v/>
      </c>
      <c r="E192" s="39" t="str">
        <f>IF($B192="","",SUMIFS(Kho_SP!$B$5:$B$304,Kho_SP!$A$5:$A$304,$B192))</f>
        <v/>
      </c>
      <c r="F192" s="39" t="str">
        <f>IF($B192="","",SUMIFS(Kho_SP!$C$5:$C$304,Kho_SP!$A$5:$A$304,$B192))</f>
        <v/>
      </c>
      <c r="G192" s="39" t="str">
        <f>IF($B192="","",SUMIFS(Kho_SP!$D$5:$D$304,Kho_SP!$A$5:$A$304,$B192))</f>
        <v/>
      </c>
      <c r="H192" s="39" t="str">
        <f>IF($B192="","",SUMIFS(Kho_SP!$E$5:$E$304,Kho_SP!$A$5:$A$304,$B192))</f>
        <v/>
      </c>
      <c r="I192" s="39" t="str">
        <f>IF($B192="","",SUMIFS(Kho_SP!$F$5:$F$304,Kho_SP!$A$5:$A$304,$B192))</f>
        <v/>
      </c>
      <c r="J192" s="39" t="str">
        <f>IF($B192="","",SUMIFS(Kho_SP!$G$5:$G$304,Kho_SP!$A$5:$A$304,$B192))</f>
        <v/>
      </c>
      <c r="K192" s="39" t="str">
        <f t="shared" si="11"/>
        <v/>
      </c>
      <c r="L192" s="31" t="str">
        <f>IF($B192="","",IFERROR(INDEX(Kho_SP!$I$5:$I$304,MATCH(B192,Kho_SP!$A$5:$A$304,0))&amp;"",""))</f>
        <v/>
      </c>
      <c r="M192" s="44" t="str">
        <f>IF($B192="","",SUMIFS(Kho_SP!$H$5:$H$304,Kho_SP!$A$5:$A$304,$B192))</f>
        <v/>
      </c>
      <c r="N192" s="44" t="str">
        <f t="shared" si="12"/>
        <v/>
      </c>
      <c r="O192" s="45" t="str">
        <f t="shared" si="13"/>
        <v/>
      </c>
      <c r="P192" s="44" t="str">
        <f>IF($B192="","",SUMIFS(TK_Xuat!$E$5:$E$1004,TK_Xuat!$D$5:$D$1004,$B192,TK_Xuat!$H$5:$H$1004,1))</f>
        <v/>
      </c>
      <c r="Q192" s="44" t="str">
        <f t="shared" si="14"/>
        <v/>
      </c>
    </row>
    <row r="193" spans="1:17" x14ac:dyDescent="0.25">
      <c r="A193" s="36" t="str">
        <f t="shared" si="10"/>
        <v/>
      </c>
      <c r="B193" s="35" t="str">
        <f>IF(DM_SP!A187="","",DM_SP!A187)</f>
        <v/>
      </c>
      <c r="C193" s="35" t="str">
        <f>IF(B193="","",DM_SP!B187)</f>
        <v/>
      </c>
      <c r="D193" s="35" t="str">
        <f>IF(B193="","",DM_SP!C187)</f>
        <v/>
      </c>
      <c r="E193" s="39" t="str">
        <f>IF($B193="","",SUMIFS(Kho_SP!$B$5:$B$304,Kho_SP!$A$5:$A$304,$B193))</f>
        <v/>
      </c>
      <c r="F193" s="39" t="str">
        <f>IF($B193="","",SUMIFS(Kho_SP!$C$5:$C$304,Kho_SP!$A$5:$A$304,$B193))</f>
        <v/>
      </c>
      <c r="G193" s="39" t="str">
        <f>IF($B193="","",SUMIFS(Kho_SP!$D$5:$D$304,Kho_SP!$A$5:$A$304,$B193))</f>
        <v/>
      </c>
      <c r="H193" s="39" t="str">
        <f>IF($B193="","",SUMIFS(Kho_SP!$E$5:$E$304,Kho_SP!$A$5:$A$304,$B193))</f>
        <v/>
      </c>
      <c r="I193" s="39" t="str">
        <f>IF($B193="","",SUMIFS(Kho_SP!$F$5:$F$304,Kho_SP!$A$5:$A$304,$B193))</f>
        <v/>
      </c>
      <c r="J193" s="39" t="str">
        <f>IF($B193="","",SUMIFS(Kho_SP!$G$5:$G$304,Kho_SP!$A$5:$A$304,$B193))</f>
        <v/>
      </c>
      <c r="K193" s="39" t="str">
        <f t="shared" si="11"/>
        <v/>
      </c>
      <c r="L193" s="31" t="str">
        <f>IF($B193="","",IFERROR(INDEX(Kho_SP!$I$5:$I$304,MATCH(B193,Kho_SP!$A$5:$A$304,0))&amp;"",""))</f>
        <v/>
      </c>
      <c r="M193" s="44" t="str">
        <f>IF($B193="","",SUMIFS(Kho_SP!$H$5:$H$304,Kho_SP!$A$5:$A$304,$B193))</f>
        <v/>
      </c>
      <c r="N193" s="44" t="str">
        <f t="shared" si="12"/>
        <v/>
      </c>
      <c r="O193" s="45" t="str">
        <f t="shared" si="13"/>
        <v/>
      </c>
      <c r="P193" s="44" t="str">
        <f>IF($B193="","",SUMIFS(TK_Xuat!$E$5:$E$1004,TK_Xuat!$D$5:$D$1004,$B193,TK_Xuat!$H$5:$H$1004,1))</f>
        <v/>
      </c>
      <c r="Q193" s="44" t="str">
        <f t="shared" si="14"/>
        <v/>
      </c>
    </row>
    <row r="194" spans="1:17" x14ac:dyDescent="0.25">
      <c r="A194" s="36" t="str">
        <f t="shared" si="10"/>
        <v/>
      </c>
      <c r="B194" s="35" t="str">
        <f>IF(DM_SP!A188="","",DM_SP!A188)</f>
        <v/>
      </c>
      <c r="C194" s="35" t="str">
        <f>IF(B194="","",DM_SP!B188)</f>
        <v/>
      </c>
      <c r="D194" s="35" t="str">
        <f>IF(B194="","",DM_SP!C188)</f>
        <v/>
      </c>
      <c r="E194" s="39" t="str">
        <f>IF($B194="","",SUMIFS(Kho_SP!$B$5:$B$304,Kho_SP!$A$5:$A$304,$B194))</f>
        <v/>
      </c>
      <c r="F194" s="39" t="str">
        <f>IF($B194="","",SUMIFS(Kho_SP!$C$5:$C$304,Kho_SP!$A$5:$A$304,$B194))</f>
        <v/>
      </c>
      <c r="G194" s="39" t="str">
        <f>IF($B194="","",SUMIFS(Kho_SP!$D$5:$D$304,Kho_SP!$A$5:$A$304,$B194))</f>
        <v/>
      </c>
      <c r="H194" s="39" t="str">
        <f>IF($B194="","",SUMIFS(Kho_SP!$E$5:$E$304,Kho_SP!$A$5:$A$304,$B194))</f>
        <v/>
      </c>
      <c r="I194" s="39" t="str">
        <f>IF($B194="","",SUMIFS(Kho_SP!$F$5:$F$304,Kho_SP!$A$5:$A$304,$B194))</f>
        <v/>
      </c>
      <c r="J194" s="39" t="str">
        <f>IF($B194="","",SUMIFS(Kho_SP!$G$5:$G$304,Kho_SP!$A$5:$A$304,$B194))</f>
        <v/>
      </c>
      <c r="K194" s="39" t="str">
        <f t="shared" si="11"/>
        <v/>
      </c>
      <c r="L194" s="31" t="str">
        <f>IF($B194="","",IFERROR(INDEX(Kho_SP!$I$5:$I$304,MATCH(B194,Kho_SP!$A$5:$A$304,0))&amp;"",""))</f>
        <v/>
      </c>
      <c r="M194" s="44" t="str">
        <f>IF($B194="","",SUMIFS(Kho_SP!$H$5:$H$304,Kho_SP!$A$5:$A$304,$B194))</f>
        <v/>
      </c>
      <c r="N194" s="44" t="str">
        <f t="shared" si="12"/>
        <v/>
      </c>
      <c r="O194" s="45" t="str">
        <f t="shared" si="13"/>
        <v/>
      </c>
      <c r="P194" s="44" t="str">
        <f>IF($B194="","",SUMIFS(TK_Xuat!$E$5:$E$1004,TK_Xuat!$D$5:$D$1004,$B194,TK_Xuat!$H$5:$H$1004,1))</f>
        <v/>
      </c>
      <c r="Q194" s="44" t="str">
        <f t="shared" si="14"/>
        <v/>
      </c>
    </row>
    <row r="195" spans="1:17" x14ac:dyDescent="0.25">
      <c r="A195" s="36" t="str">
        <f t="shared" si="10"/>
        <v/>
      </c>
      <c r="B195" s="35" t="str">
        <f>IF(DM_SP!A189="","",DM_SP!A189)</f>
        <v/>
      </c>
      <c r="C195" s="35" t="str">
        <f>IF(B195="","",DM_SP!B189)</f>
        <v/>
      </c>
      <c r="D195" s="35" t="str">
        <f>IF(B195="","",DM_SP!C189)</f>
        <v/>
      </c>
      <c r="E195" s="39" t="str">
        <f>IF($B195="","",SUMIFS(Kho_SP!$B$5:$B$304,Kho_SP!$A$5:$A$304,$B195))</f>
        <v/>
      </c>
      <c r="F195" s="39" t="str">
        <f>IF($B195="","",SUMIFS(Kho_SP!$C$5:$C$304,Kho_SP!$A$5:$A$304,$B195))</f>
        <v/>
      </c>
      <c r="G195" s="39" t="str">
        <f>IF($B195="","",SUMIFS(Kho_SP!$D$5:$D$304,Kho_SP!$A$5:$A$304,$B195))</f>
        <v/>
      </c>
      <c r="H195" s="39" t="str">
        <f>IF($B195="","",SUMIFS(Kho_SP!$E$5:$E$304,Kho_SP!$A$5:$A$304,$B195))</f>
        <v/>
      </c>
      <c r="I195" s="39" t="str">
        <f>IF($B195="","",SUMIFS(Kho_SP!$F$5:$F$304,Kho_SP!$A$5:$A$304,$B195))</f>
        <v/>
      </c>
      <c r="J195" s="39" t="str">
        <f>IF($B195="","",SUMIFS(Kho_SP!$G$5:$G$304,Kho_SP!$A$5:$A$304,$B195))</f>
        <v/>
      </c>
      <c r="K195" s="39" t="str">
        <f t="shared" si="11"/>
        <v/>
      </c>
      <c r="L195" s="31" t="str">
        <f>IF($B195="","",IFERROR(INDEX(Kho_SP!$I$5:$I$304,MATCH(B195,Kho_SP!$A$5:$A$304,0))&amp;"",""))</f>
        <v/>
      </c>
      <c r="M195" s="44" t="str">
        <f>IF($B195="","",SUMIFS(Kho_SP!$H$5:$H$304,Kho_SP!$A$5:$A$304,$B195))</f>
        <v/>
      </c>
      <c r="N195" s="44" t="str">
        <f t="shared" si="12"/>
        <v/>
      </c>
      <c r="O195" s="45" t="str">
        <f t="shared" si="13"/>
        <v/>
      </c>
      <c r="P195" s="44" t="str">
        <f>IF($B195="","",SUMIFS(TK_Xuat!$E$5:$E$1004,TK_Xuat!$D$5:$D$1004,$B195,TK_Xuat!$H$5:$H$1004,1))</f>
        <v/>
      </c>
      <c r="Q195" s="44" t="str">
        <f t="shared" si="14"/>
        <v/>
      </c>
    </row>
    <row r="196" spans="1:17" x14ac:dyDescent="0.25">
      <c r="A196" s="36" t="str">
        <f t="shared" si="10"/>
        <v/>
      </c>
      <c r="B196" s="35" t="str">
        <f>IF(DM_SP!A190="","",DM_SP!A190)</f>
        <v/>
      </c>
      <c r="C196" s="35" t="str">
        <f>IF(B196="","",DM_SP!B190)</f>
        <v/>
      </c>
      <c r="D196" s="35" t="str">
        <f>IF(B196="","",DM_SP!C190)</f>
        <v/>
      </c>
      <c r="E196" s="39" t="str">
        <f>IF($B196="","",SUMIFS(Kho_SP!$B$5:$B$304,Kho_SP!$A$5:$A$304,$B196))</f>
        <v/>
      </c>
      <c r="F196" s="39" t="str">
        <f>IF($B196="","",SUMIFS(Kho_SP!$C$5:$C$304,Kho_SP!$A$5:$A$304,$B196))</f>
        <v/>
      </c>
      <c r="G196" s="39" t="str">
        <f>IF($B196="","",SUMIFS(Kho_SP!$D$5:$D$304,Kho_SP!$A$5:$A$304,$B196))</f>
        <v/>
      </c>
      <c r="H196" s="39" t="str">
        <f>IF($B196="","",SUMIFS(Kho_SP!$E$5:$E$304,Kho_SP!$A$5:$A$304,$B196))</f>
        <v/>
      </c>
      <c r="I196" s="39" t="str">
        <f>IF($B196="","",SUMIFS(Kho_SP!$F$5:$F$304,Kho_SP!$A$5:$A$304,$B196))</f>
        <v/>
      </c>
      <c r="J196" s="39" t="str">
        <f>IF($B196="","",SUMIFS(Kho_SP!$G$5:$G$304,Kho_SP!$A$5:$A$304,$B196))</f>
        <v/>
      </c>
      <c r="K196" s="39" t="str">
        <f t="shared" si="11"/>
        <v/>
      </c>
      <c r="L196" s="31" t="str">
        <f>IF($B196="","",IFERROR(INDEX(Kho_SP!$I$5:$I$304,MATCH(B196,Kho_SP!$A$5:$A$304,0))&amp;"",""))</f>
        <v/>
      </c>
      <c r="M196" s="44" t="str">
        <f>IF($B196="","",SUMIFS(Kho_SP!$H$5:$H$304,Kho_SP!$A$5:$A$304,$B196))</f>
        <v/>
      </c>
      <c r="N196" s="44" t="str">
        <f t="shared" si="12"/>
        <v/>
      </c>
      <c r="O196" s="45" t="str">
        <f t="shared" si="13"/>
        <v/>
      </c>
      <c r="P196" s="44" t="str">
        <f>IF($B196="","",SUMIFS(TK_Xuat!$E$5:$E$1004,TK_Xuat!$D$5:$D$1004,$B196,TK_Xuat!$H$5:$H$1004,1))</f>
        <v/>
      </c>
      <c r="Q196" s="44" t="str">
        <f t="shared" si="14"/>
        <v/>
      </c>
    </row>
    <row r="197" spans="1:17" x14ac:dyDescent="0.25">
      <c r="A197" s="36" t="str">
        <f t="shared" si="10"/>
        <v/>
      </c>
      <c r="B197" s="35" t="str">
        <f>IF(DM_SP!A191="","",DM_SP!A191)</f>
        <v/>
      </c>
      <c r="C197" s="35" t="str">
        <f>IF(B197="","",DM_SP!B191)</f>
        <v/>
      </c>
      <c r="D197" s="35" t="str">
        <f>IF(B197="","",DM_SP!C191)</f>
        <v/>
      </c>
      <c r="E197" s="39" t="str">
        <f>IF($B197="","",SUMIFS(Kho_SP!$B$5:$B$304,Kho_SP!$A$5:$A$304,$B197))</f>
        <v/>
      </c>
      <c r="F197" s="39" t="str">
        <f>IF($B197="","",SUMIFS(Kho_SP!$C$5:$C$304,Kho_SP!$A$5:$A$304,$B197))</f>
        <v/>
      </c>
      <c r="G197" s="39" t="str">
        <f>IF($B197="","",SUMIFS(Kho_SP!$D$5:$D$304,Kho_SP!$A$5:$A$304,$B197))</f>
        <v/>
      </c>
      <c r="H197" s="39" t="str">
        <f>IF($B197="","",SUMIFS(Kho_SP!$E$5:$E$304,Kho_SP!$A$5:$A$304,$B197))</f>
        <v/>
      </c>
      <c r="I197" s="39" t="str">
        <f>IF($B197="","",SUMIFS(Kho_SP!$F$5:$F$304,Kho_SP!$A$5:$A$304,$B197))</f>
        <v/>
      </c>
      <c r="J197" s="39" t="str">
        <f>IF($B197="","",SUMIFS(Kho_SP!$G$5:$G$304,Kho_SP!$A$5:$A$304,$B197))</f>
        <v/>
      </c>
      <c r="K197" s="39" t="str">
        <f t="shared" si="11"/>
        <v/>
      </c>
      <c r="L197" s="31" t="str">
        <f>IF($B197="","",IFERROR(INDEX(Kho_SP!$I$5:$I$304,MATCH(B197,Kho_SP!$A$5:$A$304,0))&amp;"",""))</f>
        <v/>
      </c>
      <c r="M197" s="44" t="str">
        <f>IF($B197="","",SUMIFS(Kho_SP!$H$5:$H$304,Kho_SP!$A$5:$A$304,$B197))</f>
        <v/>
      </c>
      <c r="N197" s="44" t="str">
        <f t="shared" si="12"/>
        <v/>
      </c>
      <c r="O197" s="45" t="str">
        <f t="shared" si="13"/>
        <v/>
      </c>
      <c r="P197" s="44" t="str">
        <f>IF($B197="","",SUMIFS(TK_Xuat!$E$5:$E$1004,TK_Xuat!$D$5:$D$1004,$B197,TK_Xuat!$H$5:$H$1004,1))</f>
        <v/>
      </c>
      <c r="Q197" s="44" t="str">
        <f t="shared" si="14"/>
        <v/>
      </c>
    </row>
    <row r="198" spans="1:17" x14ac:dyDescent="0.25">
      <c r="A198" s="36" t="str">
        <f t="shared" si="10"/>
        <v/>
      </c>
      <c r="B198" s="35" t="str">
        <f>IF(DM_SP!A192="","",DM_SP!A192)</f>
        <v/>
      </c>
      <c r="C198" s="35" t="str">
        <f>IF(B198="","",DM_SP!B192)</f>
        <v/>
      </c>
      <c r="D198" s="35" t="str">
        <f>IF(B198="","",DM_SP!C192)</f>
        <v/>
      </c>
      <c r="E198" s="39" t="str">
        <f>IF($B198="","",SUMIFS(Kho_SP!$B$5:$B$304,Kho_SP!$A$5:$A$304,$B198))</f>
        <v/>
      </c>
      <c r="F198" s="39" t="str">
        <f>IF($B198="","",SUMIFS(Kho_SP!$C$5:$C$304,Kho_SP!$A$5:$A$304,$B198))</f>
        <v/>
      </c>
      <c r="G198" s="39" t="str">
        <f>IF($B198="","",SUMIFS(Kho_SP!$D$5:$D$304,Kho_SP!$A$5:$A$304,$B198))</f>
        <v/>
      </c>
      <c r="H198" s="39" t="str">
        <f>IF($B198="","",SUMIFS(Kho_SP!$E$5:$E$304,Kho_SP!$A$5:$A$304,$B198))</f>
        <v/>
      </c>
      <c r="I198" s="39" t="str">
        <f>IF($B198="","",SUMIFS(Kho_SP!$F$5:$F$304,Kho_SP!$A$5:$A$304,$B198))</f>
        <v/>
      </c>
      <c r="J198" s="39" t="str">
        <f>IF($B198="","",SUMIFS(Kho_SP!$G$5:$G$304,Kho_SP!$A$5:$A$304,$B198))</f>
        <v/>
      </c>
      <c r="K198" s="39" t="str">
        <f t="shared" si="11"/>
        <v/>
      </c>
      <c r="L198" s="31" t="str">
        <f>IF($B198="","",IFERROR(INDEX(Kho_SP!$I$5:$I$304,MATCH(B198,Kho_SP!$A$5:$A$304,0))&amp;"",""))</f>
        <v/>
      </c>
      <c r="M198" s="44" t="str">
        <f>IF($B198="","",SUMIFS(Kho_SP!$H$5:$H$304,Kho_SP!$A$5:$A$304,$B198))</f>
        <v/>
      </c>
      <c r="N198" s="44" t="str">
        <f t="shared" si="12"/>
        <v/>
      </c>
      <c r="O198" s="45" t="str">
        <f t="shared" si="13"/>
        <v/>
      </c>
      <c r="P198" s="44" t="str">
        <f>IF($B198="","",SUMIFS(TK_Xuat!$E$5:$E$1004,TK_Xuat!$D$5:$D$1004,$B198,TK_Xuat!$H$5:$H$1004,1))</f>
        <v/>
      </c>
      <c r="Q198" s="44" t="str">
        <f t="shared" si="14"/>
        <v/>
      </c>
    </row>
    <row r="199" spans="1:17" x14ac:dyDescent="0.25">
      <c r="A199" s="36" t="str">
        <f t="shared" si="10"/>
        <v/>
      </c>
      <c r="B199" s="35" t="str">
        <f>IF(DM_SP!A193="","",DM_SP!A193)</f>
        <v/>
      </c>
      <c r="C199" s="35" t="str">
        <f>IF(B199="","",DM_SP!B193)</f>
        <v/>
      </c>
      <c r="D199" s="35" t="str">
        <f>IF(B199="","",DM_SP!C193)</f>
        <v/>
      </c>
      <c r="E199" s="39" t="str">
        <f>IF($B199="","",SUMIFS(Kho_SP!$B$5:$B$304,Kho_SP!$A$5:$A$304,$B199))</f>
        <v/>
      </c>
      <c r="F199" s="39" t="str">
        <f>IF($B199="","",SUMIFS(Kho_SP!$C$5:$C$304,Kho_SP!$A$5:$A$304,$B199))</f>
        <v/>
      </c>
      <c r="G199" s="39" t="str">
        <f>IF($B199="","",SUMIFS(Kho_SP!$D$5:$D$304,Kho_SP!$A$5:$A$304,$B199))</f>
        <v/>
      </c>
      <c r="H199" s="39" t="str">
        <f>IF($B199="","",SUMIFS(Kho_SP!$E$5:$E$304,Kho_SP!$A$5:$A$304,$B199))</f>
        <v/>
      </c>
      <c r="I199" s="39" t="str">
        <f>IF($B199="","",SUMIFS(Kho_SP!$F$5:$F$304,Kho_SP!$A$5:$A$304,$B199))</f>
        <v/>
      </c>
      <c r="J199" s="39" t="str">
        <f>IF($B199="","",SUMIFS(Kho_SP!$G$5:$G$304,Kho_SP!$A$5:$A$304,$B199))</f>
        <v/>
      </c>
      <c r="K199" s="39" t="str">
        <f t="shared" si="11"/>
        <v/>
      </c>
      <c r="L199" s="31" t="str">
        <f>IF($B199="","",IFERROR(INDEX(Kho_SP!$I$5:$I$304,MATCH(B199,Kho_SP!$A$5:$A$304,0))&amp;"",""))</f>
        <v/>
      </c>
      <c r="M199" s="44" t="str">
        <f>IF($B199="","",SUMIFS(Kho_SP!$H$5:$H$304,Kho_SP!$A$5:$A$304,$B199))</f>
        <v/>
      </c>
      <c r="N199" s="44" t="str">
        <f t="shared" si="12"/>
        <v/>
      </c>
      <c r="O199" s="45" t="str">
        <f t="shared" si="13"/>
        <v/>
      </c>
      <c r="P199" s="44" t="str">
        <f>IF($B199="","",SUMIFS(TK_Xuat!$E$5:$E$1004,TK_Xuat!$D$5:$D$1004,$B199,TK_Xuat!$H$5:$H$1004,1))</f>
        <v/>
      </c>
      <c r="Q199" s="44" t="str">
        <f t="shared" si="14"/>
        <v/>
      </c>
    </row>
    <row r="200" spans="1:17" x14ac:dyDescent="0.25">
      <c r="A200" s="36" t="str">
        <f t="shared" si="10"/>
        <v/>
      </c>
      <c r="B200" s="35" t="str">
        <f>IF(DM_SP!A194="","",DM_SP!A194)</f>
        <v/>
      </c>
      <c r="C200" s="35" t="str">
        <f>IF(B200="","",DM_SP!B194)</f>
        <v/>
      </c>
      <c r="D200" s="35" t="str">
        <f>IF(B200="","",DM_SP!C194)</f>
        <v/>
      </c>
      <c r="E200" s="39" t="str">
        <f>IF($B200="","",SUMIFS(Kho_SP!$B$5:$B$304,Kho_SP!$A$5:$A$304,$B200))</f>
        <v/>
      </c>
      <c r="F200" s="39" t="str">
        <f>IF($B200="","",SUMIFS(Kho_SP!$C$5:$C$304,Kho_SP!$A$5:$A$304,$B200))</f>
        <v/>
      </c>
      <c r="G200" s="39" t="str">
        <f>IF($B200="","",SUMIFS(Kho_SP!$D$5:$D$304,Kho_SP!$A$5:$A$304,$B200))</f>
        <v/>
      </c>
      <c r="H200" s="39" t="str">
        <f>IF($B200="","",SUMIFS(Kho_SP!$E$5:$E$304,Kho_SP!$A$5:$A$304,$B200))</f>
        <v/>
      </c>
      <c r="I200" s="39" t="str">
        <f>IF($B200="","",SUMIFS(Kho_SP!$F$5:$F$304,Kho_SP!$A$5:$A$304,$B200))</f>
        <v/>
      </c>
      <c r="J200" s="39" t="str">
        <f>IF($B200="","",SUMIFS(Kho_SP!$G$5:$G$304,Kho_SP!$A$5:$A$304,$B200))</f>
        <v/>
      </c>
      <c r="K200" s="39" t="str">
        <f t="shared" si="11"/>
        <v/>
      </c>
      <c r="L200" s="31" t="str">
        <f>IF($B200="","",IFERROR(INDEX(Kho_SP!$I$5:$I$304,MATCH(B200,Kho_SP!$A$5:$A$304,0))&amp;"",""))</f>
        <v/>
      </c>
      <c r="M200" s="44" t="str">
        <f>IF($B200="","",SUMIFS(Kho_SP!$H$5:$H$304,Kho_SP!$A$5:$A$304,$B200))</f>
        <v/>
      </c>
      <c r="N200" s="44" t="str">
        <f t="shared" si="12"/>
        <v/>
      </c>
      <c r="O200" s="45" t="str">
        <f t="shared" si="13"/>
        <v/>
      </c>
      <c r="P200" s="44" t="str">
        <f>IF($B200="","",SUMIFS(TK_Xuat!$E$5:$E$1004,TK_Xuat!$D$5:$D$1004,$B200,TK_Xuat!$H$5:$H$1004,1))</f>
        <v/>
      </c>
      <c r="Q200" s="44" t="str">
        <f t="shared" si="14"/>
        <v/>
      </c>
    </row>
    <row r="201" spans="1:17" x14ac:dyDescent="0.25">
      <c r="A201" s="36" t="str">
        <f t="shared" si="10"/>
        <v/>
      </c>
      <c r="B201" s="35" t="str">
        <f>IF(DM_SP!A195="","",DM_SP!A195)</f>
        <v/>
      </c>
      <c r="C201" s="35" t="str">
        <f>IF(B201="","",DM_SP!B195)</f>
        <v/>
      </c>
      <c r="D201" s="35" t="str">
        <f>IF(B201="","",DM_SP!C195)</f>
        <v/>
      </c>
      <c r="E201" s="39" t="str">
        <f>IF($B201="","",SUMIFS(Kho_SP!$B$5:$B$304,Kho_SP!$A$5:$A$304,$B201))</f>
        <v/>
      </c>
      <c r="F201" s="39" t="str">
        <f>IF($B201="","",SUMIFS(Kho_SP!$C$5:$C$304,Kho_SP!$A$5:$A$304,$B201))</f>
        <v/>
      </c>
      <c r="G201" s="39" t="str">
        <f>IF($B201="","",SUMIFS(Kho_SP!$D$5:$D$304,Kho_SP!$A$5:$A$304,$B201))</f>
        <v/>
      </c>
      <c r="H201" s="39" t="str">
        <f>IF($B201="","",SUMIFS(Kho_SP!$E$5:$E$304,Kho_SP!$A$5:$A$304,$B201))</f>
        <v/>
      </c>
      <c r="I201" s="39" t="str">
        <f>IF($B201="","",SUMIFS(Kho_SP!$F$5:$F$304,Kho_SP!$A$5:$A$304,$B201))</f>
        <v/>
      </c>
      <c r="J201" s="39" t="str">
        <f>IF($B201="","",SUMIFS(Kho_SP!$G$5:$G$304,Kho_SP!$A$5:$A$304,$B201))</f>
        <v/>
      </c>
      <c r="K201" s="39" t="str">
        <f t="shared" si="11"/>
        <v/>
      </c>
      <c r="L201" s="31" t="str">
        <f>IF($B201="","",IFERROR(INDEX(Kho_SP!$I$5:$I$304,MATCH(B201,Kho_SP!$A$5:$A$304,0))&amp;"",""))</f>
        <v/>
      </c>
      <c r="M201" s="44" t="str">
        <f>IF($B201="","",SUMIFS(Kho_SP!$H$5:$H$304,Kho_SP!$A$5:$A$304,$B201))</f>
        <v/>
      </c>
      <c r="N201" s="44" t="str">
        <f t="shared" si="12"/>
        <v/>
      </c>
      <c r="O201" s="45" t="str">
        <f t="shared" si="13"/>
        <v/>
      </c>
      <c r="P201" s="44" t="str">
        <f>IF($B201="","",SUMIFS(TK_Xuat!$E$5:$E$1004,TK_Xuat!$D$5:$D$1004,$B201,TK_Xuat!$H$5:$H$1004,1))</f>
        <v/>
      </c>
      <c r="Q201" s="44" t="str">
        <f t="shared" si="14"/>
        <v/>
      </c>
    </row>
    <row r="202" spans="1:17" x14ac:dyDescent="0.25">
      <c r="A202" s="36" t="str">
        <f t="shared" si="10"/>
        <v/>
      </c>
      <c r="B202" s="35" t="str">
        <f>IF(DM_SP!A196="","",DM_SP!A196)</f>
        <v/>
      </c>
      <c r="C202" s="35" t="str">
        <f>IF(B202="","",DM_SP!B196)</f>
        <v/>
      </c>
      <c r="D202" s="35" t="str">
        <f>IF(B202="","",DM_SP!C196)</f>
        <v/>
      </c>
      <c r="E202" s="39" t="str">
        <f>IF($B202="","",SUMIFS(Kho_SP!$B$5:$B$304,Kho_SP!$A$5:$A$304,$B202))</f>
        <v/>
      </c>
      <c r="F202" s="39" t="str">
        <f>IF($B202="","",SUMIFS(Kho_SP!$C$5:$C$304,Kho_SP!$A$5:$A$304,$B202))</f>
        <v/>
      </c>
      <c r="G202" s="39" t="str">
        <f>IF($B202="","",SUMIFS(Kho_SP!$D$5:$D$304,Kho_SP!$A$5:$A$304,$B202))</f>
        <v/>
      </c>
      <c r="H202" s="39" t="str">
        <f>IF($B202="","",SUMIFS(Kho_SP!$E$5:$E$304,Kho_SP!$A$5:$A$304,$B202))</f>
        <v/>
      </c>
      <c r="I202" s="39" t="str">
        <f>IF($B202="","",SUMIFS(Kho_SP!$F$5:$F$304,Kho_SP!$A$5:$A$304,$B202))</f>
        <v/>
      </c>
      <c r="J202" s="39" t="str">
        <f>IF($B202="","",SUMIFS(Kho_SP!$G$5:$G$304,Kho_SP!$A$5:$A$304,$B202))</f>
        <v/>
      </c>
      <c r="K202" s="39" t="str">
        <f t="shared" si="11"/>
        <v/>
      </c>
      <c r="L202" s="31" t="str">
        <f>IF($B202="","",IFERROR(INDEX(Kho_SP!$I$5:$I$304,MATCH(B202,Kho_SP!$A$5:$A$304,0))&amp;"",""))</f>
        <v/>
      </c>
      <c r="M202" s="44" t="str">
        <f>IF($B202="","",SUMIFS(Kho_SP!$H$5:$H$304,Kho_SP!$A$5:$A$304,$B202))</f>
        <v/>
      </c>
      <c r="N202" s="44" t="str">
        <f t="shared" si="12"/>
        <v/>
      </c>
      <c r="O202" s="45" t="str">
        <f t="shared" si="13"/>
        <v/>
      </c>
      <c r="P202" s="44" t="str">
        <f>IF($B202="","",SUMIFS(TK_Xuat!$E$5:$E$1004,TK_Xuat!$D$5:$D$1004,$B202,TK_Xuat!$H$5:$H$1004,1))</f>
        <v/>
      </c>
      <c r="Q202" s="44" t="str">
        <f t="shared" si="14"/>
        <v/>
      </c>
    </row>
    <row r="203" spans="1:17" x14ac:dyDescent="0.25">
      <c r="A203" s="36" t="str">
        <f t="shared" ref="A203:A266" si="15">IF(B203="","",ROW()-10)</f>
        <v/>
      </c>
      <c r="B203" s="35" t="str">
        <f>IF(DM_SP!A197="","",DM_SP!A197)</f>
        <v/>
      </c>
      <c r="C203" s="35" t="str">
        <f>IF(B203="","",DM_SP!B197)</f>
        <v/>
      </c>
      <c r="D203" s="35" t="str">
        <f>IF(B203="","",DM_SP!C197)</f>
        <v/>
      </c>
      <c r="E203" s="39" t="str">
        <f>IF($B203="","",SUMIFS(Kho_SP!$B$5:$B$304,Kho_SP!$A$5:$A$304,$B203))</f>
        <v/>
      </c>
      <c r="F203" s="39" t="str">
        <f>IF($B203="","",SUMIFS(Kho_SP!$C$5:$C$304,Kho_SP!$A$5:$A$304,$B203))</f>
        <v/>
      </c>
      <c r="G203" s="39" t="str">
        <f>IF($B203="","",SUMIFS(Kho_SP!$D$5:$D$304,Kho_SP!$A$5:$A$304,$B203))</f>
        <v/>
      </c>
      <c r="H203" s="39" t="str">
        <f>IF($B203="","",SUMIFS(Kho_SP!$E$5:$E$304,Kho_SP!$A$5:$A$304,$B203))</f>
        <v/>
      </c>
      <c r="I203" s="39" t="str">
        <f>IF($B203="","",SUMIFS(Kho_SP!$F$5:$F$304,Kho_SP!$A$5:$A$304,$B203))</f>
        <v/>
      </c>
      <c r="J203" s="39" t="str">
        <f>IF($B203="","",SUMIFS(Kho_SP!$G$5:$G$304,Kho_SP!$A$5:$A$304,$B203))</f>
        <v/>
      </c>
      <c r="K203" s="39" t="str">
        <f t="shared" ref="K203:K266" si="16">IF($B203="","",E203+F203+G203-H203-I203-J203)</f>
        <v/>
      </c>
      <c r="L203" s="31" t="str">
        <f>IF($B203="","",IFERROR(INDEX(Kho_SP!$I$5:$I$304,MATCH(B203,Kho_SP!$A$5:$A$304,0))&amp;"",""))</f>
        <v/>
      </c>
      <c r="M203" s="44" t="str">
        <f>IF($B203="","",SUMIFS(Kho_SP!$H$5:$H$304,Kho_SP!$A$5:$A$304,$B203))</f>
        <v/>
      </c>
      <c r="N203" s="44" t="str">
        <f t="shared" ref="N203:N266" si="17">IF($B203="","",K203-M203)</f>
        <v/>
      </c>
      <c r="O203" s="45" t="str">
        <f t="shared" ref="O203:O266" si="18">IF($B203="","",IF(ABS(N203)&lt;0.000001,"Khớp","Lệch"))</f>
        <v/>
      </c>
      <c r="P203" s="44" t="str">
        <f>IF($B203="","",SUMIFS(TK_Xuat!$E$5:$E$1004,TK_Xuat!$D$5:$D$1004,$B203,TK_Xuat!$H$5:$H$1004,1))</f>
        <v/>
      </c>
      <c r="Q203" s="44" t="str">
        <f t="shared" ref="Q203:Q266" si="19">IF($B203="","",I203-P203)</f>
        <v/>
      </c>
    </row>
    <row r="204" spans="1:17" x14ac:dyDescent="0.25">
      <c r="A204" s="36" t="str">
        <f t="shared" si="15"/>
        <v/>
      </c>
      <c r="B204" s="35" t="str">
        <f>IF(DM_SP!A198="","",DM_SP!A198)</f>
        <v/>
      </c>
      <c r="C204" s="35" t="str">
        <f>IF(B204="","",DM_SP!B198)</f>
        <v/>
      </c>
      <c r="D204" s="35" t="str">
        <f>IF(B204="","",DM_SP!C198)</f>
        <v/>
      </c>
      <c r="E204" s="39" t="str">
        <f>IF($B204="","",SUMIFS(Kho_SP!$B$5:$B$304,Kho_SP!$A$5:$A$304,$B204))</f>
        <v/>
      </c>
      <c r="F204" s="39" t="str">
        <f>IF($B204="","",SUMIFS(Kho_SP!$C$5:$C$304,Kho_SP!$A$5:$A$304,$B204))</f>
        <v/>
      </c>
      <c r="G204" s="39" t="str">
        <f>IF($B204="","",SUMIFS(Kho_SP!$D$5:$D$304,Kho_SP!$A$5:$A$304,$B204))</f>
        <v/>
      </c>
      <c r="H204" s="39" t="str">
        <f>IF($B204="","",SUMIFS(Kho_SP!$E$5:$E$304,Kho_SP!$A$5:$A$304,$B204))</f>
        <v/>
      </c>
      <c r="I204" s="39" t="str">
        <f>IF($B204="","",SUMIFS(Kho_SP!$F$5:$F$304,Kho_SP!$A$5:$A$304,$B204))</f>
        <v/>
      </c>
      <c r="J204" s="39" t="str">
        <f>IF($B204="","",SUMIFS(Kho_SP!$G$5:$G$304,Kho_SP!$A$5:$A$304,$B204))</f>
        <v/>
      </c>
      <c r="K204" s="39" t="str">
        <f t="shared" si="16"/>
        <v/>
      </c>
      <c r="L204" s="31" t="str">
        <f>IF($B204="","",IFERROR(INDEX(Kho_SP!$I$5:$I$304,MATCH(B204,Kho_SP!$A$5:$A$304,0))&amp;"",""))</f>
        <v/>
      </c>
      <c r="M204" s="44" t="str">
        <f>IF($B204="","",SUMIFS(Kho_SP!$H$5:$H$304,Kho_SP!$A$5:$A$304,$B204))</f>
        <v/>
      </c>
      <c r="N204" s="44" t="str">
        <f t="shared" si="17"/>
        <v/>
      </c>
      <c r="O204" s="45" t="str">
        <f t="shared" si="18"/>
        <v/>
      </c>
      <c r="P204" s="44" t="str">
        <f>IF($B204="","",SUMIFS(TK_Xuat!$E$5:$E$1004,TK_Xuat!$D$5:$D$1004,$B204,TK_Xuat!$H$5:$H$1004,1))</f>
        <v/>
      </c>
      <c r="Q204" s="44" t="str">
        <f t="shared" si="19"/>
        <v/>
      </c>
    </row>
    <row r="205" spans="1:17" x14ac:dyDescent="0.25">
      <c r="A205" s="36" t="str">
        <f t="shared" si="15"/>
        <v/>
      </c>
      <c r="B205" s="35" t="str">
        <f>IF(DM_SP!A199="","",DM_SP!A199)</f>
        <v/>
      </c>
      <c r="C205" s="35" t="str">
        <f>IF(B205="","",DM_SP!B199)</f>
        <v/>
      </c>
      <c r="D205" s="35" t="str">
        <f>IF(B205="","",DM_SP!C199)</f>
        <v/>
      </c>
      <c r="E205" s="39" t="str">
        <f>IF($B205="","",SUMIFS(Kho_SP!$B$5:$B$304,Kho_SP!$A$5:$A$304,$B205))</f>
        <v/>
      </c>
      <c r="F205" s="39" t="str">
        <f>IF($B205="","",SUMIFS(Kho_SP!$C$5:$C$304,Kho_SP!$A$5:$A$304,$B205))</f>
        <v/>
      </c>
      <c r="G205" s="39" t="str">
        <f>IF($B205="","",SUMIFS(Kho_SP!$D$5:$D$304,Kho_SP!$A$5:$A$304,$B205))</f>
        <v/>
      </c>
      <c r="H205" s="39" t="str">
        <f>IF($B205="","",SUMIFS(Kho_SP!$E$5:$E$304,Kho_SP!$A$5:$A$304,$B205))</f>
        <v/>
      </c>
      <c r="I205" s="39" t="str">
        <f>IF($B205="","",SUMIFS(Kho_SP!$F$5:$F$304,Kho_SP!$A$5:$A$304,$B205))</f>
        <v/>
      </c>
      <c r="J205" s="39" t="str">
        <f>IF($B205="","",SUMIFS(Kho_SP!$G$5:$G$304,Kho_SP!$A$5:$A$304,$B205))</f>
        <v/>
      </c>
      <c r="K205" s="39" t="str">
        <f t="shared" si="16"/>
        <v/>
      </c>
      <c r="L205" s="31" t="str">
        <f>IF($B205="","",IFERROR(INDEX(Kho_SP!$I$5:$I$304,MATCH(B205,Kho_SP!$A$5:$A$304,0))&amp;"",""))</f>
        <v/>
      </c>
      <c r="M205" s="44" t="str">
        <f>IF($B205="","",SUMIFS(Kho_SP!$H$5:$H$304,Kho_SP!$A$5:$A$304,$B205))</f>
        <v/>
      </c>
      <c r="N205" s="44" t="str">
        <f t="shared" si="17"/>
        <v/>
      </c>
      <c r="O205" s="45" t="str">
        <f t="shared" si="18"/>
        <v/>
      </c>
      <c r="P205" s="44" t="str">
        <f>IF($B205="","",SUMIFS(TK_Xuat!$E$5:$E$1004,TK_Xuat!$D$5:$D$1004,$B205,TK_Xuat!$H$5:$H$1004,1))</f>
        <v/>
      </c>
      <c r="Q205" s="44" t="str">
        <f t="shared" si="19"/>
        <v/>
      </c>
    </row>
    <row r="206" spans="1:17" x14ac:dyDescent="0.25">
      <c r="A206" s="36" t="str">
        <f t="shared" si="15"/>
        <v/>
      </c>
      <c r="B206" s="35" t="str">
        <f>IF(DM_SP!A200="","",DM_SP!A200)</f>
        <v/>
      </c>
      <c r="C206" s="35" t="str">
        <f>IF(B206="","",DM_SP!B200)</f>
        <v/>
      </c>
      <c r="D206" s="35" t="str">
        <f>IF(B206="","",DM_SP!C200)</f>
        <v/>
      </c>
      <c r="E206" s="39" t="str">
        <f>IF($B206="","",SUMIFS(Kho_SP!$B$5:$B$304,Kho_SP!$A$5:$A$304,$B206))</f>
        <v/>
      </c>
      <c r="F206" s="39" t="str">
        <f>IF($B206="","",SUMIFS(Kho_SP!$C$5:$C$304,Kho_SP!$A$5:$A$304,$B206))</f>
        <v/>
      </c>
      <c r="G206" s="39" t="str">
        <f>IF($B206="","",SUMIFS(Kho_SP!$D$5:$D$304,Kho_SP!$A$5:$A$304,$B206))</f>
        <v/>
      </c>
      <c r="H206" s="39" t="str">
        <f>IF($B206="","",SUMIFS(Kho_SP!$E$5:$E$304,Kho_SP!$A$5:$A$304,$B206))</f>
        <v/>
      </c>
      <c r="I206" s="39" t="str">
        <f>IF($B206="","",SUMIFS(Kho_SP!$F$5:$F$304,Kho_SP!$A$5:$A$304,$B206))</f>
        <v/>
      </c>
      <c r="J206" s="39" t="str">
        <f>IF($B206="","",SUMIFS(Kho_SP!$G$5:$G$304,Kho_SP!$A$5:$A$304,$B206))</f>
        <v/>
      </c>
      <c r="K206" s="39" t="str">
        <f t="shared" si="16"/>
        <v/>
      </c>
      <c r="L206" s="31" t="str">
        <f>IF($B206="","",IFERROR(INDEX(Kho_SP!$I$5:$I$304,MATCH(B206,Kho_SP!$A$5:$A$304,0))&amp;"",""))</f>
        <v/>
      </c>
      <c r="M206" s="44" t="str">
        <f>IF($B206="","",SUMIFS(Kho_SP!$H$5:$H$304,Kho_SP!$A$5:$A$304,$B206))</f>
        <v/>
      </c>
      <c r="N206" s="44" t="str">
        <f t="shared" si="17"/>
        <v/>
      </c>
      <c r="O206" s="45" t="str">
        <f t="shared" si="18"/>
        <v/>
      </c>
      <c r="P206" s="44" t="str">
        <f>IF($B206="","",SUMIFS(TK_Xuat!$E$5:$E$1004,TK_Xuat!$D$5:$D$1004,$B206,TK_Xuat!$H$5:$H$1004,1))</f>
        <v/>
      </c>
      <c r="Q206" s="44" t="str">
        <f t="shared" si="19"/>
        <v/>
      </c>
    </row>
    <row r="207" spans="1:17" x14ac:dyDescent="0.25">
      <c r="A207" s="36" t="str">
        <f t="shared" si="15"/>
        <v/>
      </c>
      <c r="B207" s="35" t="str">
        <f>IF(DM_SP!A201="","",DM_SP!A201)</f>
        <v/>
      </c>
      <c r="C207" s="35" t="str">
        <f>IF(B207="","",DM_SP!B201)</f>
        <v/>
      </c>
      <c r="D207" s="35" t="str">
        <f>IF(B207="","",DM_SP!C201)</f>
        <v/>
      </c>
      <c r="E207" s="39" t="str">
        <f>IF($B207="","",SUMIFS(Kho_SP!$B$5:$B$304,Kho_SP!$A$5:$A$304,$B207))</f>
        <v/>
      </c>
      <c r="F207" s="39" t="str">
        <f>IF($B207="","",SUMIFS(Kho_SP!$C$5:$C$304,Kho_SP!$A$5:$A$304,$B207))</f>
        <v/>
      </c>
      <c r="G207" s="39" t="str">
        <f>IF($B207="","",SUMIFS(Kho_SP!$D$5:$D$304,Kho_SP!$A$5:$A$304,$B207))</f>
        <v/>
      </c>
      <c r="H207" s="39" t="str">
        <f>IF($B207="","",SUMIFS(Kho_SP!$E$5:$E$304,Kho_SP!$A$5:$A$304,$B207))</f>
        <v/>
      </c>
      <c r="I207" s="39" t="str">
        <f>IF($B207="","",SUMIFS(Kho_SP!$F$5:$F$304,Kho_SP!$A$5:$A$304,$B207))</f>
        <v/>
      </c>
      <c r="J207" s="39" t="str">
        <f>IF($B207="","",SUMIFS(Kho_SP!$G$5:$G$304,Kho_SP!$A$5:$A$304,$B207))</f>
        <v/>
      </c>
      <c r="K207" s="39" t="str">
        <f t="shared" si="16"/>
        <v/>
      </c>
      <c r="L207" s="31" t="str">
        <f>IF($B207="","",IFERROR(INDEX(Kho_SP!$I$5:$I$304,MATCH(B207,Kho_SP!$A$5:$A$304,0))&amp;"",""))</f>
        <v/>
      </c>
      <c r="M207" s="44" t="str">
        <f>IF($B207="","",SUMIFS(Kho_SP!$H$5:$H$304,Kho_SP!$A$5:$A$304,$B207))</f>
        <v/>
      </c>
      <c r="N207" s="44" t="str">
        <f t="shared" si="17"/>
        <v/>
      </c>
      <c r="O207" s="45" t="str">
        <f t="shared" si="18"/>
        <v/>
      </c>
      <c r="P207" s="44" t="str">
        <f>IF($B207="","",SUMIFS(TK_Xuat!$E$5:$E$1004,TK_Xuat!$D$5:$D$1004,$B207,TK_Xuat!$H$5:$H$1004,1))</f>
        <v/>
      </c>
      <c r="Q207" s="44" t="str">
        <f t="shared" si="19"/>
        <v/>
      </c>
    </row>
    <row r="208" spans="1:17" x14ac:dyDescent="0.25">
      <c r="A208" s="36" t="str">
        <f t="shared" si="15"/>
        <v/>
      </c>
      <c r="B208" s="35" t="str">
        <f>IF(DM_SP!A202="","",DM_SP!A202)</f>
        <v/>
      </c>
      <c r="C208" s="35" t="str">
        <f>IF(B208="","",DM_SP!B202)</f>
        <v/>
      </c>
      <c r="D208" s="35" t="str">
        <f>IF(B208="","",DM_SP!C202)</f>
        <v/>
      </c>
      <c r="E208" s="39" t="str">
        <f>IF($B208="","",SUMIFS(Kho_SP!$B$5:$B$304,Kho_SP!$A$5:$A$304,$B208))</f>
        <v/>
      </c>
      <c r="F208" s="39" t="str">
        <f>IF($B208="","",SUMIFS(Kho_SP!$C$5:$C$304,Kho_SP!$A$5:$A$304,$B208))</f>
        <v/>
      </c>
      <c r="G208" s="39" t="str">
        <f>IF($B208="","",SUMIFS(Kho_SP!$D$5:$D$304,Kho_SP!$A$5:$A$304,$B208))</f>
        <v/>
      </c>
      <c r="H208" s="39" t="str">
        <f>IF($B208="","",SUMIFS(Kho_SP!$E$5:$E$304,Kho_SP!$A$5:$A$304,$B208))</f>
        <v/>
      </c>
      <c r="I208" s="39" t="str">
        <f>IF($B208="","",SUMIFS(Kho_SP!$F$5:$F$304,Kho_SP!$A$5:$A$304,$B208))</f>
        <v/>
      </c>
      <c r="J208" s="39" t="str">
        <f>IF($B208="","",SUMIFS(Kho_SP!$G$5:$G$304,Kho_SP!$A$5:$A$304,$B208))</f>
        <v/>
      </c>
      <c r="K208" s="39" t="str">
        <f t="shared" si="16"/>
        <v/>
      </c>
      <c r="L208" s="31" t="str">
        <f>IF($B208="","",IFERROR(INDEX(Kho_SP!$I$5:$I$304,MATCH(B208,Kho_SP!$A$5:$A$304,0))&amp;"",""))</f>
        <v/>
      </c>
      <c r="M208" s="44" t="str">
        <f>IF($B208="","",SUMIFS(Kho_SP!$H$5:$H$304,Kho_SP!$A$5:$A$304,$B208))</f>
        <v/>
      </c>
      <c r="N208" s="44" t="str">
        <f t="shared" si="17"/>
        <v/>
      </c>
      <c r="O208" s="45" t="str">
        <f t="shared" si="18"/>
        <v/>
      </c>
      <c r="P208" s="44" t="str">
        <f>IF($B208="","",SUMIFS(TK_Xuat!$E$5:$E$1004,TK_Xuat!$D$5:$D$1004,$B208,TK_Xuat!$H$5:$H$1004,1))</f>
        <v/>
      </c>
      <c r="Q208" s="44" t="str">
        <f t="shared" si="19"/>
        <v/>
      </c>
    </row>
    <row r="209" spans="1:17" x14ac:dyDescent="0.25">
      <c r="A209" s="36" t="str">
        <f t="shared" si="15"/>
        <v/>
      </c>
      <c r="B209" s="35" t="str">
        <f>IF(DM_SP!A203="","",DM_SP!A203)</f>
        <v/>
      </c>
      <c r="C209" s="35" t="str">
        <f>IF(B209="","",DM_SP!B203)</f>
        <v/>
      </c>
      <c r="D209" s="35" t="str">
        <f>IF(B209="","",DM_SP!C203)</f>
        <v/>
      </c>
      <c r="E209" s="39" t="str">
        <f>IF($B209="","",SUMIFS(Kho_SP!$B$5:$B$304,Kho_SP!$A$5:$A$304,$B209))</f>
        <v/>
      </c>
      <c r="F209" s="39" t="str">
        <f>IF($B209="","",SUMIFS(Kho_SP!$C$5:$C$304,Kho_SP!$A$5:$A$304,$B209))</f>
        <v/>
      </c>
      <c r="G209" s="39" t="str">
        <f>IF($B209="","",SUMIFS(Kho_SP!$D$5:$D$304,Kho_SP!$A$5:$A$304,$B209))</f>
        <v/>
      </c>
      <c r="H209" s="39" t="str">
        <f>IF($B209="","",SUMIFS(Kho_SP!$E$5:$E$304,Kho_SP!$A$5:$A$304,$B209))</f>
        <v/>
      </c>
      <c r="I209" s="39" t="str">
        <f>IF($B209="","",SUMIFS(Kho_SP!$F$5:$F$304,Kho_SP!$A$5:$A$304,$B209))</f>
        <v/>
      </c>
      <c r="J209" s="39" t="str">
        <f>IF($B209="","",SUMIFS(Kho_SP!$G$5:$G$304,Kho_SP!$A$5:$A$304,$B209))</f>
        <v/>
      </c>
      <c r="K209" s="39" t="str">
        <f t="shared" si="16"/>
        <v/>
      </c>
      <c r="L209" s="31" t="str">
        <f>IF($B209="","",IFERROR(INDEX(Kho_SP!$I$5:$I$304,MATCH(B209,Kho_SP!$A$5:$A$304,0))&amp;"",""))</f>
        <v/>
      </c>
      <c r="M209" s="44" t="str">
        <f>IF($B209="","",SUMIFS(Kho_SP!$H$5:$H$304,Kho_SP!$A$5:$A$304,$B209))</f>
        <v/>
      </c>
      <c r="N209" s="44" t="str">
        <f t="shared" si="17"/>
        <v/>
      </c>
      <c r="O209" s="45" t="str">
        <f t="shared" si="18"/>
        <v/>
      </c>
      <c r="P209" s="44" t="str">
        <f>IF($B209="","",SUMIFS(TK_Xuat!$E$5:$E$1004,TK_Xuat!$D$5:$D$1004,$B209,TK_Xuat!$H$5:$H$1004,1))</f>
        <v/>
      </c>
      <c r="Q209" s="44" t="str">
        <f t="shared" si="19"/>
        <v/>
      </c>
    </row>
    <row r="210" spans="1:17" x14ac:dyDescent="0.25">
      <c r="A210" s="36" t="str">
        <f t="shared" si="15"/>
        <v/>
      </c>
      <c r="B210" s="35" t="str">
        <f>IF(DM_SP!A204="","",DM_SP!A204)</f>
        <v/>
      </c>
      <c r="C210" s="35" t="str">
        <f>IF(B210="","",DM_SP!B204)</f>
        <v/>
      </c>
      <c r="D210" s="35" t="str">
        <f>IF(B210="","",DM_SP!C204)</f>
        <v/>
      </c>
      <c r="E210" s="39" t="str">
        <f>IF($B210="","",SUMIFS(Kho_SP!$B$5:$B$304,Kho_SP!$A$5:$A$304,$B210))</f>
        <v/>
      </c>
      <c r="F210" s="39" t="str">
        <f>IF($B210="","",SUMIFS(Kho_SP!$C$5:$C$304,Kho_SP!$A$5:$A$304,$B210))</f>
        <v/>
      </c>
      <c r="G210" s="39" t="str">
        <f>IF($B210="","",SUMIFS(Kho_SP!$D$5:$D$304,Kho_SP!$A$5:$A$304,$B210))</f>
        <v/>
      </c>
      <c r="H210" s="39" t="str">
        <f>IF($B210="","",SUMIFS(Kho_SP!$E$5:$E$304,Kho_SP!$A$5:$A$304,$B210))</f>
        <v/>
      </c>
      <c r="I210" s="39" t="str">
        <f>IF($B210="","",SUMIFS(Kho_SP!$F$5:$F$304,Kho_SP!$A$5:$A$304,$B210))</f>
        <v/>
      </c>
      <c r="J210" s="39" t="str">
        <f>IF($B210="","",SUMIFS(Kho_SP!$G$5:$G$304,Kho_SP!$A$5:$A$304,$B210))</f>
        <v/>
      </c>
      <c r="K210" s="39" t="str">
        <f t="shared" si="16"/>
        <v/>
      </c>
      <c r="L210" s="31" t="str">
        <f>IF($B210="","",IFERROR(INDEX(Kho_SP!$I$5:$I$304,MATCH(B210,Kho_SP!$A$5:$A$304,0))&amp;"",""))</f>
        <v/>
      </c>
      <c r="M210" s="44" t="str">
        <f>IF($B210="","",SUMIFS(Kho_SP!$H$5:$H$304,Kho_SP!$A$5:$A$304,$B210))</f>
        <v/>
      </c>
      <c r="N210" s="44" t="str">
        <f t="shared" si="17"/>
        <v/>
      </c>
      <c r="O210" s="45" t="str">
        <f t="shared" si="18"/>
        <v/>
      </c>
      <c r="P210" s="44" t="str">
        <f>IF($B210="","",SUMIFS(TK_Xuat!$E$5:$E$1004,TK_Xuat!$D$5:$D$1004,$B210,TK_Xuat!$H$5:$H$1004,1))</f>
        <v/>
      </c>
      <c r="Q210" s="44" t="str">
        <f t="shared" si="19"/>
        <v/>
      </c>
    </row>
    <row r="211" spans="1:17" x14ac:dyDescent="0.25">
      <c r="A211" s="36" t="str">
        <f t="shared" si="15"/>
        <v/>
      </c>
      <c r="B211" s="35" t="str">
        <f>IF(DM_SP!A205="","",DM_SP!A205)</f>
        <v/>
      </c>
      <c r="C211" s="35" t="str">
        <f>IF(B211="","",DM_SP!B205)</f>
        <v/>
      </c>
      <c r="D211" s="35" t="str">
        <f>IF(B211="","",DM_SP!C205)</f>
        <v/>
      </c>
      <c r="E211" s="39" t="str">
        <f>IF($B211="","",SUMIFS(Kho_SP!$B$5:$B$304,Kho_SP!$A$5:$A$304,$B211))</f>
        <v/>
      </c>
      <c r="F211" s="39" t="str">
        <f>IF($B211="","",SUMIFS(Kho_SP!$C$5:$C$304,Kho_SP!$A$5:$A$304,$B211))</f>
        <v/>
      </c>
      <c r="G211" s="39" t="str">
        <f>IF($B211="","",SUMIFS(Kho_SP!$D$5:$D$304,Kho_SP!$A$5:$A$304,$B211))</f>
        <v/>
      </c>
      <c r="H211" s="39" t="str">
        <f>IF($B211="","",SUMIFS(Kho_SP!$E$5:$E$304,Kho_SP!$A$5:$A$304,$B211))</f>
        <v/>
      </c>
      <c r="I211" s="39" t="str">
        <f>IF($B211="","",SUMIFS(Kho_SP!$F$5:$F$304,Kho_SP!$A$5:$A$304,$B211))</f>
        <v/>
      </c>
      <c r="J211" s="39" t="str">
        <f>IF($B211="","",SUMIFS(Kho_SP!$G$5:$G$304,Kho_SP!$A$5:$A$304,$B211))</f>
        <v/>
      </c>
      <c r="K211" s="39" t="str">
        <f t="shared" si="16"/>
        <v/>
      </c>
      <c r="L211" s="31" t="str">
        <f>IF($B211="","",IFERROR(INDEX(Kho_SP!$I$5:$I$304,MATCH(B211,Kho_SP!$A$5:$A$304,0))&amp;"",""))</f>
        <v/>
      </c>
      <c r="M211" s="44" t="str">
        <f>IF($B211="","",SUMIFS(Kho_SP!$H$5:$H$304,Kho_SP!$A$5:$A$304,$B211))</f>
        <v/>
      </c>
      <c r="N211" s="44" t="str">
        <f t="shared" si="17"/>
        <v/>
      </c>
      <c r="O211" s="45" t="str">
        <f t="shared" si="18"/>
        <v/>
      </c>
      <c r="P211" s="44" t="str">
        <f>IF($B211="","",SUMIFS(TK_Xuat!$E$5:$E$1004,TK_Xuat!$D$5:$D$1004,$B211,TK_Xuat!$H$5:$H$1004,1))</f>
        <v/>
      </c>
      <c r="Q211" s="44" t="str">
        <f t="shared" si="19"/>
        <v/>
      </c>
    </row>
    <row r="212" spans="1:17" x14ac:dyDescent="0.25">
      <c r="A212" s="36" t="str">
        <f t="shared" si="15"/>
        <v/>
      </c>
      <c r="B212" s="35" t="str">
        <f>IF(DM_SP!A206="","",DM_SP!A206)</f>
        <v/>
      </c>
      <c r="C212" s="35" t="str">
        <f>IF(B212="","",DM_SP!B206)</f>
        <v/>
      </c>
      <c r="D212" s="35" t="str">
        <f>IF(B212="","",DM_SP!C206)</f>
        <v/>
      </c>
      <c r="E212" s="39" t="str">
        <f>IF($B212="","",SUMIFS(Kho_SP!$B$5:$B$304,Kho_SP!$A$5:$A$304,$B212))</f>
        <v/>
      </c>
      <c r="F212" s="39" t="str">
        <f>IF($B212="","",SUMIFS(Kho_SP!$C$5:$C$304,Kho_SP!$A$5:$A$304,$B212))</f>
        <v/>
      </c>
      <c r="G212" s="39" t="str">
        <f>IF($B212="","",SUMIFS(Kho_SP!$D$5:$D$304,Kho_SP!$A$5:$A$304,$B212))</f>
        <v/>
      </c>
      <c r="H212" s="39" t="str">
        <f>IF($B212="","",SUMIFS(Kho_SP!$E$5:$E$304,Kho_SP!$A$5:$A$304,$B212))</f>
        <v/>
      </c>
      <c r="I212" s="39" t="str">
        <f>IF($B212="","",SUMIFS(Kho_SP!$F$5:$F$304,Kho_SP!$A$5:$A$304,$B212))</f>
        <v/>
      </c>
      <c r="J212" s="39" t="str">
        <f>IF($B212="","",SUMIFS(Kho_SP!$G$5:$G$304,Kho_SP!$A$5:$A$304,$B212))</f>
        <v/>
      </c>
      <c r="K212" s="39" t="str">
        <f t="shared" si="16"/>
        <v/>
      </c>
      <c r="L212" s="31" t="str">
        <f>IF($B212="","",IFERROR(INDEX(Kho_SP!$I$5:$I$304,MATCH(B212,Kho_SP!$A$5:$A$304,0))&amp;"",""))</f>
        <v/>
      </c>
      <c r="M212" s="44" t="str">
        <f>IF($B212="","",SUMIFS(Kho_SP!$H$5:$H$304,Kho_SP!$A$5:$A$304,$B212))</f>
        <v/>
      </c>
      <c r="N212" s="44" t="str">
        <f t="shared" si="17"/>
        <v/>
      </c>
      <c r="O212" s="45" t="str">
        <f t="shared" si="18"/>
        <v/>
      </c>
      <c r="P212" s="44" t="str">
        <f>IF($B212="","",SUMIFS(TK_Xuat!$E$5:$E$1004,TK_Xuat!$D$5:$D$1004,$B212,TK_Xuat!$H$5:$H$1004,1))</f>
        <v/>
      </c>
      <c r="Q212" s="44" t="str">
        <f t="shared" si="19"/>
        <v/>
      </c>
    </row>
    <row r="213" spans="1:17" x14ac:dyDescent="0.25">
      <c r="A213" s="36" t="str">
        <f t="shared" si="15"/>
        <v/>
      </c>
      <c r="B213" s="35" t="str">
        <f>IF(DM_SP!A207="","",DM_SP!A207)</f>
        <v/>
      </c>
      <c r="C213" s="35" t="str">
        <f>IF(B213="","",DM_SP!B207)</f>
        <v/>
      </c>
      <c r="D213" s="35" t="str">
        <f>IF(B213="","",DM_SP!C207)</f>
        <v/>
      </c>
      <c r="E213" s="39" t="str">
        <f>IF($B213="","",SUMIFS(Kho_SP!$B$5:$B$304,Kho_SP!$A$5:$A$304,$B213))</f>
        <v/>
      </c>
      <c r="F213" s="39" t="str">
        <f>IF($B213="","",SUMIFS(Kho_SP!$C$5:$C$304,Kho_SP!$A$5:$A$304,$B213))</f>
        <v/>
      </c>
      <c r="G213" s="39" t="str">
        <f>IF($B213="","",SUMIFS(Kho_SP!$D$5:$D$304,Kho_SP!$A$5:$A$304,$B213))</f>
        <v/>
      </c>
      <c r="H213" s="39" t="str">
        <f>IF($B213="","",SUMIFS(Kho_SP!$E$5:$E$304,Kho_SP!$A$5:$A$304,$B213))</f>
        <v/>
      </c>
      <c r="I213" s="39" t="str">
        <f>IF($B213="","",SUMIFS(Kho_SP!$F$5:$F$304,Kho_SP!$A$5:$A$304,$B213))</f>
        <v/>
      </c>
      <c r="J213" s="39" t="str">
        <f>IF($B213="","",SUMIFS(Kho_SP!$G$5:$G$304,Kho_SP!$A$5:$A$304,$B213))</f>
        <v/>
      </c>
      <c r="K213" s="39" t="str">
        <f t="shared" si="16"/>
        <v/>
      </c>
      <c r="L213" s="31" t="str">
        <f>IF($B213="","",IFERROR(INDEX(Kho_SP!$I$5:$I$304,MATCH(B213,Kho_SP!$A$5:$A$304,0))&amp;"",""))</f>
        <v/>
      </c>
      <c r="M213" s="44" t="str">
        <f>IF($B213="","",SUMIFS(Kho_SP!$H$5:$H$304,Kho_SP!$A$5:$A$304,$B213))</f>
        <v/>
      </c>
      <c r="N213" s="44" t="str">
        <f t="shared" si="17"/>
        <v/>
      </c>
      <c r="O213" s="45" t="str">
        <f t="shared" si="18"/>
        <v/>
      </c>
      <c r="P213" s="44" t="str">
        <f>IF($B213="","",SUMIFS(TK_Xuat!$E$5:$E$1004,TK_Xuat!$D$5:$D$1004,$B213,TK_Xuat!$H$5:$H$1004,1))</f>
        <v/>
      </c>
      <c r="Q213" s="44" t="str">
        <f t="shared" si="19"/>
        <v/>
      </c>
    </row>
    <row r="214" spans="1:17" x14ac:dyDescent="0.25">
      <c r="A214" s="36" t="str">
        <f t="shared" si="15"/>
        <v/>
      </c>
      <c r="B214" s="35" t="str">
        <f>IF(DM_SP!A208="","",DM_SP!A208)</f>
        <v/>
      </c>
      <c r="C214" s="35" t="str">
        <f>IF(B214="","",DM_SP!B208)</f>
        <v/>
      </c>
      <c r="D214" s="35" t="str">
        <f>IF(B214="","",DM_SP!C208)</f>
        <v/>
      </c>
      <c r="E214" s="39" t="str">
        <f>IF($B214="","",SUMIFS(Kho_SP!$B$5:$B$304,Kho_SP!$A$5:$A$304,$B214))</f>
        <v/>
      </c>
      <c r="F214" s="39" t="str">
        <f>IF($B214="","",SUMIFS(Kho_SP!$C$5:$C$304,Kho_SP!$A$5:$A$304,$B214))</f>
        <v/>
      </c>
      <c r="G214" s="39" t="str">
        <f>IF($B214="","",SUMIFS(Kho_SP!$D$5:$D$304,Kho_SP!$A$5:$A$304,$B214))</f>
        <v/>
      </c>
      <c r="H214" s="39" t="str">
        <f>IF($B214="","",SUMIFS(Kho_SP!$E$5:$E$304,Kho_SP!$A$5:$A$304,$B214))</f>
        <v/>
      </c>
      <c r="I214" s="39" t="str">
        <f>IF($B214="","",SUMIFS(Kho_SP!$F$5:$F$304,Kho_SP!$A$5:$A$304,$B214))</f>
        <v/>
      </c>
      <c r="J214" s="39" t="str">
        <f>IF($B214="","",SUMIFS(Kho_SP!$G$5:$G$304,Kho_SP!$A$5:$A$304,$B214))</f>
        <v/>
      </c>
      <c r="K214" s="39" t="str">
        <f t="shared" si="16"/>
        <v/>
      </c>
      <c r="L214" s="31" t="str">
        <f>IF($B214="","",IFERROR(INDEX(Kho_SP!$I$5:$I$304,MATCH(B214,Kho_SP!$A$5:$A$304,0))&amp;"",""))</f>
        <v/>
      </c>
      <c r="M214" s="44" t="str">
        <f>IF($B214="","",SUMIFS(Kho_SP!$H$5:$H$304,Kho_SP!$A$5:$A$304,$B214))</f>
        <v/>
      </c>
      <c r="N214" s="44" t="str">
        <f t="shared" si="17"/>
        <v/>
      </c>
      <c r="O214" s="45" t="str">
        <f t="shared" si="18"/>
        <v/>
      </c>
      <c r="P214" s="44" t="str">
        <f>IF($B214="","",SUMIFS(TK_Xuat!$E$5:$E$1004,TK_Xuat!$D$5:$D$1004,$B214,TK_Xuat!$H$5:$H$1004,1))</f>
        <v/>
      </c>
      <c r="Q214" s="44" t="str">
        <f t="shared" si="19"/>
        <v/>
      </c>
    </row>
    <row r="215" spans="1:17" x14ac:dyDescent="0.25">
      <c r="A215" s="36" t="str">
        <f t="shared" si="15"/>
        <v/>
      </c>
      <c r="B215" s="35" t="str">
        <f>IF(DM_SP!A209="","",DM_SP!A209)</f>
        <v/>
      </c>
      <c r="C215" s="35" t="str">
        <f>IF(B215="","",DM_SP!B209)</f>
        <v/>
      </c>
      <c r="D215" s="35" t="str">
        <f>IF(B215="","",DM_SP!C209)</f>
        <v/>
      </c>
      <c r="E215" s="39" t="str">
        <f>IF($B215="","",SUMIFS(Kho_SP!$B$5:$B$304,Kho_SP!$A$5:$A$304,$B215))</f>
        <v/>
      </c>
      <c r="F215" s="39" t="str">
        <f>IF($B215="","",SUMIFS(Kho_SP!$C$5:$C$304,Kho_SP!$A$5:$A$304,$B215))</f>
        <v/>
      </c>
      <c r="G215" s="39" t="str">
        <f>IF($B215="","",SUMIFS(Kho_SP!$D$5:$D$304,Kho_SP!$A$5:$A$304,$B215))</f>
        <v/>
      </c>
      <c r="H215" s="39" t="str">
        <f>IF($B215="","",SUMIFS(Kho_SP!$E$5:$E$304,Kho_SP!$A$5:$A$304,$B215))</f>
        <v/>
      </c>
      <c r="I215" s="39" t="str">
        <f>IF($B215="","",SUMIFS(Kho_SP!$F$5:$F$304,Kho_SP!$A$5:$A$304,$B215))</f>
        <v/>
      </c>
      <c r="J215" s="39" t="str">
        <f>IF($B215="","",SUMIFS(Kho_SP!$G$5:$G$304,Kho_SP!$A$5:$A$304,$B215))</f>
        <v/>
      </c>
      <c r="K215" s="39" t="str">
        <f t="shared" si="16"/>
        <v/>
      </c>
      <c r="L215" s="31" t="str">
        <f>IF($B215="","",IFERROR(INDEX(Kho_SP!$I$5:$I$304,MATCH(B215,Kho_SP!$A$5:$A$304,0))&amp;"",""))</f>
        <v/>
      </c>
      <c r="M215" s="44" t="str">
        <f>IF($B215="","",SUMIFS(Kho_SP!$H$5:$H$304,Kho_SP!$A$5:$A$304,$B215))</f>
        <v/>
      </c>
      <c r="N215" s="44" t="str">
        <f t="shared" si="17"/>
        <v/>
      </c>
      <c r="O215" s="45" t="str">
        <f t="shared" si="18"/>
        <v/>
      </c>
      <c r="P215" s="44" t="str">
        <f>IF($B215="","",SUMIFS(TK_Xuat!$E$5:$E$1004,TK_Xuat!$D$5:$D$1004,$B215,TK_Xuat!$H$5:$H$1004,1))</f>
        <v/>
      </c>
      <c r="Q215" s="44" t="str">
        <f t="shared" si="19"/>
        <v/>
      </c>
    </row>
    <row r="216" spans="1:17" x14ac:dyDescent="0.25">
      <c r="A216" s="36" t="str">
        <f t="shared" si="15"/>
        <v/>
      </c>
      <c r="B216" s="35" t="str">
        <f>IF(DM_SP!A210="","",DM_SP!A210)</f>
        <v/>
      </c>
      <c r="C216" s="35" t="str">
        <f>IF(B216="","",DM_SP!B210)</f>
        <v/>
      </c>
      <c r="D216" s="35" t="str">
        <f>IF(B216="","",DM_SP!C210)</f>
        <v/>
      </c>
      <c r="E216" s="39" t="str">
        <f>IF($B216="","",SUMIFS(Kho_SP!$B$5:$B$304,Kho_SP!$A$5:$A$304,$B216))</f>
        <v/>
      </c>
      <c r="F216" s="39" t="str">
        <f>IF($B216="","",SUMIFS(Kho_SP!$C$5:$C$304,Kho_SP!$A$5:$A$304,$B216))</f>
        <v/>
      </c>
      <c r="G216" s="39" t="str">
        <f>IF($B216="","",SUMIFS(Kho_SP!$D$5:$D$304,Kho_SP!$A$5:$A$304,$B216))</f>
        <v/>
      </c>
      <c r="H216" s="39" t="str">
        <f>IF($B216="","",SUMIFS(Kho_SP!$E$5:$E$304,Kho_SP!$A$5:$A$304,$B216))</f>
        <v/>
      </c>
      <c r="I216" s="39" t="str">
        <f>IF($B216="","",SUMIFS(Kho_SP!$F$5:$F$304,Kho_SP!$A$5:$A$304,$B216))</f>
        <v/>
      </c>
      <c r="J216" s="39" t="str">
        <f>IF($B216="","",SUMIFS(Kho_SP!$G$5:$G$304,Kho_SP!$A$5:$A$304,$B216))</f>
        <v/>
      </c>
      <c r="K216" s="39" t="str">
        <f t="shared" si="16"/>
        <v/>
      </c>
      <c r="L216" s="31" t="str">
        <f>IF($B216="","",IFERROR(INDEX(Kho_SP!$I$5:$I$304,MATCH(B216,Kho_SP!$A$5:$A$304,0))&amp;"",""))</f>
        <v/>
      </c>
      <c r="M216" s="44" t="str">
        <f>IF($B216="","",SUMIFS(Kho_SP!$H$5:$H$304,Kho_SP!$A$5:$A$304,$B216))</f>
        <v/>
      </c>
      <c r="N216" s="44" t="str">
        <f t="shared" si="17"/>
        <v/>
      </c>
      <c r="O216" s="45" t="str">
        <f t="shared" si="18"/>
        <v/>
      </c>
      <c r="P216" s="44" t="str">
        <f>IF($B216="","",SUMIFS(TK_Xuat!$E$5:$E$1004,TK_Xuat!$D$5:$D$1004,$B216,TK_Xuat!$H$5:$H$1004,1))</f>
        <v/>
      </c>
      <c r="Q216" s="44" t="str">
        <f t="shared" si="19"/>
        <v/>
      </c>
    </row>
    <row r="217" spans="1:17" x14ac:dyDescent="0.25">
      <c r="A217" s="36" t="str">
        <f t="shared" si="15"/>
        <v/>
      </c>
      <c r="B217" s="35" t="str">
        <f>IF(DM_SP!A211="","",DM_SP!A211)</f>
        <v/>
      </c>
      <c r="C217" s="35" t="str">
        <f>IF(B217="","",DM_SP!B211)</f>
        <v/>
      </c>
      <c r="D217" s="35" t="str">
        <f>IF(B217="","",DM_SP!C211)</f>
        <v/>
      </c>
      <c r="E217" s="39" t="str">
        <f>IF($B217="","",SUMIFS(Kho_SP!$B$5:$B$304,Kho_SP!$A$5:$A$304,$B217))</f>
        <v/>
      </c>
      <c r="F217" s="39" t="str">
        <f>IF($B217="","",SUMIFS(Kho_SP!$C$5:$C$304,Kho_SP!$A$5:$A$304,$B217))</f>
        <v/>
      </c>
      <c r="G217" s="39" t="str">
        <f>IF($B217="","",SUMIFS(Kho_SP!$D$5:$D$304,Kho_SP!$A$5:$A$304,$B217))</f>
        <v/>
      </c>
      <c r="H217" s="39" t="str">
        <f>IF($B217="","",SUMIFS(Kho_SP!$E$5:$E$304,Kho_SP!$A$5:$A$304,$B217))</f>
        <v/>
      </c>
      <c r="I217" s="39" t="str">
        <f>IF($B217="","",SUMIFS(Kho_SP!$F$5:$F$304,Kho_SP!$A$5:$A$304,$B217))</f>
        <v/>
      </c>
      <c r="J217" s="39" t="str">
        <f>IF($B217="","",SUMIFS(Kho_SP!$G$5:$G$304,Kho_SP!$A$5:$A$304,$B217))</f>
        <v/>
      </c>
      <c r="K217" s="39" t="str">
        <f t="shared" si="16"/>
        <v/>
      </c>
      <c r="L217" s="31" t="str">
        <f>IF($B217="","",IFERROR(INDEX(Kho_SP!$I$5:$I$304,MATCH(B217,Kho_SP!$A$5:$A$304,0))&amp;"",""))</f>
        <v/>
      </c>
      <c r="M217" s="44" t="str">
        <f>IF($B217="","",SUMIFS(Kho_SP!$H$5:$H$304,Kho_SP!$A$5:$A$304,$B217))</f>
        <v/>
      </c>
      <c r="N217" s="44" t="str">
        <f t="shared" si="17"/>
        <v/>
      </c>
      <c r="O217" s="45" t="str">
        <f t="shared" si="18"/>
        <v/>
      </c>
      <c r="P217" s="44" t="str">
        <f>IF($B217="","",SUMIFS(TK_Xuat!$E$5:$E$1004,TK_Xuat!$D$5:$D$1004,$B217,TK_Xuat!$H$5:$H$1004,1))</f>
        <v/>
      </c>
      <c r="Q217" s="44" t="str">
        <f t="shared" si="19"/>
        <v/>
      </c>
    </row>
    <row r="218" spans="1:17" x14ac:dyDescent="0.25">
      <c r="A218" s="36" t="str">
        <f t="shared" si="15"/>
        <v/>
      </c>
      <c r="B218" s="35" t="str">
        <f>IF(DM_SP!A212="","",DM_SP!A212)</f>
        <v/>
      </c>
      <c r="C218" s="35" t="str">
        <f>IF(B218="","",DM_SP!B212)</f>
        <v/>
      </c>
      <c r="D218" s="35" t="str">
        <f>IF(B218="","",DM_SP!C212)</f>
        <v/>
      </c>
      <c r="E218" s="39" t="str">
        <f>IF($B218="","",SUMIFS(Kho_SP!$B$5:$B$304,Kho_SP!$A$5:$A$304,$B218))</f>
        <v/>
      </c>
      <c r="F218" s="39" t="str">
        <f>IF($B218="","",SUMIFS(Kho_SP!$C$5:$C$304,Kho_SP!$A$5:$A$304,$B218))</f>
        <v/>
      </c>
      <c r="G218" s="39" t="str">
        <f>IF($B218="","",SUMIFS(Kho_SP!$D$5:$D$304,Kho_SP!$A$5:$A$304,$B218))</f>
        <v/>
      </c>
      <c r="H218" s="39" t="str">
        <f>IF($B218="","",SUMIFS(Kho_SP!$E$5:$E$304,Kho_SP!$A$5:$A$304,$B218))</f>
        <v/>
      </c>
      <c r="I218" s="39" t="str">
        <f>IF($B218="","",SUMIFS(Kho_SP!$F$5:$F$304,Kho_SP!$A$5:$A$304,$B218))</f>
        <v/>
      </c>
      <c r="J218" s="39" t="str">
        <f>IF($B218="","",SUMIFS(Kho_SP!$G$5:$G$304,Kho_SP!$A$5:$A$304,$B218))</f>
        <v/>
      </c>
      <c r="K218" s="39" t="str">
        <f t="shared" si="16"/>
        <v/>
      </c>
      <c r="L218" s="31" t="str">
        <f>IF($B218="","",IFERROR(INDEX(Kho_SP!$I$5:$I$304,MATCH(B218,Kho_SP!$A$5:$A$304,0))&amp;"",""))</f>
        <v/>
      </c>
      <c r="M218" s="44" t="str">
        <f>IF($B218="","",SUMIFS(Kho_SP!$H$5:$H$304,Kho_SP!$A$5:$A$304,$B218))</f>
        <v/>
      </c>
      <c r="N218" s="44" t="str">
        <f t="shared" si="17"/>
        <v/>
      </c>
      <c r="O218" s="45" t="str">
        <f t="shared" si="18"/>
        <v/>
      </c>
      <c r="P218" s="44" t="str">
        <f>IF($B218="","",SUMIFS(TK_Xuat!$E$5:$E$1004,TK_Xuat!$D$5:$D$1004,$B218,TK_Xuat!$H$5:$H$1004,1))</f>
        <v/>
      </c>
      <c r="Q218" s="44" t="str">
        <f t="shared" si="19"/>
        <v/>
      </c>
    </row>
    <row r="219" spans="1:17" x14ac:dyDescent="0.25">
      <c r="A219" s="36" t="str">
        <f t="shared" si="15"/>
        <v/>
      </c>
      <c r="B219" s="35" t="str">
        <f>IF(DM_SP!A213="","",DM_SP!A213)</f>
        <v/>
      </c>
      <c r="C219" s="35" t="str">
        <f>IF(B219="","",DM_SP!B213)</f>
        <v/>
      </c>
      <c r="D219" s="35" t="str">
        <f>IF(B219="","",DM_SP!C213)</f>
        <v/>
      </c>
      <c r="E219" s="39" t="str">
        <f>IF($B219="","",SUMIFS(Kho_SP!$B$5:$B$304,Kho_SP!$A$5:$A$304,$B219))</f>
        <v/>
      </c>
      <c r="F219" s="39" t="str">
        <f>IF($B219="","",SUMIFS(Kho_SP!$C$5:$C$304,Kho_SP!$A$5:$A$304,$B219))</f>
        <v/>
      </c>
      <c r="G219" s="39" t="str">
        <f>IF($B219="","",SUMIFS(Kho_SP!$D$5:$D$304,Kho_SP!$A$5:$A$304,$B219))</f>
        <v/>
      </c>
      <c r="H219" s="39" t="str">
        <f>IF($B219="","",SUMIFS(Kho_SP!$E$5:$E$304,Kho_SP!$A$5:$A$304,$B219))</f>
        <v/>
      </c>
      <c r="I219" s="39" t="str">
        <f>IF($B219="","",SUMIFS(Kho_SP!$F$5:$F$304,Kho_SP!$A$5:$A$304,$B219))</f>
        <v/>
      </c>
      <c r="J219" s="39" t="str">
        <f>IF($B219="","",SUMIFS(Kho_SP!$G$5:$G$304,Kho_SP!$A$5:$A$304,$B219))</f>
        <v/>
      </c>
      <c r="K219" s="39" t="str">
        <f t="shared" si="16"/>
        <v/>
      </c>
      <c r="L219" s="31" t="str">
        <f>IF($B219="","",IFERROR(INDEX(Kho_SP!$I$5:$I$304,MATCH(B219,Kho_SP!$A$5:$A$304,0))&amp;"",""))</f>
        <v/>
      </c>
      <c r="M219" s="44" t="str">
        <f>IF($B219="","",SUMIFS(Kho_SP!$H$5:$H$304,Kho_SP!$A$5:$A$304,$B219))</f>
        <v/>
      </c>
      <c r="N219" s="44" t="str">
        <f t="shared" si="17"/>
        <v/>
      </c>
      <c r="O219" s="45" t="str">
        <f t="shared" si="18"/>
        <v/>
      </c>
      <c r="P219" s="44" t="str">
        <f>IF($B219="","",SUMIFS(TK_Xuat!$E$5:$E$1004,TK_Xuat!$D$5:$D$1004,$B219,TK_Xuat!$H$5:$H$1004,1))</f>
        <v/>
      </c>
      <c r="Q219" s="44" t="str">
        <f t="shared" si="19"/>
        <v/>
      </c>
    </row>
    <row r="220" spans="1:17" x14ac:dyDescent="0.25">
      <c r="A220" s="36" t="str">
        <f t="shared" si="15"/>
        <v/>
      </c>
      <c r="B220" s="35" t="str">
        <f>IF(DM_SP!A214="","",DM_SP!A214)</f>
        <v/>
      </c>
      <c r="C220" s="35" t="str">
        <f>IF(B220="","",DM_SP!B214)</f>
        <v/>
      </c>
      <c r="D220" s="35" t="str">
        <f>IF(B220="","",DM_SP!C214)</f>
        <v/>
      </c>
      <c r="E220" s="39" t="str">
        <f>IF($B220="","",SUMIFS(Kho_SP!$B$5:$B$304,Kho_SP!$A$5:$A$304,$B220))</f>
        <v/>
      </c>
      <c r="F220" s="39" t="str">
        <f>IF($B220="","",SUMIFS(Kho_SP!$C$5:$C$304,Kho_SP!$A$5:$A$304,$B220))</f>
        <v/>
      </c>
      <c r="G220" s="39" t="str">
        <f>IF($B220="","",SUMIFS(Kho_SP!$D$5:$D$304,Kho_SP!$A$5:$A$304,$B220))</f>
        <v/>
      </c>
      <c r="H220" s="39" t="str">
        <f>IF($B220="","",SUMIFS(Kho_SP!$E$5:$E$304,Kho_SP!$A$5:$A$304,$B220))</f>
        <v/>
      </c>
      <c r="I220" s="39" t="str">
        <f>IF($B220="","",SUMIFS(Kho_SP!$F$5:$F$304,Kho_SP!$A$5:$A$304,$B220))</f>
        <v/>
      </c>
      <c r="J220" s="39" t="str">
        <f>IF($B220="","",SUMIFS(Kho_SP!$G$5:$G$304,Kho_SP!$A$5:$A$304,$B220))</f>
        <v/>
      </c>
      <c r="K220" s="39" t="str">
        <f t="shared" si="16"/>
        <v/>
      </c>
      <c r="L220" s="31" t="str">
        <f>IF($B220="","",IFERROR(INDEX(Kho_SP!$I$5:$I$304,MATCH(B220,Kho_SP!$A$5:$A$304,0))&amp;"",""))</f>
        <v/>
      </c>
      <c r="M220" s="44" t="str">
        <f>IF($B220="","",SUMIFS(Kho_SP!$H$5:$H$304,Kho_SP!$A$5:$A$304,$B220))</f>
        <v/>
      </c>
      <c r="N220" s="44" t="str">
        <f t="shared" si="17"/>
        <v/>
      </c>
      <c r="O220" s="45" t="str">
        <f t="shared" si="18"/>
        <v/>
      </c>
      <c r="P220" s="44" t="str">
        <f>IF($B220="","",SUMIFS(TK_Xuat!$E$5:$E$1004,TK_Xuat!$D$5:$D$1004,$B220,TK_Xuat!$H$5:$H$1004,1))</f>
        <v/>
      </c>
      <c r="Q220" s="44" t="str">
        <f t="shared" si="19"/>
        <v/>
      </c>
    </row>
    <row r="221" spans="1:17" x14ac:dyDescent="0.25">
      <c r="A221" s="36" t="str">
        <f t="shared" si="15"/>
        <v/>
      </c>
      <c r="B221" s="35" t="str">
        <f>IF(DM_SP!A215="","",DM_SP!A215)</f>
        <v/>
      </c>
      <c r="C221" s="35" t="str">
        <f>IF(B221="","",DM_SP!B215)</f>
        <v/>
      </c>
      <c r="D221" s="35" t="str">
        <f>IF(B221="","",DM_SP!C215)</f>
        <v/>
      </c>
      <c r="E221" s="39" t="str">
        <f>IF($B221="","",SUMIFS(Kho_SP!$B$5:$B$304,Kho_SP!$A$5:$A$304,$B221))</f>
        <v/>
      </c>
      <c r="F221" s="39" t="str">
        <f>IF($B221="","",SUMIFS(Kho_SP!$C$5:$C$304,Kho_SP!$A$5:$A$304,$B221))</f>
        <v/>
      </c>
      <c r="G221" s="39" t="str">
        <f>IF($B221="","",SUMIFS(Kho_SP!$D$5:$D$304,Kho_SP!$A$5:$A$304,$B221))</f>
        <v/>
      </c>
      <c r="H221" s="39" t="str">
        <f>IF($B221="","",SUMIFS(Kho_SP!$E$5:$E$304,Kho_SP!$A$5:$A$304,$B221))</f>
        <v/>
      </c>
      <c r="I221" s="39" t="str">
        <f>IF($B221="","",SUMIFS(Kho_SP!$F$5:$F$304,Kho_SP!$A$5:$A$304,$B221))</f>
        <v/>
      </c>
      <c r="J221" s="39" t="str">
        <f>IF($B221="","",SUMIFS(Kho_SP!$G$5:$G$304,Kho_SP!$A$5:$A$304,$B221))</f>
        <v/>
      </c>
      <c r="K221" s="39" t="str">
        <f t="shared" si="16"/>
        <v/>
      </c>
      <c r="L221" s="31" t="str">
        <f>IF($B221="","",IFERROR(INDEX(Kho_SP!$I$5:$I$304,MATCH(B221,Kho_SP!$A$5:$A$304,0))&amp;"",""))</f>
        <v/>
      </c>
      <c r="M221" s="44" t="str">
        <f>IF($B221="","",SUMIFS(Kho_SP!$H$5:$H$304,Kho_SP!$A$5:$A$304,$B221))</f>
        <v/>
      </c>
      <c r="N221" s="44" t="str">
        <f t="shared" si="17"/>
        <v/>
      </c>
      <c r="O221" s="45" t="str">
        <f t="shared" si="18"/>
        <v/>
      </c>
      <c r="P221" s="44" t="str">
        <f>IF($B221="","",SUMIFS(TK_Xuat!$E$5:$E$1004,TK_Xuat!$D$5:$D$1004,$B221,TK_Xuat!$H$5:$H$1004,1))</f>
        <v/>
      </c>
      <c r="Q221" s="44" t="str">
        <f t="shared" si="19"/>
        <v/>
      </c>
    </row>
    <row r="222" spans="1:17" x14ac:dyDescent="0.25">
      <c r="A222" s="36" t="str">
        <f t="shared" si="15"/>
        <v/>
      </c>
      <c r="B222" s="35" t="str">
        <f>IF(DM_SP!A216="","",DM_SP!A216)</f>
        <v/>
      </c>
      <c r="C222" s="35" t="str">
        <f>IF(B222="","",DM_SP!B216)</f>
        <v/>
      </c>
      <c r="D222" s="35" t="str">
        <f>IF(B222="","",DM_SP!C216)</f>
        <v/>
      </c>
      <c r="E222" s="39" t="str">
        <f>IF($B222="","",SUMIFS(Kho_SP!$B$5:$B$304,Kho_SP!$A$5:$A$304,$B222))</f>
        <v/>
      </c>
      <c r="F222" s="39" t="str">
        <f>IF($B222="","",SUMIFS(Kho_SP!$C$5:$C$304,Kho_SP!$A$5:$A$304,$B222))</f>
        <v/>
      </c>
      <c r="G222" s="39" t="str">
        <f>IF($B222="","",SUMIFS(Kho_SP!$D$5:$D$304,Kho_SP!$A$5:$A$304,$B222))</f>
        <v/>
      </c>
      <c r="H222" s="39" t="str">
        <f>IF($B222="","",SUMIFS(Kho_SP!$E$5:$E$304,Kho_SP!$A$5:$A$304,$B222))</f>
        <v/>
      </c>
      <c r="I222" s="39" t="str">
        <f>IF($B222="","",SUMIFS(Kho_SP!$F$5:$F$304,Kho_SP!$A$5:$A$304,$B222))</f>
        <v/>
      </c>
      <c r="J222" s="39" t="str">
        <f>IF($B222="","",SUMIFS(Kho_SP!$G$5:$G$304,Kho_SP!$A$5:$A$304,$B222))</f>
        <v/>
      </c>
      <c r="K222" s="39" t="str">
        <f t="shared" si="16"/>
        <v/>
      </c>
      <c r="L222" s="31" t="str">
        <f>IF($B222="","",IFERROR(INDEX(Kho_SP!$I$5:$I$304,MATCH(B222,Kho_SP!$A$5:$A$304,0))&amp;"",""))</f>
        <v/>
      </c>
      <c r="M222" s="44" t="str">
        <f>IF($B222="","",SUMIFS(Kho_SP!$H$5:$H$304,Kho_SP!$A$5:$A$304,$B222))</f>
        <v/>
      </c>
      <c r="N222" s="44" t="str">
        <f t="shared" si="17"/>
        <v/>
      </c>
      <c r="O222" s="45" t="str">
        <f t="shared" si="18"/>
        <v/>
      </c>
      <c r="P222" s="44" t="str">
        <f>IF($B222="","",SUMIFS(TK_Xuat!$E$5:$E$1004,TK_Xuat!$D$5:$D$1004,$B222,TK_Xuat!$H$5:$H$1004,1))</f>
        <v/>
      </c>
      <c r="Q222" s="44" t="str">
        <f t="shared" si="19"/>
        <v/>
      </c>
    </row>
    <row r="223" spans="1:17" x14ac:dyDescent="0.25">
      <c r="A223" s="36" t="str">
        <f t="shared" si="15"/>
        <v/>
      </c>
      <c r="B223" s="35" t="str">
        <f>IF(DM_SP!A217="","",DM_SP!A217)</f>
        <v/>
      </c>
      <c r="C223" s="35" t="str">
        <f>IF(B223="","",DM_SP!B217)</f>
        <v/>
      </c>
      <c r="D223" s="35" t="str">
        <f>IF(B223="","",DM_SP!C217)</f>
        <v/>
      </c>
      <c r="E223" s="39" t="str">
        <f>IF($B223="","",SUMIFS(Kho_SP!$B$5:$B$304,Kho_SP!$A$5:$A$304,$B223))</f>
        <v/>
      </c>
      <c r="F223" s="39" t="str">
        <f>IF($B223="","",SUMIFS(Kho_SP!$C$5:$C$304,Kho_SP!$A$5:$A$304,$B223))</f>
        <v/>
      </c>
      <c r="G223" s="39" t="str">
        <f>IF($B223="","",SUMIFS(Kho_SP!$D$5:$D$304,Kho_SP!$A$5:$A$304,$B223))</f>
        <v/>
      </c>
      <c r="H223" s="39" t="str">
        <f>IF($B223="","",SUMIFS(Kho_SP!$E$5:$E$304,Kho_SP!$A$5:$A$304,$B223))</f>
        <v/>
      </c>
      <c r="I223" s="39" t="str">
        <f>IF($B223="","",SUMIFS(Kho_SP!$F$5:$F$304,Kho_SP!$A$5:$A$304,$B223))</f>
        <v/>
      </c>
      <c r="J223" s="39" t="str">
        <f>IF($B223="","",SUMIFS(Kho_SP!$G$5:$G$304,Kho_SP!$A$5:$A$304,$B223))</f>
        <v/>
      </c>
      <c r="K223" s="39" t="str">
        <f t="shared" si="16"/>
        <v/>
      </c>
      <c r="L223" s="31" t="str">
        <f>IF($B223="","",IFERROR(INDEX(Kho_SP!$I$5:$I$304,MATCH(B223,Kho_SP!$A$5:$A$304,0))&amp;"",""))</f>
        <v/>
      </c>
      <c r="M223" s="44" t="str">
        <f>IF($B223="","",SUMIFS(Kho_SP!$H$5:$H$304,Kho_SP!$A$5:$A$304,$B223))</f>
        <v/>
      </c>
      <c r="N223" s="44" t="str">
        <f t="shared" si="17"/>
        <v/>
      </c>
      <c r="O223" s="45" t="str">
        <f t="shared" si="18"/>
        <v/>
      </c>
      <c r="P223" s="44" t="str">
        <f>IF($B223="","",SUMIFS(TK_Xuat!$E$5:$E$1004,TK_Xuat!$D$5:$D$1004,$B223,TK_Xuat!$H$5:$H$1004,1))</f>
        <v/>
      </c>
      <c r="Q223" s="44" t="str">
        <f t="shared" si="19"/>
        <v/>
      </c>
    </row>
    <row r="224" spans="1:17" x14ac:dyDescent="0.25">
      <c r="A224" s="36" t="str">
        <f t="shared" si="15"/>
        <v/>
      </c>
      <c r="B224" s="35" t="str">
        <f>IF(DM_SP!A218="","",DM_SP!A218)</f>
        <v/>
      </c>
      <c r="C224" s="35" t="str">
        <f>IF(B224="","",DM_SP!B218)</f>
        <v/>
      </c>
      <c r="D224" s="35" t="str">
        <f>IF(B224="","",DM_SP!C218)</f>
        <v/>
      </c>
      <c r="E224" s="39" t="str">
        <f>IF($B224="","",SUMIFS(Kho_SP!$B$5:$B$304,Kho_SP!$A$5:$A$304,$B224))</f>
        <v/>
      </c>
      <c r="F224" s="39" t="str">
        <f>IF($B224="","",SUMIFS(Kho_SP!$C$5:$C$304,Kho_SP!$A$5:$A$304,$B224))</f>
        <v/>
      </c>
      <c r="G224" s="39" t="str">
        <f>IF($B224="","",SUMIFS(Kho_SP!$D$5:$D$304,Kho_SP!$A$5:$A$304,$B224))</f>
        <v/>
      </c>
      <c r="H224" s="39" t="str">
        <f>IF($B224="","",SUMIFS(Kho_SP!$E$5:$E$304,Kho_SP!$A$5:$A$304,$B224))</f>
        <v/>
      </c>
      <c r="I224" s="39" t="str">
        <f>IF($B224="","",SUMIFS(Kho_SP!$F$5:$F$304,Kho_SP!$A$5:$A$304,$B224))</f>
        <v/>
      </c>
      <c r="J224" s="39" t="str">
        <f>IF($B224="","",SUMIFS(Kho_SP!$G$5:$G$304,Kho_SP!$A$5:$A$304,$B224))</f>
        <v/>
      </c>
      <c r="K224" s="39" t="str">
        <f t="shared" si="16"/>
        <v/>
      </c>
      <c r="L224" s="31" t="str">
        <f>IF($B224="","",IFERROR(INDEX(Kho_SP!$I$5:$I$304,MATCH(B224,Kho_SP!$A$5:$A$304,0))&amp;"",""))</f>
        <v/>
      </c>
      <c r="M224" s="44" t="str">
        <f>IF($B224="","",SUMIFS(Kho_SP!$H$5:$H$304,Kho_SP!$A$5:$A$304,$B224))</f>
        <v/>
      </c>
      <c r="N224" s="44" t="str">
        <f t="shared" si="17"/>
        <v/>
      </c>
      <c r="O224" s="45" t="str">
        <f t="shared" si="18"/>
        <v/>
      </c>
      <c r="P224" s="44" t="str">
        <f>IF($B224="","",SUMIFS(TK_Xuat!$E$5:$E$1004,TK_Xuat!$D$5:$D$1004,$B224,TK_Xuat!$H$5:$H$1004,1))</f>
        <v/>
      </c>
      <c r="Q224" s="44" t="str">
        <f t="shared" si="19"/>
        <v/>
      </c>
    </row>
    <row r="225" spans="1:17" x14ac:dyDescent="0.25">
      <c r="A225" s="36" t="str">
        <f t="shared" si="15"/>
        <v/>
      </c>
      <c r="B225" s="35" t="str">
        <f>IF(DM_SP!A219="","",DM_SP!A219)</f>
        <v/>
      </c>
      <c r="C225" s="35" t="str">
        <f>IF(B225="","",DM_SP!B219)</f>
        <v/>
      </c>
      <c r="D225" s="35" t="str">
        <f>IF(B225="","",DM_SP!C219)</f>
        <v/>
      </c>
      <c r="E225" s="39" t="str">
        <f>IF($B225="","",SUMIFS(Kho_SP!$B$5:$B$304,Kho_SP!$A$5:$A$304,$B225))</f>
        <v/>
      </c>
      <c r="F225" s="39" t="str">
        <f>IF($B225="","",SUMIFS(Kho_SP!$C$5:$C$304,Kho_SP!$A$5:$A$304,$B225))</f>
        <v/>
      </c>
      <c r="G225" s="39" t="str">
        <f>IF($B225="","",SUMIFS(Kho_SP!$D$5:$D$304,Kho_SP!$A$5:$A$304,$B225))</f>
        <v/>
      </c>
      <c r="H225" s="39" t="str">
        <f>IF($B225="","",SUMIFS(Kho_SP!$E$5:$E$304,Kho_SP!$A$5:$A$304,$B225))</f>
        <v/>
      </c>
      <c r="I225" s="39" t="str">
        <f>IF($B225="","",SUMIFS(Kho_SP!$F$5:$F$304,Kho_SP!$A$5:$A$304,$B225))</f>
        <v/>
      </c>
      <c r="J225" s="39" t="str">
        <f>IF($B225="","",SUMIFS(Kho_SP!$G$5:$G$304,Kho_SP!$A$5:$A$304,$B225))</f>
        <v/>
      </c>
      <c r="K225" s="39" t="str">
        <f t="shared" si="16"/>
        <v/>
      </c>
      <c r="L225" s="31" t="str">
        <f>IF($B225="","",IFERROR(INDEX(Kho_SP!$I$5:$I$304,MATCH(B225,Kho_SP!$A$5:$A$304,0))&amp;"",""))</f>
        <v/>
      </c>
      <c r="M225" s="44" t="str">
        <f>IF($B225="","",SUMIFS(Kho_SP!$H$5:$H$304,Kho_SP!$A$5:$A$304,$B225))</f>
        <v/>
      </c>
      <c r="N225" s="44" t="str">
        <f t="shared" si="17"/>
        <v/>
      </c>
      <c r="O225" s="45" t="str">
        <f t="shared" si="18"/>
        <v/>
      </c>
      <c r="P225" s="44" t="str">
        <f>IF($B225="","",SUMIFS(TK_Xuat!$E$5:$E$1004,TK_Xuat!$D$5:$D$1004,$B225,TK_Xuat!$H$5:$H$1004,1))</f>
        <v/>
      </c>
      <c r="Q225" s="44" t="str">
        <f t="shared" si="19"/>
        <v/>
      </c>
    </row>
    <row r="226" spans="1:17" x14ac:dyDescent="0.25">
      <c r="A226" s="36" t="str">
        <f t="shared" si="15"/>
        <v/>
      </c>
      <c r="B226" s="35" t="str">
        <f>IF(DM_SP!A220="","",DM_SP!A220)</f>
        <v/>
      </c>
      <c r="C226" s="35" t="str">
        <f>IF(B226="","",DM_SP!B220)</f>
        <v/>
      </c>
      <c r="D226" s="35" t="str">
        <f>IF(B226="","",DM_SP!C220)</f>
        <v/>
      </c>
      <c r="E226" s="39" t="str">
        <f>IF($B226="","",SUMIFS(Kho_SP!$B$5:$B$304,Kho_SP!$A$5:$A$304,$B226))</f>
        <v/>
      </c>
      <c r="F226" s="39" t="str">
        <f>IF($B226="","",SUMIFS(Kho_SP!$C$5:$C$304,Kho_SP!$A$5:$A$304,$B226))</f>
        <v/>
      </c>
      <c r="G226" s="39" t="str">
        <f>IF($B226="","",SUMIFS(Kho_SP!$D$5:$D$304,Kho_SP!$A$5:$A$304,$B226))</f>
        <v/>
      </c>
      <c r="H226" s="39" t="str">
        <f>IF($B226="","",SUMIFS(Kho_SP!$E$5:$E$304,Kho_SP!$A$5:$A$304,$B226))</f>
        <v/>
      </c>
      <c r="I226" s="39" t="str">
        <f>IF($B226="","",SUMIFS(Kho_SP!$F$5:$F$304,Kho_SP!$A$5:$A$304,$B226))</f>
        <v/>
      </c>
      <c r="J226" s="39" t="str">
        <f>IF($B226="","",SUMIFS(Kho_SP!$G$5:$G$304,Kho_SP!$A$5:$A$304,$B226))</f>
        <v/>
      </c>
      <c r="K226" s="39" t="str">
        <f t="shared" si="16"/>
        <v/>
      </c>
      <c r="L226" s="31" t="str">
        <f>IF($B226="","",IFERROR(INDEX(Kho_SP!$I$5:$I$304,MATCH(B226,Kho_SP!$A$5:$A$304,0))&amp;"",""))</f>
        <v/>
      </c>
      <c r="M226" s="44" t="str">
        <f>IF($B226="","",SUMIFS(Kho_SP!$H$5:$H$304,Kho_SP!$A$5:$A$304,$B226))</f>
        <v/>
      </c>
      <c r="N226" s="44" t="str">
        <f t="shared" si="17"/>
        <v/>
      </c>
      <c r="O226" s="45" t="str">
        <f t="shared" si="18"/>
        <v/>
      </c>
      <c r="P226" s="44" t="str">
        <f>IF($B226="","",SUMIFS(TK_Xuat!$E$5:$E$1004,TK_Xuat!$D$5:$D$1004,$B226,TK_Xuat!$H$5:$H$1004,1))</f>
        <v/>
      </c>
      <c r="Q226" s="44" t="str">
        <f t="shared" si="19"/>
        <v/>
      </c>
    </row>
    <row r="227" spans="1:17" x14ac:dyDescent="0.25">
      <c r="A227" s="36" t="str">
        <f t="shared" si="15"/>
        <v/>
      </c>
      <c r="B227" s="35" t="str">
        <f>IF(DM_SP!A221="","",DM_SP!A221)</f>
        <v/>
      </c>
      <c r="C227" s="35" t="str">
        <f>IF(B227="","",DM_SP!B221)</f>
        <v/>
      </c>
      <c r="D227" s="35" t="str">
        <f>IF(B227="","",DM_SP!C221)</f>
        <v/>
      </c>
      <c r="E227" s="39" t="str">
        <f>IF($B227="","",SUMIFS(Kho_SP!$B$5:$B$304,Kho_SP!$A$5:$A$304,$B227))</f>
        <v/>
      </c>
      <c r="F227" s="39" t="str">
        <f>IF($B227="","",SUMIFS(Kho_SP!$C$5:$C$304,Kho_SP!$A$5:$A$304,$B227))</f>
        <v/>
      </c>
      <c r="G227" s="39" t="str">
        <f>IF($B227="","",SUMIFS(Kho_SP!$D$5:$D$304,Kho_SP!$A$5:$A$304,$B227))</f>
        <v/>
      </c>
      <c r="H227" s="39" t="str">
        <f>IF($B227="","",SUMIFS(Kho_SP!$E$5:$E$304,Kho_SP!$A$5:$A$304,$B227))</f>
        <v/>
      </c>
      <c r="I227" s="39" t="str">
        <f>IF($B227="","",SUMIFS(Kho_SP!$F$5:$F$304,Kho_SP!$A$5:$A$304,$B227))</f>
        <v/>
      </c>
      <c r="J227" s="39" t="str">
        <f>IF($B227="","",SUMIFS(Kho_SP!$G$5:$G$304,Kho_SP!$A$5:$A$304,$B227))</f>
        <v/>
      </c>
      <c r="K227" s="39" t="str">
        <f t="shared" si="16"/>
        <v/>
      </c>
      <c r="L227" s="31" t="str">
        <f>IF($B227="","",IFERROR(INDEX(Kho_SP!$I$5:$I$304,MATCH(B227,Kho_SP!$A$5:$A$304,0))&amp;"",""))</f>
        <v/>
      </c>
      <c r="M227" s="44" t="str">
        <f>IF($B227="","",SUMIFS(Kho_SP!$H$5:$H$304,Kho_SP!$A$5:$A$304,$B227))</f>
        <v/>
      </c>
      <c r="N227" s="44" t="str">
        <f t="shared" si="17"/>
        <v/>
      </c>
      <c r="O227" s="45" t="str">
        <f t="shared" si="18"/>
        <v/>
      </c>
      <c r="P227" s="44" t="str">
        <f>IF($B227="","",SUMIFS(TK_Xuat!$E$5:$E$1004,TK_Xuat!$D$5:$D$1004,$B227,TK_Xuat!$H$5:$H$1004,1))</f>
        <v/>
      </c>
      <c r="Q227" s="44" t="str">
        <f t="shared" si="19"/>
        <v/>
      </c>
    </row>
    <row r="228" spans="1:17" x14ac:dyDescent="0.25">
      <c r="A228" s="36" t="str">
        <f t="shared" si="15"/>
        <v/>
      </c>
      <c r="B228" s="35" t="str">
        <f>IF(DM_SP!A222="","",DM_SP!A222)</f>
        <v/>
      </c>
      <c r="C228" s="35" t="str">
        <f>IF(B228="","",DM_SP!B222)</f>
        <v/>
      </c>
      <c r="D228" s="35" t="str">
        <f>IF(B228="","",DM_SP!C222)</f>
        <v/>
      </c>
      <c r="E228" s="39" t="str">
        <f>IF($B228="","",SUMIFS(Kho_SP!$B$5:$B$304,Kho_SP!$A$5:$A$304,$B228))</f>
        <v/>
      </c>
      <c r="F228" s="39" t="str">
        <f>IF($B228="","",SUMIFS(Kho_SP!$C$5:$C$304,Kho_SP!$A$5:$A$304,$B228))</f>
        <v/>
      </c>
      <c r="G228" s="39" t="str">
        <f>IF($B228="","",SUMIFS(Kho_SP!$D$5:$D$304,Kho_SP!$A$5:$A$304,$B228))</f>
        <v/>
      </c>
      <c r="H228" s="39" t="str">
        <f>IF($B228="","",SUMIFS(Kho_SP!$E$5:$E$304,Kho_SP!$A$5:$A$304,$B228))</f>
        <v/>
      </c>
      <c r="I228" s="39" t="str">
        <f>IF($B228="","",SUMIFS(Kho_SP!$F$5:$F$304,Kho_SP!$A$5:$A$304,$B228))</f>
        <v/>
      </c>
      <c r="J228" s="39" t="str">
        <f>IF($B228="","",SUMIFS(Kho_SP!$G$5:$G$304,Kho_SP!$A$5:$A$304,$B228))</f>
        <v/>
      </c>
      <c r="K228" s="39" t="str">
        <f t="shared" si="16"/>
        <v/>
      </c>
      <c r="L228" s="31" t="str">
        <f>IF($B228="","",IFERROR(INDEX(Kho_SP!$I$5:$I$304,MATCH(B228,Kho_SP!$A$5:$A$304,0))&amp;"",""))</f>
        <v/>
      </c>
      <c r="M228" s="44" t="str">
        <f>IF($B228="","",SUMIFS(Kho_SP!$H$5:$H$304,Kho_SP!$A$5:$A$304,$B228))</f>
        <v/>
      </c>
      <c r="N228" s="44" t="str">
        <f t="shared" si="17"/>
        <v/>
      </c>
      <c r="O228" s="45" t="str">
        <f t="shared" si="18"/>
        <v/>
      </c>
      <c r="P228" s="44" t="str">
        <f>IF($B228="","",SUMIFS(TK_Xuat!$E$5:$E$1004,TK_Xuat!$D$5:$D$1004,$B228,TK_Xuat!$H$5:$H$1004,1))</f>
        <v/>
      </c>
      <c r="Q228" s="44" t="str">
        <f t="shared" si="19"/>
        <v/>
      </c>
    </row>
    <row r="229" spans="1:17" x14ac:dyDescent="0.25">
      <c r="A229" s="36" t="str">
        <f t="shared" si="15"/>
        <v/>
      </c>
      <c r="B229" s="35" t="str">
        <f>IF(DM_SP!A223="","",DM_SP!A223)</f>
        <v/>
      </c>
      <c r="C229" s="35" t="str">
        <f>IF(B229="","",DM_SP!B223)</f>
        <v/>
      </c>
      <c r="D229" s="35" t="str">
        <f>IF(B229="","",DM_SP!C223)</f>
        <v/>
      </c>
      <c r="E229" s="39" t="str">
        <f>IF($B229="","",SUMIFS(Kho_SP!$B$5:$B$304,Kho_SP!$A$5:$A$304,$B229))</f>
        <v/>
      </c>
      <c r="F229" s="39" t="str">
        <f>IF($B229="","",SUMIFS(Kho_SP!$C$5:$C$304,Kho_SP!$A$5:$A$304,$B229))</f>
        <v/>
      </c>
      <c r="G229" s="39" t="str">
        <f>IF($B229="","",SUMIFS(Kho_SP!$D$5:$D$304,Kho_SP!$A$5:$A$304,$B229))</f>
        <v/>
      </c>
      <c r="H229" s="39" t="str">
        <f>IF($B229="","",SUMIFS(Kho_SP!$E$5:$E$304,Kho_SP!$A$5:$A$304,$B229))</f>
        <v/>
      </c>
      <c r="I229" s="39" t="str">
        <f>IF($B229="","",SUMIFS(Kho_SP!$F$5:$F$304,Kho_SP!$A$5:$A$304,$B229))</f>
        <v/>
      </c>
      <c r="J229" s="39" t="str">
        <f>IF($B229="","",SUMIFS(Kho_SP!$G$5:$G$304,Kho_SP!$A$5:$A$304,$B229))</f>
        <v/>
      </c>
      <c r="K229" s="39" t="str">
        <f t="shared" si="16"/>
        <v/>
      </c>
      <c r="L229" s="31" t="str">
        <f>IF($B229="","",IFERROR(INDEX(Kho_SP!$I$5:$I$304,MATCH(B229,Kho_SP!$A$5:$A$304,0))&amp;"",""))</f>
        <v/>
      </c>
      <c r="M229" s="44" t="str">
        <f>IF($B229="","",SUMIFS(Kho_SP!$H$5:$H$304,Kho_SP!$A$5:$A$304,$B229))</f>
        <v/>
      </c>
      <c r="N229" s="44" t="str">
        <f t="shared" si="17"/>
        <v/>
      </c>
      <c r="O229" s="45" t="str">
        <f t="shared" si="18"/>
        <v/>
      </c>
      <c r="P229" s="44" t="str">
        <f>IF($B229="","",SUMIFS(TK_Xuat!$E$5:$E$1004,TK_Xuat!$D$5:$D$1004,$B229,TK_Xuat!$H$5:$H$1004,1))</f>
        <v/>
      </c>
      <c r="Q229" s="44" t="str">
        <f t="shared" si="19"/>
        <v/>
      </c>
    </row>
    <row r="230" spans="1:17" x14ac:dyDescent="0.25">
      <c r="A230" s="36" t="str">
        <f t="shared" si="15"/>
        <v/>
      </c>
      <c r="B230" s="35" t="str">
        <f>IF(DM_SP!A224="","",DM_SP!A224)</f>
        <v/>
      </c>
      <c r="C230" s="35" t="str">
        <f>IF(B230="","",DM_SP!B224)</f>
        <v/>
      </c>
      <c r="D230" s="35" t="str">
        <f>IF(B230="","",DM_SP!C224)</f>
        <v/>
      </c>
      <c r="E230" s="39" t="str">
        <f>IF($B230="","",SUMIFS(Kho_SP!$B$5:$B$304,Kho_SP!$A$5:$A$304,$B230))</f>
        <v/>
      </c>
      <c r="F230" s="39" t="str">
        <f>IF($B230="","",SUMIFS(Kho_SP!$C$5:$C$304,Kho_SP!$A$5:$A$304,$B230))</f>
        <v/>
      </c>
      <c r="G230" s="39" t="str">
        <f>IF($B230="","",SUMIFS(Kho_SP!$D$5:$D$304,Kho_SP!$A$5:$A$304,$B230))</f>
        <v/>
      </c>
      <c r="H230" s="39" t="str">
        <f>IF($B230="","",SUMIFS(Kho_SP!$E$5:$E$304,Kho_SP!$A$5:$A$304,$B230))</f>
        <v/>
      </c>
      <c r="I230" s="39" t="str">
        <f>IF($B230="","",SUMIFS(Kho_SP!$F$5:$F$304,Kho_SP!$A$5:$A$304,$B230))</f>
        <v/>
      </c>
      <c r="J230" s="39" t="str">
        <f>IF($B230="","",SUMIFS(Kho_SP!$G$5:$G$304,Kho_SP!$A$5:$A$304,$B230))</f>
        <v/>
      </c>
      <c r="K230" s="39" t="str">
        <f t="shared" si="16"/>
        <v/>
      </c>
      <c r="L230" s="31" t="str">
        <f>IF($B230="","",IFERROR(INDEX(Kho_SP!$I$5:$I$304,MATCH(B230,Kho_SP!$A$5:$A$304,0))&amp;"",""))</f>
        <v/>
      </c>
      <c r="M230" s="44" t="str">
        <f>IF($B230="","",SUMIFS(Kho_SP!$H$5:$H$304,Kho_SP!$A$5:$A$304,$B230))</f>
        <v/>
      </c>
      <c r="N230" s="44" t="str">
        <f t="shared" si="17"/>
        <v/>
      </c>
      <c r="O230" s="45" t="str">
        <f t="shared" si="18"/>
        <v/>
      </c>
      <c r="P230" s="44" t="str">
        <f>IF($B230="","",SUMIFS(TK_Xuat!$E$5:$E$1004,TK_Xuat!$D$5:$D$1004,$B230,TK_Xuat!$H$5:$H$1004,1))</f>
        <v/>
      </c>
      <c r="Q230" s="44" t="str">
        <f t="shared" si="19"/>
        <v/>
      </c>
    </row>
    <row r="231" spans="1:17" x14ac:dyDescent="0.25">
      <c r="A231" s="36" t="str">
        <f t="shared" si="15"/>
        <v/>
      </c>
      <c r="B231" s="35" t="str">
        <f>IF(DM_SP!A225="","",DM_SP!A225)</f>
        <v/>
      </c>
      <c r="C231" s="35" t="str">
        <f>IF(B231="","",DM_SP!B225)</f>
        <v/>
      </c>
      <c r="D231" s="35" t="str">
        <f>IF(B231="","",DM_SP!C225)</f>
        <v/>
      </c>
      <c r="E231" s="39" t="str">
        <f>IF($B231="","",SUMIFS(Kho_SP!$B$5:$B$304,Kho_SP!$A$5:$A$304,$B231))</f>
        <v/>
      </c>
      <c r="F231" s="39" t="str">
        <f>IF($B231="","",SUMIFS(Kho_SP!$C$5:$C$304,Kho_SP!$A$5:$A$304,$B231))</f>
        <v/>
      </c>
      <c r="G231" s="39" t="str">
        <f>IF($B231="","",SUMIFS(Kho_SP!$D$5:$D$304,Kho_SP!$A$5:$A$304,$B231))</f>
        <v/>
      </c>
      <c r="H231" s="39" t="str">
        <f>IF($B231="","",SUMIFS(Kho_SP!$E$5:$E$304,Kho_SP!$A$5:$A$304,$B231))</f>
        <v/>
      </c>
      <c r="I231" s="39" t="str">
        <f>IF($B231="","",SUMIFS(Kho_SP!$F$5:$F$304,Kho_SP!$A$5:$A$304,$B231))</f>
        <v/>
      </c>
      <c r="J231" s="39" t="str">
        <f>IF($B231="","",SUMIFS(Kho_SP!$G$5:$G$304,Kho_SP!$A$5:$A$304,$B231))</f>
        <v/>
      </c>
      <c r="K231" s="39" t="str">
        <f t="shared" si="16"/>
        <v/>
      </c>
      <c r="L231" s="31" t="str">
        <f>IF($B231="","",IFERROR(INDEX(Kho_SP!$I$5:$I$304,MATCH(B231,Kho_SP!$A$5:$A$304,0))&amp;"",""))</f>
        <v/>
      </c>
      <c r="M231" s="44" t="str">
        <f>IF($B231="","",SUMIFS(Kho_SP!$H$5:$H$304,Kho_SP!$A$5:$A$304,$B231))</f>
        <v/>
      </c>
      <c r="N231" s="44" t="str">
        <f t="shared" si="17"/>
        <v/>
      </c>
      <c r="O231" s="45" t="str">
        <f t="shared" si="18"/>
        <v/>
      </c>
      <c r="P231" s="44" t="str">
        <f>IF($B231="","",SUMIFS(TK_Xuat!$E$5:$E$1004,TK_Xuat!$D$5:$D$1004,$B231,TK_Xuat!$H$5:$H$1004,1))</f>
        <v/>
      </c>
      <c r="Q231" s="44" t="str">
        <f t="shared" si="19"/>
        <v/>
      </c>
    </row>
    <row r="232" spans="1:17" x14ac:dyDescent="0.25">
      <c r="A232" s="36" t="str">
        <f t="shared" si="15"/>
        <v/>
      </c>
      <c r="B232" s="35" t="str">
        <f>IF(DM_SP!A226="","",DM_SP!A226)</f>
        <v/>
      </c>
      <c r="C232" s="35" t="str">
        <f>IF(B232="","",DM_SP!B226)</f>
        <v/>
      </c>
      <c r="D232" s="35" t="str">
        <f>IF(B232="","",DM_SP!C226)</f>
        <v/>
      </c>
      <c r="E232" s="39" t="str">
        <f>IF($B232="","",SUMIFS(Kho_SP!$B$5:$B$304,Kho_SP!$A$5:$A$304,$B232))</f>
        <v/>
      </c>
      <c r="F232" s="39" t="str">
        <f>IF($B232="","",SUMIFS(Kho_SP!$C$5:$C$304,Kho_SP!$A$5:$A$304,$B232))</f>
        <v/>
      </c>
      <c r="G232" s="39" t="str">
        <f>IF($B232="","",SUMIFS(Kho_SP!$D$5:$D$304,Kho_SP!$A$5:$A$304,$B232))</f>
        <v/>
      </c>
      <c r="H232" s="39" t="str">
        <f>IF($B232="","",SUMIFS(Kho_SP!$E$5:$E$304,Kho_SP!$A$5:$A$304,$B232))</f>
        <v/>
      </c>
      <c r="I232" s="39" t="str">
        <f>IF($B232="","",SUMIFS(Kho_SP!$F$5:$F$304,Kho_SP!$A$5:$A$304,$B232))</f>
        <v/>
      </c>
      <c r="J232" s="39" t="str">
        <f>IF($B232="","",SUMIFS(Kho_SP!$G$5:$G$304,Kho_SP!$A$5:$A$304,$B232))</f>
        <v/>
      </c>
      <c r="K232" s="39" t="str">
        <f t="shared" si="16"/>
        <v/>
      </c>
      <c r="L232" s="31" t="str">
        <f>IF($B232="","",IFERROR(INDEX(Kho_SP!$I$5:$I$304,MATCH(B232,Kho_SP!$A$5:$A$304,0))&amp;"",""))</f>
        <v/>
      </c>
      <c r="M232" s="44" t="str">
        <f>IF($B232="","",SUMIFS(Kho_SP!$H$5:$H$304,Kho_SP!$A$5:$A$304,$B232))</f>
        <v/>
      </c>
      <c r="N232" s="44" t="str">
        <f t="shared" si="17"/>
        <v/>
      </c>
      <c r="O232" s="45" t="str">
        <f t="shared" si="18"/>
        <v/>
      </c>
      <c r="P232" s="44" t="str">
        <f>IF($B232="","",SUMIFS(TK_Xuat!$E$5:$E$1004,TK_Xuat!$D$5:$D$1004,$B232,TK_Xuat!$H$5:$H$1004,1))</f>
        <v/>
      </c>
      <c r="Q232" s="44" t="str">
        <f t="shared" si="19"/>
        <v/>
      </c>
    </row>
    <row r="233" spans="1:17" x14ac:dyDescent="0.25">
      <c r="A233" s="36" t="str">
        <f t="shared" si="15"/>
        <v/>
      </c>
      <c r="B233" s="35" t="str">
        <f>IF(DM_SP!A227="","",DM_SP!A227)</f>
        <v/>
      </c>
      <c r="C233" s="35" t="str">
        <f>IF(B233="","",DM_SP!B227)</f>
        <v/>
      </c>
      <c r="D233" s="35" t="str">
        <f>IF(B233="","",DM_SP!C227)</f>
        <v/>
      </c>
      <c r="E233" s="39" t="str">
        <f>IF($B233="","",SUMIFS(Kho_SP!$B$5:$B$304,Kho_SP!$A$5:$A$304,$B233))</f>
        <v/>
      </c>
      <c r="F233" s="39" t="str">
        <f>IF($B233="","",SUMIFS(Kho_SP!$C$5:$C$304,Kho_SP!$A$5:$A$304,$B233))</f>
        <v/>
      </c>
      <c r="G233" s="39" t="str">
        <f>IF($B233="","",SUMIFS(Kho_SP!$D$5:$D$304,Kho_SP!$A$5:$A$304,$B233))</f>
        <v/>
      </c>
      <c r="H233" s="39" t="str">
        <f>IF($B233="","",SUMIFS(Kho_SP!$E$5:$E$304,Kho_SP!$A$5:$A$304,$B233))</f>
        <v/>
      </c>
      <c r="I233" s="39" t="str">
        <f>IF($B233="","",SUMIFS(Kho_SP!$F$5:$F$304,Kho_SP!$A$5:$A$304,$B233))</f>
        <v/>
      </c>
      <c r="J233" s="39" t="str">
        <f>IF($B233="","",SUMIFS(Kho_SP!$G$5:$G$304,Kho_SP!$A$5:$A$304,$B233))</f>
        <v/>
      </c>
      <c r="K233" s="39" t="str">
        <f t="shared" si="16"/>
        <v/>
      </c>
      <c r="L233" s="31" t="str">
        <f>IF($B233="","",IFERROR(INDEX(Kho_SP!$I$5:$I$304,MATCH(B233,Kho_SP!$A$5:$A$304,0))&amp;"",""))</f>
        <v/>
      </c>
      <c r="M233" s="44" t="str">
        <f>IF($B233="","",SUMIFS(Kho_SP!$H$5:$H$304,Kho_SP!$A$5:$A$304,$B233))</f>
        <v/>
      </c>
      <c r="N233" s="44" t="str">
        <f t="shared" si="17"/>
        <v/>
      </c>
      <c r="O233" s="45" t="str">
        <f t="shared" si="18"/>
        <v/>
      </c>
      <c r="P233" s="44" t="str">
        <f>IF($B233="","",SUMIFS(TK_Xuat!$E$5:$E$1004,TK_Xuat!$D$5:$D$1004,$B233,TK_Xuat!$H$5:$H$1004,1))</f>
        <v/>
      </c>
      <c r="Q233" s="44" t="str">
        <f t="shared" si="19"/>
        <v/>
      </c>
    </row>
    <row r="234" spans="1:17" x14ac:dyDescent="0.25">
      <c r="A234" s="36" t="str">
        <f t="shared" si="15"/>
        <v/>
      </c>
      <c r="B234" s="35" t="str">
        <f>IF(DM_SP!A228="","",DM_SP!A228)</f>
        <v/>
      </c>
      <c r="C234" s="35" t="str">
        <f>IF(B234="","",DM_SP!B228)</f>
        <v/>
      </c>
      <c r="D234" s="35" t="str">
        <f>IF(B234="","",DM_SP!C228)</f>
        <v/>
      </c>
      <c r="E234" s="39" t="str">
        <f>IF($B234="","",SUMIFS(Kho_SP!$B$5:$B$304,Kho_SP!$A$5:$A$304,$B234))</f>
        <v/>
      </c>
      <c r="F234" s="39" t="str">
        <f>IF($B234="","",SUMIFS(Kho_SP!$C$5:$C$304,Kho_SP!$A$5:$A$304,$B234))</f>
        <v/>
      </c>
      <c r="G234" s="39" t="str">
        <f>IF($B234="","",SUMIFS(Kho_SP!$D$5:$D$304,Kho_SP!$A$5:$A$304,$B234))</f>
        <v/>
      </c>
      <c r="H234" s="39" t="str">
        <f>IF($B234="","",SUMIFS(Kho_SP!$E$5:$E$304,Kho_SP!$A$5:$A$304,$B234))</f>
        <v/>
      </c>
      <c r="I234" s="39" t="str">
        <f>IF($B234="","",SUMIFS(Kho_SP!$F$5:$F$304,Kho_SP!$A$5:$A$304,$B234))</f>
        <v/>
      </c>
      <c r="J234" s="39" t="str">
        <f>IF($B234="","",SUMIFS(Kho_SP!$G$5:$G$304,Kho_SP!$A$5:$A$304,$B234))</f>
        <v/>
      </c>
      <c r="K234" s="39" t="str">
        <f t="shared" si="16"/>
        <v/>
      </c>
      <c r="L234" s="31" t="str">
        <f>IF($B234="","",IFERROR(INDEX(Kho_SP!$I$5:$I$304,MATCH(B234,Kho_SP!$A$5:$A$304,0))&amp;"",""))</f>
        <v/>
      </c>
      <c r="M234" s="44" t="str">
        <f>IF($B234="","",SUMIFS(Kho_SP!$H$5:$H$304,Kho_SP!$A$5:$A$304,$B234))</f>
        <v/>
      </c>
      <c r="N234" s="44" t="str">
        <f t="shared" si="17"/>
        <v/>
      </c>
      <c r="O234" s="45" t="str">
        <f t="shared" si="18"/>
        <v/>
      </c>
      <c r="P234" s="44" t="str">
        <f>IF($B234="","",SUMIFS(TK_Xuat!$E$5:$E$1004,TK_Xuat!$D$5:$D$1004,$B234,TK_Xuat!$H$5:$H$1004,1))</f>
        <v/>
      </c>
      <c r="Q234" s="44" t="str">
        <f t="shared" si="19"/>
        <v/>
      </c>
    </row>
    <row r="235" spans="1:17" x14ac:dyDescent="0.25">
      <c r="A235" s="36" t="str">
        <f t="shared" si="15"/>
        <v/>
      </c>
      <c r="B235" s="35" t="str">
        <f>IF(DM_SP!A229="","",DM_SP!A229)</f>
        <v/>
      </c>
      <c r="C235" s="35" t="str">
        <f>IF(B235="","",DM_SP!B229)</f>
        <v/>
      </c>
      <c r="D235" s="35" t="str">
        <f>IF(B235="","",DM_SP!C229)</f>
        <v/>
      </c>
      <c r="E235" s="39" t="str">
        <f>IF($B235="","",SUMIFS(Kho_SP!$B$5:$B$304,Kho_SP!$A$5:$A$304,$B235))</f>
        <v/>
      </c>
      <c r="F235" s="39" t="str">
        <f>IF($B235="","",SUMIFS(Kho_SP!$C$5:$C$304,Kho_SP!$A$5:$A$304,$B235))</f>
        <v/>
      </c>
      <c r="G235" s="39" t="str">
        <f>IF($B235="","",SUMIFS(Kho_SP!$D$5:$D$304,Kho_SP!$A$5:$A$304,$B235))</f>
        <v/>
      </c>
      <c r="H235" s="39" t="str">
        <f>IF($B235="","",SUMIFS(Kho_SP!$E$5:$E$304,Kho_SP!$A$5:$A$304,$B235))</f>
        <v/>
      </c>
      <c r="I235" s="39" t="str">
        <f>IF($B235="","",SUMIFS(Kho_SP!$F$5:$F$304,Kho_SP!$A$5:$A$304,$B235))</f>
        <v/>
      </c>
      <c r="J235" s="39" t="str">
        <f>IF($B235="","",SUMIFS(Kho_SP!$G$5:$G$304,Kho_SP!$A$5:$A$304,$B235))</f>
        <v/>
      </c>
      <c r="K235" s="39" t="str">
        <f t="shared" si="16"/>
        <v/>
      </c>
      <c r="L235" s="31" t="str">
        <f>IF($B235="","",IFERROR(INDEX(Kho_SP!$I$5:$I$304,MATCH(B235,Kho_SP!$A$5:$A$304,0))&amp;"",""))</f>
        <v/>
      </c>
      <c r="M235" s="44" t="str">
        <f>IF($B235="","",SUMIFS(Kho_SP!$H$5:$H$304,Kho_SP!$A$5:$A$304,$B235))</f>
        <v/>
      </c>
      <c r="N235" s="44" t="str">
        <f t="shared" si="17"/>
        <v/>
      </c>
      <c r="O235" s="45" t="str">
        <f t="shared" si="18"/>
        <v/>
      </c>
      <c r="P235" s="44" t="str">
        <f>IF($B235="","",SUMIFS(TK_Xuat!$E$5:$E$1004,TK_Xuat!$D$5:$D$1004,$B235,TK_Xuat!$H$5:$H$1004,1))</f>
        <v/>
      </c>
      <c r="Q235" s="44" t="str">
        <f t="shared" si="19"/>
        <v/>
      </c>
    </row>
    <row r="236" spans="1:17" x14ac:dyDescent="0.25">
      <c r="A236" s="36" t="str">
        <f t="shared" si="15"/>
        <v/>
      </c>
      <c r="B236" s="35" t="str">
        <f>IF(DM_SP!A230="","",DM_SP!A230)</f>
        <v/>
      </c>
      <c r="C236" s="35" t="str">
        <f>IF(B236="","",DM_SP!B230)</f>
        <v/>
      </c>
      <c r="D236" s="35" t="str">
        <f>IF(B236="","",DM_SP!C230)</f>
        <v/>
      </c>
      <c r="E236" s="39" t="str">
        <f>IF($B236="","",SUMIFS(Kho_SP!$B$5:$B$304,Kho_SP!$A$5:$A$304,$B236))</f>
        <v/>
      </c>
      <c r="F236" s="39" t="str">
        <f>IF($B236="","",SUMIFS(Kho_SP!$C$5:$C$304,Kho_SP!$A$5:$A$304,$B236))</f>
        <v/>
      </c>
      <c r="G236" s="39" t="str">
        <f>IF($B236="","",SUMIFS(Kho_SP!$D$5:$D$304,Kho_SP!$A$5:$A$304,$B236))</f>
        <v/>
      </c>
      <c r="H236" s="39" t="str">
        <f>IF($B236="","",SUMIFS(Kho_SP!$E$5:$E$304,Kho_SP!$A$5:$A$304,$B236))</f>
        <v/>
      </c>
      <c r="I236" s="39" t="str">
        <f>IF($B236="","",SUMIFS(Kho_SP!$F$5:$F$304,Kho_SP!$A$5:$A$304,$B236))</f>
        <v/>
      </c>
      <c r="J236" s="39" t="str">
        <f>IF($B236="","",SUMIFS(Kho_SP!$G$5:$G$304,Kho_SP!$A$5:$A$304,$B236))</f>
        <v/>
      </c>
      <c r="K236" s="39" t="str">
        <f t="shared" si="16"/>
        <v/>
      </c>
      <c r="L236" s="31" t="str">
        <f>IF($B236="","",IFERROR(INDEX(Kho_SP!$I$5:$I$304,MATCH(B236,Kho_SP!$A$5:$A$304,0))&amp;"",""))</f>
        <v/>
      </c>
      <c r="M236" s="44" t="str">
        <f>IF($B236="","",SUMIFS(Kho_SP!$H$5:$H$304,Kho_SP!$A$5:$A$304,$B236))</f>
        <v/>
      </c>
      <c r="N236" s="44" t="str">
        <f t="shared" si="17"/>
        <v/>
      </c>
      <c r="O236" s="45" t="str">
        <f t="shared" si="18"/>
        <v/>
      </c>
      <c r="P236" s="44" t="str">
        <f>IF($B236="","",SUMIFS(TK_Xuat!$E$5:$E$1004,TK_Xuat!$D$5:$D$1004,$B236,TK_Xuat!$H$5:$H$1004,1))</f>
        <v/>
      </c>
      <c r="Q236" s="44" t="str">
        <f t="shared" si="19"/>
        <v/>
      </c>
    </row>
    <row r="237" spans="1:17" x14ac:dyDescent="0.25">
      <c r="A237" s="36" t="str">
        <f t="shared" si="15"/>
        <v/>
      </c>
      <c r="B237" s="35" t="str">
        <f>IF(DM_SP!A231="","",DM_SP!A231)</f>
        <v/>
      </c>
      <c r="C237" s="35" t="str">
        <f>IF(B237="","",DM_SP!B231)</f>
        <v/>
      </c>
      <c r="D237" s="35" t="str">
        <f>IF(B237="","",DM_SP!C231)</f>
        <v/>
      </c>
      <c r="E237" s="39" t="str">
        <f>IF($B237="","",SUMIFS(Kho_SP!$B$5:$B$304,Kho_SP!$A$5:$A$304,$B237))</f>
        <v/>
      </c>
      <c r="F237" s="39" t="str">
        <f>IF($B237="","",SUMIFS(Kho_SP!$C$5:$C$304,Kho_SP!$A$5:$A$304,$B237))</f>
        <v/>
      </c>
      <c r="G237" s="39" t="str">
        <f>IF($B237="","",SUMIFS(Kho_SP!$D$5:$D$304,Kho_SP!$A$5:$A$304,$B237))</f>
        <v/>
      </c>
      <c r="H237" s="39" t="str">
        <f>IF($B237="","",SUMIFS(Kho_SP!$E$5:$E$304,Kho_SP!$A$5:$A$304,$B237))</f>
        <v/>
      </c>
      <c r="I237" s="39" t="str">
        <f>IF($B237="","",SUMIFS(Kho_SP!$F$5:$F$304,Kho_SP!$A$5:$A$304,$B237))</f>
        <v/>
      </c>
      <c r="J237" s="39" t="str">
        <f>IF($B237="","",SUMIFS(Kho_SP!$G$5:$G$304,Kho_SP!$A$5:$A$304,$B237))</f>
        <v/>
      </c>
      <c r="K237" s="39" t="str">
        <f t="shared" si="16"/>
        <v/>
      </c>
      <c r="L237" s="31" t="str">
        <f>IF($B237="","",IFERROR(INDEX(Kho_SP!$I$5:$I$304,MATCH(B237,Kho_SP!$A$5:$A$304,0))&amp;"",""))</f>
        <v/>
      </c>
      <c r="M237" s="44" t="str">
        <f>IF($B237="","",SUMIFS(Kho_SP!$H$5:$H$304,Kho_SP!$A$5:$A$304,$B237))</f>
        <v/>
      </c>
      <c r="N237" s="44" t="str">
        <f t="shared" si="17"/>
        <v/>
      </c>
      <c r="O237" s="45" t="str">
        <f t="shared" si="18"/>
        <v/>
      </c>
      <c r="P237" s="44" t="str">
        <f>IF($B237="","",SUMIFS(TK_Xuat!$E$5:$E$1004,TK_Xuat!$D$5:$D$1004,$B237,TK_Xuat!$H$5:$H$1004,1))</f>
        <v/>
      </c>
      <c r="Q237" s="44" t="str">
        <f t="shared" si="19"/>
        <v/>
      </c>
    </row>
    <row r="238" spans="1:17" x14ac:dyDescent="0.25">
      <c r="A238" s="36" t="str">
        <f t="shared" si="15"/>
        <v/>
      </c>
      <c r="B238" s="35" t="str">
        <f>IF(DM_SP!A232="","",DM_SP!A232)</f>
        <v/>
      </c>
      <c r="C238" s="35" t="str">
        <f>IF(B238="","",DM_SP!B232)</f>
        <v/>
      </c>
      <c r="D238" s="35" t="str">
        <f>IF(B238="","",DM_SP!C232)</f>
        <v/>
      </c>
      <c r="E238" s="39" t="str">
        <f>IF($B238="","",SUMIFS(Kho_SP!$B$5:$B$304,Kho_SP!$A$5:$A$304,$B238))</f>
        <v/>
      </c>
      <c r="F238" s="39" t="str">
        <f>IF($B238="","",SUMIFS(Kho_SP!$C$5:$C$304,Kho_SP!$A$5:$A$304,$B238))</f>
        <v/>
      </c>
      <c r="G238" s="39" t="str">
        <f>IF($B238="","",SUMIFS(Kho_SP!$D$5:$D$304,Kho_SP!$A$5:$A$304,$B238))</f>
        <v/>
      </c>
      <c r="H238" s="39" t="str">
        <f>IF($B238="","",SUMIFS(Kho_SP!$E$5:$E$304,Kho_SP!$A$5:$A$304,$B238))</f>
        <v/>
      </c>
      <c r="I238" s="39" t="str">
        <f>IF($B238="","",SUMIFS(Kho_SP!$F$5:$F$304,Kho_SP!$A$5:$A$304,$B238))</f>
        <v/>
      </c>
      <c r="J238" s="39" t="str">
        <f>IF($B238="","",SUMIFS(Kho_SP!$G$5:$G$304,Kho_SP!$A$5:$A$304,$B238))</f>
        <v/>
      </c>
      <c r="K238" s="39" t="str">
        <f t="shared" si="16"/>
        <v/>
      </c>
      <c r="L238" s="31" t="str">
        <f>IF($B238="","",IFERROR(INDEX(Kho_SP!$I$5:$I$304,MATCH(B238,Kho_SP!$A$5:$A$304,0))&amp;"",""))</f>
        <v/>
      </c>
      <c r="M238" s="44" t="str">
        <f>IF($B238="","",SUMIFS(Kho_SP!$H$5:$H$304,Kho_SP!$A$5:$A$304,$B238))</f>
        <v/>
      </c>
      <c r="N238" s="44" t="str">
        <f t="shared" si="17"/>
        <v/>
      </c>
      <c r="O238" s="45" t="str">
        <f t="shared" si="18"/>
        <v/>
      </c>
      <c r="P238" s="44" t="str">
        <f>IF($B238="","",SUMIFS(TK_Xuat!$E$5:$E$1004,TK_Xuat!$D$5:$D$1004,$B238,TK_Xuat!$H$5:$H$1004,1))</f>
        <v/>
      </c>
      <c r="Q238" s="44" t="str">
        <f t="shared" si="19"/>
        <v/>
      </c>
    </row>
    <row r="239" spans="1:17" x14ac:dyDescent="0.25">
      <c r="A239" s="36" t="str">
        <f t="shared" si="15"/>
        <v/>
      </c>
      <c r="B239" s="35" t="str">
        <f>IF(DM_SP!A233="","",DM_SP!A233)</f>
        <v/>
      </c>
      <c r="C239" s="35" t="str">
        <f>IF(B239="","",DM_SP!B233)</f>
        <v/>
      </c>
      <c r="D239" s="35" t="str">
        <f>IF(B239="","",DM_SP!C233)</f>
        <v/>
      </c>
      <c r="E239" s="39" t="str">
        <f>IF($B239="","",SUMIFS(Kho_SP!$B$5:$B$304,Kho_SP!$A$5:$A$304,$B239))</f>
        <v/>
      </c>
      <c r="F239" s="39" t="str">
        <f>IF($B239="","",SUMIFS(Kho_SP!$C$5:$C$304,Kho_SP!$A$5:$A$304,$B239))</f>
        <v/>
      </c>
      <c r="G239" s="39" t="str">
        <f>IF($B239="","",SUMIFS(Kho_SP!$D$5:$D$304,Kho_SP!$A$5:$A$304,$B239))</f>
        <v/>
      </c>
      <c r="H239" s="39" t="str">
        <f>IF($B239="","",SUMIFS(Kho_SP!$E$5:$E$304,Kho_SP!$A$5:$A$304,$B239))</f>
        <v/>
      </c>
      <c r="I239" s="39" t="str">
        <f>IF($B239="","",SUMIFS(Kho_SP!$F$5:$F$304,Kho_SP!$A$5:$A$304,$B239))</f>
        <v/>
      </c>
      <c r="J239" s="39" t="str">
        <f>IF($B239="","",SUMIFS(Kho_SP!$G$5:$G$304,Kho_SP!$A$5:$A$304,$B239))</f>
        <v/>
      </c>
      <c r="K239" s="39" t="str">
        <f t="shared" si="16"/>
        <v/>
      </c>
      <c r="L239" s="31" t="str">
        <f>IF($B239="","",IFERROR(INDEX(Kho_SP!$I$5:$I$304,MATCH(B239,Kho_SP!$A$5:$A$304,0))&amp;"",""))</f>
        <v/>
      </c>
      <c r="M239" s="44" t="str">
        <f>IF($B239="","",SUMIFS(Kho_SP!$H$5:$H$304,Kho_SP!$A$5:$A$304,$B239))</f>
        <v/>
      </c>
      <c r="N239" s="44" t="str">
        <f t="shared" si="17"/>
        <v/>
      </c>
      <c r="O239" s="45" t="str">
        <f t="shared" si="18"/>
        <v/>
      </c>
      <c r="P239" s="44" t="str">
        <f>IF($B239="","",SUMIFS(TK_Xuat!$E$5:$E$1004,TK_Xuat!$D$5:$D$1004,$B239,TK_Xuat!$H$5:$H$1004,1))</f>
        <v/>
      </c>
      <c r="Q239" s="44" t="str">
        <f t="shared" si="19"/>
        <v/>
      </c>
    </row>
    <row r="240" spans="1:17" x14ac:dyDescent="0.25">
      <c r="A240" s="36" t="str">
        <f t="shared" si="15"/>
        <v/>
      </c>
      <c r="B240" s="35" t="str">
        <f>IF(DM_SP!A234="","",DM_SP!A234)</f>
        <v/>
      </c>
      <c r="C240" s="35" t="str">
        <f>IF(B240="","",DM_SP!B234)</f>
        <v/>
      </c>
      <c r="D240" s="35" t="str">
        <f>IF(B240="","",DM_SP!C234)</f>
        <v/>
      </c>
      <c r="E240" s="39" t="str">
        <f>IF($B240="","",SUMIFS(Kho_SP!$B$5:$B$304,Kho_SP!$A$5:$A$304,$B240))</f>
        <v/>
      </c>
      <c r="F240" s="39" t="str">
        <f>IF($B240="","",SUMIFS(Kho_SP!$C$5:$C$304,Kho_SP!$A$5:$A$304,$B240))</f>
        <v/>
      </c>
      <c r="G240" s="39" t="str">
        <f>IF($B240="","",SUMIFS(Kho_SP!$D$5:$D$304,Kho_SP!$A$5:$A$304,$B240))</f>
        <v/>
      </c>
      <c r="H240" s="39" t="str">
        <f>IF($B240="","",SUMIFS(Kho_SP!$E$5:$E$304,Kho_SP!$A$5:$A$304,$B240))</f>
        <v/>
      </c>
      <c r="I240" s="39" t="str">
        <f>IF($B240="","",SUMIFS(Kho_SP!$F$5:$F$304,Kho_SP!$A$5:$A$304,$B240))</f>
        <v/>
      </c>
      <c r="J240" s="39" t="str">
        <f>IF($B240="","",SUMIFS(Kho_SP!$G$5:$G$304,Kho_SP!$A$5:$A$304,$B240))</f>
        <v/>
      </c>
      <c r="K240" s="39" t="str">
        <f t="shared" si="16"/>
        <v/>
      </c>
      <c r="L240" s="31" t="str">
        <f>IF($B240="","",IFERROR(INDEX(Kho_SP!$I$5:$I$304,MATCH(B240,Kho_SP!$A$5:$A$304,0))&amp;"",""))</f>
        <v/>
      </c>
      <c r="M240" s="44" t="str">
        <f>IF($B240="","",SUMIFS(Kho_SP!$H$5:$H$304,Kho_SP!$A$5:$A$304,$B240))</f>
        <v/>
      </c>
      <c r="N240" s="44" t="str">
        <f t="shared" si="17"/>
        <v/>
      </c>
      <c r="O240" s="45" t="str">
        <f t="shared" si="18"/>
        <v/>
      </c>
      <c r="P240" s="44" t="str">
        <f>IF($B240="","",SUMIFS(TK_Xuat!$E$5:$E$1004,TK_Xuat!$D$5:$D$1004,$B240,TK_Xuat!$H$5:$H$1004,1))</f>
        <v/>
      </c>
      <c r="Q240" s="44" t="str">
        <f t="shared" si="19"/>
        <v/>
      </c>
    </row>
    <row r="241" spans="1:17" x14ac:dyDescent="0.25">
      <c r="A241" s="36" t="str">
        <f t="shared" si="15"/>
        <v/>
      </c>
      <c r="B241" s="35" t="str">
        <f>IF(DM_SP!A235="","",DM_SP!A235)</f>
        <v/>
      </c>
      <c r="C241" s="35" t="str">
        <f>IF(B241="","",DM_SP!B235)</f>
        <v/>
      </c>
      <c r="D241" s="35" t="str">
        <f>IF(B241="","",DM_SP!C235)</f>
        <v/>
      </c>
      <c r="E241" s="39" t="str">
        <f>IF($B241="","",SUMIFS(Kho_SP!$B$5:$B$304,Kho_SP!$A$5:$A$304,$B241))</f>
        <v/>
      </c>
      <c r="F241" s="39" t="str">
        <f>IF($B241="","",SUMIFS(Kho_SP!$C$5:$C$304,Kho_SP!$A$5:$A$304,$B241))</f>
        <v/>
      </c>
      <c r="G241" s="39" t="str">
        <f>IF($B241="","",SUMIFS(Kho_SP!$D$5:$D$304,Kho_SP!$A$5:$A$304,$B241))</f>
        <v/>
      </c>
      <c r="H241" s="39" t="str">
        <f>IF($B241="","",SUMIFS(Kho_SP!$E$5:$E$304,Kho_SP!$A$5:$A$304,$B241))</f>
        <v/>
      </c>
      <c r="I241" s="39" t="str">
        <f>IF($B241="","",SUMIFS(Kho_SP!$F$5:$F$304,Kho_SP!$A$5:$A$304,$B241))</f>
        <v/>
      </c>
      <c r="J241" s="39" t="str">
        <f>IF($B241="","",SUMIFS(Kho_SP!$G$5:$G$304,Kho_SP!$A$5:$A$304,$B241))</f>
        <v/>
      </c>
      <c r="K241" s="39" t="str">
        <f t="shared" si="16"/>
        <v/>
      </c>
      <c r="L241" s="31" t="str">
        <f>IF($B241="","",IFERROR(INDEX(Kho_SP!$I$5:$I$304,MATCH(B241,Kho_SP!$A$5:$A$304,0))&amp;"",""))</f>
        <v/>
      </c>
      <c r="M241" s="44" t="str">
        <f>IF($B241="","",SUMIFS(Kho_SP!$H$5:$H$304,Kho_SP!$A$5:$A$304,$B241))</f>
        <v/>
      </c>
      <c r="N241" s="44" t="str">
        <f t="shared" si="17"/>
        <v/>
      </c>
      <c r="O241" s="45" t="str">
        <f t="shared" si="18"/>
        <v/>
      </c>
      <c r="P241" s="44" t="str">
        <f>IF($B241="","",SUMIFS(TK_Xuat!$E$5:$E$1004,TK_Xuat!$D$5:$D$1004,$B241,TK_Xuat!$H$5:$H$1004,1))</f>
        <v/>
      </c>
      <c r="Q241" s="44" t="str">
        <f t="shared" si="19"/>
        <v/>
      </c>
    </row>
    <row r="242" spans="1:17" x14ac:dyDescent="0.25">
      <c r="A242" s="36" t="str">
        <f t="shared" si="15"/>
        <v/>
      </c>
      <c r="B242" s="35" t="str">
        <f>IF(DM_SP!A236="","",DM_SP!A236)</f>
        <v/>
      </c>
      <c r="C242" s="35" t="str">
        <f>IF(B242="","",DM_SP!B236)</f>
        <v/>
      </c>
      <c r="D242" s="35" t="str">
        <f>IF(B242="","",DM_SP!C236)</f>
        <v/>
      </c>
      <c r="E242" s="39" t="str">
        <f>IF($B242="","",SUMIFS(Kho_SP!$B$5:$B$304,Kho_SP!$A$5:$A$304,$B242))</f>
        <v/>
      </c>
      <c r="F242" s="39" t="str">
        <f>IF($B242="","",SUMIFS(Kho_SP!$C$5:$C$304,Kho_SP!$A$5:$A$304,$B242))</f>
        <v/>
      </c>
      <c r="G242" s="39" t="str">
        <f>IF($B242="","",SUMIFS(Kho_SP!$D$5:$D$304,Kho_SP!$A$5:$A$304,$B242))</f>
        <v/>
      </c>
      <c r="H242" s="39" t="str">
        <f>IF($B242="","",SUMIFS(Kho_SP!$E$5:$E$304,Kho_SP!$A$5:$A$304,$B242))</f>
        <v/>
      </c>
      <c r="I242" s="39" t="str">
        <f>IF($B242="","",SUMIFS(Kho_SP!$F$5:$F$304,Kho_SP!$A$5:$A$304,$B242))</f>
        <v/>
      </c>
      <c r="J242" s="39" t="str">
        <f>IF($B242="","",SUMIFS(Kho_SP!$G$5:$G$304,Kho_SP!$A$5:$A$304,$B242))</f>
        <v/>
      </c>
      <c r="K242" s="39" t="str">
        <f t="shared" si="16"/>
        <v/>
      </c>
      <c r="L242" s="31" t="str">
        <f>IF($B242="","",IFERROR(INDEX(Kho_SP!$I$5:$I$304,MATCH(B242,Kho_SP!$A$5:$A$304,0))&amp;"",""))</f>
        <v/>
      </c>
      <c r="M242" s="44" t="str">
        <f>IF($B242="","",SUMIFS(Kho_SP!$H$5:$H$304,Kho_SP!$A$5:$A$304,$B242))</f>
        <v/>
      </c>
      <c r="N242" s="44" t="str">
        <f t="shared" si="17"/>
        <v/>
      </c>
      <c r="O242" s="45" t="str">
        <f t="shared" si="18"/>
        <v/>
      </c>
      <c r="P242" s="44" t="str">
        <f>IF($B242="","",SUMIFS(TK_Xuat!$E$5:$E$1004,TK_Xuat!$D$5:$D$1004,$B242,TK_Xuat!$H$5:$H$1004,1))</f>
        <v/>
      </c>
      <c r="Q242" s="44" t="str">
        <f t="shared" si="19"/>
        <v/>
      </c>
    </row>
    <row r="243" spans="1:17" x14ac:dyDescent="0.25">
      <c r="A243" s="36" t="str">
        <f t="shared" si="15"/>
        <v/>
      </c>
      <c r="B243" s="35" t="str">
        <f>IF(DM_SP!A237="","",DM_SP!A237)</f>
        <v/>
      </c>
      <c r="C243" s="35" t="str">
        <f>IF(B243="","",DM_SP!B237)</f>
        <v/>
      </c>
      <c r="D243" s="35" t="str">
        <f>IF(B243="","",DM_SP!C237)</f>
        <v/>
      </c>
      <c r="E243" s="39" t="str">
        <f>IF($B243="","",SUMIFS(Kho_SP!$B$5:$B$304,Kho_SP!$A$5:$A$304,$B243))</f>
        <v/>
      </c>
      <c r="F243" s="39" t="str">
        <f>IF($B243="","",SUMIFS(Kho_SP!$C$5:$C$304,Kho_SP!$A$5:$A$304,$B243))</f>
        <v/>
      </c>
      <c r="G243" s="39" t="str">
        <f>IF($B243="","",SUMIFS(Kho_SP!$D$5:$D$304,Kho_SP!$A$5:$A$304,$B243))</f>
        <v/>
      </c>
      <c r="H243" s="39" t="str">
        <f>IF($B243="","",SUMIFS(Kho_SP!$E$5:$E$304,Kho_SP!$A$5:$A$304,$B243))</f>
        <v/>
      </c>
      <c r="I243" s="39" t="str">
        <f>IF($B243="","",SUMIFS(Kho_SP!$F$5:$F$304,Kho_SP!$A$5:$A$304,$B243))</f>
        <v/>
      </c>
      <c r="J243" s="39" t="str">
        <f>IF($B243="","",SUMIFS(Kho_SP!$G$5:$G$304,Kho_SP!$A$5:$A$304,$B243))</f>
        <v/>
      </c>
      <c r="K243" s="39" t="str">
        <f t="shared" si="16"/>
        <v/>
      </c>
      <c r="L243" s="31" t="str">
        <f>IF($B243="","",IFERROR(INDEX(Kho_SP!$I$5:$I$304,MATCH(B243,Kho_SP!$A$5:$A$304,0))&amp;"",""))</f>
        <v/>
      </c>
      <c r="M243" s="44" t="str">
        <f>IF($B243="","",SUMIFS(Kho_SP!$H$5:$H$304,Kho_SP!$A$5:$A$304,$B243))</f>
        <v/>
      </c>
      <c r="N243" s="44" t="str">
        <f t="shared" si="17"/>
        <v/>
      </c>
      <c r="O243" s="45" t="str">
        <f t="shared" si="18"/>
        <v/>
      </c>
      <c r="P243" s="44" t="str">
        <f>IF($B243="","",SUMIFS(TK_Xuat!$E$5:$E$1004,TK_Xuat!$D$5:$D$1004,$B243,TK_Xuat!$H$5:$H$1004,1))</f>
        <v/>
      </c>
      <c r="Q243" s="44" t="str">
        <f t="shared" si="19"/>
        <v/>
      </c>
    </row>
    <row r="244" spans="1:17" x14ac:dyDescent="0.25">
      <c r="A244" s="36" t="str">
        <f t="shared" si="15"/>
        <v/>
      </c>
      <c r="B244" s="35" t="str">
        <f>IF(DM_SP!A238="","",DM_SP!A238)</f>
        <v/>
      </c>
      <c r="C244" s="35" t="str">
        <f>IF(B244="","",DM_SP!B238)</f>
        <v/>
      </c>
      <c r="D244" s="35" t="str">
        <f>IF(B244="","",DM_SP!C238)</f>
        <v/>
      </c>
      <c r="E244" s="39" t="str">
        <f>IF($B244="","",SUMIFS(Kho_SP!$B$5:$B$304,Kho_SP!$A$5:$A$304,$B244))</f>
        <v/>
      </c>
      <c r="F244" s="39" t="str">
        <f>IF($B244="","",SUMIFS(Kho_SP!$C$5:$C$304,Kho_SP!$A$5:$A$304,$B244))</f>
        <v/>
      </c>
      <c r="G244" s="39" t="str">
        <f>IF($B244="","",SUMIFS(Kho_SP!$D$5:$D$304,Kho_SP!$A$5:$A$304,$B244))</f>
        <v/>
      </c>
      <c r="H244" s="39" t="str">
        <f>IF($B244="","",SUMIFS(Kho_SP!$E$5:$E$304,Kho_SP!$A$5:$A$304,$B244))</f>
        <v/>
      </c>
      <c r="I244" s="39" t="str">
        <f>IF($B244="","",SUMIFS(Kho_SP!$F$5:$F$304,Kho_SP!$A$5:$A$304,$B244))</f>
        <v/>
      </c>
      <c r="J244" s="39" t="str">
        <f>IF($B244="","",SUMIFS(Kho_SP!$G$5:$G$304,Kho_SP!$A$5:$A$304,$B244))</f>
        <v/>
      </c>
      <c r="K244" s="39" t="str">
        <f t="shared" si="16"/>
        <v/>
      </c>
      <c r="L244" s="31" t="str">
        <f>IF($B244="","",IFERROR(INDEX(Kho_SP!$I$5:$I$304,MATCH(B244,Kho_SP!$A$5:$A$304,0))&amp;"",""))</f>
        <v/>
      </c>
      <c r="M244" s="44" t="str">
        <f>IF($B244="","",SUMIFS(Kho_SP!$H$5:$H$304,Kho_SP!$A$5:$A$304,$B244))</f>
        <v/>
      </c>
      <c r="N244" s="44" t="str">
        <f t="shared" si="17"/>
        <v/>
      </c>
      <c r="O244" s="45" t="str">
        <f t="shared" si="18"/>
        <v/>
      </c>
      <c r="P244" s="44" t="str">
        <f>IF($B244="","",SUMIFS(TK_Xuat!$E$5:$E$1004,TK_Xuat!$D$5:$D$1004,$B244,TK_Xuat!$H$5:$H$1004,1))</f>
        <v/>
      </c>
      <c r="Q244" s="44" t="str">
        <f t="shared" si="19"/>
        <v/>
      </c>
    </row>
    <row r="245" spans="1:17" x14ac:dyDescent="0.25">
      <c r="A245" s="36" t="str">
        <f t="shared" si="15"/>
        <v/>
      </c>
      <c r="B245" s="35" t="str">
        <f>IF(DM_SP!A239="","",DM_SP!A239)</f>
        <v/>
      </c>
      <c r="C245" s="35" t="str">
        <f>IF(B245="","",DM_SP!B239)</f>
        <v/>
      </c>
      <c r="D245" s="35" t="str">
        <f>IF(B245="","",DM_SP!C239)</f>
        <v/>
      </c>
      <c r="E245" s="39" t="str">
        <f>IF($B245="","",SUMIFS(Kho_SP!$B$5:$B$304,Kho_SP!$A$5:$A$304,$B245))</f>
        <v/>
      </c>
      <c r="F245" s="39" t="str">
        <f>IF($B245="","",SUMIFS(Kho_SP!$C$5:$C$304,Kho_SP!$A$5:$A$304,$B245))</f>
        <v/>
      </c>
      <c r="G245" s="39" t="str">
        <f>IF($B245="","",SUMIFS(Kho_SP!$D$5:$D$304,Kho_SP!$A$5:$A$304,$B245))</f>
        <v/>
      </c>
      <c r="H245" s="39" t="str">
        <f>IF($B245="","",SUMIFS(Kho_SP!$E$5:$E$304,Kho_SP!$A$5:$A$304,$B245))</f>
        <v/>
      </c>
      <c r="I245" s="39" t="str">
        <f>IF($B245="","",SUMIFS(Kho_SP!$F$5:$F$304,Kho_SP!$A$5:$A$304,$B245))</f>
        <v/>
      </c>
      <c r="J245" s="39" t="str">
        <f>IF($B245="","",SUMIFS(Kho_SP!$G$5:$G$304,Kho_SP!$A$5:$A$304,$B245))</f>
        <v/>
      </c>
      <c r="K245" s="39" t="str">
        <f t="shared" si="16"/>
        <v/>
      </c>
      <c r="L245" s="31" t="str">
        <f>IF($B245="","",IFERROR(INDEX(Kho_SP!$I$5:$I$304,MATCH(B245,Kho_SP!$A$5:$A$304,0))&amp;"",""))</f>
        <v/>
      </c>
      <c r="M245" s="44" t="str">
        <f>IF($B245="","",SUMIFS(Kho_SP!$H$5:$H$304,Kho_SP!$A$5:$A$304,$B245))</f>
        <v/>
      </c>
      <c r="N245" s="44" t="str">
        <f t="shared" si="17"/>
        <v/>
      </c>
      <c r="O245" s="45" t="str">
        <f t="shared" si="18"/>
        <v/>
      </c>
      <c r="P245" s="44" t="str">
        <f>IF($B245="","",SUMIFS(TK_Xuat!$E$5:$E$1004,TK_Xuat!$D$5:$D$1004,$B245,TK_Xuat!$H$5:$H$1004,1))</f>
        <v/>
      </c>
      <c r="Q245" s="44" t="str">
        <f t="shared" si="19"/>
        <v/>
      </c>
    </row>
    <row r="246" spans="1:17" x14ac:dyDescent="0.25">
      <c r="A246" s="36" t="str">
        <f t="shared" si="15"/>
        <v/>
      </c>
      <c r="B246" s="35" t="str">
        <f>IF(DM_SP!A240="","",DM_SP!A240)</f>
        <v/>
      </c>
      <c r="C246" s="35" t="str">
        <f>IF(B246="","",DM_SP!B240)</f>
        <v/>
      </c>
      <c r="D246" s="35" t="str">
        <f>IF(B246="","",DM_SP!C240)</f>
        <v/>
      </c>
      <c r="E246" s="39" t="str">
        <f>IF($B246="","",SUMIFS(Kho_SP!$B$5:$B$304,Kho_SP!$A$5:$A$304,$B246))</f>
        <v/>
      </c>
      <c r="F246" s="39" t="str">
        <f>IF($B246="","",SUMIFS(Kho_SP!$C$5:$C$304,Kho_SP!$A$5:$A$304,$B246))</f>
        <v/>
      </c>
      <c r="G246" s="39" t="str">
        <f>IF($B246="","",SUMIFS(Kho_SP!$D$5:$D$304,Kho_SP!$A$5:$A$304,$B246))</f>
        <v/>
      </c>
      <c r="H246" s="39" t="str">
        <f>IF($B246="","",SUMIFS(Kho_SP!$E$5:$E$304,Kho_SP!$A$5:$A$304,$B246))</f>
        <v/>
      </c>
      <c r="I246" s="39" t="str">
        <f>IF($B246="","",SUMIFS(Kho_SP!$F$5:$F$304,Kho_SP!$A$5:$A$304,$B246))</f>
        <v/>
      </c>
      <c r="J246" s="39" t="str">
        <f>IF($B246="","",SUMIFS(Kho_SP!$G$5:$G$304,Kho_SP!$A$5:$A$304,$B246))</f>
        <v/>
      </c>
      <c r="K246" s="39" t="str">
        <f t="shared" si="16"/>
        <v/>
      </c>
      <c r="L246" s="31" t="str">
        <f>IF($B246="","",IFERROR(INDEX(Kho_SP!$I$5:$I$304,MATCH(B246,Kho_SP!$A$5:$A$304,0))&amp;"",""))</f>
        <v/>
      </c>
      <c r="M246" s="44" t="str">
        <f>IF($B246="","",SUMIFS(Kho_SP!$H$5:$H$304,Kho_SP!$A$5:$A$304,$B246))</f>
        <v/>
      </c>
      <c r="N246" s="44" t="str">
        <f t="shared" si="17"/>
        <v/>
      </c>
      <c r="O246" s="45" t="str">
        <f t="shared" si="18"/>
        <v/>
      </c>
      <c r="P246" s="44" t="str">
        <f>IF($B246="","",SUMIFS(TK_Xuat!$E$5:$E$1004,TK_Xuat!$D$5:$D$1004,$B246,TK_Xuat!$H$5:$H$1004,1))</f>
        <v/>
      </c>
      <c r="Q246" s="44" t="str">
        <f t="shared" si="19"/>
        <v/>
      </c>
    </row>
    <row r="247" spans="1:17" x14ac:dyDescent="0.25">
      <c r="A247" s="36" t="str">
        <f t="shared" si="15"/>
        <v/>
      </c>
      <c r="B247" s="35" t="str">
        <f>IF(DM_SP!A241="","",DM_SP!A241)</f>
        <v/>
      </c>
      <c r="C247" s="35" t="str">
        <f>IF(B247="","",DM_SP!B241)</f>
        <v/>
      </c>
      <c r="D247" s="35" t="str">
        <f>IF(B247="","",DM_SP!C241)</f>
        <v/>
      </c>
      <c r="E247" s="39" t="str">
        <f>IF($B247="","",SUMIFS(Kho_SP!$B$5:$B$304,Kho_SP!$A$5:$A$304,$B247))</f>
        <v/>
      </c>
      <c r="F247" s="39" t="str">
        <f>IF($B247="","",SUMIFS(Kho_SP!$C$5:$C$304,Kho_SP!$A$5:$A$304,$B247))</f>
        <v/>
      </c>
      <c r="G247" s="39" t="str">
        <f>IF($B247="","",SUMIFS(Kho_SP!$D$5:$D$304,Kho_SP!$A$5:$A$304,$B247))</f>
        <v/>
      </c>
      <c r="H247" s="39" t="str">
        <f>IF($B247="","",SUMIFS(Kho_SP!$E$5:$E$304,Kho_SP!$A$5:$A$304,$B247))</f>
        <v/>
      </c>
      <c r="I247" s="39" t="str">
        <f>IF($B247="","",SUMIFS(Kho_SP!$F$5:$F$304,Kho_SP!$A$5:$A$304,$B247))</f>
        <v/>
      </c>
      <c r="J247" s="39" t="str">
        <f>IF($B247="","",SUMIFS(Kho_SP!$G$5:$G$304,Kho_SP!$A$5:$A$304,$B247))</f>
        <v/>
      </c>
      <c r="K247" s="39" t="str">
        <f t="shared" si="16"/>
        <v/>
      </c>
      <c r="L247" s="31" t="str">
        <f>IF($B247="","",IFERROR(INDEX(Kho_SP!$I$5:$I$304,MATCH(B247,Kho_SP!$A$5:$A$304,0))&amp;"",""))</f>
        <v/>
      </c>
      <c r="M247" s="44" t="str">
        <f>IF($B247="","",SUMIFS(Kho_SP!$H$5:$H$304,Kho_SP!$A$5:$A$304,$B247))</f>
        <v/>
      </c>
      <c r="N247" s="44" t="str">
        <f t="shared" si="17"/>
        <v/>
      </c>
      <c r="O247" s="45" t="str">
        <f t="shared" si="18"/>
        <v/>
      </c>
      <c r="P247" s="44" t="str">
        <f>IF($B247="","",SUMIFS(TK_Xuat!$E$5:$E$1004,TK_Xuat!$D$5:$D$1004,$B247,TK_Xuat!$H$5:$H$1004,1))</f>
        <v/>
      </c>
      <c r="Q247" s="44" t="str">
        <f t="shared" si="19"/>
        <v/>
      </c>
    </row>
    <row r="248" spans="1:17" x14ac:dyDescent="0.25">
      <c r="A248" s="36" t="str">
        <f t="shared" si="15"/>
        <v/>
      </c>
      <c r="B248" s="35" t="str">
        <f>IF(DM_SP!A242="","",DM_SP!A242)</f>
        <v/>
      </c>
      <c r="C248" s="35" t="str">
        <f>IF(B248="","",DM_SP!B242)</f>
        <v/>
      </c>
      <c r="D248" s="35" t="str">
        <f>IF(B248="","",DM_SP!C242)</f>
        <v/>
      </c>
      <c r="E248" s="39" t="str">
        <f>IF($B248="","",SUMIFS(Kho_SP!$B$5:$B$304,Kho_SP!$A$5:$A$304,$B248))</f>
        <v/>
      </c>
      <c r="F248" s="39" t="str">
        <f>IF($B248="","",SUMIFS(Kho_SP!$C$5:$C$304,Kho_SP!$A$5:$A$304,$B248))</f>
        <v/>
      </c>
      <c r="G248" s="39" t="str">
        <f>IF($B248="","",SUMIFS(Kho_SP!$D$5:$D$304,Kho_SP!$A$5:$A$304,$B248))</f>
        <v/>
      </c>
      <c r="H248" s="39" t="str">
        <f>IF($B248="","",SUMIFS(Kho_SP!$E$5:$E$304,Kho_SP!$A$5:$A$304,$B248))</f>
        <v/>
      </c>
      <c r="I248" s="39" t="str">
        <f>IF($B248="","",SUMIFS(Kho_SP!$F$5:$F$304,Kho_SP!$A$5:$A$304,$B248))</f>
        <v/>
      </c>
      <c r="J248" s="39" t="str">
        <f>IF($B248="","",SUMIFS(Kho_SP!$G$5:$G$304,Kho_SP!$A$5:$A$304,$B248))</f>
        <v/>
      </c>
      <c r="K248" s="39" t="str">
        <f t="shared" si="16"/>
        <v/>
      </c>
      <c r="L248" s="31" t="str">
        <f>IF($B248="","",IFERROR(INDEX(Kho_SP!$I$5:$I$304,MATCH(B248,Kho_SP!$A$5:$A$304,0))&amp;"",""))</f>
        <v/>
      </c>
      <c r="M248" s="44" t="str">
        <f>IF($B248="","",SUMIFS(Kho_SP!$H$5:$H$304,Kho_SP!$A$5:$A$304,$B248))</f>
        <v/>
      </c>
      <c r="N248" s="44" t="str">
        <f t="shared" si="17"/>
        <v/>
      </c>
      <c r="O248" s="45" t="str">
        <f t="shared" si="18"/>
        <v/>
      </c>
      <c r="P248" s="44" t="str">
        <f>IF($B248="","",SUMIFS(TK_Xuat!$E$5:$E$1004,TK_Xuat!$D$5:$D$1004,$B248,TK_Xuat!$H$5:$H$1004,1))</f>
        <v/>
      </c>
      <c r="Q248" s="44" t="str">
        <f t="shared" si="19"/>
        <v/>
      </c>
    </row>
    <row r="249" spans="1:17" x14ac:dyDescent="0.25">
      <c r="A249" s="36" t="str">
        <f t="shared" si="15"/>
        <v/>
      </c>
      <c r="B249" s="35" t="str">
        <f>IF(DM_SP!A243="","",DM_SP!A243)</f>
        <v/>
      </c>
      <c r="C249" s="35" t="str">
        <f>IF(B249="","",DM_SP!B243)</f>
        <v/>
      </c>
      <c r="D249" s="35" t="str">
        <f>IF(B249="","",DM_SP!C243)</f>
        <v/>
      </c>
      <c r="E249" s="39" t="str">
        <f>IF($B249="","",SUMIFS(Kho_SP!$B$5:$B$304,Kho_SP!$A$5:$A$304,$B249))</f>
        <v/>
      </c>
      <c r="F249" s="39" t="str">
        <f>IF($B249="","",SUMIFS(Kho_SP!$C$5:$C$304,Kho_SP!$A$5:$A$304,$B249))</f>
        <v/>
      </c>
      <c r="G249" s="39" t="str">
        <f>IF($B249="","",SUMIFS(Kho_SP!$D$5:$D$304,Kho_SP!$A$5:$A$304,$B249))</f>
        <v/>
      </c>
      <c r="H249" s="39" t="str">
        <f>IF($B249="","",SUMIFS(Kho_SP!$E$5:$E$304,Kho_SP!$A$5:$A$304,$B249))</f>
        <v/>
      </c>
      <c r="I249" s="39" t="str">
        <f>IF($B249="","",SUMIFS(Kho_SP!$F$5:$F$304,Kho_SP!$A$5:$A$304,$B249))</f>
        <v/>
      </c>
      <c r="J249" s="39" t="str">
        <f>IF($B249="","",SUMIFS(Kho_SP!$G$5:$G$304,Kho_SP!$A$5:$A$304,$B249))</f>
        <v/>
      </c>
      <c r="K249" s="39" t="str">
        <f t="shared" si="16"/>
        <v/>
      </c>
      <c r="L249" s="31" t="str">
        <f>IF($B249="","",IFERROR(INDEX(Kho_SP!$I$5:$I$304,MATCH(B249,Kho_SP!$A$5:$A$304,0))&amp;"",""))</f>
        <v/>
      </c>
      <c r="M249" s="44" t="str">
        <f>IF($B249="","",SUMIFS(Kho_SP!$H$5:$H$304,Kho_SP!$A$5:$A$304,$B249))</f>
        <v/>
      </c>
      <c r="N249" s="44" t="str">
        <f t="shared" si="17"/>
        <v/>
      </c>
      <c r="O249" s="45" t="str">
        <f t="shared" si="18"/>
        <v/>
      </c>
      <c r="P249" s="44" t="str">
        <f>IF($B249="","",SUMIFS(TK_Xuat!$E$5:$E$1004,TK_Xuat!$D$5:$D$1004,$B249,TK_Xuat!$H$5:$H$1004,1))</f>
        <v/>
      </c>
      <c r="Q249" s="44" t="str">
        <f t="shared" si="19"/>
        <v/>
      </c>
    </row>
    <row r="250" spans="1:17" x14ac:dyDescent="0.25">
      <c r="A250" s="36" t="str">
        <f t="shared" si="15"/>
        <v/>
      </c>
      <c r="B250" s="35" t="str">
        <f>IF(DM_SP!A244="","",DM_SP!A244)</f>
        <v/>
      </c>
      <c r="C250" s="35" t="str">
        <f>IF(B250="","",DM_SP!B244)</f>
        <v/>
      </c>
      <c r="D250" s="35" t="str">
        <f>IF(B250="","",DM_SP!C244)</f>
        <v/>
      </c>
      <c r="E250" s="39" t="str">
        <f>IF($B250="","",SUMIFS(Kho_SP!$B$5:$B$304,Kho_SP!$A$5:$A$304,$B250))</f>
        <v/>
      </c>
      <c r="F250" s="39" t="str">
        <f>IF($B250="","",SUMIFS(Kho_SP!$C$5:$C$304,Kho_SP!$A$5:$A$304,$B250))</f>
        <v/>
      </c>
      <c r="G250" s="39" t="str">
        <f>IF($B250="","",SUMIFS(Kho_SP!$D$5:$D$304,Kho_SP!$A$5:$A$304,$B250))</f>
        <v/>
      </c>
      <c r="H250" s="39" t="str">
        <f>IF($B250="","",SUMIFS(Kho_SP!$E$5:$E$304,Kho_SP!$A$5:$A$304,$B250))</f>
        <v/>
      </c>
      <c r="I250" s="39" t="str">
        <f>IF($B250="","",SUMIFS(Kho_SP!$F$5:$F$304,Kho_SP!$A$5:$A$304,$B250))</f>
        <v/>
      </c>
      <c r="J250" s="39" t="str">
        <f>IF($B250="","",SUMIFS(Kho_SP!$G$5:$G$304,Kho_SP!$A$5:$A$304,$B250))</f>
        <v/>
      </c>
      <c r="K250" s="39" t="str">
        <f t="shared" si="16"/>
        <v/>
      </c>
      <c r="L250" s="31" t="str">
        <f>IF($B250="","",IFERROR(INDEX(Kho_SP!$I$5:$I$304,MATCH(B250,Kho_SP!$A$5:$A$304,0))&amp;"",""))</f>
        <v/>
      </c>
      <c r="M250" s="44" t="str">
        <f>IF($B250="","",SUMIFS(Kho_SP!$H$5:$H$304,Kho_SP!$A$5:$A$304,$B250))</f>
        <v/>
      </c>
      <c r="N250" s="44" t="str">
        <f t="shared" si="17"/>
        <v/>
      </c>
      <c r="O250" s="45" t="str">
        <f t="shared" si="18"/>
        <v/>
      </c>
      <c r="P250" s="44" t="str">
        <f>IF($B250="","",SUMIFS(TK_Xuat!$E$5:$E$1004,TK_Xuat!$D$5:$D$1004,$B250,TK_Xuat!$H$5:$H$1004,1))</f>
        <v/>
      </c>
      <c r="Q250" s="44" t="str">
        <f t="shared" si="19"/>
        <v/>
      </c>
    </row>
    <row r="251" spans="1:17" x14ac:dyDescent="0.25">
      <c r="A251" s="36" t="str">
        <f t="shared" si="15"/>
        <v/>
      </c>
      <c r="B251" s="35" t="str">
        <f>IF(DM_SP!A245="","",DM_SP!A245)</f>
        <v/>
      </c>
      <c r="C251" s="35" t="str">
        <f>IF(B251="","",DM_SP!B245)</f>
        <v/>
      </c>
      <c r="D251" s="35" t="str">
        <f>IF(B251="","",DM_SP!C245)</f>
        <v/>
      </c>
      <c r="E251" s="39" t="str">
        <f>IF($B251="","",SUMIFS(Kho_SP!$B$5:$B$304,Kho_SP!$A$5:$A$304,$B251))</f>
        <v/>
      </c>
      <c r="F251" s="39" t="str">
        <f>IF($B251="","",SUMIFS(Kho_SP!$C$5:$C$304,Kho_SP!$A$5:$A$304,$B251))</f>
        <v/>
      </c>
      <c r="G251" s="39" t="str">
        <f>IF($B251="","",SUMIFS(Kho_SP!$D$5:$D$304,Kho_SP!$A$5:$A$304,$B251))</f>
        <v/>
      </c>
      <c r="H251" s="39" t="str">
        <f>IF($B251="","",SUMIFS(Kho_SP!$E$5:$E$304,Kho_SP!$A$5:$A$304,$B251))</f>
        <v/>
      </c>
      <c r="I251" s="39" t="str">
        <f>IF($B251="","",SUMIFS(Kho_SP!$F$5:$F$304,Kho_SP!$A$5:$A$304,$B251))</f>
        <v/>
      </c>
      <c r="J251" s="39" t="str">
        <f>IF($B251="","",SUMIFS(Kho_SP!$G$5:$G$304,Kho_SP!$A$5:$A$304,$B251))</f>
        <v/>
      </c>
      <c r="K251" s="39" t="str">
        <f t="shared" si="16"/>
        <v/>
      </c>
      <c r="L251" s="31" t="str">
        <f>IF($B251="","",IFERROR(INDEX(Kho_SP!$I$5:$I$304,MATCH(B251,Kho_SP!$A$5:$A$304,0))&amp;"",""))</f>
        <v/>
      </c>
      <c r="M251" s="44" t="str">
        <f>IF($B251="","",SUMIFS(Kho_SP!$H$5:$H$304,Kho_SP!$A$5:$A$304,$B251))</f>
        <v/>
      </c>
      <c r="N251" s="44" t="str">
        <f t="shared" si="17"/>
        <v/>
      </c>
      <c r="O251" s="45" t="str">
        <f t="shared" si="18"/>
        <v/>
      </c>
      <c r="P251" s="44" t="str">
        <f>IF($B251="","",SUMIFS(TK_Xuat!$E$5:$E$1004,TK_Xuat!$D$5:$D$1004,$B251,TK_Xuat!$H$5:$H$1004,1))</f>
        <v/>
      </c>
      <c r="Q251" s="44" t="str">
        <f t="shared" si="19"/>
        <v/>
      </c>
    </row>
    <row r="252" spans="1:17" x14ac:dyDescent="0.25">
      <c r="A252" s="36" t="str">
        <f t="shared" si="15"/>
        <v/>
      </c>
      <c r="B252" s="35" t="str">
        <f>IF(DM_SP!A246="","",DM_SP!A246)</f>
        <v/>
      </c>
      <c r="C252" s="35" t="str">
        <f>IF(B252="","",DM_SP!B246)</f>
        <v/>
      </c>
      <c r="D252" s="35" t="str">
        <f>IF(B252="","",DM_SP!C246)</f>
        <v/>
      </c>
      <c r="E252" s="39" t="str">
        <f>IF($B252="","",SUMIFS(Kho_SP!$B$5:$B$304,Kho_SP!$A$5:$A$304,$B252))</f>
        <v/>
      </c>
      <c r="F252" s="39" t="str">
        <f>IF($B252="","",SUMIFS(Kho_SP!$C$5:$C$304,Kho_SP!$A$5:$A$304,$B252))</f>
        <v/>
      </c>
      <c r="G252" s="39" t="str">
        <f>IF($B252="","",SUMIFS(Kho_SP!$D$5:$D$304,Kho_SP!$A$5:$A$304,$B252))</f>
        <v/>
      </c>
      <c r="H252" s="39" t="str">
        <f>IF($B252="","",SUMIFS(Kho_SP!$E$5:$E$304,Kho_SP!$A$5:$A$304,$B252))</f>
        <v/>
      </c>
      <c r="I252" s="39" t="str">
        <f>IF($B252="","",SUMIFS(Kho_SP!$F$5:$F$304,Kho_SP!$A$5:$A$304,$B252))</f>
        <v/>
      </c>
      <c r="J252" s="39" t="str">
        <f>IF($B252="","",SUMIFS(Kho_SP!$G$5:$G$304,Kho_SP!$A$5:$A$304,$B252))</f>
        <v/>
      </c>
      <c r="K252" s="39" t="str">
        <f t="shared" si="16"/>
        <v/>
      </c>
      <c r="L252" s="31" t="str">
        <f>IF($B252="","",IFERROR(INDEX(Kho_SP!$I$5:$I$304,MATCH(B252,Kho_SP!$A$5:$A$304,0))&amp;"",""))</f>
        <v/>
      </c>
      <c r="M252" s="44" t="str">
        <f>IF($B252="","",SUMIFS(Kho_SP!$H$5:$H$304,Kho_SP!$A$5:$A$304,$B252))</f>
        <v/>
      </c>
      <c r="N252" s="44" t="str">
        <f t="shared" si="17"/>
        <v/>
      </c>
      <c r="O252" s="45" t="str">
        <f t="shared" si="18"/>
        <v/>
      </c>
      <c r="P252" s="44" t="str">
        <f>IF($B252="","",SUMIFS(TK_Xuat!$E$5:$E$1004,TK_Xuat!$D$5:$D$1004,$B252,TK_Xuat!$H$5:$H$1004,1))</f>
        <v/>
      </c>
      <c r="Q252" s="44" t="str">
        <f t="shared" si="19"/>
        <v/>
      </c>
    </row>
    <row r="253" spans="1:17" x14ac:dyDescent="0.25">
      <c r="A253" s="36" t="str">
        <f t="shared" si="15"/>
        <v/>
      </c>
      <c r="B253" s="35" t="str">
        <f>IF(DM_SP!A247="","",DM_SP!A247)</f>
        <v/>
      </c>
      <c r="C253" s="35" t="str">
        <f>IF(B253="","",DM_SP!B247)</f>
        <v/>
      </c>
      <c r="D253" s="35" t="str">
        <f>IF(B253="","",DM_SP!C247)</f>
        <v/>
      </c>
      <c r="E253" s="39" t="str">
        <f>IF($B253="","",SUMIFS(Kho_SP!$B$5:$B$304,Kho_SP!$A$5:$A$304,$B253))</f>
        <v/>
      </c>
      <c r="F253" s="39" t="str">
        <f>IF($B253="","",SUMIFS(Kho_SP!$C$5:$C$304,Kho_SP!$A$5:$A$304,$B253))</f>
        <v/>
      </c>
      <c r="G253" s="39" t="str">
        <f>IF($B253="","",SUMIFS(Kho_SP!$D$5:$D$304,Kho_SP!$A$5:$A$304,$B253))</f>
        <v/>
      </c>
      <c r="H253" s="39" t="str">
        <f>IF($B253="","",SUMIFS(Kho_SP!$E$5:$E$304,Kho_SP!$A$5:$A$304,$B253))</f>
        <v/>
      </c>
      <c r="I253" s="39" t="str">
        <f>IF($B253="","",SUMIFS(Kho_SP!$F$5:$F$304,Kho_SP!$A$5:$A$304,$B253))</f>
        <v/>
      </c>
      <c r="J253" s="39" t="str">
        <f>IF($B253="","",SUMIFS(Kho_SP!$G$5:$G$304,Kho_SP!$A$5:$A$304,$B253))</f>
        <v/>
      </c>
      <c r="K253" s="39" t="str">
        <f t="shared" si="16"/>
        <v/>
      </c>
      <c r="L253" s="31" t="str">
        <f>IF($B253="","",IFERROR(INDEX(Kho_SP!$I$5:$I$304,MATCH(B253,Kho_SP!$A$5:$A$304,0))&amp;"",""))</f>
        <v/>
      </c>
      <c r="M253" s="44" t="str">
        <f>IF($B253="","",SUMIFS(Kho_SP!$H$5:$H$304,Kho_SP!$A$5:$A$304,$B253))</f>
        <v/>
      </c>
      <c r="N253" s="44" t="str">
        <f t="shared" si="17"/>
        <v/>
      </c>
      <c r="O253" s="45" t="str">
        <f t="shared" si="18"/>
        <v/>
      </c>
      <c r="P253" s="44" t="str">
        <f>IF($B253="","",SUMIFS(TK_Xuat!$E$5:$E$1004,TK_Xuat!$D$5:$D$1004,$B253,TK_Xuat!$H$5:$H$1004,1))</f>
        <v/>
      </c>
      <c r="Q253" s="44" t="str">
        <f t="shared" si="19"/>
        <v/>
      </c>
    </row>
    <row r="254" spans="1:17" x14ac:dyDescent="0.25">
      <c r="A254" s="36" t="str">
        <f t="shared" si="15"/>
        <v/>
      </c>
      <c r="B254" s="35" t="str">
        <f>IF(DM_SP!A248="","",DM_SP!A248)</f>
        <v/>
      </c>
      <c r="C254" s="35" t="str">
        <f>IF(B254="","",DM_SP!B248)</f>
        <v/>
      </c>
      <c r="D254" s="35" t="str">
        <f>IF(B254="","",DM_SP!C248)</f>
        <v/>
      </c>
      <c r="E254" s="39" t="str">
        <f>IF($B254="","",SUMIFS(Kho_SP!$B$5:$B$304,Kho_SP!$A$5:$A$304,$B254))</f>
        <v/>
      </c>
      <c r="F254" s="39" t="str">
        <f>IF($B254="","",SUMIFS(Kho_SP!$C$5:$C$304,Kho_SP!$A$5:$A$304,$B254))</f>
        <v/>
      </c>
      <c r="G254" s="39" t="str">
        <f>IF($B254="","",SUMIFS(Kho_SP!$D$5:$D$304,Kho_SP!$A$5:$A$304,$B254))</f>
        <v/>
      </c>
      <c r="H254" s="39" t="str">
        <f>IF($B254="","",SUMIFS(Kho_SP!$E$5:$E$304,Kho_SP!$A$5:$A$304,$B254))</f>
        <v/>
      </c>
      <c r="I254" s="39" t="str">
        <f>IF($B254="","",SUMIFS(Kho_SP!$F$5:$F$304,Kho_SP!$A$5:$A$304,$B254))</f>
        <v/>
      </c>
      <c r="J254" s="39" t="str">
        <f>IF($B254="","",SUMIFS(Kho_SP!$G$5:$G$304,Kho_SP!$A$5:$A$304,$B254))</f>
        <v/>
      </c>
      <c r="K254" s="39" t="str">
        <f t="shared" si="16"/>
        <v/>
      </c>
      <c r="L254" s="31" t="str">
        <f>IF($B254="","",IFERROR(INDEX(Kho_SP!$I$5:$I$304,MATCH(B254,Kho_SP!$A$5:$A$304,0))&amp;"",""))</f>
        <v/>
      </c>
      <c r="M254" s="44" t="str">
        <f>IF($B254="","",SUMIFS(Kho_SP!$H$5:$H$304,Kho_SP!$A$5:$A$304,$B254))</f>
        <v/>
      </c>
      <c r="N254" s="44" t="str">
        <f t="shared" si="17"/>
        <v/>
      </c>
      <c r="O254" s="45" t="str">
        <f t="shared" si="18"/>
        <v/>
      </c>
      <c r="P254" s="44" t="str">
        <f>IF($B254="","",SUMIFS(TK_Xuat!$E$5:$E$1004,TK_Xuat!$D$5:$D$1004,$B254,TK_Xuat!$H$5:$H$1004,1))</f>
        <v/>
      </c>
      <c r="Q254" s="44" t="str">
        <f t="shared" si="19"/>
        <v/>
      </c>
    </row>
    <row r="255" spans="1:17" x14ac:dyDescent="0.25">
      <c r="A255" s="36" t="str">
        <f t="shared" si="15"/>
        <v/>
      </c>
      <c r="B255" s="35" t="str">
        <f>IF(DM_SP!A249="","",DM_SP!A249)</f>
        <v/>
      </c>
      <c r="C255" s="35" t="str">
        <f>IF(B255="","",DM_SP!B249)</f>
        <v/>
      </c>
      <c r="D255" s="35" t="str">
        <f>IF(B255="","",DM_SP!C249)</f>
        <v/>
      </c>
      <c r="E255" s="39" t="str">
        <f>IF($B255="","",SUMIFS(Kho_SP!$B$5:$B$304,Kho_SP!$A$5:$A$304,$B255))</f>
        <v/>
      </c>
      <c r="F255" s="39" t="str">
        <f>IF($B255="","",SUMIFS(Kho_SP!$C$5:$C$304,Kho_SP!$A$5:$A$304,$B255))</f>
        <v/>
      </c>
      <c r="G255" s="39" t="str">
        <f>IF($B255="","",SUMIFS(Kho_SP!$D$5:$D$304,Kho_SP!$A$5:$A$304,$B255))</f>
        <v/>
      </c>
      <c r="H255" s="39" t="str">
        <f>IF($B255="","",SUMIFS(Kho_SP!$E$5:$E$304,Kho_SP!$A$5:$A$304,$B255))</f>
        <v/>
      </c>
      <c r="I255" s="39" t="str">
        <f>IF($B255="","",SUMIFS(Kho_SP!$F$5:$F$304,Kho_SP!$A$5:$A$304,$B255))</f>
        <v/>
      </c>
      <c r="J255" s="39" t="str">
        <f>IF($B255="","",SUMIFS(Kho_SP!$G$5:$G$304,Kho_SP!$A$5:$A$304,$B255))</f>
        <v/>
      </c>
      <c r="K255" s="39" t="str">
        <f t="shared" si="16"/>
        <v/>
      </c>
      <c r="L255" s="31" t="str">
        <f>IF($B255="","",IFERROR(INDEX(Kho_SP!$I$5:$I$304,MATCH(B255,Kho_SP!$A$5:$A$304,0))&amp;"",""))</f>
        <v/>
      </c>
      <c r="M255" s="44" t="str">
        <f>IF($B255="","",SUMIFS(Kho_SP!$H$5:$H$304,Kho_SP!$A$5:$A$304,$B255))</f>
        <v/>
      </c>
      <c r="N255" s="44" t="str">
        <f t="shared" si="17"/>
        <v/>
      </c>
      <c r="O255" s="45" t="str">
        <f t="shared" si="18"/>
        <v/>
      </c>
      <c r="P255" s="44" t="str">
        <f>IF($B255="","",SUMIFS(TK_Xuat!$E$5:$E$1004,TK_Xuat!$D$5:$D$1004,$B255,TK_Xuat!$H$5:$H$1004,1))</f>
        <v/>
      </c>
      <c r="Q255" s="44" t="str">
        <f t="shared" si="19"/>
        <v/>
      </c>
    </row>
    <row r="256" spans="1:17" x14ac:dyDescent="0.25">
      <c r="A256" s="36" t="str">
        <f t="shared" si="15"/>
        <v/>
      </c>
      <c r="B256" s="35" t="str">
        <f>IF(DM_SP!A250="","",DM_SP!A250)</f>
        <v/>
      </c>
      <c r="C256" s="35" t="str">
        <f>IF(B256="","",DM_SP!B250)</f>
        <v/>
      </c>
      <c r="D256" s="35" t="str">
        <f>IF(B256="","",DM_SP!C250)</f>
        <v/>
      </c>
      <c r="E256" s="39" t="str">
        <f>IF($B256="","",SUMIFS(Kho_SP!$B$5:$B$304,Kho_SP!$A$5:$A$304,$B256))</f>
        <v/>
      </c>
      <c r="F256" s="39" t="str">
        <f>IF($B256="","",SUMIFS(Kho_SP!$C$5:$C$304,Kho_SP!$A$5:$A$304,$B256))</f>
        <v/>
      </c>
      <c r="G256" s="39" t="str">
        <f>IF($B256="","",SUMIFS(Kho_SP!$D$5:$D$304,Kho_SP!$A$5:$A$304,$B256))</f>
        <v/>
      </c>
      <c r="H256" s="39" t="str">
        <f>IF($B256="","",SUMIFS(Kho_SP!$E$5:$E$304,Kho_SP!$A$5:$A$304,$B256))</f>
        <v/>
      </c>
      <c r="I256" s="39" t="str">
        <f>IF($B256="","",SUMIFS(Kho_SP!$F$5:$F$304,Kho_SP!$A$5:$A$304,$B256))</f>
        <v/>
      </c>
      <c r="J256" s="39" t="str">
        <f>IF($B256="","",SUMIFS(Kho_SP!$G$5:$G$304,Kho_SP!$A$5:$A$304,$B256))</f>
        <v/>
      </c>
      <c r="K256" s="39" t="str">
        <f t="shared" si="16"/>
        <v/>
      </c>
      <c r="L256" s="31" t="str">
        <f>IF($B256="","",IFERROR(INDEX(Kho_SP!$I$5:$I$304,MATCH(B256,Kho_SP!$A$5:$A$304,0))&amp;"",""))</f>
        <v/>
      </c>
      <c r="M256" s="44" t="str">
        <f>IF($B256="","",SUMIFS(Kho_SP!$H$5:$H$304,Kho_SP!$A$5:$A$304,$B256))</f>
        <v/>
      </c>
      <c r="N256" s="44" t="str">
        <f t="shared" si="17"/>
        <v/>
      </c>
      <c r="O256" s="45" t="str">
        <f t="shared" si="18"/>
        <v/>
      </c>
      <c r="P256" s="44" t="str">
        <f>IF($B256="","",SUMIFS(TK_Xuat!$E$5:$E$1004,TK_Xuat!$D$5:$D$1004,$B256,TK_Xuat!$H$5:$H$1004,1))</f>
        <v/>
      </c>
      <c r="Q256" s="44" t="str">
        <f t="shared" si="19"/>
        <v/>
      </c>
    </row>
    <row r="257" spans="1:17" x14ac:dyDescent="0.25">
      <c r="A257" s="36" t="str">
        <f t="shared" si="15"/>
        <v/>
      </c>
      <c r="B257" s="35" t="str">
        <f>IF(DM_SP!A251="","",DM_SP!A251)</f>
        <v/>
      </c>
      <c r="C257" s="35" t="str">
        <f>IF(B257="","",DM_SP!B251)</f>
        <v/>
      </c>
      <c r="D257" s="35" t="str">
        <f>IF(B257="","",DM_SP!C251)</f>
        <v/>
      </c>
      <c r="E257" s="39" t="str">
        <f>IF($B257="","",SUMIFS(Kho_SP!$B$5:$B$304,Kho_SP!$A$5:$A$304,$B257))</f>
        <v/>
      </c>
      <c r="F257" s="39" t="str">
        <f>IF($B257="","",SUMIFS(Kho_SP!$C$5:$C$304,Kho_SP!$A$5:$A$304,$B257))</f>
        <v/>
      </c>
      <c r="G257" s="39" t="str">
        <f>IF($B257="","",SUMIFS(Kho_SP!$D$5:$D$304,Kho_SP!$A$5:$A$304,$B257))</f>
        <v/>
      </c>
      <c r="H257" s="39" t="str">
        <f>IF($B257="","",SUMIFS(Kho_SP!$E$5:$E$304,Kho_SP!$A$5:$A$304,$B257))</f>
        <v/>
      </c>
      <c r="I257" s="39" t="str">
        <f>IF($B257="","",SUMIFS(Kho_SP!$F$5:$F$304,Kho_SP!$A$5:$A$304,$B257))</f>
        <v/>
      </c>
      <c r="J257" s="39" t="str">
        <f>IF($B257="","",SUMIFS(Kho_SP!$G$5:$G$304,Kho_SP!$A$5:$A$304,$B257))</f>
        <v/>
      </c>
      <c r="K257" s="39" t="str">
        <f t="shared" si="16"/>
        <v/>
      </c>
      <c r="L257" s="31" t="str">
        <f>IF($B257="","",IFERROR(INDEX(Kho_SP!$I$5:$I$304,MATCH(B257,Kho_SP!$A$5:$A$304,0))&amp;"",""))</f>
        <v/>
      </c>
      <c r="M257" s="44" t="str">
        <f>IF($B257="","",SUMIFS(Kho_SP!$H$5:$H$304,Kho_SP!$A$5:$A$304,$B257))</f>
        <v/>
      </c>
      <c r="N257" s="44" t="str">
        <f t="shared" si="17"/>
        <v/>
      </c>
      <c r="O257" s="45" t="str">
        <f t="shared" si="18"/>
        <v/>
      </c>
      <c r="P257" s="44" t="str">
        <f>IF($B257="","",SUMIFS(TK_Xuat!$E$5:$E$1004,TK_Xuat!$D$5:$D$1004,$B257,TK_Xuat!$H$5:$H$1004,1))</f>
        <v/>
      </c>
      <c r="Q257" s="44" t="str">
        <f t="shared" si="19"/>
        <v/>
      </c>
    </row>
    <row r="258" spans="1:17" x14ac:dyDescent="0.25">
      <c r="A258" s="36" t="str">
        <f t="shared" si="15"/>
        <v/>
      </c>
      <c r="B258" s="35" t="str">
        <f>IF(DM_SP!A252="","",DM_SP!A252)</f>
        <v/>
      </c>
      <c r="C258" s="35" t="str">
        <f>IF(B258="","",DM_SP!B252)</f>
        <v/>
      </c>
      <c r="D258" s="35" t="str">
        <f>IF(B258="","",DM_SP!C252)</f>
        <v/>
      </c>
      <c r="E258" s="39" t="str">
        <f>IF($B258="","",SUMIFS(Kho_SP!$B$5:$B$304,Kho_SP!$A$5:$A$304,$B258))</f>
        <v/>
      </c>
      <c r="F258" s="39" t="str">
        <f>IF($B258="","",SUMIFS(Kho_SP!$C$5:$C$304,Kho_SP!$A$5:$A$304,$B258))</f>
        <v/>
      </c>
      <c r="G258" s="39" t="str">
        <f>IF($B258="","",SUMIFS(Kho_SP!$D$5:$D$304,Kho_SP!$A$5:$A$304,$B258))</f>
        <v/>
      </c>
      <c r="H258" s="39" t="str">
        <f>IF($B258="","",SUMIFS(Kho_SP!$E$5:$E$304,Kho_SP!$A$5:$A$304,$B258))</f>
        <v/>
      </c>
      <c r="I258" s="39" t="str">
        <f>IF($B258="","",SUMIFS(Kho_SP!$F$5:$F$304,Kho_SP!$A$5:$A$304,$B258))</f>
        <v/>
      </c>
      <c r="J258" s="39" t="str">
        <f>IF($B258="","",SUMIFS(Kho_SP!$G$5:$G$304,Kho_SP!$A$5:$A$304,$B258))</f>
        <v/>
      </c>
      <c r="K258" s="39" t="str">
        <f t="shared" si="16"/>
        <v/>
      </c>
      <c r="L258" s="31" t="str">
        <f>IF($B258="","",IFERROR(INDEX(Kho_SP!$I$5:$I$304,MATCH(B258,Kho_SP!$A$5:$A$304,0))&amp;"",""))</f>
        <v/>
      </c>
      <c r="M258" s="44" t="str">
        <f>IF($B258="","",SUMIFS(Kho_SP!$H$5:$H$304,Kho_SP!$A$5:$A$304,$B258))</f>
        <v/>
      </c>
      <c r="N258" s="44" t="str">
        <f t="shared" si="17"/>
        <v/>
      </c>
      <c r="O258" s="45" t="str">
        <f t="shared" si="18"/>
        <v/>
      </c>
      <c r="P258" s="44" t="str">
        <f>IF($B258="","",SUMIFS(TK_Xuat!$E$5:$E$1004,TK_Xuat!$D$5:$D$1004,$B258,TK_Xuat!$H$5:$H$1004,1))</f>
        <v/>
      </c>
      <c r="Q258" s="44" t="str">
        <f t="shared" si="19"/>
        <v/>
      </c>
    </row>
    <row r="259" spans="1:17" x14ac:dyDescent="0.25">
      <c r="A259" s="36" t="str">
        <f t="shared" si="15"/>
        <v/>
      </c>
      <c r="B259" s="35" t="str">
        <f>IF(DM_SP!A253="","",DM_SP!A253)</f>
        <v/>
      </c>
      <c r="C259" s="35" t="str">
        <f>IF(B259="","",DM_SP!B253)</f>
        <v/>
      </c>
      <c r="D259" s="35" t="str">
        <f>IF(B259="","",DM_SP!C253)</f>
        <v/>
      </c>
      <c r="E259" s="39" t="str">
        <f>IF($B259="","",SUMIFS(Kho_SP!$B$5:$B$304,Kho_SP!$A$5:$A$304,$B259))</f>
        <v/>
      </c>
      <c r="F259" s="39" t="str">
        <f>IF($B259="","",SUMIFS(Kho_SP!$C$5:$C$304,Kho_SP!$A$5:$A$304,$B259))</f>
        <v/>
      </c>
      <c r="G259" s="39" t="str">
        <f>IF($B259="","",SUMIFS(Kho_SP!$D$5:$D$304,Kho_SP!$A$5:$A$304,$B259))</f>
        <v/>
      </c>
      <c r="H259" s="39" t="str">
        <f>IF($B259="","",SUMIFS(Kho_SP!$E$5:$E$304,Kho_SP!$A$5:$A$304,$B259))</f>
        <v/>
      </c>
      <c r="I259" s="39" t="str">
        <f>IF($B259="","",SUMIFS(Kho_SP!$F$5:$F$304,Kho_SP!$A$5:$A$304,$B259))</f>
        <v/>
      </c>
      <c r="J259" s="39" t="str">
        <f>IF($B259="","",SUMIFS(Kho_SP!$G$5:$G$304,Kho_SP!$A$5:$A$304,$B259))</f>
        <v/>
      </c>
      <c r="K259" s="39" t="str">
        <f t="shared" si="16"/>
        <v/>
      </c>
      <c r="L259" s="31" t="str">
        <f>IF($B259="","",IFERROR(INDEX(Kho_SP!$I$5:$I$304,MATCH(B259,Kho_SP!$A$5:$A$304,0))&amp;"",""))</f>
        <v/>
      </c>
      <c r="M259" s="44" t="str">
        <f>IF($B259="","",SUMIFS(Kho_SP!$H$5:$H$304,Kho_SP!$A$5:$A$304,$B259))</f>
        <v/>
      </c>
      <c r="N259" s="44" t="str">
        <f t="shared" si="17"/>
        <v/>
      </c>
      <c r="O259" s="45" t="str">
        <f t="shared" si="18"/>
        <v/>
      </c>
      <c r="P259" s="44" t="str">
        <f>IF($B259="","",SUMIFS(TK_Xuat!$E$5:$E$1004,TK_Xuat!$D$5:$D$1004,$B259,TK_Xuat!$H$5:$H$1004,1))</f>
        <v/>
      </c>
      <c r="Q259" s="44" t="str">
        <f t="shared" si="19"/>
        <v/>
      </c>
    </row>
    <row r="260" spans="1:17" x14ac:dyDescent="0.25">
      <c r="A260" s="36" t="str">
        <f t="shared" si="15"/>
        <v/>
      </c>
      <c r="B260" s="35" t="str">
        <f>IF(DM_SP!A254="","",DM_SP!A254)</f>
        <v/>
      </c>
      <c r="C260" s="35" t="str">
        <f>IF(B260="","",DM_SP!B254)</f>
        <v/>
      </c>
      <c r="D260" s="35" t="str">
        <f>IF(B260="","",DM_SP!C254)</f>
        <v/>
      </c>
      <c r="E260" s="39" t="str">
        <f>IF($B260="","",SUMIFS(Kho_SP!$B$5:$B$304,Kho_SP!$A$5:$A$304,$B260))</f>
        <v/>
      </c>
      <c r="F260" s="39" t="str">
        <f>IF($B260="","",SUMIFS(Kho_SP!$C$5:$C$304,Kho_SP!$A$5:$A$304,$B260))</f>
        <v/>
      </c>
      <c r="G260" s="39" t="str">
        <f>IF($B260="","",SUMIFS(Kho_SP!$D$5:$D$304,Kho_SP!$A$5:$A$304,$B260))</f>
        <v/>
      </c>
      <c r="H260" s="39" t="str">
        <f>IF($B260="","",SUMIFS(Kho_SP!$E$5:$E$304,Kho_SP!$A$5:$A$304,$B260))</f>
        <v/>
      </c>
      <c r="I260" s="39" t="str">
        <f>IF($B260="","",SUMIFS(Kho_SP!$F$5:$F$304,Kho_SP!$A$5:$A$304,$B260))</f>
        <v/>
      </c>
      <c r="J260" s="39" t="str">
        <f>IF($B260="","",SUMIFS(Kho_SP!$G$5:$G$304,Kho_SP!$A$5:$A$304,$B260))</f>
        <v/>
      </c>
      <c r="K260" s="39" t="str">
        <f t="shared" si="16"/>
        <v/>
      </c>
      <c r="L260" s="31" t="str">
        <f>IF($B260="","",IFERROR(INDEX(Kho_SP!$I$5:$I$304,MATCH(B260,Kho_SP!$A$5:$A$304,0))&amp;"",""))</f>
        <v/>
      </c>
      <c r="M260" s="44" t="str">
        <f>IF($B260="","",SUMIFS(Kho_SP!$H$5:$H$304,Kho_SP!$A$5:$A$304,$B260))</f>
        <v/>
      </c>
      <c r="N260" s="44" t="str">
        <f t="shared" si="17"/>
        <v/>
      </c>
      <c r="O260" s="45" t="str">
        <f t="shared" si="18"/>
        <v/>
      </c>
      <c r="P260" s="44" t="str">
        <f>IF($B260="","",SUMIFS(TK_Xuat!$E$5:$E$1004,TK_Xuat!$D$5:$D$1004,$B260,TK_Xuat!$H$5:$H$1004,1))</f>
        <v/>
      </c>
      <c r="Q260" s="44" t="str">
        <f t="shared" si="19"/>
        <v/>
      </c>
    </row>
    <row r="261" spans="1:17" x14ac:dyDescent="0.25">
      <c r="A261" s="36" t="str">
        <f t="shared" si="15"/>
        <v/>
      </c>
      <c r="B261" s="35" t="str">
        <f>IF(DM_SP!A255="","",DM_SP!A255)</f>
        <v/>
      </c>
      <c r="C261" s="35" t="str">
        <f>IF(B261="","",DM_SP!B255)</f>
        <v/>
      </c>
      <c r="D261" s="35" t="str">
        <f>IF(B261="","",DM_SP!C255)</f>
        <v/>
      </c>
      <c r="E261" s="39" t="str">
        <f>IF($B261="","",SUMIFS(Kho_SP!$B$5:$B$304,Kho_SP!$A$5:$A$304,$B261))</f>
        <v/>
      </c>
      <c r="F261" s="39" t="str">
        <f>IF($B261="","",SUMIFS(Kho_SP!$C$5:$C$304,Kho_SP!$A$5:$A$304,$B261))</f>
        <v/>
      </c>
      <c r="G261" s="39" t="str">
        <f>IF($B261="","",SUMIFS(Kho_SP!$D$5:$D$304,Kho_SP!$A$5:$A$304,$B261))</f>
        <v/>
      </c>
      <c r="H261" s="39" t="str">
        <f>IF($B261="","",SUMIFS(Kho_SP!$E$5:$E$304,Kho_SP!$A$5:$A$304,$B261))</f>
        <v/>
      </c>
      <c r="I261" s="39" t="str">
        <f>IF($B261="","",SUMIFS(Kho_SP!$F$5:$F$304,Kho_SP!$A$5:$A$304,$B261))</f>
        <v/>
      </c>
      <c r="J261" s="39" t="str">
        <f>IF($B261="","",SUMIFS(Kho_SP!$G$5:$G$304,Kho_SP!$A$5:$A$304,$B261))</f>
        <v/>
      </c>
      <c r="K261" s="39" t="str">
        <f t="shared" si="16"/>
        <v/>
      </c>
      <c r="L261" s="31" t="str">
        <f>IF($B261="","",IFERROR(INDEX(Kho_SP!$I$5:$I$304,MATCH(B261,Kho_SP!$A$5:$A$304,0))&amp;"",""))</f>
        <v/>
      </c>
      <c r="M261" s="44" t="str">
        <f>IF($B261="","",SUMIFS(Kho_SP!$H$5:$H$304,Kho_SP!$A$5:$A$304,$B261))</f>
        <v/>
      </c>
      <c r="N261" s="44" t="str">
        <f t="shared" si="17"/>
        <v/>
      </c>
      <c r="O261" s="45" t="str">
        <f t="shared" si="18"/>
        <v/>
      </c>
      <c r="P261" s="44" t="str">
        <f>IF($B261="","",SUMIFS(TK_Xuat!$E$5:$E$1004,TK_Xuat!$D$5:$D$1004,$B261,TK_Xuat!$H$5:$H$1004,1))</f>
        <v/>
      </c>
      <c r="Q261" s="44" t="str">
        <f t="shared" si="19"/>
        <v/>
      </c>
    </row>
    <row r="262" spans="1:17" x14ac:dyDescent="0.25">
      <c r="A262" s="36" t="str">
        <f t="shared" si="15"/>
        <v/>
      </c>
      <c r="B262" s="35" t="str">
        <f>IF(DM_SP!A256="","",DM_SP!A256)</f>
        <v/>
      </c>
      <c r="C262" s="35" t="str">
        <f>IF(B262="","",DM_SP!B256)</f>
        <v/>
      </c>
      <c r="D262" s="35" t="str">
        <f>IF(B262="","",DM_SP!C256)</f>
        <v/>
      </c>
      <c r="E262" s="39" t="str">
        <f>IF($B262="","",SUMIFS(Kho_SP!$B$5:$B$304,Kho_SP!$A$5:$A$304,$B262))</f>
        <v/>
      </c>
      <c r="F262" s="39" t="str">
        <f>IF($B262="","",SUMIFS(Kho_SP!$C$5:$C$304,Kho_SP!$A$5:$A$304,$B262))</f>
        <v/>
      </c>
      <c r="G262" s="39" t="str">
        <f>IF($B262="","",SUMIFS(Kho_SP!$D$5:$D$304,Kho_SP!$A$5:$A$304,$B262))</f>
        <v/>
      </c>
      <c r="H262" s="39" t="str">
        <f>IF($B262="","",SUMIFS(Kho_SP!$E$5:$E$304,Kho_SP!$A$5:$A$304,$B262))</f>
        <v/>
      </c>
      <c r="I262" s="39" t="str">
        <f>IF($B262="","",SUMIFS(Kho_SP!$F$5:$F$304,Kho_SP!$A$5:$A$304,$B262))</f>
        <v/>
      </c>
      <c r="J262" s="39" t="str">
        <f>IF($B262="","",SUMIFS(Kho_SP!$G$5:$G$304,Kho_SP!$A$5:$A$304,$B262))</f>
        <v/>
      </c>
      <c r="K262" s="39" t="str">
        <f t="shared" si="16"/>
        <v/>
      </c>
      <c r="L262" s="31" t="str">
        <f>IF($B262="","",IFERROR(INDEX(Kho_SP!$I$5:$I$304,MATCH(B262,Kho_SP!$A$5:$A$304,0))&amp;"",""))</f>
        <v/>
      </c>
      <c r="M262" s="44" t="str">
        <f>IF($B262="","",SUMIFS(Kho_SP!$H$5:$H$304,Kho_SP!$A$5:$A$304,$B262))</f>
        <v/>
      </c>
      <c r="N262" s="44" t="str">
        <f t="shared" si="17"/>
        <v/>
      </c>
      <c r="O262" s="45" t="str">
        <f t="shared" si="18"/>
        <v/>
      </c>
      <c r="P262" s="44" t="str">
        <f>IF($B262="","",SUMIFS(TK_Xuat!$E$5:$E$1004,TK_Xuat!$D$5:$D$1004,$B262,TK_Xuat!$H$5:$H$1004,1))</f>
        <v/>
      </c>
      <c r="Q262" s="44" t="str">
        <f t="shared" si="19"/>
        <v/>
      </c>
    </row>
    <row r="263" spans="1:17" x14ac:dyDescent="0.25">
      <c r="A263" s="36" t="str">
        <f t="shared" si="15"/>
        <v/>
      </c>
      <c r="B263" s="35" t="str">
        <f>IF(DM_SP!A257="","",DM_SP!A257)</f>
        <v/>
      </c>
      <c r="C263" s="35" t="str">
        <f>IF(B263="","",DM_SP!B257)</f>
        <v/>
      </c>
      <c r="D263" s="35" t="str">
        <f>IF(B263="","",DM_SP!C257)</f>
        <v/>
      </c>
      <c r="E263" s="39" t="str">
        <f>IF($B263="","",SUMIFS(Kho_SP!$B$5:$B$304,Kho_SP!$A$5:$A$304,$B263))</f>
        <v/>
      </c>
      <c r="F263" s="39" t="str">
        <f>IF($B263="","",SUMIFS(Kho_SP!$C$5:$C$304,Kho_SP!$A$5:$A$304,$B263))</f>
        <v/>
      </c>
      <c r="G263" s="39" t="str">
        <f>IF($B263="","",SUMIFS(Kho_SP!$D$5:$D$304,Kho_SP!$A$5:$A$304,$B263))</f>
        <v/>
      </c>
      <c r="H263" s="39" t="str">
        <f>IF($B263="","",SUMIFS(Kho_SP!$E$5:$E$304,Kho_SP!$A$5:$A$304,$B263))</f>
        <v/>
      </c>
      <c r="I263" s="39" t="str">
        <f>IF($B263="","",SUMIFS(Kho_SP!$F$5:$F$304,Kho_SP!$A$5:$A$304,$B263))</f>
        <v/>
      </c>
      <c r="J263" s="39" t="str">
        <f>IF($B263="","",SUMIFS(Kho_SP!$G$5:$G$304,Kho_SP!$A$5:$A$304,$B263))</f>
        <v/>
      </c>
      <c r="K263" s="39" t="str">
        <f t="shared" si="16"/>
        <v/>
      </c>
      <c r="L263" s="31" t="str">
        <f>IF($B263="","",IFERROR(INDEX(Kho_SP!$I$5:$I$304,MATCH(B263,Kho_SP!$A$5:$A$304,0))&amp;"",""))</f>
        <v/>
      </c>
      <c r="M263" s="44" t="str">
        <f>IF($B263="","",SUMIFS(Kho_SP!$H$5:$H$304,Kho_SP!$A$5:$A$304,$B263))</f>
        <v/>
      </c>
      <c r="N263" s="44" t="str">
        <f t="shared" si="17"/>
        <v/>
      </c>
      <c r="O263" s="45" t="str">
        <f t="shared" si="18"/>
        <v/>
      </c>
      <c r="P263" s="44" t="str">
        <f>IF($B263="","",SUMIFS(TK_Xuat!$E$5:$E$1004,TK_Xuat!$D$5:$D$1004,$B263,TK_Xuat!$H$5:$H$1004,1))</f>
        <v/>
      </c>
      <c r="Q263" s="44" t="str">
        <f t="shared" si="19"/>
        <v/>
      </c>
    </row>
    <row r="264" spans="1:17" x14ac:dyDescent="0.25">
      <c r="A264" s="36" t="str">
        <f t="shared" si="15"/>
        <v/>
      </c>
      <c r="B264" s="35" t="str">
        <f>IF(DM_SP!A258="","",DM_SP!A258)</f>
        <v/>
      </c>
      <c r="C264" s="35" t="str">
        <f>IF(B264="","",DM_SP!B258)</f>
        <v/>
      </c>
      <c r="D264" s="35" t="str">
        <f>IF(B264="","",DM_SP!C258)</f>
        <v/>
      </c>
      <c r="E264" s="39" t="str">
        <f>IF($B264="","",SUMIFS(Kho_SP!$B$5:$B$304,Kho_SP!$A$5:$A$304,$B264))</f>
        <v/>
      </c>
      <c r="F264" s="39" t="str">
        <f>IF($B264="","",SUMIFS(Kho_SP!$C$5:$C$304,Kho_SP!$A$5:$A$304,$B264))</f>
        <v/>
      </c>
      <c r="G264" s="39" t="str">
        <f>IF($B264="","",SUMIFS(Kho_SP!$D$5:$D$304,Kho_SP!$A$5:$A$304,$B264))</f>
        <v/>
      </c>
      <c r="H264" s="39" t="str">
        <f>IF($B264="","",SUMIFS(Kho_SP!$E$5:$E$304,Kho_SP!$A$5:$A$304,$B264))</f>
        <v/>
      </c>
      <c r="I264" s="39" t="str">
        <f>IF($B264="","",SUMIFS(Kho_SP!$F$5:$F$304,Kho_SP!$A$5:$A$304,$B264))</f>
        <v/>
      </c>
      <c r="J264" s="39" t="str">
        <f>IF($B264="","",SUMIFS(Kho_SP!$G$5:$G$304,Kho_SP!$A$5:$A$304,$B264))</f>
        <v/>
      </c>
      <c r="K264" s="39" t="str">
        <f t="shared" si="16"/>
        <v/>
      </c>
      <c r="L264" s="31" t="str">
        <f>IF($B264="","",IFERROR(INDEX(Kho_SP!$I$5:$I$304,MATCH(B264,Kho_SP!$A$5:$A$304,0))&amp;"",""))</f>
        <v/>
      </c>
      <c r="M264" s="44" t="str">
        <f>IF($B264="","",SUMIFS(Kho_SP!$H$5:$H$304,Kho_SP!$A$5:$A$304,$B264))</f>
        <v/>
      </c>
      <c r="N264" s="44" t="str">
        <f t="shared" si="17"/>
        <v/>
      </c>
      <c r="O264" s="45" t="str">
        <f t="shared" si="18"/>
        <v/>
      </c>
      <c r="P264" s="44" t="str">
        <f>IF($B264="","",SUMIFS(TK_Xuat!$E$5:$E$1004,TK_Xuat!$D$5:$D$1004,$B264,TK_Xuat!$H$5:$H$1004,1))</f>
        <v/>
      </c>
      <c r="Q264" s="44" t="str">
        <f t="shared" si="19"/>
        <v/>
      </c>
    </row>
    <row r="265" spans="1:17" x14ac:dyDescent="0.25">
      <c r="A265" s="36" t="str">
        <f t="shared" si="15"/>
        <v/>
      </c>
      <c r="B265" s="35" t="str">
        <f>IF(DM_SP!A259="","",DM_SP!A259)</f>
        <v/>
      </c>
      <c r="C265" s="35" t="str">
        <f>IF(B265="","",DM_SP!B259)</f>
        <v/>
      </c>
      <c r="D265" s="35" t="str">
        <f>IF(B265="","",DM_SP!C259)</f>
        <v/>
      </c>
      <c r="E265" s="39" t="str">
        <f>IF($B265="","",SUMIFS(Kho_SP!$B$5:$B$304,Kho_SP!$A$5:$A$304,$B265))</f>
        <v/>
      </c>
      <c r="F265" s="39" t="str">
        <f>IF($B265="","",SUMIFS(Kho_SP!$C$5:$C$304,Kho_SP!$A$5:$A$304,$B265))</f>
        <v/>
      </c>
      <c r="G265" s="39" t="str">
        <f>IF($B265="","",SUMIFS(Kho_SP!$D$5:$D$304,Kho_SP!$A$5:$A$304,$B265))</f>
        <v/>
      </c>
      <c r="H265" s="39" t="str">
        <f>IF($B265="","",SUMIFS(Kho_SP!$E$5:$E$304,Kho_SP!$A$5:$A$304,$B265))</f>
        <v/>
      </c>
      <c r="I265" s="39" t="str">
        <f>IF($B265="","",SUMIFS(Kho_SP!$F$5:$F$304,Kho_SP!$A$5:$A$304,$B265))</f>
        <v/>
      </c>
      <c r="J265" s="39" t="str">
        <f>IF($B265="","",SUMIFS(Kho_SP!$G$5:$G$304,Kho_SP!$A$5:$A$304,$B265))</f>
        <v/>
      </c>
      <c r="K265" s="39" t="str">
        <f t="shared" si="16"/>
        <v/>
      </c>
      <c r="L265" s="31" t="str">
        <f>IF($B265="","",IFERROR(INDEX(Kho_SP!$I$5:$I$304,MATCH(B265,Kho_SP!$A$5:$A$304,0))&amp;"",""))</f>
        <v/>
      </c>
      <c r="M265" s="44" t="str">
        <f>IF($B265="","",SUMIFS(Kho_SP!$H$5:$H$304,Kho_SP!$A$5:$A$304,$B265))</f>
        <v/>
      </c>
      <c r="N265" s="44" t="str">
        <f t="shared" si="17"/>
        <v/>
      </c>
      <c r="O265" s="45" t="str">
        <f t="shared" si="18"/>
        <v/>
      </c>
      <c r="P265" s="44" t="str">
        <f>IF($B265="","",SUMIFS(TK_Xuat!$E$5:$E$1004,TK_Xuat!$D$5:$D$1004,$B265,TK_Xuat!$H$5:$H$1004,1))</f>
        <v/>
      </c>
      <c r="Q265" s="44" t="str">
        <f t="shared" si="19"/>
        <v/>
      </c>
    </row>
    <row r="266" spans="1:17" x14ac:dyDescent="0.25">
      <c r="A266" s="36" t="str">
        <f t="shared" si="15"/>
        <v/>
      </c>
      <c r="B266" s="35" t="str">
        <f>IF(DM_SP!A260="","",DM_SP!A260)</f>
        <v/>
      </c>
      <c r="C266" s="35" t="str">
        <f>IF(B266="","",DM_SP!B260)</f>
        <v/>
      </c>
      <c r="D266" s="35" t="str">
        <f>IF(B266="","",DM_SP!C260)</f>
        <v/>
      </c>
      <c r="E266" s="39" t="str">
        <f>IF($B266="","",SUMIFS(Kho_SP!$B$5:$B$304,Kho_SP!$A$5:$A$304,$B266))</f>
        <v/>
      </c>
      <c r="F266" s="39" t="str">
        <f>IF($B266="","",SUMIFS(Kho_SP!$C$5:$C$304,Kho_SP!$A$5:$A$304,$B266))</f>
        <v/>
      </c>
      <c r="G266" s="39" t="str">
        <f>IF($B266="","",SUMIFS(Kho_SP!$D$5:$D$304,Kho_SP!$A$5:$A$304,$B266))</f>
        <v/>
      </c>
      <c r="H266" s="39" t="str">
        <f>IF($B266="","",SUMIFS(Kho_SP!$E$5:$E$304,Kho_SP!$A$5:$A$304,$B266))</f>
        <v/>
      </c>
      <c r="I266" s="39" t="str">
        <f>IF($B266="","",SUMIFS(Kho_SP!$F$5:$F$304,Kho_SP!$A$5:$A$304,$B266))</f>
        <v/>
      </c>
      <c r="J266" s="39" t="str">
        <f>IF($B266="","",SUMIFS(Kho_SP!$G$5:$G$304,Kho_SP!$A$5:$A$304,$B266))</f>
        <v/>
      </c>
      <c r="K266" s="39" t="str">
        <f t="shared" si="16"/>
        <v/>
      </c>
      <c r="L266" s="31" t="str">
        <f>IF($B266="","",IFERROR(INDEX(Kho_SP!$I$5:$I$304,MATCH(B266,Kho_SP!$A$5:$A$304,0))&amp;"",""))</f>
        <v/>
      </c>
      <c r="M266" s="44" t="str">
        <f>IF($B266="","",SUMIFS(Kho_SP!$H$5:$H$304,Kho_SP!$A$5:$A$304,$B266))</f>
        <v/>
      </c>
      <c r="N266" s="44" t="str">
        <f t="shared" si="17"/>
        <v/>
      </c>
      <c r="O266" s="45" t="str">
        <f t="shared" si="18"/>
        <v/>
      </c>
      <c r="P266" s="44" t="str">
        <f>IF($B266="","",SUMIFS(TK_Xuat!$E$5:$E$1004,TK_Xuat!$D$5:$D$1004,$B266,TK_Xuat!$H$5:$H$1004,1))</f>
        <v/>
      </c>
      <c r="Q266" s="44" t="str">
        <f t="shared" si="19"/>
        <v/>
      </c>
    </row>
    <row r="267" spans="1:17" x14ac:dyDescent="0.25">
      <c r="A267" s="36" t="str">
        <f t="shared" ref="A267:A330" si="20">IF(B267="","",ROW()-10)</f>
        <v/>
      </c>
      <c r="B267" s="35" t="str">
        <f>IF(DM_SP!A261="","",DM_SP!A261)</f>
        <v/>
      </c>
      <c r="C267" s="35" t="str">
        <f>IF(B267="","",DM_SP!B261)</f>
        <v/>
      </c>
      <c r="D267" s="35" t="str">
        <f>IF(B267="","",DM_SP!C261)</f>
        <v/>
      </c>
      <c r="E267" s="39" t="str">
        <f>IF($B267="","",SUMIFS(Kho_SP!$B$5:$B$304,Kho_SP!$A$5:$A$304,$B267))</f>
        <v/>
      </c>
      <c r="F267" s="39" t="str">
        <f>IF($B267="","",SUMIFS(Kho_SP!$C$5:$C$304,Kho_SP!$A$5:$A$304,$B267))</f>
        <v/>
      </c>
      <c r="G267" s="39" t="str">
        <f>IF($B267="","",SUMIFS(Kho_SP!$D$5:$D$304,Kho_SP!$A$5:$A$304,$B267))</f>
        <v/>
      </c>
      <c r="H267" s="39" t="str">
        <f>IF($B267="","",SUMIFS(Kho_SP!$E$5:$E$304,Kho_SP!$A$5:$A$304,$B267))</f>
        <v/>
      </c>
      <c r="I267" s="39" t="str">
        <f>IF($B267="","",SUMIFS(Kho_SP!$F$5:$F$304,Kho_SP!$A$5:$A$304,$B267))</f>
        <v/>
      </c>
      <c r="J267" s="39" t="str">
        <f>IF($B267="","",SUMIFS(Kho_SP!$G$5:$G$304,Kho_SP!$A$5:$A$304,$B267))</f>
        <v/>
      </c>
      <c r="K267" s="39" t="str">
        <f t="shared" ref="K267:K330" si="21">IF($B267="","",E267+F267+G267-H267-I267-J267)</f>
        <v/>
      </c>
      <c r="L267" s="31" t="str">
        <f>IF($B267="","",IFERROR(INDEX(Kho_SP!$I$5:$I$304,MATCH(B267,Kho_SP!$A$5:$A$304,0))&amp;"",""))</f>
        <v/>
      </c>
      <c r="M267" s="44" t="str">
        <f>IF($B267="","",SUMIFS(Kho_SP!$H$5:$H$304,Kho_SP!$A$5:$A$304,$B267))</f>
        <v/>
      </c>
      <c r="N267" s="44" t="str">
        <f t="shared" ref="N267:N330" si="22">IF($B267="","",K267-M267)</f>
        <v/>
      </c>
      <c r="O267" s="45" t="str">
        <f t="shared" ref="O267:O330" si="23">IF($B267="","",IF(ABS(N267)&lt;0.000001,"Khớp","Lệch"))</f>
        <v/>
      </c>
      <c r="P267" s="44" t="str">
        <f>IF($B267="","",SUMIFS(TK_Xuat!$E$5:$E$1004,TK_Xuat!$D$5:$D$1004,$B267,TK_Xuat!$H$5:$H$1004,1))</f>
        <v/>
      </c>
      <c r="Q267" s="44" t="str">
        <f t="shared" ref="Q267:Q330" si="24">IF($B267="","",I267-P267)</f>
        <v/>
      </c>
    </row>
    <row r="268" spans="1:17" x14ac:dyDescent="0.25">
      <c r="A268" s="36" t="str">
        <f t="shared" si="20"/>
        <v/>
      </c>
      <c r="B268" s="35" t="str">
        <f>IF(DM_SP!A262="","",DM_SP!A262)</f>
        <v/>
      </c>
      <c r="C268" s="35" t="str">
        <f>IF(B268="","",DM_SP!B262)</f>
        <v/>
      </c>
      <c r="D268" s="35" t="str">
        <f>IF(B268="","",DM_SP!C262)</f>
        <v/>
      </c>
      <c r="E268" s="39" t="str">
        <f>IF($B268="","",SUMIFS(Kho_SP!$B$5:$B$304,Kho_SP!$A$5:$A$304,$B268))</f>
        <v/>
      </c>
      <c r="F268" s="39" t="str">
        <f>IF($B268="","",SUMIFS(Kho_SP!$C$5:$C$304,Kho_SP!$A$5:$A$304,$B268))</f>
        <v/>
      </c>
      <c r="G268" s="39" t="str">
        <f>IF($B268="","",SUMIFS(Kho_SP!$D$5:$D$304,Kho_SP!$A$5:$A$304,$B268))</f>
        <v/>
      </c>
      <c r="H268" s="39" t="str">
        <f>IF($B268="","",SUMIFS(Kho_SP!$E$5:$E$304,Kho_SP!$A$5:$A$304,$B268))</f>
        <v/>
      </c>
      <c r="I268" s="39" t="str">
        <f>IF($B268="","",SUMIFS(Kho_SP!$F$5:$F$304,Kho_SP!$A$5:$A$304,$B268))</f>
        <v/>
      </c>
      <c r="J268" s="39" t="str">
        <f>IF($B268="","",SUMIFS(Kho_SP!$G$5:$G$304,Kho_SP!$A$5:$A$304,$B268))</f>
        <v/>
      </c>
      <c r="K268" s="39" t="str">
        <f t="shared" si="21"/>
        <v/>
      </c>
      <c r="L268" s="31" t="str">
        <f>IF($B268="","",IFERROR(INDEX(Kho_SP!$I$5:$I$304,MATCH(B268,Kho_SP!$A$5:$A$304,0))&amp;"",""))</f>
        <v/>
      </c>
      <c r="M268" s="44" t="str">
        <f>IF($B268="","",SUMIFS(Kho_SP!$H$5:$H$304,Kho_SP!$A$5:$A$304,$B268))</f>
        <v/>
      </c>
      <c r="N268" s="44" t="str">
        <f t="shared" si="22"/>
        <v/>
      </c>
      <c r="O268" s="45" t="str">
        <f t="shared" si="23"/>
        <v/>
      </c>
      <c r="P268" s="44" t="str">
        <f>IF($B268="","",SUMIFS(TK_Xuat!$E$5:$E$1004,TK_Xuat!$D$5:$D$1004,$B268,TK_Xuat!$H$5:$H$1004,1))</f>
        <v/>
      </c>
      <c r="Q268" s="44" t="str">
        <f t="shared" si="24"/>
        <v/>
      </c>
    </row>
    <row r="269" spans="1:17" x14ac:dyDescent="0.25">
      <c r="A269" s="36" t="str">
        <f t="shared" si="20"/>
        <v/>
      </c>
      <c r="B269" s="35" t="str">
        <f>IF(DM_SP!A263="","",DM_SP!A263)</f>
        <v/>
      </c>
      <c r="C269" s="35" t="str">
        <f>IF(B269="","",DM_SP!B263)</f>
        <v/>
      </c>
      <c r="D269" s="35" t="str">
        <f>IF(B269="","",DM_SP!C263)</f>
        <v/>
      </c>
      <c r="E269" s="39" t="str">
        <f>IF($B269="","",SUMIFS(Kho_SP!$B$5:$B$304,Kho_SP!$A$5:$A$304,$B269))</f>
        <v/>
      </c>
      <c r="F269" s="39" t="str">
        <f>IF($B269="","",SUMIFS(Kho_SP!$C$5:$C$304,Kho_SP!$A$5:$A$304,$B269))</f>
        <v/>
      </c>
      <c r="G269" s="39" t="str">
        <f>IF($B269="","",SUMIFS(Kho_SP!$D$5:$D$304,Kho_SP!$A$5:$A$304,$B269))</f>
        <v/>
      </c>
      <c r="H269" s="39" t="str">
        <f>IF($B269="","",SUMIFS(Kho_SP!$E$5:$E$304,Kho_SP!$A$5:$A$304,$B269))</f>
        <v/>
      </c>
      <c r="I269" s="39" t="str">
        <f>IF($B269="","",SUMIFS(Kho_SP!$F$5:$F$304,Kho_SP!$A$5:$A$304,$B269))</f>
        <v/>
      </c>
      <c r="J269" s="39" t="str">
        <f>IF($B269="","",SUMIFS(Kho_SP!$G$5:$G$304,Kho_SP!$A$5:$A$304,$B269))</f>
        <v/>
      </c>
      <c r="K269" s="39" t="str">
        <f t="shared" si="21"/>
        <v/>
      </c>
      <c r="L269" s="31" t="str">
        <f>IF($B269="","",IFERROR(INDEX(Kho_SP!$I$5:$I$304,MATCH(B269,Kho_SP!$A$5:$A$304,0))&amp;"",""))</f>
        <v/>
      </c>
      <c r="M269" s="44" t="str">
        <f>IF($B269="","",SUMIFS(Kho_SP!$H$5:$H$304,Kho_SP!$A$5:$A$304,$B269))</f>
        <v/>
      </c>
      <c r="N269" s="44" t="str">
        <f t="shared" si="22"/>
        <v/>
      </c>
      <c r="O269" s="45" t="str">
        <f t="shared" si="23"/>
        <v/>
      </c>
      <c r="P269" s="44" t="str">
        <f>IF($B269="","",SUMIFS(TK_Xuat!$E$5:$E$1004,TK_Xuat!$D$5:$D$1004,$B269,TK_Xuat!$H$5:$H$1004,1))</f>
        <v/>
      </c>
      <c r="Q269" s="44" t="str">
        <f t="shared" si="24"/>
        <v/>
      </c>
    </row>
    <row r="270" spans="1:17" x14ac:dyDescent="0.25">
      <c r="A270" s="36" t="str">
        <f t="shared" si="20"/>
        <v/>
      </c>
      <c r="B270" s="35" t="str">
        <f>IF(DM_SP!A264="","",DM_SP!A264)</f>
        <v/>
      </c>
      <c r="C270" s="35" t="str">
        <f>IF(B270="","",DM_SP!B264)</f>
        <v/>
      </c>
      <c r="D270" s="35" t="str">
        <f>IF(B270="","",DM_SP!C264)</f>
        <v/>
      </c>
      <c r="E270" s="39" t="str">
        <f>IF($B270="","",SUMIFS(Kho_SP!$B$5:$B$304,Kho_SP!$A$5:$A$304,$B270))</f>
        <v/>
      </c>
      <c r="F270" s="39" t="str">
        <f>IF($B270="","",SUMIFS(Kho_SP!$C$5:$C$304,Kho_SP!$A$5:$A$304,$B270))</f>
        <v/>
      </c>
      <c r="G270" s="39" t="str">
        <f>IF($B270="","",SUMIFS(Kho_SP!$D$5:$D$304,Kho_SP!$A$5:$A$304,$B270))</f>
        <v/>
      </c>
      <c r="H270" s="39" t="str">
        <f>IF($B270="","",SUMIFS(Kho_SP!$E$5:$E$304,Kho_SP!$A$5:$A$304,$B270))</f>
        <v/>
      </c>
      <c r="I270" s="39" t="str">
        <f>IF($B270="","",SUMIFS(Kho_SP!$F$5:$F$304,Kho_SP!$A$5:$A$304,$B270))</f>
        <v/>
      </c>
      <c r="J270" s="39" t="str">
        <f>IF($B270="","",SUMIFS(Kho_SP!$G$5:$G$304,Kho_SP!$A$5:$A$304,$B270))</f>
        <v/>
      </c>
      <c r="K270" s="39" t="str">
        <f t="shared" si="21"/>
        <v/>
      </c>
      <c r="L270" s="31" t="str">
        <f>IF($B270="","",IFERROR(INDEX(Kho_SP!$I$5:$I$304,MATCH(B270,Kho_SP!$A$5:$A$304,0))&amp;"",""))</f>
        <v/>
      </c>
      <c r="M270" s="44" t="str">
        <f>IF($B270="","",SUMIFS(Kho_SP!$H$5:$H$304,Kho_SP!$A$5:$A$304,$B270))</f>
        <v/>
      </c>
      <c r="N270" s="44" t="str">
        <f t="shared" si="22"/>
        <v/>
      </c>
      <c r="O270" s="45" t="str">
        <f t="shared" si="23"/>
        <v/>
      </c>
      <c r="P270" s="44" t="str">
        <f>IF($B270="","",SUMIFS(TK_Xuat!$E$5:$E$1004,TK_Xuat!$D$5:$D$1004,$B270,TK_Xuat!$H$5:$H$1004,1))</f>
        <v/>
      </c>
      <c r="Q270" s="44" t="str">
        <f t="shared" si="24"/>
        <v/>
      </c>
    </row>
    <row r="271" spans="1:17" x14ac:dyDescent="0.25">
      <c r="A271" s="36" t="str">
        <f t="shared" si="20"/>
        <v/>
      </c>
      <c r="B271" s="35" t="str">
        <f>IF(DM_SP!A265="","",DM_SP!A265)</f>
        <v/>
      </c>
      <c r="C271" s="35" t="str">
        <f>IF(B271="","",DM_SP!B265)</f>
        <v/>
      </c>
      <c r="D271" s="35" t="str">
        <f>IF(B271="","",DM_SP!C265)</f>
        <v/>
      </c>
      <c r="E271" s="39" t="str">
        <f>IF($B271="","",SUMIFS(Kho_SP!$B$5:$B$304,Kho_SP!$A$5:$A$304,$B271))</f>
        <v/>
      </c>
      <c r="F271" s="39" t="str">
        <f>IF($B271="","",SUMIFS(Kho_SP!$C$5:$C$304,Kho_SP!$A$5:$A$304,$B271))</f>
        <v/>
      </c>
      <c r="G271" s="39" t="str">
        <f>IF($B271="","",SUMIFS(Kho_SP!$D$5:$D$304,Kho_SP!$A$5:$A$304,$B271))</f>
        <v/>
      </c>
      <c r="H271" s="39" t="str">
        <f>IF($B271="","",SUMIFS(Kho_SP!$E$5:$E$304,Kho_SP!$A$5:$A$304,$B271))</f>
        <v/>
      </c>
      <c r="I271" s="39" t="str">
        <f>IF($B271="","",SUMIFS(Kho_SP!$F$5:$F$304,Kho_SP!$A$5:$A$304,$B271))</f>
        <v/>
      </c>
      <c r="J271" s="39" t="str">
        <f>IF($B271="","",SUMIFS(Kho_SP!$G$5:$G$304,Kho_SP!$A$5:$A$304,$B271))</f>
        <v/>
      </c>
      <c r="K271" s="39" t="str">
        <f t="shared" si="21"/>
        <v/>
      </c>
      <c r="L271" s="31" t="str">
        <f>IF($B271="","",IFERROR(INDEX(Kho_SP!$I$5:$I$304,MATCH(B271,Kho_SP!$A$5:$A$304,0))&amp;"",""))</f>
        <v/>
      </c>
      <c r="M271" s="44" t="str">
        <f>IF($B271="","",SUMIFS(Kho_SP!$H$5:$H$304,Kho_SP!$A$5:$A$304,$B271))</f>
        <v/>
      </c>
      <c r="N271" s="44" t="str">
        <f t="shared" si="22"/>
        <v/>
      </c>
      <c r="O271" s="45" t="str">
        <f t="shared" si="23"/>
        <v/>
      </c>
      <c r="P271" s="44" t="str">
        <f>IF($B271="","",SUMIFS(TK_Xuat!$E$5:$E$1004,TK_Xuat!$D$5:$D$1004,$B271,TK_Xuat!$H$5:$H$1004,1))</f>
        <v/>
      </c>
      <c r="Q271" s="44" t="str">
        <f t="shared" si="24"/>
        <v/>
      </c>
    </row>
    <row r="272" spans="1:17" x14ac:dyDescent="0.25">
      <c r="A272" s="36" t="str">
        <f t="shared" si="20"/>
        <v/>
      </c>
      <c r="B272" s="35" t="str">
        <f>IF(DM_SP!A266="","",DM_SP!A266)</f>
        <v/>
      </c>
      <c r="C272" s="35" t="str">
        <f>IF(B272="","",DM_SP!B266)</f>
        <v/>
      </c>
      <c r="D272" s="35" t="str">
        <f>IF(B272="","",DM_SP!C266)</f>
        <v/>
      </c>
      <c r="E272" s="39" t="str">
        <f>IF($B272="","",SUMIFS(Kho_SP!$B$5:$B$304,Kho_SP!$A$5:$A$304,$B272))</f>
        <v/>
      </c>
      <c r="F272" s="39" t="str">
        <f>IF($B272="","",SUMIFS(Kho_SP!$C$5:$C$304,Kho_SP!$A$5:$A$304,$B272))</f>
        <v/>
      </c>
      <c r="G272" s="39" t="str">
        <f>IF($B272="","",SUMIFS(Kho_SP!$D$5:$D$304,Kho_SP!$A$5:$A$304,$B272))</f>
        <v/>
      </c>
      <c r="H272" s="39" t="str">
        <f>IF($B272="","",SUMIFS(Kho_SP!$E$5:$E$304,Kho_SP!$A$5:$A$304,$B272))</f>
        <v/>
      </c>
      <c r="I272" s="39" t="str">
        <f>IF($B272="","",SUMIFS(Kho_SP!$F$5:$F$304,Kho_SP!$A$5:$A$304,$B272))</f>
        <v/>
      </c>
      <c r="J272" s="39" t="str">
        <f>IF($B272="","",SUMIFS(Kho_SP!$G$5:$G$304,Kho_SP!$A$5:$A$304,$B272))</f>
        <v/>
      </c>
      <c r="K272" s="39" t="str">
        <f t="shared" si="21"/>
        <v/>
      </c>
      <c r="L272" s="31" t="str">
        <f>IF($B272="","",IFERROR(INDEX(Kho_SP!$I$5:$I$304,MATCH(B272,Kho_SP!$A$5:$A$304,0))&amp;"",""))</f>
        <v/>
      </c>
      <c r="M272" s="44" t="str">
        <f>IF($B272="","",SUMIFS(Kho_SP!$H$5:$H$304,Kho_SP!$A$5:$A$304,$B272))</f>
        <v/>
      </c>
      <c r="N272" s="44" t="str">
        <f t="shared" si="22"/>
        <v/>
      </c>
      <c r="O272" s="45" t="str">
        <f t="shared" si="23"/>
        <v/>
      </c>
      <c r="P272" s="44" t="str">
        <f>IF($B272="","",SUMIFS(TK_Xuat!$E$5:$E$1004,TK_Xuat!$D$5:$D$1004,$B272,TK_Xuat!$H$5:$H$1004,1))</f>
        <v/>
      </c>
      <c r="Q272" s="44" t="str">
        <f t="shared" si="24"/>
        <v/>
      </c>
    </row>
    <row r="273" spans="1:17" x14ac:dyDescent="0.25">
      <c r="A273" s="36" t="str">
        <f t="shared" si="20"/>
        <v/>
      </c>
      <c r="B273" s="35" t="str">
        <f>IF(DM_SP!A267="","",DM_SP!A267)</f>
        <v/>
      </c>
      <c r="C273" s="35" t="str">
        <f>IF(B273="","",DM_SP!B267)</f>
        <v/>
      </c>
      <c r="D273" s="35" t="str">
        <f>IF(B273="","",DM_SP!C267)</f>
        <v/>
      </c>
      <c r="E273" s="39" t="str">
        <f>IF($B273="","",SUMIFS(Kho_SP!$B$5:$B$304,Kho_SP!$A$5:$A$304,$B273))</f>
        <v/>
      </c>
      <c r="F273" s="39" t="str">
        <f>IF($B273="","",SUMIFS(Kho_SP!$C$5:$C$304,Kho_SP!$A$5:$A$304,$B273))</f>
        <v/>
      </c>
      <c r="G273" s="39" t="str">
        <f>IF($B273="","",SUMIFS(Kho_SP!$D$5:$D$304,Kho_SP!$A$5:$A$304,$B273))</f>
        <v/>
      </c>
      <c r="H273" s="39" t="str">
        <f>IF($B273="","",SUMIFS(Kho_SP!$E$5:$E$304,Kho_SP!$A$5:$A$304,$B273))</f>
        <v/>
      </c>
      <c r="I273" s="39" t="str">
        <f>IF($B273="","",SUMIFS(Kho_SP!$F$5:$F$304,Kho_SP!$A$5:$A$304,$B273))</f>
        <v/>
      </c>
      <c r="J273" s="39" t="str">
        <f>IF($B273="","",SUMIFS(Kho_SP!$G$5:$G$304,Kho_SP!$A$5:$A$304,$B273))</f>
        <v/>
      </c>
      <c r="K273" s="39" t="str">
        <f t="shared" si="21"/>
        <v/>
      </c>
      <c r="L273" s="31" t="str">
        <f>IF($B273="","",IFERROR(INDEX(Kho_SP!$I$5:$I$304,MATCH(B273,Kho_SP!$A$5:$A$304,0))&amp;"",""))</f>
        <v/>
      </c>
      <c r="M273" s="44" t="str">
        <f>IF($B273="","",SUMIFS(Kho_SP!$H$5:$H$304,Kho_SP!$A$5:$A$304,$B273))</f>
        <v/>
      </c>
      <c r="N273" s="44" t="str">
        <f t="shared" si="22"/>
        <v/>
      </c>
      <c r="O273" s="45" t="str">
        <f t="shared" si="23"/>
        <v/>
      </c>
      <c r="P273" s="44" t="str">
        <f>IF($B273="","",SUMIFS(TK_Xuat!$E$5:$E$1004,TK_Xuat!$D$5:$D$1004,$B273,TK_Xuat!$H$5:$H$1004,1))</f>
        <v/>
      </c>
      <c r="Q273" s="44" t="str">
        <f t="shared" si="24"/>
        <v/>
      </c>
    </row>
    <row r="274" spans="1:17" x14ac:dyDescent="0.25">
      <c r="A274" s="36" t="str">
        <f t="shared" si="20"/>
        <v/>
      </c>
      <c r="B274" s="35" t="str">
        <f>IF(DM_SP!A268="","",DM_SP!A268)</f>
        <v/>
      </c>
      <c r="C274" s="35" t="str">
        <f>IF(B274="","",DM_SP!B268)</f>
        <v/>
      </c>
      <c r="D274" s="35" t="str">
        <f>IF(B274="","",DM_SP!C268)</f>
        <v/>
      </c>
      <c r="E274" s="39" t="str">
        <f>IF($B274="","",SUMIFS(Kho_SP!$B$5:$B$304,Kho_SP!$A$5:$A$304,$B274))</f>
        <v/>
      </c>
      <c r="F274" s="39" t="str">
        <f>IF($B274="","",SUMIFS(Kho_SP!$C$5:$C$304,Kho_SP!$A$5:$A$304,$B274))</f>
        <v/>
      </c>
      <c r="G274" s="39" t="str">
        <f>IF($B274="","",SUMIFS(Kho_SP!$D$5:$D$304,Kho_SP!$A$5:$A$304,$B274))</f>
        <v/>
      </c>
      <c r="H274" s="39" t="str">
        <f>IF($B274="","",SUMIFS(Kho_SP!$E$5:$E$304,Kho_SP!$A$5:$A$304,$B274))</f>
        <v/>
      </c>
      <c r="I274" s="39" t="str">
        <f>IF($B274="","",SUMIFS(Kho_SP!$F$5:$F$304,Kho_SP!$A$5:$A$304,$B274))</f>
        <v/>
      </c>
      <c r="J274" s="39" t="str">
        <f>IF($B274="","",SUMIFS(Kho_SP!$G$5:$G$304,Kho_SP!$A$5:$A$304,$B274))</f>
        <v/>
      </c>
      <c r="K274" s="39" t="str">
        <f t="shared" si="21"/>
        <v/>
      </c>
      <c r="L274" s="31" t="str">
        <f>IF($B274="","",IFERROR(INDEX(Kho_SP!$I$5:$I$304,MATCH(B274,Kho_SP!$A$5:$A$304,0))&amp;"",""))</f>
        <v/>
      </c>
      <c r="M274" s="44" t="str">
        <f>IF($B274="","",SUMIFS(Kho_SP!$H$5:$H$304,Kho_SP!$A$5:$A$304,$B274))</f>
        <v/>
      </c>
      <c r="N274" s="44" t="str">
        <f t="shared" si="22"/>
        <v/>
      </c>
      <c r="O274" s="45" t="str">
        <f t="shared" si="23"/>
        <v/>
      </c>
      <c r="P274" s="44" t="str">
        <f>IF($B274="","",SUMIFS(TK_Xuat!$E$5:$E$1004,TK_Xuat!$D$5:$D$1004,$B274,TK_Xuat!$H$5:$H$1004,1))</f>
        <v/>
      </c>
      <c r="Q274" s="44" t="str">
        <f t="shared" si="24"/>
        <v/>
      </c>
    </row>
    <row r="275" spans="1:17" x14ac:dyDescent="0.25">
      <c r="A275" s="36" t="str">
        <f t="shared" si="20"/>
        <v/>
      </c>
      <c r="B275" s="35" t="str">
        <f>IF(DM_SP!A269="","",DM_SP!A269)</f>
        <v/>
      </c>
      <c r="C275" s="35" t="str">
        <f>IF(B275="","",DM_SP!B269)</f>
        <v/>
      </c>
      <c r="D275" s="35" t="str">
        <f>IF(B275="","",DM_SP!C269)</f>
        <v/>
      </c>
      <c r="E275" s="39" t="str">
        <f>IF($B275="","",SUMIFS(Kho_SP!$B$5:$B$304,Kho_SP!$A$5:$A$304,$B275))</f>
        <v/>
      </c>
      <c r="F275" s="39" t="str">
        <f>IF($B275="","",SUMIFS(Kho_SP!$C$5:$C$304,Kho_SP!$A$5:$A$304,$B275))</f>
        <v/>
      </c>
      <c r="G275" s="39" t="str">
        <f>IF($B275="","",SUMIFS(Kho_SP!$D$5:$D$304,Kho_SP!$A$5:$A$304,$B275))</f>
        <v/>
      </c>
      <c r="H275" s="39" t="str">
        <f>IF($B275="","",SUMIFS(Kho_SP!$E$5:$E$304,Kho_SP!$A$5:$A$304,$B275))</f>
        <v/>
      </c>
      <c r="I275" s="39" t="str">
        <f>IF($B275="","",SUMIFS(Kho_SP!$F$5:$F$304,Kho_SP!$A$5:$A$304,$B275))</f>
        <v/>
      </c>
      <c r="J275" s="39" t="str">
        <f>IF($B275="","",SUMIFS(Kho_SP!$G$5:$G$304,Kho_SP!$A$5:$A$304,$B275))</f>
        <v/>
      </c>
      <c r="K275" s="39" t="str">
        <f t="shared" si="21"/>
        <v/>
      </c>
      <c r="L275" s="31" t="str">
        <f>IF($B275="","",IFERROR(INDEX(Kho_SP!$I$5:$I$304,MATCH(B275,Kho_SP!$A$5:$A$304,0))&amp;"",""))</f>
        <v/>
      </c>
      <c r="M275" s="44" t="str">
        <f>IF($B275="","",SUMIFS(Kho_SP!$H$5:$H$304,Kho_SP!$A$5:$A$304,$B275))</f>
        <v/>
      </c>
      <c r="N275" s="44" t="str">
        <f t="shared" si="22"/>
        <v/>
      </c>
      <c r="O275" s="45" t="str">
        <f t="shared" si="23"/>
        <v/>
      </c>
      <c r="P275" s="44" t="str">
        <f>IF($B275="","",SUMIFS(TK_Xuat!$E$5:$E$1004,TK_Xuat!$D$5:$D$1004,$B275,TK_Xuat!$H$5:$H$1004,1))</f>
        <v/>
      </c>
      <c r="Q275" s="44" t="str">
        <f t="shared" si="24"/>
        <v/>
      </c>
    </row>
    <row r="276" spans="1:17" x14ac:dyDescent="0.25">
      <c r="A276" s="36" t="str">
        <f t="shared" si="20"/>
        <v/>
      </c>
      <c r="B276" s="35" t="str">
        <f>IF(DM_SP!A270="","",DM_SP!A270)</f>
        <v/>
      </c>
      <c r="C276" s="35" t="str">
        <f>IF(B276="","",DM_SP!B270)</f>
        <v/>
      </c>
      <c r="D276" s="35" t="str">
        <f>IF(B276="","",DM_SP!C270)</f>
        <v/>
      </c>
      <c r="E276" s="39" t="str">
        <f>IF($B276="","",SUMIFS(Kho_SP!$B$5:$B$304,Kho_SP!$A$5:$A$304,$B276))</f>
        <v/>
      </c>
      <c r="F276" s="39" t="str">
        <f>IF($B276="","",SUMIFS(Kho_SP!$C$5:$C$304,Kho_SP!$A$5:$A$304,$B276))</f>
        <v/>
      </c>
      <c r="G276" s="39" t="str">
        <f>IF($B276="","",SUMIFS(Kho_SP!$D$5:$D$304,Kho_SP!$A$5:$A$304,$B276))</f>
        <v/>
      </c>
      <c r="H276" s="39" t="str">
        <f>IF($B276="","",SUMIFS(Kho_SP!$E$5:$E$304,Kho_SP!$A$5:$A$304,$B276))</f>
        <v/>
      </c>
      <c r="I276" s="39" t="str">
        <f>IF($B276="","",SUMIFS(Kho_SP!$F$5:$F$304,Kho_SP!$A$5:$A$304,$B276))</f>
        <v/>
      </c>
      <c r="J276" s="39" t="str">
        <f>IF($B276="","",SUMIFS(Kho_SP!$G$5:$G$304,Kho_SP!$A$5:$A$304,$B276))</f>
        <v/>
      </c>
      <c r="K276" s="39" t="str">
        <f t="shared" si="21"/>
        <v/>
      </c>
      <c r="L276" s="31" t="str">
        <f>IF($B276="","",IFERROR(INDEX(Kho_SP!$I$5:$I$304,MATCH(B276,Kho_SP!$A$5:$A$304,0))&amp;"",""))</f>
        <v/>
      </c>
      <c r="M276" s="44" t="str">
        <f>IF($B276="","",SUMIFS(Kho_SP!$H$5:$H$304,Kho_SP!$A$5:$A$304,$B276))</f>
        <v/>
      </c>
      <c r="N276" s="44" t="str">
        <f t="shared" si="22"/>
        <v/>
      </c>
      <c r="O276" s="45" t="str">
        <f t="shared" si="23"/>
        <v/>
      </c>
      <c r="P276" s="44" t="str">
        <f>IF($B276="","",SUMIFS(TK_Xuat!$E$5:$E$1004,TK_Xuat!$D$5:$D$1004,$B276,TK_Xuat!$H$5:$H$1004,1))</f>
        <v/>
      </c>
      <c r="Q276" s="44" t="str">
        <f t="shared" si="24"/>
        <v/>
      </c>
    </row>
    <row r="277" spans="1:17" x14ac:dyDescent="0.25">
      <c r="A277" s="36" t="str">
        <f t="shared" si="20"/>
        <v/>
      </c>
      <c r="B277" s="35" t="str">
        <f>IF(DM_SP!A271="","",DM_SP!A271)</f>
        <v/>
      </c>
      <c r="C277" s="35" t="str">
        <f>IF(B277="","",DM_SP!B271)</f>
        <v/>
      </c>
      <c r="D277" s="35" t="str">
        <f>IF(B277="","",DM_SP!C271)</f>
        <v/>
      </c>
      <c r="E277" s="39" t="str">
        <f>IF($B277="","",SUMIFS(Kho_SP!$B$5:$B$304,Kho_SP!$A$5:$A$304,$B277))</f>
        <v/>
      </c>
      <c r="F277" s="39" t="str">
        <f>IF($B277="","",SUMIFS(Kho_SP!$C$5:$C$304,Kho_SP!$A$5:$A$304,$B277))</f>
        <v/>
      </c>
      <c r="G277" s="39" t="str">
        <f>IF($B277="","",SUMIFS(Kho_SP!$D$5:$D$304,Kho_SP!$A$5:$A$304,$B277))</f>
        <v/>
      </c>
      <c r="H277" s="39" t="str">
        <f>IF($B277="","",SUMIFS(Kho_SP!$E$5:$E$304,Kho_SP!$A$5:$A$304,$B277))</f>
        <v/>
      </c>
      <c r="I277" s="39" t="str">
        <f>IF($B277="","",SUMIFS(Kho_SP!$F$5:$F$304,Kho_SP!$A$5:$A$304,$B277))</f>
        <v/>
      </c>
      <c r="J277" s="39" t="str">
        <f>IF($B277="","",SUMIFS(Kho_SP!$G$5:$G$304,Kho_SP!$A$5:$A$304,$B277))</f>
        <v/>
      </c>
      <c r="K277" s="39" t="str">
        <f t="shared" si="21"/>
        <v/>
      </c>
      <c r="L277" s="31" t="str">
        <f>IF($B277="","",IFERROR(INDEX(Kho_SP!$I$5:$I$304,MATCH(B277,Kho_SP!$A$5:$A$304,0))&amp;"",""))</f>
        <v/>
      </c>
      <c r="M277" s="44" t="str">
        <f>IF($B277="","",SUMIFS(Kho_SP!$H$5:$H$304,Kho_SP!$A$5:$A$304,$B277))</f>
        <v/>
      </c>
      <c r="N277" s="44" t="str">
        <f t="shared" si="22"/>
        <v/>
      </c>
      <c r="O277" s="45" t="str">
        <f t="shared" si="23"/>
        <v/>
      </c>
      <c r="P277" s="44" t="str">
        <f>IF($B277="","",SUMIFS(TK_Xuat!$E$5:$E$1004,TK_Xuat!$D$5:$D$1004,$B277,TK_Xuat!$H$5:$H$1004,1))</f>
        <v/>
      </c>
      <c r="Q277" s="44" t="str">
        <f t="shared" si="24"/>
        <v/>
      </c>
    </row>
    <row r="278" spans="1:17" x14ac:dyDescent="0.25">
      <c r="A278" s="36" t="str">
        <f t="shared" si="20"/>
        <v/>
      </c>
      <c r="B278" s="35" t="str">
        <f>IF(DM_SP!A272="","",DM_SP!A272)</f>
        <v/>
      </c>
      <c r="C278" s="35" t="str">
        <f>IF(B278="","",DM_SP!B272)</f>
        <v/>
      </c>
      <c r="D278" s="35" t="str">
        <f>IF(B278="","",DM_SP!C272)</f>
        <v/>
      </c>
      <c r="E278" s="39" t="str">
        <f>IF($B278="","",SUMIFS(Kho_SP!$B$5:$B$304,Kho_SP!$A$5:$A$304,$B278))</f>
        <v/>
      </c>
      <c r="F278" s="39" t="str">
        <f>IF($B278="","",SUMIFS(Kho_SP!$C$5:$C$304,Kho_SP!$A$5:$A$304,$B278))</f>
        <v/>
      </c>
      <c r="G278" s="39" t="str">
        <f>IF($B278="","",SUMIFS(Kho_SP!$D$5:$D$304,Kho_SP!$A$5:$A$304,$B278))</f>
        <v/>
      </c>
      <c r="H278" s="39" t="str">
        <f>IF($B278="","",SUMIFS(Kho_SP!$E$5:$E$304,Kho_SP!$A$5:$A$304,$B278))</f>
        <v/>
      </c>
      <c r="I278" s="39" t="str">
        <f>IF($B278="","",SUMIFS(Kho_SP!$F$5:$F$304,Kho_SP!$A$5:$A$304,$B278))</f>
        <v/>
      </c>
      <c r="J278" s="39" t="str">
        <f>IF($B278="","",SUMIFS(Kho_SP!$G$5:$G$304,Kho_SP!$A$5:$A$304,$B278))</f>
        <v/>
      </c>
      <c r="K278" s="39" t="str">
        <f t="shared" si="21"/>
        <v/>
      </c>
      <c r="L278" s="31" t="str">
        <f>IF($B278="","",IFERROR(INDEX(Kho_SP!$I$5:$I$304,MATCH(B278,Kho_SP!$A$5:$A$304,0))&amp;"",""))</f>
        <v/>
      </c>
      <c r="M278" s="44" t="str">
        <f>IF($B278="","",SUMIFS(Kho_SP!$H$5:$H$304,Kho_SP!$A$5:$A$304,$B278))</f>
        <v/>
      </c>
      <c r="N278" s="44" t="str">
        <f t="shared" si="22"/>
        <v/>
      </c>
      <c r="O278" s="45" t="str">
        <f t="shared" si="23"/>
        <v/>
      </c>
      <c r="P278" s="44" t="str">
        <f>IF($B278="","",SUMIFS(TK_Xuat!$E$5:$E$1004,TK_Xuat!$D$5:$D$1004,$B278,TK_Xuat!$H$5:$H$1004,1))</f>
        <v/>
      </c>
      <c r="Q278" s="44" t="str">
        <f t="shared" si="24"/>
        <v/>
      </c>
    </row>
    <row r="279" spans="1:17" x14ac:dyDescent="0.25">
      <c r="A279" s="36" t="str">
        <f t="shared" si="20"/>
        <v/>
      </c>
      <c r="B279" s="35" t="str">
        <f>IF(DM_SP!A273="","",DM_SP!A273)</f>
        <v/>
      </c>
      <c r="C279" s="35" t="str">
        <f>IF(B279="","",DM_SP!B273)</f>
        <v/>
      </c>
      <c r="D279" s="35" t="str">
        <f>IF(B279="","",DM_SP!C273)</f>
        <v/>
      </c>
      <c r="E279" s="39" t="str">
        <f>IF($B279="","",SUMIFS(Kho_SP!$B$5:$B$304,Kho_SP!$A$5:$A$304,$B279))</f>
        <v/>
      </c>
      <c r="F279" s="39" t="str">
        <f>IF($B279="","",SUMIFS(Kho_SP!$C$5:$C$304,Kho_SP!$A$5:$A$304,$B279))</f>
        <v/>
      </c>
      <c r="G279" s="39" t="str">
        <f>IF($B279="","",SUMIFS(Kho_SP!$D$5:$D$304,Kho_SP!$A$5:$A$304,$B279))</f>
        <v/>
      </c>
      <c r="H279" s="39" t="str">
        <f>IF($B279="","",SUMIFS(Kho_SP!$E$5:$E$304,Kho_SP!$A$5:$A$304,$B279))</f>
        <v/>
      </c>
      <c r="I279" s="39" t="str">
        <f>IF($B279="","",SUMIFS(Kho_SP!$F$5:$F$304,Kho_SP!$A$5:$A$304,$B279))</f>
        <v/>
      </c>
      <c r="J279" s="39" t="str">
        <f>IF($B279="","",SUMIFS(Kho_SP!$G$5:$G$304,Kho_SP!$A$5:$A$304,$B279))</f>
        <v/>
      </c>
      <c r="K279" s="39" t="str">
        <f t="shared" si="21"/>
        <v/>
      </c>
      <c r="L279" s="31" t="str">
        <f>IF($B279="","",IFERROR(INDEX(Kho_SP!$I$5:$I$304,MATCH(B279,Kho_SP!$A$5:$A$304,0))&amp;"",""))</f>
        <v/>
      </c>
      <c r="M279" s="44" t="str">
        <f>IF($B279="","",SUMIFS(Kho_SP!$H$5:$H$304,Kho_SP!$A$5:$A$304,$B279))</f>
        <v/>
      </c>
      <c r="N279" s="44" t="str">
        <f t="shared" si="22"/>
        <v/>
      </c>
      <c r="O279" s="45" t="str">
        <f t="shared" si="23"/>
        <v/>
      </c>
      <c r="P279" s="44" t="str">
        <f>IF($B279="","",SUMIFS(TK_Xuat!$E$5:$E$1004,TK_Xuat!$D$5:$D$1004,$B279,TK_Xuat!$H$5:$H$1004,1))</f>
        <v/>
      </c>
      <c r="Q279" s="44" t="str">
        <f t="shared" si="24"/>
        <v/>
      </c>
    </row>
    <row r="280" spans="1:17" x14ac:dyDescent="0.25">
      <c r="A280" s="36" t="str">
        <f t="shared" si="20"/>
        <v/>
      </c>
      <c r="B280" s="35" t="str">
        <f>IF(DM_SP!A274="","",DM_SP!A274)</f>
        <v/>
      </c>
      <c r="C280" s="35" t="str">
        <f>IF(B280="","",DM_SP!B274)</f>
        <v/>
      </c>
      <c r="D280" s="35" t="str">
        <f>IF(B280="","",DM_SP!C274)</f>
        <v/>
      </c>
      <c r="E280" s="39" t="str">
        <f>IF($B280="","",SUMIFS(Kho_SP!$B$5:$B$304,Kho_SP!$A$5:$A$304,$B280))</f>
        <v/>
      </c>
      <c r="F280" s="39" t="str">
        <f>IF($B280="","",SUMIFS(Kho_SP!$C$5:$C$304,Kho_SP!$A$5:$A$304,$B280))</f>
        <v/>
      </c>
      <c r="G280" s="39" t="str">
        <f>IF($B280="","",SUMIFS(Kho_SP!$D$5:$D$304,Kho_SP!$A$5:$A$304,$B280))</f>
        <v/>
      </c>
      <c r="H280" s="39" t="str">
        <f>IF($B280="","",SUMIFS(Kho_SP!$E$5:$E$304,Kho_SP!$A$5:$A$304,$B280))</f>
        <v/>
      </c>
      <c r="I280" s="39" t="str">
        <f>IF($B280="","",SUMIFS(Kho_SP!$F$5:$F$304,Kho_SP!$A$5:$A$304,$B280))</f>
        <v/>
      </c>
      <c r="J280" s="39" t="str">
        <f>IF($B280="","",SUMIFS(Kho_SP!$G$5:$G$304,Kho_SP!$A$5:$A$304,$B280))</f>
        <v/>
      </c>
      <c r="K280" s="39" t="str">
        <f t="shared" si="21"/>
        <v/>
      </c>
      <c r="L280" s="31" t="str">
        <f>IF($B280="","",IFERROR(INDEX(Kho_SP!$I$5:$I$304,MATCH(B280,Kho_SP!$A$5:$A$304,0))&amp;"",""))</f>
        <v/>
      </c>
      <c r="M280" s="44" t="str">
        <f>IF($B280="","",SUMIFS(Kho_SP!$H$5:$H$304,Kho_SP!$A$5:$A$304,$B280))</f>
        <v/>
      </c>
      <c r="N280" s="44" t="str">
        <f t="shared" si="22"/>
        <v/>
      </c>
      <c r="O280" s="45" t="str">
        <f t="shared" si="23"/>
        <v/>
      </c>
      <c r="P280" s="44" t="str">
        <f>IF($B280="","",SUMIFS(TK_Xuat!$E$5:$E$1004,TK_Xuat!$D$5:$D$1004,$B280,TK_Xuat!$H$5:$H$1004,1))</f>
        <v/>
      </c>
      <c r="Q280" s="44" t="str">
        <f t="shared" si="24"/>
        <v/>
      </c>
    </row>
    <row r="281" spans="1:17" x14ac:dyDescent="0.25">
      <c r="A281" s="36" t="str">
        <f t="shared" si="20"/>
        <v/>
      </c>
      <c r="B281" s="35" t="str">
        <f>IF(DM_SP!A275="","",DM_SP!A275)</f>
        <v/>
      </c>
      <c r="C281" s="35" t="str">
        <f>IF(B281="","",DM_SP!B275)</f>
        <v/>
      </c>
      <c r="D281" s="35" t="str">
        <f>IF(B281="","",DM_SP!C275)</f>
        <v/>
      </c>
      <c r="E281" s="39" t="str">
        <f>IF($B281="","",SUMIFS(Kho_SP!$B$5:$B$304,Kho_SP!$A$5:$A$304,$B281))</f>
        <v/>
      </c>
      <c r="F281" s="39" t="str">
        <f>IF($B281="","",SUMIFS(Kho_SP!$C$5:$C$304,Kho_SP!$A$5:$A$304,$B281))</f>
        <v/>
      </c>
      <c r="G281" s="39" t="str">
        <f>IF($B281="","",SUMIFS(Kho_SP!$D$5:$D$304,Kho_SP!$A$5:$A$304,$B281))</f>
        <v/>
      </c>
      <c r="H281" s="39" t="str">
        <f>IF($B281="","",SUMIFS(Kho_SP!$E$5:$E$304,Kho_SP!$A$5:$A$304,$B281))</f>
        <v/>
      </c>
      <c r="I281" s="39" t="str">
        <f>IF($B281="","",SUMIFS(Kho_SP!$F$5:$F$304,Kho_SP!$A$5:$A$304,$B281))</f>
        <v/>
      </c>
      <c r="J281" s="39" t="str">
        <f>IF($B281="","",SUMIFS(Kho_SP!$G$5:$G$304,Kho_SP!$A$5:$A$304,$B281))</f>
        <v/>
      </c>
      <c r="K281" s="39" t="str">
        <f t="shared" si="21"/>
        <v/>
      </c>
      <c r="L281" s="31" t="str">
        <f>IF($B281="","",IFERROR(INDEX(Kho_SP!$I$5:$I$304,MATCH(B281,Kho_SP!$A$5:$A$304,0))&amp;"",""))</f>
        <v/>
      </c>
      <c r="M281" s="44" t="str">
        <f>IF($B281="","",SUMIFS(Kho_SP!$H$5:$H$304,Kho_SP!$A$5:$A$304,$B281))</f>
        <v/>
      </c>
      <c r="N281" s="44" t="str">
        <f t="shared" si="22"/>
        <v/>
      </c>
      <c r="O281" s="45" t="str">
        <f t="shared" si="23"/>
        <v/>
      </c>
      <c r="P281" s="44" t="str">
        <f>IF($B281="","",SUMIFS(TK_Xuat!$E$5:$E$1004,TK_Xuat!$D$5:$D$1004,$B281,TK_Xuat!$H$5:$H$1004,1))</f>
        <v/>
      </c>
      <c r="Q281" s="44" t="str">
        <f t="shared" si="24"/>
        <v/>
      </c>
    </row>
    <row r="282" spans="1:17" x14ac:dyDescent="0.25">
      <c r="A282" s="36" t="str">
        <f t="shared" si="20"/>
        <v/>
      </c>
      <c r="B282" s="35" t="str">
        <f>IF(DM_SP!A276="","",DM_SP!A276)</f>
        <v/>
      </c>
      <c r="C282" s="35" t="str">
        <f>IF(B282="","",DM_SP!B276)</f>
        <v/>
      </c>
      <c r="D282" s="35" t="str">
        <f>IF(B282="","",DM_SP!C276)</f>
        <v/>
      </c>
      <c r="E282" s="39" t="str">
        <f>IF($B282="","",SUMIFS(Kho_SP!$B$5:$B$304,Kho_SP!$A$5:$A$304,$B282))</f>
        <v/>
      </c>
      <c r="F282" s="39" t="str">
        <f>IF($B282="","",SUMIFS(Kho_SP!$C$5:$C$304,Kho_SP!$A$5:$A$304,$B282))</f>
        <v/>
      </c>
      <c r="G282" s="39" t="str">
        <f>IF($B282="","",SUMIFS(Kho_SP!$D$5:$D$304,Kho_SP!$A$5:$A$304,$B282))</f>
        <v/>
      </c>
      <c r="H282" s="39" t="str">
        <f>IF($B282="","",SUMIFS(Kho_SP!$E$5:$E$304,Kho_SP!$A$5:$A$304,$B282))</f>
        <v/>
      </c>
      <c r="I282" s="39" t="str">
        <f>IF($B282="","",SUMIFS(Kho_SP!$F$5:$F$304,Kho_SP!$A$5:$A$304,$B282))</f>
        <v/>
      </c>
      <c r="J282" s="39" t="str">
        <f>IF($B282="","",SUMIFS(Kho_SP!$G$5:$G$304,Kho_SP!$A$5:$A$304,$B282))</f>
        <v/>
      </c>
      <c r="K282" s="39" t="str">
        <f t="shared" si="21"/>
        <v/>
      </c>
      <c r="L282" s="31" t="str">
        <f>IF($B282="","",IFERROR(INDEX(Kho_SP!$I$5:$I$304,MATCH(B282,Kho_SP!$A$5:$A$304,0))&amp;"",""))</f>
        <v/>
      </c>
      <c r="M282" s="44" t="str">
        <f>IF($B282="","",SUMIFS(Kho_SP!$H$5:$H$304,Kho_SP!$A$5:$A$304,$B282))</f>
        <v/>
      </c>
      <c r="N282" s="44" t="str">
        <f t="shared" si="22"/>
        <v/>
      </c>
      <c r="O282" s="45" t="str">
        <f t="shared" si="23"/>
        <v/>
      </c>
      <c r="P282" s="44" t="str">
        <f>IF($B282="","",SUMIFS(TK_Xuat!$E$5:$E$1004,TK_Xuat!$D$5:$D$1004,$B282,TK_Xuat!$H$5:$H$1004,1))</f>
        <v/>
      </c>
      <c r="Q282" s="44" t="str">
        <f t="shared" si="24"/>
        <v/>
      </c>
    </row>
    <row r="283" spans="1:17" x14ac:dyDescent="0.25">
      <c r="A283" s="36" t="str">
        <f t="shared" si="20"/>
        <v/>
      </c>
      <c r="B283" s="35" t="str">
        <f>IF(DM_SP!A277="","",DM_SP!A277)</f>
        <v/>
      </c>
      <c r="C283" s="35" t="str">
        <f>IF(B283="","",DM_SP!B277)</f>
        <v/>
      </c>
      <c r="D283" s="35" t="str">
        <f>IF(B283="","",DM_SP!C277)</f>
        <v/>
      </c>
      <c r="E283" s="39" t="str">
        <f>IF($B283="","",SUMIFS(Kho_SP!$B$5:$B$304,Kho_SP!$A$5:$A$304,$B283))</f>
        <v/>
      </c>
      <c r="F283" s="39" t="str">
        <f>IF($B283="","",SUMIFS(Kho_SP!$C$5:$C$304,Kho_SP!$A$5:$A$304,$B283))</f>
        <v/>
      </c>
      <c r="G283" s="39" t="str">
        <f>IF($B283="","",SUMIFS(Kho_SP!$D$5:$D$304,Kho_SP!$A$5:$A$304,$B283))</f>
        <v/>
      </c>
      <c r="H283" s="39" t="str">
        <f>IF($B283="","",SUMIFS(Kho_SP!$E$5:$E$304,Kho_SP!$A$5:$A$304,$B283))</f>
        <v/>
      </c>
      <c r="I283" s="39" t="str">
        <f>IF($B283="","",SUMIFS(Kho_SP!$F$5:$F$304,Kho_SP!$A$5:$A$304,$B283))</f>
        <v/>
      </c>
      <c r="J283" s="39" t="str">
        <f>IF($B283="","",SUMIFS(Kho_SP!$G$5:$G$304,Kho_SP!$A$5:$A$304,$B283))</f>
        <v/>
      </c>
      <c r="K283" s="39" t="str">
        <f t="shared" si="21"/>
        <v/>
      </c>
      <c r="L283" s="31" t="str">
        <f>IF($B283="","",IFERROR(INDEX(Kho_SP!$I$5:$I$304,MATCH(B283,Kho_SP!$A$5:$A$304,0))&amp;"",""))</f>
        <v/>
      </c>
      <c r="M283" s="44" t="str">
        <f>IF($B283="","",SUMIFS(Kho_SP!$H$5:$H$304,Kho_SP!$A$5:$A$304,$B283))</f>
        <v/>
      </c>
      <c r="N283" s="44" t="str">
        <f t="shared" si="22"/>
        <v/>
      </c>
      <c r="O283" s="45" t="str">
        <f t="shared" si="23"/>
        <v/>
      </c>
      <c r="P283" s="44" t="str">
        <f>IF($B283="","",SUMIFS(TK_Xuat!$E$5:$E$1004,TK_Xuat!$D$5:$D$1004,$B283,TK_Xuat!$H$5:$H$1004,1))</f>
        <v/>
      </c>
      <c r="Q283" s="44" t="str">
        <f t="shared" si="24"/>
        <v/>
      </c>
    </row>
    <row r="284" spans="1:17" x14ac:dyDescent="0.25">
      <c r="A284" s="36" t="str">
        <f t="shared" si="20"/>
        <v/>
      </c>
      <c r="B284" s="35" t="str">
        <f>IF(DM_SP!A278="","",DM_SP!A278)</f>
        <v/>
      </c>
      <c r="C284" s="35" t="str">
        <f>IF(B284="","",DM_SP!B278)</f>
        <v/>
      </c>
      <c r="D284" s="35" t="str">
        <f>IF(B284="","",DM_SP!C278)</f>
        <v/>
      </c>
      <c r="E284" s="39" t="str">
        <f>IF($B284="","",SUMIFS(Kho_SP!$B$5:$B$304,Kho_SP!$A$5:$A$304,$B284))</f>
        <v/>
      </c>
      <c r="F284" s="39" t="str">
        <f>IF($B284="","",SUMIFS(Kho_SP!$C$5:$C$304,Kho_SP!$A$5:$A$304,$B284))</f>
        <v/>
      </c>
      <c r="G284" s="39" t="str">
        <f>IF($B284="","",SUMIFS(Kho_SP!$D$5:$D$304,Kho_SP!$A$5:$A$304,$B284))</f>
        <v/>
      </c>
      <c r="H284" s="39" t="str">
        <f>IF($B284="","",SUMIFS(Kho_SP!$E$5:$E$304,Kho_SP!$A$5:$A$304,$B284))</f>
        <v/>
      </c>
      <c r="I284" s="39" t="str">
        <f>IF($B284="","",SUMIFS(Kho_SP!$F$5:$F$304,Kho_SP!$A$5:$A$304,$B284))</f>
        <v/>
      </c>
      <c r="J284" s="39" t="str">
        <f>IF($B284="","",SUMIFS(Kho_SP!$G$5:$G$304,Kho_SP!$A$5:$A$304,$B284))</f>
        <v/>
      </c>
      <c r="K284" s="39" t="str">
        <f t="shared" si="21"/>
        <v/>
      </c>
      <c r="L284" s="31" t="str">
        <f>IF($B284="","",IFERROR(INDEX(Kho_SP!$I$5:$I$304,MATCH(B284,Kho_SP!$A$5:$A$304,0))&amp;"",""))</f>
        <v/>
      </c>
      <c r="M284" s="44" t="str">
        <f>IF($B284="","",SUMIFS(Kho_SP!$H$5:$H$304,Kho_SP!$A$5:$A$304,$B284))</f>
        <v/>
      </c>
      <c r="N284" s="44" t="str">
        <f t="shared" si="22"/>
        <v/>
      </c>
      <c r="O284" s="45" t="str">
        <f t="shared" si="23"/>
        <v/>
      </c>
      <c r="P284" s="44" t="str">
        <f>IF($B284="","",SUMIFS(TK_Xuat!$E$5:$E$1004,TK_Xuat!$D$5:$D$1004,$B284,TK_Xuat!$H$5:$H$1004,1))</f>
        <v/>
      </c>
      <c r="Q284" s="44" t="str">
        <f t="shared" si="24"/>
        <v/>
      </c>
    </row>
    <row r="285" spans="1:17" x14ac:dyDescent="0.25">
      <c r="A285" s="36" t="str">
        <f t="shared" si="20"/>
        <v/>
      </c>
      <c r="B285" s="35" t="str">
        <f>IF(DM_SP!A279="","",DM_SP!A279)</f>
        <v/>
      </c>
      <c r="C285" s="35" t="str">
        <f>IF(B285="","",DM_SP!B279)</f>
        <v/>
      </c>
      <c r="D285" s="35" t="str">
        <f>IF(B285="","",DM_SP!C279)</f>
        <v/>
      </c>
      <c r="E285" s="39" t="str">
        <f>IF($B285="","",SUMIFS(Kho_SP!$B$5:$B$304,Kho_SP!$A$5:$A$304,$B285))</f>
        <v/>
      </c>
      <c r="F285" s="39" t="str">
        <f>IF($B285="","",SUMIFS(Kho_SP!$C$5:$C$304,Kho_SP!$A$5:$A$304,$B285))</f>
        <v/>
      </c>
      <c r="G285" s="39" t="str">
        <f>IF($B285="","",SUMIFS(Kho_SP!$D$5:$D$304,Kho_SP!$A$5:$A$304,$B285))</f>
        <v/>
      </c>
      <c r="H285" s="39" t="str">
        <f>IF($B285="","",SUMIFS(Kho_SP!$E$5:$E$304,Kho_SP!$A$5:$A$304,$B285))</f>
        <v/>
      </c>
      <c r="I285" s="39" t="str">
        <f>IF($B285="","",SUMIFS(Kho_SP!$F$5:$F$304,Kho_SP!$A$5:$A$304,$B285))</f>
        <v/>
      </c>
      <c r="J285" s="39" t="str">
        <f>IF($B285="","",SUMIFS(Kho_SP!$G$5:$G$304,Kho_SP!$A$5:$A$304,$B285))</f>
        <v/>
      </c>
      <c r="K285" s="39" t="str">
        <f t="shared" si="21"/>
        <v/>
      </c>
      <c r="L285" s="31" t="str">
        <f>IF($B285="","",IFERROR(INDEX(Kho_SP!$I$5:$I$304,MATCH(B285,Kho_SP!$A$5:$A$304,0))&amp;"",""))</f>
        <v/>
      </c>
      <c r="M285" s="44" t="str">
        <f>IF($B285="","",SUMIFS(Kho_SP!$H$5:$H$304,Kho_SP!$A$5:$A$304,$B285))</f>
        <v/>
      </c>
      <c r="N285" s="44" t="str">
        <f t="shared" si="22"/>
        <v/>
      </c>
      <c r="O285" s="45" t="str">
        <f t="shared" si="23"/>
        <v/>
      </c>
      <c r="P285" s="44" t="str">
        <f>IF($B285="","",SUMIFS(TK_Xuat!$E$5:$E$1004,TK_Xuat!$D$5:$D$1004,$B285,TK_Xuat!$H$5:$H$1004,1))</f>
        <v/>
      </c>
      <c r="Q285" s="44" t="str">
        <f t="shared" si="24"/>
        <v/>
      </c>
    </row>
    <row r="286" spans="1:17" x14ac:dyDescent="0.25">
      <c r="A286" s="36" t="str">
        <f t="shared" si="20"/>
        <v/>
      </c>
      <c r="B286" s="35" t="str">
        <f>IF(DM_SP!A280="","",DM_SP!A280)</f>
        <v/>
      </c>
      <c r="C286" s="35" t="str">
        <f>IF(B286="","",DM_SP!B280)</f>
        <v/>
      </c>
      <c r="D286" s="35" t="str">
        <f>IF(B286="","",DM_SP!C280)</f>
        <v/>
      </c>
      <c r="E286" s="39" t="str">
        <f>IF($B286="","",SUMIFS(Kho_SP!$B$5:$B$304,Kho_SP!$A$5:$A$304,$B286))</f>
        <v/>
      </c>
      <c r="F286" s="39" t="str">
        <f>IF($B286="","",SUMIFS(Kho_SP!$C$5:$C$304,Kho_SP!$A$5:$A$304,$B286))</f>
        <v/>
      </c>
      <c r="G286" s="39" t="str">
        <f>IF($B286="","",SUMIFS(Kho_SP!$D$5:$D$304,Kho_SP!$A$5:$A$304,$B286))</f>
        <v/>
      </c>
      <c r="H286" s="39" t="str">
        <f>IF($B286="","",SUMIFS(Kho_SP!$E$5:$E$304,Kho_SP!$A$5:$A$304,$B286))</f>
        <v/>
      </c>
      <c r="I286" s="39" t="str">
        <f>IF($B286="","",SUMIFS(Kho_SP!$F$5:$F$304,Kho_SP!$A$5:$A$304,$B286))</f>
        <v/>
      </c>
      <c r="J286" s="39" t="str">
        <f>IF($B286="","",SUMIFS(Kho_SP!$G$5:$G$304,Kho_SP!$A$5:$A$304,$B286))</f>
        <v/>
      </c>
      <c r="K286" s="39" t="str">
        <f t="shared" si="21"/>
        <v/>
      </c>
      <c r="L286" s="31" t="str">
        <f>IF($B286="","",IFERROR(INDEX(Kho_SP!$I$5:$I$304,MATCH(B286,Kho_SP!$A$5:$A$304,0))&amp;"",""))</f>
        <v/>
      </c>
      <c r="M286" s="44" t="str">
        <f>IF($B286="","",SUMIFS(Kho_SP!$H$5:$H$304,Kho_SP!$A$5:$A$304,$B286))</f>
        <v/>
      </c>
      <c r="N286" s="44" t="str">
        <f t="shared" si="22"/>
        <v/>
      </c>
      <c r="O286" s="45" t="str">
        <f t="shared" si="23"/>
        <v/>
      </c>
      <c r="P286" s="44" t="str">
        <f>IF($B286="","",SUMIFS(TK_Xuat!$E$5:$E$1004,TK_Xuat!$D$5:$D$1004,$B286,TK_Xuat!$H$5:$H$1004,1))</f>
        <v/>
      </c>
      <c r="Q286" s="44" t="str">
        <f t="shared" si="24"/>
        <v/>
      </c>
    </row>
    <row r="287" spans="1:17" x14ac:dyDescent="0.25">
      <c r="A287" s="36" t="str">
        <f t="shared" si="20"/>
        <v/>
      </c>
      <c r="B287" s="35" t="str">
        <f>IF(DM_SP!A281="","",DM_SP!A281)</f>
        <v/>
      </c>
      <c r="C287" s="35" t="str">
        <f>IF(B287="","",DM_SP!B281)</f>
        <v/>
      </c>
      <c r="D287" s="35" t="str">
        <f>IF(B287="","",DM_SP!C281)</f>
        <v/>
      </c>
      <c r="E287" s="39" t="str">
        <f>IF($B287="","",SUMIFS(Kho_SP!$B$5:$B$304,Kho_SP!$A$5:$A$304,$B287))</f>
        <v/>
      </c>
      <c r="F287" s="39" t="str">
        <f>IF($B287="","",SUMIFS(Kho_SP!$C$5:$C$304,Kho_SP!$A$5:$A$304,$B287))</f>
        <v/>
      </c>
      <c r="G287" s="39" t="str">
        <f>IF($B287="","",SUMIFS(Kho_SP!$D$5:$D$304,Kho_SP!$A$5:$A$304,$B287))</f>
        <v/>
      </c>
      <c r="H287" s="39" t="str">
        <f>IF($B287="","",SUMIFS(Kho_SP!$E$5:$E$304,Kho_SP!$A$5:$A$304,$B287))</f>
        <v/>
      </c>
      <c r="I287" s="39" t="str">
        <f>IF($B287="","",SUMIFS(Kho_SP!$F$5:$F$304,Kho_SP!$A$5:$A$304,$B287))</f>
        <v/>
      </c>
      <c r="J287" s="39" t="str">
        <f>IF($B287="","",SUMIFS(Kho_SP!$G$5:$G$304,Kho_SP!$A$5:$A$304,$B287))</f>
        <v/>
      </c>
      <c r="K287" s="39" t="str">
        <f t="shared" si="21"/>
        <v/>
      </c>
      <c r="L287" s="31" t="str">
        <f>IF($B287="","",IFERROR(INDEX(Kho_SP!$I$5:$I$304,MATCH(B287,Kho_SP!$A$5:$A$304,0))&amp;"",""))</f>
        <v/>
      </c>
      <c r="M287" s="44" t="str">
        <f>IF($B287="","",SUMIFS(Kho_SP!$H$5:$H$304,Kho_SP!$A$5:$A$304,$B287))</f>
        <v/>
      </c>
      <c r="N287" s="44" t="str">
        <f t="shared" si="22"/>
        <v/>
      </c>
      <c r="O287" s="45" t="str">
        <f t="shared" si="23"/>
        <v/>
      </c>
      <c r="P287" s="44" t="str">
        <f>IF($B287="","",SUMIFS(TK_Xuat!$E$5:$E$1004,TK_Xuat!$D$5:$D$1004,$B287,TK_Xuat!$H$5:$H$1004,1))</f>
        <v/>
      </c>
      <c r="Q287" s="44" t="str">
        <f t="shared" si="24"/>
        <v/>
      </c>
    </row>
    <row r="288" spans="1:17" x14ac:dyDescent="0.25">
      <c r="A288" s="36" t="str">
        <f t="shared" si="20"/>
        <v/>
      </c>
      <c r="B288" s="35" t="str">
        <f>IF(DM_SP!A282="","",DM_SP!A282)</f>
        <v/>
      </c>
      <c r="C288" s="35" t="str">
        <f>IF(B288="","",DM_SP!B282)</f>
        <v/>
      </c>
      <c r="D288" s="35" t="str">
        <f>IF(B288="","",DM_SP!C282)</f>
        <v/>
      </c>
      <c r="E288" s="39" t="str">
        <f>IF($B288="","",SUMIFS(Kho_SP!$B$5:$B$304,Kho_SP!$A$5:$A$304,$B288))</f>
        <v/>
      </c>
      <c r="F288" s="39" t="str">
        <f>IF($B288="","",SUMIFS(Kho_SP!$C$5:$C$304,Kho_SP!$A$5:$A$304,$B288))</f>
        <v/>
      </c>
      <c r="G288" s="39" t="str">
        <f>IF($B288="","",SUMIFS(Kho_SP!$D$5:$D$304,Kho_SP!$A$5:$A$304,$B288))</f>
        <v/>
      </c>
      <c r="H288" s="39" t="str">
        <f>IF($B288="","",SUMIFS(Kho_SP!$E$5:$E$304,Kho_SP!$A$5:$A$304,$B288))</f>
        <v/>
      </c>
      <c r="I288" s="39" t="str">
        <f>IF($B288="","",SUMIFS(Kho_SP!$F$5:$F$304,Kho_SP!$A$5:$A$304,$B288))</f>
        <v/>
      </c>
      <c r="J288" s="39" t="str">
        <f>IF($B288="","",SUMIFS(Kho_SP!$G$5:$G$304,Kho_SP!$A$5:$A$304,$B288))</f>
        <v/>
      </c>
      <c r="K288" s="39" t="str">
        <f t="shared" si="21"/>
        <v/>
      </c>
      <c r="L288" s="31" t="str">
        <f>IF($B288="","",IFERROR(INDEX(Kho_SP!$I$5:$I$304,MATCH(B288,Kho_SP!$A$5:$A$304,0))&amp;"",""))</f>
        <v/>
      </c>
      <c r="M288" s="44" t="str">
        <f>IF($B288="","",SUMIFS(Kho_SP!$H$5:$H$304,Kho_SP!$A$5:$A$304,$B288))</f>
        <v/>
      </c>
      <c r="N288" s="44" t="str">
        <f t="shared" si="22"/>
        <v/>
      </c>
      <c r="O288" s="45" t="str">
        <f t="shared" si="23"/>
        <v/>
      </c>
      <c r="P288" s="44" t="str">
        <f>IF($B288="","",SUMIFS(TK_Xuat!$E$5:$E$1004,TK_Xuat!$D$5:$D$1004,$B288,TK_Xuat!$H$5:$H$1004,1))</f>
        <v/>
      </c>
      <c r="Q288" s="44" t="str">
        <f t="shared" si="24"/>
        <v/>
      </c>
    </row>
    <row r="289" spans="1:17" x14ac:dyDescent="0.25">
      <c r="A289" s="36" t="str">
        <f t="shared" si="20"/>
        <v/>
      </c>
      <c r="B289" s="35" t="str">
        <f>IF(DM_SP!A283="","",DM_SP!A283)</f>
        <v/>
      </c>
      <c r="C289" s="35" t="str">
        <f>IF(B289="","",DM_SP!B283)</f>
        <v/>
      </c>
      <c r="D289" s="35" t="str">
        <f>IF(B289="","",DM_SP!C283)</f>
        <v/>
      </c>
      <c r="E289" s="39" t="str">
        <f>IF($B289="","",SUMIFS(Kho_SP!$B$5:$B$304,Kho_SP!$A$5:$A$304,$B289))</f>
        <v/>
      </c>
      <c r="F289" s="39" t="str">
        <f>IF($B289="","",SUMIFS(Kho_SP!$C$5:$C$304,Kho_SP!$A$5:$A$304,$B289))</f>
        <v/>
      </c>
      <c r="G289" s="39" t="str">
        <f>IF($B289="","",SUMIFS(Kho_SP!$D$5:$D$304,Kho_SP!$A$5:$A$304,$B289))</f>
        <v/>
      </c>
      <c r="H289" s="39" t="str">
        <f>IF($B289="","",SUMIFS(Kho_SP!$E$5:$E$304,Kho_SP!$A$5:$A$304,$B289))</f>
        <v/>
      </c>
      <c r="I289" s="39" t="str">
        <f>IF($B289="","",SUMIFS(Kho_SP!$F$5:$F$304,Kho_SP!$A$5:$A$304,$B289))</f>
        <v/>
      </c>
      <c r="J289" s="39" t="str">
        <f>IF($B289="","",SUMIFS(Kho_SP!$G$5:$G$304,Kho_SP!$A$5:$A$304,$B289))</f>
        <v/>
      </c>
      <c r="K289" s="39" t="str">
        <f t="shared" si="21"/>
        <v/>
      </c>
      <c r="L289" s="31" t="str">
        <f>IF($B289="","",IFERROR(INDEX(Kho_SP!$I$5:$I$304,MATCH(B289,Kho_SP!$A$5:$A$304,0))&amp;"",""))</f>
        <v/>
      </c>
      <c r="M289" s="44" t="str">
        <f>IF($B289="","",SUMIFS(Kho_SP!$H$5:$H$304,Kho_SP!$A$5:$A$304,$B289))</f>
        <v/>
      </c>
      <c r="N289" s="44" t="str">
        <f t="shared" si="22"/>
        <v/>
      </c>
      <c r="O289" s="45" t="str">
        <f t="shared" si="23"/>
        <v/>
      </c>
      <c r="P289" s="44" t="str">
        <f>IF($B289="","",SUMIFS(TK_Xuat!$E$5:$E$1004,TK_Xuat!$D$5:$D$1004,$B289,TK_Xuat!$H$5:$H$1004,1))</f>
        <v/>
      </c>
      <c r="Q289" s="44" t="str">
        <f t="shared" si="24"/>
        <v/>
      </c>
    </row>
    <row r="290" spans="1:17" x14ac:dyDescent="0.25">
      <c r="A290" s="36" t="str">
        <f t="shared" si="20"/>
        <v/>
      </c>
      <c r="B290" s="35" t="str">
        <f>IF(DM_SP!A284="","",DM_SP!A284)</f>
        <v/>
      </c>
      <c r="C290" s="35" t="str">
        <f>IF(B290="","",DM_SP!B284)</f>
        <v/>
      </c>
      <c r="D290" s="35" t="str">
        <f>IF(B290="","",DM_SP!C284)</f>
        <v/>
      </c>
      <c r="E290" s="39" t="str">
        <f>IF($B290="","",SUMIFS(Kho_SP!$B$5:$B$304,Kho_SP!$A$5:$A$304,$B290))</f>
        <v/>
      </c>
      <c r="F290" s="39" t="str">
        <f>IF($B290="","",SUMIFS(Kho_SP!$C$5:$C$304,Kho_SP!$A$5:$A$304,$B290))</f>
        <v/>
      </c>
      <c r="G290" s="39" t="str">
        <f>IF($B290="","",SUMIFS(Kho_SP!$D$5:$D$304,Kho_SP!$A$5:$A$304,$B290))</f>
        <v/>
      </c>
      <c r="H290" s="39" t="str">
        <f>IF($B290="","",SUMIFS(Kho_SP!$E$5:$E$304,Kho_SP!$A$5:$A$304,$B290))</f>
        <v/>
      </c>
      <c r="I290" s="39" t="str">
        <f>IF($B290="","",SUMIFS(Kho_SP!$F$5:$F$304,Kho_SP!$A$5:$A$304,$B290))</f>
        <v/>
      </c>
      <c r="J290" s="39" t="str">
        <f>IF($B290="","",SUMIFS(Kho_SP!$G$5:$G$304,Kho_SP!$A$5:$A$304,$B290))</f>
        <v/>
      </c>
      <c r="K290" s="39" t="str">
        <f t="shared" si="21"/>
        <v/>
      </c>
      <c r="L290" s="31" t="str">
        <f>IF($B290="","",IFERROR(INDEX(Kho_SP!$I$5:$I$304,MATCH(B290,Kho_SP!$A$5:$A$304,0))&amp;"",""))</f>
        <v/>
      </c>
      <c r="M290" s="44" t="str">
        <f>IF($B290="","",SUMIFS(Kho_SP!$H$5:$H$304,Kho_SP!$A$5:$A$304,$B290))</f>
        <v/>
      </c>
      <c r="N290" s="44" t="str">
        <f t="shared" si="22"/>
        <v/>
      </c>
      <c r="O290" s="45" t="str">
        <f t="shared" si="23"/>
        <v/>
      </c>
      <c r="P290" s="44" t="str">
        <f>IF($B290="","",SUMIFS(TK_Xuat!$E$5:$E$1004,TK_Xuat!$D$5:$D$1004,$B290,TK_Xuat!$H$5:$H$1004,1))</f>
        <v/>
      </c>
      <c r="Q290" s="44" t="str">
        <f t="shared" si="24"/>
        <v/>
      </c>
    </row>
    <row r="291" spans="1:17" x14ac:dyDescent="0.25">
      <c r="A291" s="36" t="str">
        <f t="shared" si="20"/>
        <v/>
      </c>
      <c r="B291" s="35" t="str">
        <f>IF(DM_SP!A285="","",DM_SP!A285)</f>
        <v/>
      </c>
      <c r="C291" s="35" t="str">
        <f>IF(B291="","",DM_SP!B285)</f>
        <v/>
      </c>
      <c r="D291" s="35" t="str">
        <f>IF(B291="","",DM_SP!C285)</f>
        <v/>
      </c>
      <c r="E291" s="39" t="str">
        <f>IF($B291="","",SUMIFS(Kho_SP!$B$5:$B$304,Kho_SP!$A$5:$A$304,$B291))</f>
        <v/>
      </c>
      <c r="F291" s="39" t="str">
        <f>IF($B291="","",SUMIFS(Kho_SP!$C$5:$C$304,Kho_SP!$A$5:$A$304,$B291))</f>
        <v/>
      </c>
      <c r="G291" s="39" t="str">
        <f>IF($B291="","",SUMIFS(Kho_SP!$D$5:$D$304,Kho_SP!$A$5:$A$304,$B291))</f>
        <v/>
      </c>
      <c r="H291" s="39" t="str">
        <f>IF($B291="","",SUMIFS(Kho_SP!$E$5:$E$304,Kho_SP!$A$5:$A$304,$B291))</f>
        <v/>
      </c>
      <c r="I291" s="39" t="str">
        <f>IF($B291="","",SUMIFS(Kho_SP!$F$5:$F$304,Kho_SP!$A$5:$A$304,$B291))</f>
        <v/>
      </c>
      <c r="J291" s="39" t="str">
        <f>IF($B291="","",SUMIFS(Kho_SP!$G$5:$G$304,Kho_SP!$A$5:$A$304,$B291))</f>
        <v/>
      </c>
      <c r="K291" s="39" t="str">
        <f t="shared" si="21"/>
        <v/>
      </c>
      <c r="L291" s="31" t="str">
        <f>IF($B291="","",IFERROR(INDEX(Kho_SP!$I$5:$I$304,MATCH(B291,Kho_SP!$A$5:$A$304,0))&amp;"",""))</f>
        <v/>
      </c>
      <c r="M291" s="44" t="str">
        <f>IF($B291="","",SUMIFS(Kho_SP!$H$5:$H$304,Kho_SP!$A$5:$A$304,$B291))</f>
        <v/>
      </c>
      <c r="N291" s="44" t="str">
        <f t="shared" si="22"/>
        <v/>
      </c>
      <c r="O291" s="45" t="str">
        <f t="shared" si="23"/>
        <v/>
      </c>
      <c r="P291" s="44" t="str">
        <f>IF($B291="","",SUMIFS(TK_Xuat!$E$5:$E$1004,TK_Xuat!$D$5:$D$1004,$B291,TK_Xuat!$H$5:$H$1004,1))</f>
        <v/>
      </c>
      <c r="Q291" s="44" t="str">
        <f t="shared" si="24"/>
        <v/>
      </c>
    </row>
    <row r="292" spans="1:17" x14ac:dyDescent="0.25">
      <c r="A292" s="36" t="str">
        <f t="shared" si="20"/>
        <v/>
      </c>
      <c r="B292" s="35" t="str">
        <f>IF(DM_SP!A286="","",DM_SP!A286)</f>
        <v/>
      </c>
      <c r="C292" s="35" t="str">
        <f>IF(B292="","",DM_SP!B286)</f>
        <v/>
      </c>
      <c r="D292" s="35" t="str">
        <f>IF(B292="","",DM_SP!C286)</f>
        <v/>
      </c>
      <c r="E292" s="39" t="str">
        <f>IF($B292="","",SUMIFS(Kho_SP!$B$5:$B$304,Kho_SP!$A$5:$A$304,$B292))</f>
        <v/>
      </c>
      <c r="F292" s="39" t="str">
        <f>IF($B292="","",SUMIFS(Kho_SP!$C$5:$C$304,Kho_SP!$A$5:$A$304,$B292))</f>
        <v/>
      </c>
      <c r="G292" s="39" t="str">
        <f>IF($B292="","",SUMIFS(Kho_SP!$D$5:$D$304,Kho_SP!$A$5:$A$304,$B292))</f>
        <v/>
      </c>
      <c r="H292" s="39" t="str">
        <f>IF($B292="","",SUMIFS(Kho_SP!$E$5:$E$304,Kho_SP!$A$5:$A$304,$B292))</f>
        <v/>
      </c>
      <c r="I292" s="39" t="str">
        <f>IF($B292="","",SUMIFS(Kho_SP!$F$5:$F$304,Kho_SP!$A$5:$A$304,$B292))</f>
        <v/>
      </c>
      <c r="J292" s="39" t="str">
        <f>IF($B292="","",SUMIFS(Kho_SP!$G$5:$G$304,Kho_SP!$A$5:$A$304,$B292))</f>
        <v/>
      </c>
      <c r="K292" s="39" t="str">
        <f t="shared" si="21"/>
        <v/>
      </c>
      <c r="L292" s="31" t="str">
        <f>IF($B292="","",IFERROR(INDEX(Kho_SP!$I$5:$I$304,MATCH(B292,Kho_SP!$A$5:$A$304,0))&amp;"",""))</f>
        <v/>
      </c>
      <c r="M292" s="44" t="str">
        <f>IF($B292="","",SUMIFS(Kho_SP!$H$5:$H$304,Kho_SP!$A$5:$A$304,$B292))</f>
        <v/>
      </c>
      <c r="N292" s="44" t="str">
        <f t="shared" si="22"/>
        <v/>
      </c>
      <c r="O292" s="45" t="str">
        <f t="shared" si="23"/>
        <v/>
      </c>
      <c r="P292" s="44" t="str">
        <f>IF($B292="","",SUMIFS(TK_Xuat!$E$5:$E$1004,TK_Xuat!$D$5:$D$1004,$B292,TK_Xuat!$H$5:$H$1004,1))</f>
        <v/>
      </c>
      <c r="Q292" s="44" t="str">
        <f t="shared" si="24"/>
        <v/>
      </c>
    </row>
    <row r="293" spans="1:17" x14ac:dyDescent="0.25">
      <c r="A293" s="36" t="str">
        <f t="shared" si="20"/>
        <v/>
      </c>
      <c r="B293" s="35" t="str">
        <f>IF(DM_SP!A287="","",DM_SP!A287)</f>
        <v/>
      </c>
      <c r="C293" s="35" t="str">
        <f>IF(B293="","",DM_SP!B287)</f>
        <v/>
      </c>
      <c r="D293" s="35" t="str">
        <f>IF(B293="","",DM_SP!C287)</f>
        <v/>
      </c>
      <c r="E293" s="39" t="str">
        <f>IF($B293="","",SUMIFS(Kho_SP!$B$5:$B$304,Kho_SP!$A$5:$A$304,$B293))</f>
        <v/>
      </c>
      <c r="F293" s="39" t="str">
        <f>IF($B293="","",SUMIFS(Kho_SP!$C$5:$C$304,Kho_SP!$A$5:$A$304,$B293))</f>
        <v/>
      </c>
      <c r="G293" s="39" t="str">
        <f>IF($B293="","",SUMIFS(Kho_SP!$D$5:$D$304,Kho_SP!$A$5:$A$304,$B293))</f>
        <v/>
      </c>
      <c r="H293" s="39" t="str">
        <f>IF($B293="","",SUMIFS(Kho_SP!$E$5:$E$304,Kho_SP!$A$5:$A$304,$B293))</f>
        <v/>
      </c>
      <c r="I293" s="39" t="str">
        <f>IF($B293="","",SUMIFS(Kho_SP!$F$5:$F$304,Kho_SP!$A$5:$A$304,$B293))</f>
        <v/>
      </c>
      <c r="J293" s="39" t="str">
        <f>IF($B293="","",SUMIFS(Kho_SP!$G$5:$G$304,Kho_SP!$A$5:$A$304,$B293))</f>
        <v/>
      </c>
      <c r="K293" s="39" t="str">
        <f t="shared" si="21"/>
        <v/>
      </c>
      <c r="L293" s="31" t="str">
        <f>IF($B293="","",IFERROR(INDEX(Kho_SP!$I$5:$I$304,MATCH(B293,Kho_SP!$A$5:$A$304,0))&amp;"",""))</f>
        <v/>
      </c>
      <c r="M293" s="44" t="str">
        <f>IF($B293="","",SUMIFS(Kho_SP!$H$5:$H$304,Kho_SP!$A$5:$A$304,$B293))</f>
        <v/>
      </c>
      <c r="N293" s="44" t="str">
        <f t="shared" si="22"/>
        <v/>
      </c>
      <c r="O293" s="45" t="str">
        <f t="shared" si="23"/>
        <v/>
      </c>
      <c r="P293" s="44" t="str">
        <f>IF($B293="","",SUMIFS(TK_Xuat!$E$5:$E$1004,TK_Xuat!$D$5:$D$1004,$B293,TK_Xuat!$H$5:$H$1004,1))</f>
        <v/>
      </c>
      <c r="Q293" s="44" t="str">
        <f t="shared" si="24"/>
        <v/>
      </c>
    </row>
    <row r="294" spans="1:17" x14ac:dyDescent="0.25">
      <c r="A294" s="36" t="str">
        <f t="shared" si="20"/>
        <v/>
      </c>
      <c r="B294" s="35" t="str">
        <f>IF(DM_SP!A288="","",DM_SP!A288)</f>
        <v/>
      </c>
      <c r="C294" s="35" t="str">
        <f>IF(B294="","",DM_SP!B288)</f>
        <v/>
      </c>
      <c r="D294" s="35" t="str">
        <f>IF(B294="","",DM_SP!C288)</f>
        <v/>
      </c>
      <c r="E294" s="39" t="str">
        <f>IF($B294="","",SUMIFS(Kho_SP!$B$5:$B$304,Kho_SP!$A$5:$A$304,$B294))</f>
        <v/>
      </c>
      <c r="F294" s="39" t="str">
        <f>IF($B294="","",SUMIFS(Kho_SP!$C$5:$C$304,Kho_SP!$A$5:$A$304,$B294))</f>
        <v/>
      </c>
      <c r="G294" s="39" t="str">
        <f>IF($B294="","",SUMIFS(Kho_SP!$D$5:$D$304,Kho_SP!$A$5:$A$304,$B294))</f>
        <v/>
      </c>
      <c r="H294" s="39" t="str">
        <f>IF($B294="","",SUMIFS(Kho_SP!$E$5:$E$304,Kho_SP!$A$5:$A$304,$B294))</f>
        <v/>
      </c>
      <c r="I294" s="39" t="str">
        <f>IF($B294="","",SUMIFS(Kho_SP!$F$5:$F$304,Kho_SP!$A$5:$A$304,$B294))</f>
        <v/>
      </c>
      <c r="J294" s="39" t="str">
        <f>IF($B294="","",SUMIFS(Kho_SP!$G$5:$G$304,Kho_SP!$A$5:$A$304,$B294))</f>
        <v/>
      </c>
      <c r="K294" s="39" t="str">
        <f t="shared" si="21"/>
        <v/>
      </c>
      <c r="L294" s="31" t="str">
        <f>IF($B294="","",IFERROR(INDEX(Kho_SP!$I$5:$I$304,MATCH(B294,Kho_SP!$A$5:$A$304,0))&amp;"",""))</f>
        <v/>
      </c>
      <c r="M294" s="44" t="str">
        <f>IF($B294="","",SUMIFS(Kho_SP!$H$5:$H$304,Kho_SP!$A$5:$A$304,$B294))</f>
        <v/>
      </c>
      <c r="N294" s="44" t="str">
        <f t="shared" si="22"/>
        <v/>
      </c>
      <c r="O294" s="45" t="str">
        <f t="shared" si="23"/>
        <v/>
      </c>
      <c r="P294" s="44" t="str">
        <f>IF($B294="","",SUMIFS(TK_Xuat!$E$5:$E$1004,TK_Xuat!$D$5:$D$1004,$B294,TK_Xuat!$H$5:$H$1004,1))</f>
        <v/>
      </c>
      <c r="Q294" s="44" t="str">
        <f t="shared" si="24"/>
        <v/>
      </c>
    </row>
    <row r="295" spans="1:17" x14ac:dyDescent="0.25">
      <c r="A295" s="36" t="str">
        <f t="shared" si="20"/>
        <v/>
      </c>
      <c r="B295" s="35" t="str">
        <f>IF(DM_SP!A289="","",DM_SP!A289)</f>
        <v/>
      </c>
      <c r="C295" s="35" t="str">
        <f>IF(B295="","",DM_SP!B289)</f>
        <v/>
      </c>
      <c r="D295" s="35" t="str">
        <f>IF(B295="","",DM_SP!C289)</f>
        <v/>
      </c>
      <c r="E295" s="39" t="str">
        <f>IF($B295="","",SUMIFS(Kho_SP!$B$5:$B$304,Kho_SP!$A$5:$A$304,$B295))</f>
        <v/>
      </c>
      <c r="F295" s="39" t="str">
        <f>IF($B295="","",SUMIFS(Kho_SP!$C$5:$C$304,Kho_SP!$A$5:$A$304,$B295))</f>
        <v/>
      </c>
      <c r="G295" s="39" t="str">
        <f>IF($B295="","",SUMIFS(Kho_SP!$D$5:$D$304,Kho_SP!$A$5:$A$304,$B295))</f>
        <v/>
      </c>
      <c r="H295" s="39" t="str">
        <f>IF($B295="","",SUMIFS(Kho_SP!$E$5:$E$304,Kho_SP!$A$5:$A$304,$B295))</f>
        <v/>
      </c>
      <c r="I295" s="39" t="str">
        <f>IF($B295="","",SUMIFS(Kho_SP!$F$5:$F$304,Kho_SP!$A$5:$A$304,$B295))</f>
        <v/>
      </c>
      <c r="J295" s="39" t="str">
        <f>IF($B295="","",SUMIFS(Kho_SP!$G$5:$G$304,Kho_SP!$A$5:$A$304,$B295))</f>
        <v/>
      </c>
      <c r="K295" s="39" t="str">
        <f t="shared" si="21"/>
        <v/>
      </c>
      <c r="L295" s="31" t="str">
        <f>IF($B295="","",IFERROR(INDEX(Kho_SP!$I$5:$I$304,MATCH(B295,Kho_SP!$A$5:$A$304,0))&amp;"",""))</f>
        <v/>
      </c>
      <c r="M295" s="44" t="str">
        <f>IF($B295="","",SUMIFS(Kho_SP!$H$5:$H$304,Kho_SP!$A$5:$A$304,$B295))</f>
        <v/>
      </c>
      <c r="N295" s="44" t="str">
        <f t="shared" si="22"/>
        <v/>
      </c>
      <c r="O295" s="45" t="str">
        <f t="shared" si="23"/>
        <v/>
      </c>
      <c r="P295" s="44" t="str">
        <f>IF($B295="","",SUMIFS(TK_Xuat!$E$5:$E$1004,TK_Xuat!$D$5:$D$1004,$B295,TK_Xuat!$H$5:$H$1004,1))</f>
        <v/>
      </c>
      <c r="Q295" s="44" t="str">
        <f t="shared" si="24"/>
        <v/>
      </c>
    </row>
    <row r="296" spans="1:17" x14ac:dyDescent="0.25">
      <c r="A296" s="36" t="str">
        <f t="shared" si="20"/>
        <v/>
      </c>
      <c r="B296" s="35" t="str">
        <f>IF(DM_SP!A290="","",DM_SP!A290)</f>
        <v/>
      </c>
      <c r="C296" s="35" t="str">
        <f>IF(B296="","",DM_SP!B290)</f>
        <v/>
      </c>
      <c r="D296" s="35" t="str">
        <f>IF(B296="","",DM_SP!C290)</f>
        <v/>
      </c>
      <c r="E296" s="39" t="str">
        <f>IF($B296="","",SUMIFS(Kho_SP!$B$5:$B$304,Kho_SP!$A$5:$A$304,$B296))</f>
        <v/>
      </c>
      <c r="F296" s="39" t="str">
        <f>IF($B296="","",SUMIFS(Kho_SP!$C$5:$C$304,Kho_SP!$A$5:$A$304,$B296))</f>
        <v/>
      </c>
      <c r="G296" s="39" t="str">
        <f>IF($B296="","",SUMIFS(Kho_SP!$D$5:$D$304,Kho_SP!$A$5:$A$304,$B296))</f>
        <v/>
      </c>
      <c r="H296" s="39" t="str">
        <f>IF($B296="","",SUMIFS(Kho_SP!$E$5:$E$304,Kho_SP!$A$5:$A$304,$B296))</f>
        <v/>
      </c>
      <c r="I296" s="39" t="str">
        <f>IF($B296="","",SUMIFS(Kho_SP!$F$5:$F$304,Kho_SP!$A$5:$A$304,$B296))</f>
        <v/>
      </c>
      <c r="J296" s="39" t="str">
        <f>IF($B296="","",SUMIFS(Kho_SP!$G$5:$G$304,Kho_SP!$A$5:$A$304,$B296))</f>
        <v/>
      </c>
      <c r="K296" s="39" t="str">
        <f t="shared" si="21"/>
        <v/>
      </c>
      <c r="L296" s="31" t="str">
        <f>IF($B296="","",IFERROR(INDEX(Kho_SP!$I$5:$I$304,MATCH(B296,Kho_SP!$A$5:$A$304,0))&amp;"",""))</f>
        <v/>
      </c>
      <c r="M296" s="44" t="str">
        <f>IF($B296="","",SUMIFS(Kho_SP!$H$5:$H$304,Kho_SP!$A$5:$A$304,$B296))</f>
        <v/>
      </c>
      <c r="N296" s="44" t="str">
        <f t="shared" si="22"/>
        <v/>
      </c>
      <c r="O296" s="45" t="str">
        <f t="shared" si="23"/>
        <v/>
      </c>
      <c r="P296" s="44" t="str">
        <f>IF($B296="","",SUMIFS(TK_Xuat!$E$5:$E$1004,TK_Xuat!$D$5:$D$1004,$B296,TK_Xuat!$H$5:$H$1004,1))</f>
        <v/>
      </c>
      <c r="Q296" s="44" t="str">
        <f t="shared" si="24"/>
        <v/>
      </c>
    </row>
    <row r="297" spans="1:17" x14ac:dyDescent="0.25">
      <c r="A297" s="36" t="str">
        <f t="shared" si="20"/>
        <v/>
      </c>
      <c r="B297" s="35" t="str">
        <f>IF(DM_SP!A291="","",DM_SP!A291)</f>
        <v/>
      </c>
      <c r="C297" s="35" t="str">
        <f>IF(B297="","",DM_SP!B291)</f>
        <v/>
      </c>
      <c r="D297" s="35" t="str">
        <f>IF(B297="","",DM_SP!C291)</f>
        <v/>
      </c>
      <c r="E297" s="39" t="str">
        <f>IF($B297="","",SUMIFS(Kho_SP!$B$5:$B$304,Kho_SP!$A$5:$A$304,$B297))</f>
        <v/>
      </c>
      <c r="F297" s="39" t="str">
        <f>IF($B297="","",SUMIFS(Kho_SP!$C$5:$C$304,Kho_SP!$A$5:$A$304,$B297))</f>
        <v/>
      </c>
      <c r="G297" s="39" t="str">
        <f>IF($B297="","",SUMIFS(Kho_SP!$D$5:$D$304,Kho_SP!$A$5:$A$304,$B297))</f>
        <v/>
      </c>
      <c r="H297" s="39" t="str">
        <f>IF($B297="","",SUMIFS(Kho_SP!$E$5:$E$304,Kho_SP!$A$5:$A$304,$B297))</f>
        <v/>
      </c>
      <c r="I297" s="39" t="str">
        <f>IF($B297="","",SUMIFS(Kho_SP!$F$5:$F$304,Kho_SP!$A$5:$A$304,$B297))</f>
        <v/>
      </c>
      <c r="J297" s="39" t="str">
        <f>IF($B297="","",SUMIFS(Kho_SP!$G$5:$G$304,Kho_SP!$A$5:$A$304,$B297))</f>
        <v/>
      </c>
      <c r="K297" s="39" t="str">
        <f t="shared" si="21"/>
        <v/>
      </c>
      <c r="L297" s="31" t="str">
        <f>IF($B297="","",IFERROR(INDEX(Kho_SP!$I$5:$I$304,MATCH(B297,Kho_SP!$A$5:$A$304,0))&amp;"",""))</f>
        <v/>
      </c>
      <c r="M297" s="44" t="str">
        <f>IF($B297="","",SUMIFS(Kho_SP!$H$5:$H$304,Kho_SP!$A$5:$A$304,$B297))</f>
        <v/>
      </c>
      <c r="N297" s="44" t="str">
        <f t="shared" si="22"/>
        <v/>
      </c>
      <c r="O297" s="45" t="str">
        <f t="shared" si="23"/>
        <v/>
      </c>
      <c r="P297" s="44" t="str">
        <f>IF($B297="","",SUMIFS(TK_Xuat!$E$5:$E$1004,TK_Xuat!$D$5:$D$1004,$B297,TK_Xuat!$H$5:$H$1004,1))</f>
        <v/>
      </c>
      <c r="Q297" s="44" t="str">
        <f t="shared" si="24"/>
        <v/>
      </c>
    </row>
    <row r="298" spans="1:17" x14ac:dyDescent="0.25">
      <c r="A298" s="36" t="str">
        <f t="shared" si="20"/>
        <v/>
      </c>
      <c r="B298" s="35" t="str">
        <f>IF(DM_SP!A292="","",DM_SP!A292)</f>
        <v/>
      </c>
      <c r="C298" s="35" t="str">
        <f>IF(B298="","",DM_SP!B292)</f>
        <v/>
      </c>
      <c r="D298" s="35" t="str">
        <f>IF(B298="","",DM_SP!C292)</f>
        <v/>
      </c>
      <c r="E298" s="39" t="str">
        <f>IF($B298="","",SUMIFS(Kho_SP!$B$5:$B$304,Kho_SP!$A$5:$A$304,$B298))</f>
        <v/>
      </c>
      <c r="F298" s="39" t="str">
        <f>IF($B298="","",SUMIFS(Kho_SP!$C$5:$C$304,Kho_SP!$A$5:$A$304,$B298))</f>
        <v/>
      </c>
      <c r="G298" s="39" t="str">
        <f>IF($B298="","",SUMIFS(Kho_SP!$D$5:$D$304,Kho_SP!$A$5:$A$304,$B298))</f>
        <v/>
      </c>
      <c r="H298" s="39" t="str">
        <f>IF($B298="","",SUMIFS(Kho_SP!$E$5:$E$304,Kho_SP!$A$5:$A$304,$B298))</f>
        <v/>
      </c>
      <c r="I298" s="39" t="str">
        <f>IF($B298="","",SUMIFS(Kho_SP!$F$5:$F$304,Kho_SP!$A$5:$A$304,$B298))</f>
        <v/>
      </c>
      <c r="J298" s="39" t="str">
        <f>IF($B298="","",SUMIFS(Kho_SP!$G$5:$G$304,Kho_SP!$A$5:$A$304,$B298))</f>
        <v/>
      </c>
      <c r="K298" s="39" t="str">
        <f t="shared" si="21"/>
        <v/>
      </c>
      <c r="L298" s="31" t="str">
        <f>IF($B298="","",IFERROR(INDEX(Kho_SP!$I$5:$I$304,MATCH(B298,Kho_SP!$A$5:$A$304,0))&amp;"",""))</f>
        <v/>
      </c>
      <c r="M298" s="44" t="str">
        <f>IF($B298="","",SUMIFS(Kho_SP!$H$5:$H$304,Kho_SP!$A$5:$A$304,$B298))</f>
        <v/>
      </c>
      <c r="N298" s="44" t="str">
        <f t="shared" si="22"/>
        <v/>
      </c>
      <c r="O298" s="45" t="str">
        <f t="shared" si="23"/>
        <v/>
      </c>
      <c r="P298" s="44" t="str">
        <f>IF($B298="","",SUMIFS(TK_Xuat!$E$5:$E$1004,TK_Xuat!$D$5:$D$1004,$B298,TK_Xuat!$H$5:$H$1004,1))</f>
        <v/>
      </c>
      <c r="Q298" s="44" t="str">
        <f t="shared" si="24"/>
        <v/>
      </c>
    </row>
    <row r="299" spans="1:17" x14ac:dyDescent="0.25">
      <c r="A299" s="36" t="str">
        <f t="shared" si="20"/>
        <v/>
      </c>
      <c r="B299" s="35" t="str">
        <f>IF(DM_SP!A293="","",DM_SP!A293)</f>
        <v/>
      </c>
      <c r="C299" s="35" t="str">
        <f>IF(B299="","",DM_SP!B293)</f>
        <v/>
      </c>
      <c r="D299" s="35" t="str">
        <f>IF(B299="","",DM_SP!C293)</f>
        <v/>
      </c>
      <c r="E299" s="39" t="str">
        <f>IF($B299="","",SUMIFS(Kho_SP!$B$5:$B$304,Kho_SP!$A$5:$A$304,$B299))</f>
        <v/>
      </c>
      <c r="F299" s="39" t="str">
        <f>IF($B299="","",SUMIFS(Kho_SP!$C$5:$C$304,Kho_SP!$A$5:$A$304,$B299))</f>
        <v/>
      </c>
      <c r="G299" s="39" t="str">
        <f>IF($B299="","",SUMIFS(Kho_SP!$D$5:$D$304,Kho_SP!$A$5:$A$304,$B299))</f>
        <v/>
      </c>
      <c r="H299" s="39" t="str">
        <f>IF($B299="","",SUMIFS(Kho_SP!$E$5:$E$304,Kho_SP!$A$5:$A$304,$B299))</f>
        <v/>
      </c>
      <c r="I299" s="39" t="str">
        <f>IF($B299="","",SUMIFS(Kho_SP!$F$5:$F$304,Kho_SP!$A$5:$A$304,$B299))</f>
        <v/>
      </c>
      <c r="J299" s="39" t="str">
        <f>IF($B299="","",SUMIFS(Kho_SP!$G$5:$G$304,Kho_SP!$A$5:$A$304,$B299))</f>
        <v/>
      </c>
      <c r="K299" s="39" t="str">
        <f t="shared" si="21"/>
        <v/>
      </c>
      <c r="L299" s="31" t="str">
        <f>IF($B299="","",IFERROR(INDEX(Kho_SP!$I$5:$I$304,MATCH(B299,Kho_SP!$A$5:$A$304,0))&amp;"",""))</f>
        <v/>
      </c>
      <c r="M299" s="44" t="str">
        <f>IF($B299="","",SUMIFS(Kho_SP!$H$5:$H$304,Kho_SP!$A$5:$A$304,$B299))</f>
        <v/>
      </c>
      <c r="N299" s="44" t="str">
        <f t="shared" si="22"/>
        <v/>
      </c>
      <c r="O299" s="45" t="str">
        <f t="shared" si="23"/>
        <v/>
      </c>
      <c r="P299" s="44" t="str">
        <f>IF($B299="","",SUMIFS(TK_Xuat!$E$5:$E$1004,TK_Xuat!$D$5:$D$1004,$B299,TK_Xuat!$H$5:$H$1004,1))</f>
        <v/>
      </c>
      <c r="Q299" s="44" t="str">
        <f t="shared" si="24"/>
        <v/>
      </c>
    </row>
    <row r="300" spans="1:17" x14ac:dyDescent="0.25">
      <c r="A300" s="36" t="str">
        <f t="shared" si="20"/>
        <v/>
      </c>
      <c r="B300" s="35" t="str">
        <f>IF(DM_SP!A294="","",DM_SP!A294)</f>
        <v/>
      </c>
      <c r="C300" s="35" t="str">
        <f>IF(B300="","",DM_SP!B294)</f>
        <v/>
      </c>
      <c r="D300" s="35" t="str">
        <f>IF(B300="","",DM_SP!C294)</f>
        <v/>
      </c>
      <c r="E300" s="39" t="str">
        <f>IF($B300="","",SUMIFS(Kho_SP!$B$5:$B$304,Kho_SP!$A$5:$A$304,$B300))</f>
        <v/>
      </c>
      <c r="F300" s="39" t="str">
        <f>IF($B300="","",SUMIFS(Kho_SP!$C$5:$C$304,Kho_SP!$A$5:$A$304,$B300))</f>
        <v/>
      </c>
      <c r="G300" s="39" t="str">
        <f>IF($B300="","",SUMIFS(Kho_SP!$D$5:$D$304,Kho_SP!$A$5:$A$304,$B300))</f>
        <v/>
      </c>
      <c r="H300" s="39" t="str">
        <f>IF($B300="","",SUMIFS(Kho_SP!$E$5:$E$304,Kho_SP!$A$5:$A$304,$B300))</f>
        <v/>
      </c>
      <c r="I300" s="39" t="str">
        <f>IF($B300="","",SUMIFS(Kho_SP!$F$5:$F$304,Kho_SP!$A$5:$A$304,$B300))</f>
        <v/>
      </c>
      <c r="J300" s="39" t="str">
        <f>IF($B300="","",SUMIFS(Kho_SP!$G$5:$G$304,Kho_SP!$A$5:$A$304,$B300))</f>
        <v/>
      </c>
      <c r="K300" s="39" t="str">
        <f t="shared" si="21"/>
        <v/>
      </c>
      <c r="L300" s="31" t="str">
        <f>IF($B300="","",IFERROR(INDEX(Kho_SP!$I$5:$I$304,MATCH(B300,Kho_SP!$A$5:$A$304,0))&amp;"",""))</f>
        <v/>
      </c>
      <c r="M300" s="44" t="str">
        <f>IF($B300="","",SUMIFS(Kho_SP!$H$5:$H$304,Kho_SP!$A$5:$A$304,$B300))</f>
        <v/>
      </c>
      <c r="N300" s="44" t="str">
        <f t="shared" si="22"/>
        <v/>
      </c>
      <c r="O300" s="45" t="str">
        <f t="shared" si="23"/>
        <v/>
      </c>
      <c r="P300" s="44" t="str">
        <f>IF($B300="","",SUMIFS(TK_Xuat!$E$5:$E$1004,TK_Xuat!$D$5:$D$1004,$B300,TK_Xuat!$H$5:$H$1004,1))</f>
        <v/>
      </c>
      <c r="Q300" s="44" t="str">
        <f t="shared" si="24"/>
        <v/>
      </c>
    </row>
    <row r="301" spans="1:17" x14ac:dyDescent="0.25">
      <c r="A301" s="36" t="str">
        <f t="shared" si="20"/>
        <v/>
      </c>
      <c r="B301" s="35" t="str">
        <f>IF(DM_SP!A295="","",DM_SP!A295)</f>
        <v/>
      </c>
      <c r="C301" s="35" t="str">
        <f>IF(B301="","",DM_SP!B295)</f>
        <v/>
      </c>
      <c r="D301" s="35" t="str">
        <f>IF(B301="","",DM_SP!C295)</f>
        <v/>
      </c>
      <c r="E301" s="39" t="str">
        <f>IF($B301="","",SUMIFS(Kho_SP!$B$5:$B$304,Kho_SP!$A$5:$A$304,$B301))</f>
        <v/>
      </c>
      <c r="F301" s="39" t="str">
        <f>IF($B301="","",SUMIFS(Kho_SP!$C$5:$C$304,Kho_SP!$A$5:$A$304,$B301))</f>
        <v/>
      </c>
      <c r="G301" s="39" t="str">
        <f>IF($B301="","",SUMIFS(Kho_SP!$D$5:$D$304,Kho_SP!$A$5:$A$304,$B301))</f>
        <v/>
      </c>
      <c r="H301" s="39" t="str">
        <f>IF($B301="","",SUMIFS(Kho_SP!$E$5:$E$304,Kho_SP!$A$5:$A$304,$B301))</f>
        <v/>
      </c>
      <c r="I301" s="39" t="str">
        <f>IF($B301="","",SUMIFS(Kho_SP!$F$5:$F$304,Kho_SP!$A$5:$A$304,$B301))</f>
        <v/>
      </c>
      <c r="J301" s="39" t="str">
        <f>IF($B301="","",SUMIFS(Kho_SP!$G$5:$G$304,Kho_SP!$A$5:$A$304,$B301))</f>
        <v/>
      </c>
      <c r="K301" s="39" t="str">
        <f t="shared" si="21"/>
        <v/>
      </c>
      <c r="L301" s="31" t="str">
        <f>IF($B301="","",IFERROR(INDEX(Kho_SP!$I$5:$I$304,MATCH(B301,Kho_SP!$A$5:$A$304,0))&amp;"",""))</f>
        <v/>
      </c>
      <c r="M301" s="44" t="str">
        <f>IF($B301="","",SUMIFS(Kho_SP!$H$5:$H$304,Kho_SP!$A$5:$A$304,$B301))</f>
        <v/>
      </c>
      <c r="N301" s="44" t="str">
        <f t="shared" si="22"/>
        <v/>
      </c>
      <c r="O301" s="45" t="str">
        <f t="shared" si="23"/>
        <v/>
      </c>
      <c r="P301" s="44" t="str">
        <f>IF($B301="","",SUMIFS(TK_Xuat!$E$5:$E$1004,TK_Xuat!$D$5:$D$1004,$B301,TK_Xuat!$H$5:$H$1004,1))</f>
        <v/>
      </c>
      <c r="Q301" s="44" t="str">
        <f t="shared" si="24"/>
        <v/>
      </c>
    </row>
    <row r="302" spans="1:17" x14ac:dyDescent="0.25">
      <c r="A302" s="36" t="str">
        <f t="shared" si="20"/>
        <v/>
      </c>
      <c r="B302" s="35" t="str">
        <f>IF(DM_SP!A296="","",DM_SP!A296)</f>
        <v/>
      </c>
      <c r="C302" s="35" t="str">
        <f>IF(B302="","",DM_SP!B296)</f>
        <v/>
      </c>
      <c r="D302" s="35" t="str">
        <f>IF(B302="","",DM_SP!C296)</f>
        <v/>
      </c>
      <c r="E302" s="39" t="str">
        <f>IF($B302="","",SUMIFS(Kho_SP!$B$5:$B$304,Kho_SP!$A$5:$A$304,$B302))</f>
        <v/>
      </c>
      <c r="F302" s="39" t="str">
        <f>IF($B302="","",SUMIFS(Kho_SP!$C$5:$C$304,Kho_SP!$A$5:$A$304,$B302))</f>
        <v/>
      </c>
      <c r="G302" s="39" t="str">
        <f>IF($B302="","",SUMIFS(Kho_SP!$D$5:$D$304,Kho_SP!$A$5:$A$304,$B302))</f>
        <v/>
      </c>
      <c r="H302" s="39" t="str">
        <f>IF($B302="","",SUMIFS(Kho_SP!$E$5:$E$304,Kho_SP!$A$5:$A$304,$B302))</f>
        <v/>
      </c>
      <c r="I302" s="39" t="str">
        <f>IF($B302="","",SUMIFS(Kho_SP!$F$5:$F$304,Kho_SP!$A$5:$A$304,$B302))</f>
        <v/>
      </c>
      <c r="J302" s="39" t="str">
        <f>IF($B302="","",SUMIFS(Kho_SP!$G$5:$G$304,Kho_SP!$A$5:$A$304,$B302))</f>
        <v/>
      </c>
      <c r="K302" s="39" t="str">
        <f t="shared" si="21"/>
        <v/>
      </c>
      <c r="L302" s="31" t="str">
        <f>IF($B302="","",IFERROR(INDEX(Kho_SP!$I$5:$I$304,MATCH(B302,Kho_SP!$A$5:$A$304,0))&amp;"",""))</f>
        <v/>
      </c>
      <c r="M302" s="44" t="str">
        <f>IF($B302="","",SUMIFS(Kho_SP!$H$5:$H$304,Kho_SP!$A$5:$A$304,$B302))</f>
        <v/>
      </c>
      <c r="N302" s="44" t="str">
        <f t="shared" si="22"/>
        <v/>
      </c>
      <c r="O302" s="45" t="str">
        <f t="shared" si="23"/>
        <v/>
      </c>
      <c r="P302" s="44" t="str">
        <f>IF($B302="","",SUMIFS(TK_Xuat!$E$5:$E$1004,TK_Xuat!$D$5:$D$1004,$B302,TK_Xuat!$H$5:$H$1004,1))</f>
        <v/>
      </c>
      <c r="Q302" s="44" t="str">
        <f t="shared" si="24"/>
        <v/>
      </c>
    </row>
    <row r="303" spans="1:17" x14ac:dyDescent="0.25">
      <c r="A303" s="36" t="str">
        <f t="shared" si="20"/>
        <v/>
      </c>
      <c r="B303" s="35" t="str">
        <f>IF(DM_SP!A297="","",DM_SP!A297)</f>
        <v/>
      </c>
      <c r="C303" s="35" t="str">
        <f>IF(B303="","",DM_SP!B297)</f>
        <v/>
      </c>
      <c r="D303" s="35" t="str">
        <f>IF(B303="","",DM_SP!C297)</f>
        <v/>
      </c>
      <c r="E303" s="39" t="str">
        <f>IF($B303="","",SUMIFS(Kho_SP!$B$5:$B$304,Kho_SP!$A$5:$A$304,$B303))</f>
        <v/>
      </c>
      <c r="F303" s="39" t="str">
        <f>IF($B303="","",SUMIFS(Kho_SP!$C$5:$C$304,Kho_SP!$A$5:$A$304,$B303))</f>
        <v/>
      </c>
      <c r="G303" s="39" t="str">
        <f>IF($B303="","",SUMIFS(Kho_SP!$D$5:$D$304,Kho_SP!$A$5:$A$304,$B303))</f>
        <v/>
      </c>
      <c r="H303" s="39" t="str">
        <f>IF($B303="","",SUMIFS(Kho_SP!$E$5:$E$304,Kho_SP!$A$5:$A$304,$B303))</f>
        <v/>
      </c>
      <c r="I303" s="39" t="str">
        <f>IF($B303="","",SUMIFS(Kho_SP!$F$5:$F$304,Kho_SP!$A$5:$A$304,$B303))</f>
        <v/>
      </c>
      <c r="J303" s="39" t="str">
        <f>IF($B303="","",SUMIFS(Kho_SP!$G$5:$G$304,Kho_SP!$A$5:$A$304,$B303))</f>
        <v/>
      </c>
      <c r="K303" s="39" t="str">
        <f t="shared" si="21"/>
        <v/>
      </c>
      <c r="L303" s="31" t="str">
        <f>IF($B303="","",IFERROR(INDEX(Kho_SP!$I$5:$I$304,MATCH(B303,Kho_SP!$A$5:$A$304,0))&amp;"",""))</f>
        <v/>
      </c>
      <c r="M303" s="44" t="str">
        <f>IF($B303="","",SUMIFS(Kho_SP!$H$5:$H$304,Kho_SP!$A$5:$A$304,$B303))</f>
        <v/>
      </c>
      <c r="N303" s="44" t="str">
        <f t="shared" si="22"/>
        <v/>
      </c>
      <c r="O303" s="45" t="str">
        <f t="shared" si="23"/>
        <v/>
      </c>
      <c r="P303" s="44" t="str">
        <f>IF($B303="","",SUMIFS(TK_Xuat!$E$5:$E$1004,TK_Xuat!$D$5:$D$1004,$B303,TK_Xuat!$H$5:$H$1004,1))</f>
        <v/>
      </c>
      <c r="Q303" s="44" t="str">
        <f t="shared" si="24"/>
        <v/>
      </c>
    </row>
    <row r="304" spans="1:17" x14ac:dyDescent="0.25">
      <c r="A304" s="36" t="str">
        <f t="shared" si="20"/>
        <v/>
      </c>
      <c r="B304" s="35" t="str">
        <f>IF(DM_SP!A298="","",DM_SP!A298)</f>
        <v/>
      </c>
      <c r="C304" s="35" t="str">
        <f>IF(B304="","",DM_SP!B298)</f>
        <v/>
      </c>
      <c r="D304" s="35" t="str">
        <f>IF(B304="","",DM_SP!C298)</f>
        <v/>
      </c>
      <c r="E304" s="39" t="str">
        <f>IF($B304="","",SUMIFS(Kho_SP!$B$5:$B$304,Kho_SP!$A$5:$A$304,$B304))</f>
        <v/>
      </c>
      <c r="F304" s="39" t="str">
        <f>IF($B304="","",SUMIFS(Kho_SP!$C$5:$C$304,Kho_SP!$A$5:$A$304,$B304))</f>
        <v/>
      </c>
      <c r="G304" s="39" t="str">
        <f>IF($B304="","",SUMIFS(Kho_SP!$D$5:$D$304,Kho_SP!$A$5:$A$304,$B304))</f>
        <v/>
      </c>
      <c r="H304" s="39" t="str">
        <f>IF($B304="","",SUMIFS(Kho_SP!$E$5:$E$304,Kho_SP!$A$5:$A$304,$B304))</f>
        <v/>
      </c>
      <c r="I304" s="39" t="str">
        <f>IF($B304="","",SUMIFS(Kho_SP!$F$5:$F$304,Kho_SP!$A$5:$A$304,$B304))</f>
        <v/>
      </c>
      <c r="J304" s="39" t="str">
        <f>IF($B304="","",SUMIFS(Kho_SP!$G$5:$G$304,Kho_SP!$A$5:$A$304,$B304))</f>
        <v/>
      </c>
      <c r="K304" s="39" t="str">
        <f t="shared" si="21"/>
        <v/>
      </c>
      <c r="L304" s="31" t="str">
        <f>IF($B304="","",IFERROR(INDEX(Kho_SP!$I$5:$I$304,MATCH(B304,Kho_SP!$A$5:$A$304,0))&amp;"",""))</f>
        <v/>
      </c>
      <c r="M304" s="44" t="str">
        <f>IF($B304="","",SUMIFS(Kho_SP!$H$5:$H$304,Kho_SP!$A$5:$A$304,$B304))</f>
        <v/>
      </c>
      <c r="N304" s="44" t="str">
        <f t="shared" si="22"/>
        <v/>
      </c>
      <c r="O304" s="45" t="str">
        <f t="shared" si="23"/>
        <v/>
      </c>
      <c r="P304" s="44" t="str">
        <f>IF($B304="","",SUMIFS(TK_Xuat!$E$5:$E$1004,TK_Xuat!$D$5:$D$1004,$B304,TK_Xuat!$H$5:$H$1004,1))</f>
        <v/>
      </c>
      <c r="Q304" s="44" t="str">
        <f t="shared" si="24"/>
        <v/>
      </c>
    </row>
    <row r="305" spans="1:17" x14ac:dyDescent="0.25">
      <c r="A305" s="36" t="str">
        <f t="shared" si="20"/>
        <v/>
      </c>
      <c r="B305" s="35" t="str">
        <f>IF(DM_SP!A299="","",DM_SP!A299)</f>
        <v/>
      </c>
      <c r="C305" s="35" t="str">
        <f>IF(B305="","",DM_SP!B299)</f>
        <v/>
      </c>
      <c r="D305" s="35" t="str">
        <f>IF(B305="","",DM_SP!C299)</f>
        <v/>
      </c>
      <c r="E305" s="39" t="str">
        <f>IF($B305="","",SUMIFS(Kho_SP!$B$5:$B$304,Kho_SP!$A$5:$A$304,$B305))</f>
        <v/>
      </c>
      <c r="F305" s="39" t="str">
        <f>IF($B305="","",SUMIFS(Kho_SP!$C$5:$C$304,Kho_SP!$A$5:$A$304,$B305))</f>
        <v/>
      </c>
      <c r="G305" s="39" t="str">
        <f>IF($B305="","",SUMIFS(Kho_SP!$D$5:$D$304,Kho_SP!$A$5:$A$304,$B305))</f>
        <v/>
      </c>
      <c r="H305" s="39" t="str">
        <f>IF($B305="","",SUMIFS(Kho_SP!$E$5:$E$304,Kho_SP!$A$5:$A$304,$B305))</f>
        <v/>
      </c>
      <c r="I305" s="39" t="str">
        <f>IF($B305="","",SUMIFS(Kho_SP!$F$5:$F$304,Kho_SP!$A$5:$A$304,$B305))</f>
        <v/>
      </c>
      <c r="J305" s="39" t="str">
        <f>IF($B305="","",SUMIFS(Kho_SP!$G$5:$G$304,Kho_SP!$A$5:$A$304,$B305))</f>
        <v/>
      </c>
      <c r="K305" s="39" t="str">
        <f t="shared" si="21"/>
        <v/>
      </c>
      <c r="L305" s="31" t="str">
        <f>IF($B305="","",IFERROR(INDEX(Kho_SP!$I$5:$I$304,MATCH(B305,Kho_SP!$A$5:$A$304,0))&amp;"",""))</f>
        <v/>
      </c>
      <c r="M305" s="44" t="str">
        <f>IF($B305="","",SUMIFS(Kho_SP!$H$5:$H$304,Kho_SP!$A$5:$A$304,$B305))</f>
        <v/>
      </c>
      <c r="N305" s="44" t="str">
        <f t="shared" si="22"/>
        <v/>
      </c>
      <c r="O305" s="45" t="str">
        <f t="shared" si="23"/>
        <v/>
      </c>
      <c r="P305" s="44" t="str">
        <f>IF($B305="","",SUMIFS(TK_Xuat!$E$5:$E$1004,TK_Xuat!$D$5:$D$1004,$B305,TK_Xuat!$H$5:$H$1004,1))</f>
        <v/>
      </c>
      <c r="Q305" s="44" t="str">
        <f t="shared" si="24"/>
        <v/>
      </c>
    </row>
    <row r="306" spans="1:17" x14ac:dyDescent="0.25">
      <c r="A306" s="36" t="str">
        <f t="shared" si="20"/>
        <v/>
      </c>
      <c r="B306" s="35" t="str">
        <f>IF(DM_SP!A300="","",DM_SP!A300)</f>
        <v/>
      </c>
      <c r="C306" s="35" t="str">
        <f>IF(B306="","",DM_SP!B300)</f>
        <v/>
      </c>
      <c r="D306" s="35" t="str">
        <f>IF(B306="","",DM_SP!C300)</f>
        <v/>
      </c>
      <c r="E306" s="39" t="str">
        <f>IF($B306="","",SUMIFS(Kho_SP!$B$5:$B$304,Kho_SP!$A$5:$A$304,$B306))</f>
        <v/>
      </c>
      <c r="F306" s="39" t="str">
        <f>IF($B306="","",SUMIFS(Kho_SP!$C$5:$C$304,Kho_SP!$A$5:$A$304,$B306))</f>
        <v/>
      </c>
      <c r="G306" s="39" t="str">
        <f>IF($B306="","",SUMIFS(Kho_SP!$D$5:$D$304,Kho_SP!$A$5:$A$304,$B306))</f>
        <v/>
      </c>
      <c r="H306" s="39" t="str">
        <f>IF($B306="","",SUMIFS(Kho_SP!$E$5:$E$304,Kho_SP!$A$5:$A$304,$B306))</f>
        <v/>
      </c>
      <c r="I306" s="39" t="str">
        <f>IF($B306="","",SUMIFS(Kho_SP!$F$5:$F$304,Kho_SP!$A$5:$A$304,$B306))</f>
        <v/>
      </c>
      <c r="J306" s="39" t="str">
        <f>IF($B306="","",SUMIFS(Kho_SP!$G$5:$G$304,Kho_SP!$A$5:$A$304,$B306))</f>
        <v/>
      </c>
      <c r="K306" s="39" t="str">
        <f t="shared" si="21"/>
        <v/>
      </c>
      <c r="L306" s="31" t="str">
        <f>IF($B306="","",IFERROR(INDEX(Kho_SP!$I$5:$I$304,MATCH(B306,Kho_SP!$A$5:$A$304,0))&amp;"",""))</f>
        <v/>
      </c>
      <c r="M306" s="44" t="str">
        <f>IF($B306="","",SUMIFS(Kho_SP!$H$5:$H$304,Kho_SP!$A$5:$A$304,$B306))</f>
        <v/>
      </c>
      <c r="N306" s="44" t="str">
        <f t="shared" si="22"/>
        <v/>
      </c>
      <c r="O306" s="45" t="str">
        <f t="shared" si="23"/>
        <v/>
      </c>
      <c r="P306" s="44" t="str">
        <f>IF($B306="","",SUMIFS(TK_Xuat!$E$5:$E$1004,TK_Xuat!$D$5:$D$1004,$B306,TK_Xuat!$H$5:$H$1004,1))</f>
        <v/>
      </c>
      <c r="Q306" s="44" t="str">
        <f t="shared" si="24"/>
        <v/>
      </c>
    </row>
    <row r="307" spans="1:17" x14ac:dyDescent="0.25">
      <c r="A307" s="36" t="str">
        <f t="shared" si="20"/>
        <v/>
      </c>
      <c r="B307" s="35" t="str">
        <f>IF(DM_SP!A301="","",DM_SP!A301)</f>
        <v/>
      </c>
      <c r="C307" s="35" t="str">
        <f>IF(B307="","",DM_SP!B301)</f>
        <v/>
      </c>
      <c r="D307" s="35" t="str">
        <f>IF(B307="","",DM_SP!C301)</f>
        <v/>
      </c>
      <c r="E307" s="39" t="str">
        <f>IF($B307="","",SUMIFS(Kho_SP!$B$5:$B$304,Kho_SP!$A$5:$A$304,$B307))</f>
        <v/>
      </c>
      <c r="F307" s="39" t="str">
        <f>IF($B307="","",SUMIFS(Kho_SP!$C$5:$C$304,Kho_SP!$A$5:$A$304,$B307))</f>
        <v/>
      </c>
      <c r="G307" s="39" t="str">
        <f>IF($B307="","",SUMIFS(Kho_SP!$D$5:$D$304,Kho_SP!$A$5:$A$304,$B307))</f>
        <v/>
      </c>
      <c r="H307" s="39" t="str">
        <f>IF($B307="","",SUMIFS(Kho_SP!$E$5:$E$304,Kho_SP!$A$5:$A$304,$B307))</f>
        <v/>
      </c>
      <c r="I307" s="39" t="str">
        <f>IF($B307="","",SUMIFS(Kho_SP!$F$5:$F$304,Kho_SP!$A$5:$A$304,$B307))</f>
        <v/>
      </c>
      <c r="J307" s="39" t="str">
        <f>IF($B307="","",SUMIFS(Kho_SP!$G$5:$G$304,Kho_SP!$A$5:$A$304,$B307))</f>
        <v/>
      </c>
      <c r="K307" s="39" t="str">
        <f t="shared" si="21"/>
        <v/>
      </c>
      <c r="L307" s="31" t="str">
        <f>IF($B307="","",IFERROR(INDEX(Kho_SP!$I$5:$I$304,MATCH(B307,Kho_SP!$A$5:$A$304,0))&amp;"",""))</f>
        <v/>
      </c>
      <c r="M307" s="44" t="str">
        <f>IF($B307="","",SUMIFS(Kho_SP!$H$5:$H$304,Kho_SP!$A$5:$A$304,$B307))</f>
        <v/>
      </c>
      <c r="N307" s="44" t="str">
        <f t="shared" si="22"/>
        <v/>
      </c>
      <c r="O307" s="45" t="str">
        <f t="shared" si="23"/>
        <v/>
      </c>
      <c r="P307" s="44" t="str">
        <f>IF($B307="","",SUMIFS(TK_Xuat!$E$5:$E$1004,TK_Xuat!$D$5:$D$1004,$B307,TK_Xuat!$H$5:$H$1004,1))</f>
        <v/>
      </c>
      <c r="Q307" s="44" t="str">
        <f t="shared" si="24"/>
        <v/>
      </c>
    </row>
    <row r="308" spans="1:17" x14ac:dyDescent="0.25">
      <c r="A308" s="36" t="str">
        <f t="shared" si="20"/>
        <v/>
      </c>
      <c r="B308" s="35" t="str">
        <f>IF(DM_SP!A302="","",DM_SP!A302)</f>
        <v/>
      </c>
      <c r="C308" s="35" t="str">
        <f>IF(B308="","",DM_SP!B302)</f>
        <v/>
      </c>
      <c r="D308" s="35" t="str">
        <f>IF(B308="","",DM_SP!C302)</f>
        <v/>
      </c>
      <c r="E308" s="39" t="str">
        <f>IF($B308="","",SUMIFS(Kho_SP!$B$5:$B$304,Kho_SP!$A$5:$A$304,$B308))</f>
        <v/>
      </c>
      <c r="F308" s="39" t="str">
        <f>IF($B308="","",SUMIFS(Kho_SP!$C$5:$C$304,Kho_SP!$A$5:$A$304,$B308))</f>
        <v/>
      </c>
      <c r="G308" s="39" t="str">
        <f>IF($B308="","",SUMIFS(Kho_SP!$D$5:$D$304,Kho_SP!$A$5:$A$304,$B308))</f>
        <v/>
      </c>
      <c r="H308" s="39" t="str">
        <f>IF($B308="","",SUMIFS(Kho_SP!$E$5:$E$304,Kho_SP!$A$5:$A$304,$B308))</f>
        <v/>
      </c>
      <c r="I308" s="39" t="str">
        <f>IF($B308="","",SUMIFS(Kho_SP!$F$5:$F$304,Kho_SP!$A$5:$A$304,$B308))</f>
        <v/>
      </c>
      <c r="J308" s="39" t="str">
        <f>IF($B308="","",SUMIFS(Kho_SP!$G$5:$G$304,Kho_SP!$A$5:$A$304,$B308))</f>
        <v/>
      </c>
      <c r="K308" s="39" t="str">
        <f t="shared" si="21"/>
        <v/>
      </c>
      <c r="L308" s="31" t="str">
        <f>IF($B308="","",IFERROR(INDEX(Kho_SP!$I$5:$I$304,MATCH(B308,Kho_SP!$A$5:$A$304,0))&amp;"",""))</f>
        <v/>
      </c>
      <c r="M308" s="44" t="str">
        <f>IF($B308="","",SUMIFS(Kho_SP!$H$5:$H$304,Kho_SP!$A$5:$A$304,$B308))</f>
        <v/>
      </c>
      <c r="N308" s="44" t="str">
        <f t="shared" si="22"/>
        <v/>
      </c>
      <c r="O308" s="45" t="str">
        <f t="shared" si="23"/>
        <v/>
      </c>
      <c r="P308" s="44" t="str">
        <f>IF($B308="","",SUMIFS(TK_Xuat!$E$5:$E$1004,TK_Xuat!$D$5:$D$1004,$B308,TK_Xuat!$H$5:$H$1004,1))</f>
        <v/>
      </c>
      <c r="Q308" s="44" t="str">
        <f t="shared" si="24"/>
        <v/>
      </c>
    </row>
    <row r="309" spans="1:17" x14ac:dyDescent="0.25">
      <c r="A309" s="36" t="str">
        <f t="shared" si="20"/>
        <v/>
      </c>
      <c r="B309" s="35" t="str">
        <f>IF(DM_SP!A303="","",DM_SP!A303)</f>
        <v/>
      </c>
      <c r="C309" s="35" t="str">
        <f>IF(B309="","",DM_SP!B303)</f>
        <v/>
      </c>
      <c r="D309" s="35" t="str">
        <f>IF(B309="","",DM_SP!C303)</f>
        <v/>
      </c>
      <c r="E309" s="39" t="str">
        <f>IF($B309="","",SUMIFS(Kho_SP!$B$5:$B$304,Kho_SP!$A$5:$A$304,$B309))</f>
        <v/>
      </c>
      <c r="F309" s="39" t="str">
        <f>IF($B309="","",SUMIFS(Kho_SP!$C$5:$C$304,Kho_SP!$A$5:$A$304,$B309))</f>
        <v/>
      </c>
      <c r="G309" s="39" t="str">
        <f>IF($B309="","",SUMIFS(Kho_SP!$D$5:$D$304,Kho_SP!$A$5:$A$304,$B309))</f>
        <v/>
      </c>
      <c r="H309" s="39" t="str">
        <f>IF($B309="","",SUMIFS(Kho_SP!$E$5:$E$304,Kho_SP!$A$5:$A$304,$B309))</f>
        <v/>
      </c>
      <c r="I309" s="39" t="str">
        <f>IF($B309="","",SUMIFS(Kho_SP!$F$5:$F$304,Kho_SP!$A$5:$A$304,$B309))</f>
        <v/>
      </c>
      <c r="J309" s="39" t="str">
        <f>IF($B309="","",SUMIFS(Kho_SP!$G$5:$G$304,Kho_SP!$A$5:$A$304,$B309))</f>
        <v/>
      </c>
      <c r="K309" s="39" t="str">
        <f t="shared" si="21"/>
        <v/>
      </c>
      <c r="L309" s="31" t="str">
        <f>IF($B309="","",IFERROR(INDEX(Kho_SP!$I$5:$I$304,MATCH(B309,Kho_SP!$A$5:$A$304,0))&amp;"",""))</f>
        <v/>
      </c>
      <c r="M309" s="44" t="str">
        <f>IF($B309="","",SUMIFS(Kho_SP!$H$5:$H$304,Kho_SP!$A$5:$A$304,$B309))</f>
        <v/>
      </c>
      <c r="N309" s="44" t="str">
        <f t="shared" si="22"/>
        <v/>
      </c>
      <c r="O309" s="45" t="str">
        <f t="shared" si="23"/>
        <v/>
      </c>
      <c r="P309" s="44" t="str">
        <f>IF($B309="","",SUMIFS(TK_Xuat!$E$5:$E$1004,TK_Xuat!$D$5:$D$1004,$B309,TK_Xuat!$H$5:$H$1004,1))</f>
        <v/>
      </c>
      <c r="Q309" s="44" t="str">
        <f t="shared" si="24"/>
        <v/>
      </c>
    </row>
    <row r="310" spans="1:17" x14ac:dyDescent="0.25">
      <c r="A310" s="36" t="str">
        <f t="shared" si="20"/>
        <v/>
      </c>
      <c r="B310" s="35" t="str">
        <f>IF(DM_SP!A304="","",DM_SP!A304)</f>
        <v/>
      </c>
      <c r="C310" s="35" t="str">
        <f>IF(B310="","",DM_SP!B304)</f>
        <v/>
      </c>
      <c r="D310" s="35" t="str">
        <f>IF(B310="","",DM_SP!C304)</f>
        <v/>
      </c>
      <c r="E310" s="39" t="str">
        <f>IF($B310="","",SUMIFS(Kho_SP!$B$5:$B$304,Kho_SP!$A$5:$A$304,$B310))</f>
        <v/>
      </c>
      <c r="F310" s="39" t="str">
        <f>IF($B310="","",SUMIFS(Kho_SP!$C$5:$C$304,Kho_SP!$A$5:$A$304,$B310))</f>
        <v/>
      </c>
      <c r="G310" s="39" t="str">
        <f>IF($B310="","",SUMIFS(Kho_SP!$D$5:$D$304,Kho_SP!$A$5:$A$304,$B310))</f>
        <v/>
      </c>
      <c r="H310" s="39" t="str">
        <f>IF($B310="","",SUMIFS(Kho_SP!$E$5:$E$304,Kho_SP!$A$5:$A$304,$B310))</f>
        <v/>
      </c>
      <c r="I310" s="39" t="str">
        <f>IF($B310="","",SUMIFS(Kho_SP!$F$5:$F$304,Kho_SP!$A$5:$A$304,$B310))</f>
        <v/>
      </c>
      <c r="J310" s="39" t="str">
        <f>IF($B310="","",SUMIFS(Kho_SP!$G$5:$G$304,Kho_SP!$A$5:$A$304,$B310))</f>
        <v/>
      </c>
      <c r="K310" s="39" t="str">
        <f t="shared" si="21"/>
        <v/>
      </c>
      <c r="L310" s="31" t="str">
        <f>IF($B310="","",IFERROR(INDEX(Kho_SP!$I$5:$I$304,MATCH(B310,Kho_SP!$A$5:$A$304,0))&amp;"",""))</f>
        <v/>
      </c>
      <c r="M310" s="44" t="str">
        <f>IF($B310="","",SUMIFS(Kho_SP!$H$5:$H$304,Kho_SP!$A$5:$A$304,$B310))</f>
        <v/>
      </c>
      <c r="N310" s="44" t="str">
        <f t="shared" si="22"/>
        <v/>
      </c>
      <c r="O310" s="45" t="str">
        <f t="shared" si="23"/>
        <v/>
      </c>
      <c r="P310" s="44" t="str">
        <f>IF($B310="","",SUMIFS(TK_Xuat!$E$5:$E$1004,TK_Xuat!$D$5:$D$1004,$B310,TK_Xuat!$H$5:$H$1004,1))</f>
        <v/>
      </c>
      <c r="Q310" s="44" t="str">
        <f t="shared" si="24"/>
        <v/>
      </c>
    </row>
    <row r="312" spans="1:17" ht="15.05" x14ac:dyDescent="0.3">
      <c r="A312" s="16" t="s">
        <v>326</v>
      </c>
    </row>
    <row r="313" spans="1:17" ht="30.05" customHeight="1" x14ac:dyDescent="0.25">
      <c r="A313" s="58" t="s">
        <v>350</v>
      </c>
      <c r="B313" s="53"/>
      <c r="C313" s="53"/>
      <c r="D313" s="53"/>
      <c r="E313" s="53"/>
      <c r="F313" s="53"/>
      <c r="G313" s="53"/>
      <c r="H313" s="53"/>
      <c r="I313" s="53"/>
      <c r="J313" s="53"/>
      <c r="K313" s="53"/>
      <c r="L313" s="53"/>
    </row>
    <row r="314" spans="1:17" ht="30.05" customHeight="1" x14ac:dyDescent="0.25">
      <c r="A314" s="58" t="s">
        <v>328</v>
      </c>
      <c r="B314" s="53"/>
      <c r="C314" s="53"/>
      <c r="D314" s="53"/>
      <c r="E314" s="53"/>
      <c r="F314" s="53"/>
      <c r="G314" s="53"/>
      <c r="H314" s="53"/>
      <c r="I314" s="53"/>
      <c r="J314" s="53"/>
      <c r="K314" s="53"/>
      <c r="L314" s="53"/>
    </row>
    <row r="316" spans="1:17" x14ac:dyDescent="0.25">
      <c r="A316" s="52" t="s">
        <v>329</v>
      </c>
      <c r="B316" s="53"/>
      <c r="C316" s="53"/>
      <c r="D316" s="53"/>
      <c r="E316" s="53"/>
      <c r="F316" s="53"/>
      <c r="G316" s="52" t="s">
        <v>330</v>
      </c>
      <c r="H316" s="53"/>
      <c r="I316" s="53"/>
      <c r="J316" s="53"/>
      <c r="K316" s="53"/>
      <c r="L316" s="53"/>
    </row>
    <row r="317" spans="1:17" x14ac:dyDescent="0.25">
      <c r="A317" s="56" t="s">
        <v>331</v>
      </c>
      <c r="B317" s="53"/>
      <c r="C317" s="53"/>
      <c r="D317" s="53"/>
      <c r="E317" s="53"/>
      <c r="F317" s="53"/>
      <c r="G317" s="56" t="s">
        <v>332</v>
      </c>
      <c r="H317" s="53"/>
      <c r="I317" s="53"/>
      <c r="J317" s="53"/>
      <c r="K317" s="53"/>
      <c r="L317" s="53"/>
    </row>
    <row r="321" spans="1:12" x14ac:dyDescent="0.25">
      <c r="A321" s="60" t="str">
        <f>ThongTin!$C$13</f>
        <v>Nguyễn Văn A</v>
      </c>
      <c r="B321" s="53"/>
      <c r="C321" s="53"/>
      <c r="D321" s="53"/>
      <c r="E321" s="53"/>
      <c r="F321" s="53"/>
      <c r="G321" s="60" t="str">
        <f>ThongTin!$C$14</f>
        <v>Trần Văn B</v>
      </c>
      <c r="H321" s="53"/>
      <c r="I321" s="53"/>
      <c r="J321" s="53"/>
      <c r="K321" s="53"/>
      <c r="L321" s="53"/>
    </row>
  </sheetData>
  <sheetProtection password="D0B3" sheet="1" objects="1" scenarios="1" formatColumns="0" formatRows="0" autoFilter="0"/>
  <autoFilter ref="A10:L310" xr:uid="{00000000-0009-0000-0000-00000D000000}"/>
  <mergeCells count="23">
    <mergeCell ref="M8:Q8"/>
    <mergeCell ref="H3:L3"/>
    <mergeCell ref="G316:L316"/>
    <mergeCell ref="A6:L6"/>
    <mergeCell ref="A321:F321"/>
    <mergeCell ref="F8:G8"/>
    <mergeCell ref="H2:L2"/>
    <mergeCell ref="A8:A9"/>
    <mergeCell ref="C8:C9"/>
    <mergeCell ref="G321:L321"/>
    <mergeCell ref="K8:K9"/>
    <mergeCell ref="H8:J8"/>
    <mergeCell ref="D8:D9"/>
    <mergeCell ref="A314:L314"/>
    <mergeCell ref="A316:F316"/>
    <mergeCell ref="E8:E9"/>
    <mergeCell ref="G317:L317"/>
    <mergeCell ref="A317:F317"/>
    <mergeCell ref="H1:L1"/>
    <mergeCell ref="B8:B9"/>
    <mergeCell ref="L8:L9"/>
    <mergeCell ref="A313:L313"/>
    <mergeCell ref="A5:L5"/>
  </mergeCells>
  <conditionalFormatting sqref="O11:O310">
    <cfRule type="cellIs" dxfId="61" priority="1" operator="equal">
      <formula>"Pass"</formula>
    </cfRule>
    <cfRule type="cellIs" dxfId="60" priority="2" operator="equal">
      <formula>"Khớp"</formula>
    </cfRule>
    <cfRule type="cellIs" dxfId="59" priority="3" operator="equal">
      <formula>"OK"</formula>
    </cfRule>
    <cfRule type="cellIs" dxfId="58" priority="4" operator="equal">
      <formula>"Xem xét"</formula>
    </cfRule>
    <cfRule type="cellIs" dxfId="57" priority="5" operator="equal">
      <formula>"Lệch"</formula>
    </cfRule>
  </conditionalFormatting>
  <conditionalFormatting sqref="Q11:Q310">
    <cfRule type="cellIs" dxfId="56" priority="6" operator="notEqual">
      <formula>0</formula>
    </cfRule>
  </conditionalFormatting>
  <hyperlinks>
    <hyperlink ref="A4" r:id="rId1" xr:uid="{00000000-0004-0000-0D00-000000000000}"/>
  </hyperlinks>
  <pageMargins left="0.75" right="0.75" top="1" bottom="1" header="0.5" footer="0.5"/>
  <pageSetup paperSize="9" fitToHeight="0" orientation="landscape"/>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5B9BD5"/>
    <pageSetUpPr fitToPage="1"/>
  </sheetPr>
  <dimension ref="A1:I1020"/>
  <sheetViews>
    <sheetView showGridLines="0" workbookViewId="0">
      <pane xSplit="2" ySplit="10" topLeftCell="C11" activePane="bottomRight" state="frozen"/>
      <selection pane="topRight"/>
      <selection pane="bottomLeft"/>
      <selection pane="bottomRight"/>
    </sheetView>
  </sheetViews>
  <sheetFormatPr defaultRowHeight="14.4" x14ac:dyDescent="0.25"/>
  <cols>
    <col min="1" max="1" width="6" customWidth="1"/>
    <col min="2" max="2" width="16" customWidth="1"/>
    <col min="3" max="3" width="28" customWidth="1"/>
    <col min="4" max="4" width="9" customWidth="1"/>
    <col min="5" max="5" width="14" customWidth="1"/>
    <col min="6" max="6" width="30" customWidth="1"/>
    <col min="7" max="7" width="9" customWidth="1"/>
    <col min="8" max="8" width="18" customWidth="1"/>
    <col min="9" max="9" width="12" customWidth="1"/>
  </cols>
  <sheetData>
    <row r="1" spans="1:9" x14ac:dyDescent="0.25">
      <c r="A1" s="43" t="str">
        <f>"Tên tổ chức, cá nhân: "&amp;ThongTin!$C$4</f>
        <v>Tên tổ chức, cá nhân: Công ty TNHH ABC Việt Nam (dữ liệu mẫu)</v>
      </c>
      <c r="E1" s="57" t="s">
        <v>351</v>
      </c>
      <c r="F1" s="53"/>
      <c r="G1" s="53"/>
      <c r="H1" s="53"/>
      <c r="I1" s="53"/>
    </row>
    <row r="2" spans="1:9" x14ac:dyDescent="0.25">
      <c r="A2" s="43" t="str">
        <f>"Địa chỉ: "&amp;ThongTin!$C$5</f>
        <v>Địa chỉ: Lô A1, KCN ..., tỉnh ...</v>
      </c>
      <c r="E2" s="52" t="s">
        <v>295</v>
      </c>
      <c r="F2" s="53"/>
      <c r="G2" s="53"/>
      <c r="H2" s="53"/>
      <c r="I2" s="53"/>
    </row>
    <row r="3" spans="1:9" x14ac:dyDescent="0.25">
      <c r="A3" s="43" t="str">
        <f>"Mã số thuế: "&amp;ThongTin!$C$6</f>
        <v>Mã số thuế: 0123456789</v>
      </c>
      <c r="E3" s="64" t="s">
        <v>296</v>
      </c>
      <c r="F3" s="53"/>
      <c r="G3" s="53"/>
      <c r="H3" s="53"/>
      <c r="I3" s="53"/>
    </row>
    <row r="4" spans="1:9" x14ac:dyDescent="0.25">
      <c r="A4" s="28" t="s">
        <v>4</v>
      </c>
    </row>
    <row r="5" spans="1:9" ht="40.1" customHeight="1" x14ac:dyDescent="0.25">
      <c r="A5" s="66" t="s">
        <v>352</v>
      </c>
      <c r="B5" s="53"/>
      <c r="C5" s="53"/>
      <c r="D5" s="53"/>
      <c r="E5" s="53"/>
      <c r="F5" s="53"/>
      <c r="G5" s="53"/>
      <c r="H5" s="53"/>
      <c r="I5" s="53"/>
    </row>
    <row r="6" spans="1:9" x14ac:dyDescent="0.25">
      <c r="A6" s="65" t="str">
        <f>"Kỳ báo cáo: Từ ngày "&amp;TEXT(ThongTin!$C$9,"dd/mm/yyyy")&amp;" đến ngày "&amp;TEXT(ThongTin!$C$10,"dd/mm/yyyy")</f>
        <v>Kỳ báo cáo: Từ ngày 01/01/2025 đến ngày 31/12/2025</v>
      </c>
      <c r="B6" s="53"/>
      <c r="C6" s="53"/>
      <c r="D6" s="53"/>
      <c r="E6" s="53"/>
      <c r="F6" s="53"/>
      <c r="G6" s="53"/>
      <c r="H6" s="53"/>
      <c r="I6" s="53"/>
    </row>
    <row r="8" spans="1:9" ht="36" customHeight="1" x14ac:dyDescent="0.25">
      <c r="A8" s="54" t="s">
        <v>334</v>
      </c>
      <c r="B8" s="54" t="s">
        <v>353</v>
      </c>
      <c r="C8" s="54" t="s">
        <v>354</v>
      </c>
      <c r="D8" s="54" t="s">
        <v>53</v>
      </c>
      <c r="E8" s="54" t="s">
        <v>355</v>
      </c>
      <c r="F8" s="61"/>
      <c r="G8" s="61"/>
      <c r="H8" s="62"/>
      <c r="I8" s="54" t="s">
        <v>242</v>
      </c>
    </row>
    <row r="9" spans="1:9" ht="80" customHeight="1" x14ac:dyDescent="0.25">
      <c r="A9" s="55"/>
      <c r="B9" s="55"/>
      <c r="C9" s="55"/>
      <c r="D9" s="55"/>
      <c r="E9" s="13" t="s">
        <v>356</v>
      </c>
      <c r="F9" s="13" t="s">
        <v>357</v>
      </c>
      <c r="G9" s="13" t="s">
        <v>53</v>
      </c>
      <c r="H9" s="13" t="s">
        <v>358</v>
      </c>
      <c r="I9" s="55"/>
    </row>
    <row r="10" spans="1:9" ht="30.05" customHeight="1" x14ac:dyDescent="0.25">
      <c r="A10" s="15" t="s">
        <v>314</v>
      </c>
      <c r="B10" s="15" t="s">
        <v>315</v>
      </c>
      <c r="C10" s="15" t="s">
        <v>316</v>
      </c>
      <c r="D10" s="15" t="s">
        <v>317</v>
      </c>
      <c r="E10" s="15" t="s">
        <v>318</v>
      </c>
      <c r="F10" s="15" t="s">
        <v>319</v>
      </c>
      <c r="G10" s="15" t="s">
        <v>320</v>
      </c>
      <c r="H10" s="15" t="s">
        <v>321</v>
      </c>
      <c r="I10" s="15" t="s">
        <v>322</v>
      </c>
    </row>
    <row r="11" spans="1:9" x14ac:dyDescent="0.25">
      <c r="A11" s="36">
        <f>IF(B11="","",MAX($A$10:A10)+1)</f>
        <v>1</v>
      </c>
      <c r="B11" s="35" t="str">
        <f>IF(BOM!A5="","",IF(BOM!A5=BOM!A4,"",BOM!A5))</f>
        <v>AO01</v>
      </c>
      <c r="C11" s="35" t="str">
        <f>IF(B11="","",IFERROR(INDEX(DM_SP!$B$5:$B$304,MATCH(B11,DM_SP!$A$5:$A$304,0)),"(chưa có trong DM_SP)"))</f>
        <v>Áo jacket nam</v>
      </c>
      <c r="D11" s="35" t="str">
        <f>IF(B11="","",IFERROR(INDEX(DM_SP!$C$5:$C$304,MATCH(B11,DM_SP!$A$5:$A$304,0)),""))</f>
        <v>PCE</v>
      </c>
      <c r="E11" s="35" t="str">
        <f>IF(BOM!A5="","",BOM!B5)</f>
        <v>VAI01</v>
      </c>
      <c r="F11" s="35" t="str">
        <f>IF(E11="","",IFERROR(INDEX(DM_NL!$B$5:$B$304,MATCH(E11,DM_NL!$A$5:$A$304,0)),"(chưa có trong DM_NL)"))</f>
        <v>Vải chính 100% polyester</v>
      </c>
      <c r="G11" s="35" t="str">
        <f>IF(E11="","",IFERROR(INDEX(DM_NL!$C$5:$C$304,MATCH(E11,DM_NL!$A$5:$A$304,0)),""))</f>
        <v>MTR</v>
      </c>
      <c r="H11" s="39">
        <f>IF(OR(E11="",BOM!G5="KXDDM"),"",BOM!F5)</f>
        <v>1.8540000000000001</v>
      </c>
      <c r="I11" s="36" t="str">
        <f>IF(E11="","",BOM!G5&amp;"")</f>
        <v/>
      </c>
    </row>
    <row r="12" spans="1:9" x14ac:dyDescent="0.25">
      <c r="A12" s="36" t="str">
        <f>IF(B12="","",MAX($A$10:A11)+1)</f>
        <v/>
      </c>
      <c r="B12" s="35" t="str">
        <f>IF(BOM!A6="","",IF(BOM!A6=BOM!A5,"",BOM!A6))</f>
        <v/>
      </c>
      <c r="C12" s="35" t="str">
        <f>IF(B12="","",IFERROR(INDEX(DM_SP!$B$5:$B$304,MATCH(B12,DM_SP!$A$5:$A$304,0)),"(chưa có trong DM_SP)"))</f>
        <v/>
      </c>
      <c r="D12" s="35" t="str">
        <f>IF(B12="","",IFERROR(INDEX(DM_SP!$C$5:$C$304,MATCH(B12,DM_SP!$A$5:$A$304,0)),""))</f>
        <v/>
      </c>
      <c r="E12" s="35" t="str">
        <f>IF(BOM!A6="","",BOM!B6)</f>
        <v>CHI01</v>
      </c>
      <c r="F12" s="35" t="str">
        <f>IF(E12="","",IFERROR(INDEX(DM_NL!$B$5:$B$304,MATCH(E12,DM_NL!$A$5:$A$304,0)),"(chưa có trong DM_NL)"))</f>
        <v>Chỉ may</v>
      </c>
      <c r="G12" s="35" t="str">
        <f>IF(E12="","",IFERROR(INDEX(DM_NL!$C$5:$C$304,MATCH(E12,DM_NL!$A$5:$A$304,0)),""))</f>
        <v>MTR</v>
      </c>
      <c r="H12" s="39">
        <f>IF(OR(E12="",BOM!G6="KXDDM"),"",BOM!F6)</f>
        <v>126</v>
      </c>
      <c r="I12" s="36" t="str">
        <f>IF(E12="","",BOM!G6&amp;"")</f>
        <v/>
      </c>
    </row>
    <row r="13" spans="1:9" x14ac:dyDescent="0.25">
      <c r="A13" s="36" t="str">
        <f>IF(B13="","",MAX($A$10:A12)+1)</f>
        <v/>
      </c>
      <c r="B13" s="35" t="str">
        <f>IF(BOM!A7="","",IF(BOM!A7=BOM!A6,"",BOM!A7))</f>
        <v/>
      </c>
      <c r="C13" s="35" t="str">
        <f>IF(B13="","",IFERROR(INDEX(DM_SP!$B$5:$B$304,MATCH(B13,DM_SP!$A$5:$A$304,0)),"(chưa có trong DM_SP)"))</f>
        <v/>
      </c>
      <c r="D13" s="35" t="str">
        <f>IF(B13="","",IFERROR(INDEX(DM_SP!$C$5:$C$304,MATCH(B13,DM_SP!$A$5:$A$304,0)),""))</f>
        <v/>
      </c>
      <c r="E13" s="35" t="str">
        <f>IF(BOM!A7="","",BOM!B7)</f>
        <v>NUT01</v>
      </c>
      <c r="F13" s="35" t="str">
        <f>IF(E13="","",IFERROR(INDEX(DM_NL!$B$5:$B$304,MATCH(E13,DM_NL!$A$5:$A$304,0)),"(chưa có trong DM_NL)"))</f>
        <v>Nút nhựa</v>
      </c>
      <c r="G13" s="35" t="str">
        <f>IF(E13="","",IFERROR(INDEX(DM_NL!$C$5:$C$304,MATCH(E13,DM_NL!$A$5:$A$304,0)),""))</f>
        <v>PCE</v>
      </c>
      <c r="H13" s="39">
        <f>IF(OR(E13="",BOM!G7="KXDDM"),"",BOM!F7)</f>
        <v>6.12</v>
      </c>
      <c r="I13" s="36" t="str">
        <f>IF(E13="","",BOM!G7&amp;"")</f>
        <v/>
      </c>
    </row>
    <row r="14" spans="1:9" x14ac:dyDescent="0.25">
      <c r="A14" s="36" t="str">
        <f>IF(B14="","",MAX($A$10:A13)+1)</f>
        <v/>
      </c>
      <c r="B14" s="35" t="str">
        <f>IF(BOM!A8="","",IF(BOM!A8=BOM!A7,"",BOM!A8))</f>
        <v/>
      </c>
      <c r="C14" s="35" t="str">
        <f>IF(B14="","",IFERROR(INDEX(DM_SP!$B$5:$B$304,MATCH(B14,DM_SP!$A$5:$A$304,0)),"(chưa có trong DM_SP)"))</f>
        <v/>
      </c>
      <c r="D14" s="35" t="str">
        <f>IF(B14="","",IFERROR(INDEX(DM_SP!$C$5:$C$304,MATCH(B14,DM_SP!$A$5:$A$304,0)),""))</f>
        <v/>
      </c>
      <c r="E14" s="35" t="str">
        <f>IF(BOM!A8="","",BOM!B8)</f>
        <v>KHOA01</v>
      </c>
      <c r="F14" s="35" t="str">
        <f>IF(E14="","",IFERROR(INDEX(DM_NL!$B$5:$B$304,MATCH(E14,DM_NL!$A$5:$A$304,0)),"(chưa có trong DM_NL)"))</f>
        <v>Khóa kéo</v>
      </c>
      <c r="G14" s="35" t="str">
        <f>IF(E14="","",IFERROR(INDEX(DM_NL!$C$5:$C$304,MATCH(E14,DM_NL!$A$5:$A$304,0)),""))</f>
        <v>PCE</v>
      </c>
      <c r="H14" s="39">
        <f>IF(OR(E14="",BOM!G8="KXDDM"),"",BOM!F8)</f>
        <v>1.01</v>
      </c>
      <c r="I14" s="36" t="str">
        <f>IF(E14="","",BOM!G8&amp;"")</f>
        <v/>
      </c>
    </row>
    <row r="15" spans="1:9" x14ac:dyDescent="0.25">
      <c r="A15" s="36" t="str">
        <f>IF(B15="","",MAX($A$10:A14)+1)</f>
        <v/>
      </c>
      <c r="B15" s="35" t="str">
        <f>IF(BOM!A9="","",IF(BOM!A9=BOM!A8,"",BOM!A9))</f>
        <v/>
      </c>
      <c r="C15" s="35" t="str">
        <f>IF(B15="","",IFERROR(INDEX(DM_SP!$B$5:$B$304,MATCH(B15,DM_SP!$A$5:$A$304,0)),"(chưa có trong DM_SP)"))</f>
        <v/>
      </c>
      <c r="D15" s="35" t="str">
        <f>IF(B15="","",IFERROR(INDEX(DM_SP!$C$5:$C$304,MATCH(B15,DM_SP!$A$5:$A$304,0)),""))</f>
        <v/>
      </c>
      <c r="E15" s="35" t="str">
        <f>IF(BOM!A9="","",BOM!B9)</f>
        <v>NHAN01</v>
      </c>
      <c r="F15" s="35" t="str">
        <f>IF(E15="","",IFERROR(INDEX(DM_NL!$B$5:$B$304,MATCH(E15,DM_NL!$A$5:$A$304,0)),"(chưa có trong DM_NL)"))</f>
        <v>Nhãn vải</v>
      </c>
      <c r="G15" s="35" t="str">
        <f>IF(E15="","",IFERROR(INDEX(DM_NL!$C$5:$C$304,MATCH(E15,DM_NL!$A$5:$A$304,0)),""))</f>
        <v>PCE</v>
      </c>
      <c r="H15" s="39">
        <f>IF(OR(E15="",BOM!G9="KXDDM"),"",BOM!F9)</f>
        <v>2.02</v>
      </c>
      <c r="I15" s="36" t="str">
        <f>IF(E15="","",BOM!G9&amp;"")</f>
        <v/>
      </c>
    </row>
    <row r="16" spans="1:9" x14ac:dyDescent="0.25">
      <c r="A16" s="36" t="str">
        <f>IF(B16="","",MAX($A$10:A15)+1)</f>
        <v/>
      </c>
      <c r="B16" s="35" t="str">
        <f>IF(BOM!A10="","",IF(BOM!A10=BOM!A9,"",BOM!A10))</f>
        <v/>
      </c>
      <c r="C16" s="35" t="str">
        <f>IF(B16="","",IFERROR(INDEX(DM_SP!$B$5:$B$304,MATCH(B16,DM_SP!$A$5:$A$304,0)),"(chưa có trong DM_SP)"))</f>
        <v/>
      </c>
      <c r="D16" s="35" t="str">
        <f>IF(B16="","",IFERROR(INDEX(DM_SP!$C$5:$C$304,MATCH(B16,DM_SP!$A$5:$A$304,0)),""))</f>
        <v/>
      </c>
      <c r="E16" s="35" t="str">
        <f>IF(BOM!A10="","",BOM!B10)</f>
        <v>TUI01</v>
      </c>
      <c r="F16" s="35" t="str">
        <f>IF(E16="","",IFERROR(INDEX(DM_NL!$B$5:$B$304,MATCH(E16,DM_NL!$A$5:$A$304,0)),"(chưa có trong DM_NL)"))</f>
        <v>Túi PE đóng gói</v>
      </c>
      <c r="G16" s="35" t="str">
        <f>IF(E16="","",IFERROR(INDEX(DM_NL!$C$5:$C$304,MATCH(E16,DM_NL!$A$5:$A$304,0)),""))</f>
        <v>PCE</v>
      </c>
      <c r="H16" s="39">
        <f>IF(OR(E16="",BOM!G10="KXDDM"),"",BOM!F10)</f>
        <v>1</v>
      </c>
      <c r="I16" s="36" t="str">
        <f>IF(E16="","",BOM!G10&amp;"")</f>
        <v>X</v>
      </c>
    </row>
    <row r="17" spans="1:9" x14ac:dyDescent="0.25">
      <c r="A17" s="36" t="str">
        <f>IF(B17="","",MAX($A$10:A16)+1)</f>
        <v/>
      </c>
      <c r="B17" s="35" t="str">
        <f>IF(BOM!A11="","",IF(BOM!A11=BOM!A10,"",BOM!A11))</f>
        <v/>
      </c>
      <c r="C17" s="35" t="str">
        <f>IF(B17="","",IFERROR(INDEX(DM_SP!$B$5:$B$304,MATCH(B17,DM_SP!$A$5:$A$304,0)),"(chưa có trong DM_SP)"))</f>
        <v/>
      </c>
      <c r="D17" s="35" t="str">
        <f>IF(B17="","",IFERROR(INDEX(DM_SP!$C$5:$C$304,MATCH(B17,DM_SP!$A$5:$A$304,0)),""))</f>
        <v/>
      </c>
      <c r="E17" s="35" t="str">
        <f>IF(BOM!A11="","",BOM!B11)</f>
        <v>PHAN01</v>
      </c>
      <c r="F17" s="35" t="str">
        <f>IF(E17="","",IFERROR(INDEX(DM_NL!$B$5:$B$304,MATCH(E17,DM_NL!$A$5:$A$304,0)),"(chưa có trong DM_NL)"))</f>
        <v>Phấn vẽ rập</v>
      </c>
      <c r="G17" s="35" t="str">
        <f>IF(E17="","",IFERROR(INDEX(DM_NL!$C$5:$C$304,MATCH(E17,DM_NL!$A$5:$A$304,0)),""))</f>
        <v>Viên</v>
      </c>
      <c r="H17" s="39" t="str">
        <f>IF(OR(E17="",BOM!G11="KXDDM"),"",BOM!F11)</f>
        <v/>
      </c>
      <c r="I17" s="36" t="str">
        <f>IF(E17="","",BOM!G11&amp;"")</f>
        <v>KXDDM</v>
      </c>
    </row>
    <row r="18" spans="1:9" x14ac:dyDescent="0.25">
      <c r="A18" s="36">
        <f>IF(B18="","",MAX($A$10:A17)+1)</f>
        <v>2</v>
      </c>
      <c r="B18" s="35" t="str">
        <f>IF(BOM!A12="","",IF(BOM!A12=BOM!A11,"",BOM!A12))</f>
        <v>QUAN01</v>
      </c>
      <c r="C18" s="35" t="str">
        <f>IF(B18="","",IFERROR(INDEX(DM_SP!$B$5:$B$304,MATCH(B18,DM_SP!$A$5:$A$304,0)),"(chưa có trong DM_SP)"))</f>
        <v>Quần dài nam</v>
      </c>
      <c r="D18" s="35" t="str">
        <f>IF(B18="","",IFERROR(INDEX(DM_SP!$C$5:$C$304,MATCH(B18,DM_SP!$A$5:$A$304,0)),""))</f>
        <v>PCE</v>
      </c>
      <c r="E18" s="35" t="str">
        <f>IF(BOM!A12="","",BOM!B12)</f>
        <v>VAI01</v>
      </c>
      <c r="F18" s="35" t="str">
        <f>IF(E18="","",IFERROR(INDEX(DM_NL!$B$5:$B$304,MATCH(E18,DM_NL!$A$5:$A$304,0)),"(chưa có trong DM_NL)"))</f>
        <v>Vải chính 100% polyester</v>
      </c>
      <c r="G18" s="35" t="str">
        <f>IF(E18="","",IFERROR(INDEX(DM_NL!$C$5:$C$304,MATCH(E18,DM_NL!$A$5:$A$304,0)),""))</f>
        <v>MTR</v>
      </c>
      <c r="H18" s="39">
        <f>IF(OR(E18="",BOM!G12="KXDDM"),"",BOM!F12)</f>
        <v>1.236</v>
      </c>
      <c r="I18" s="36" t="str">
        <f>IF(E18="","",BOM!G12&amp;"")</f>
        <v/>
      </c>
    </row>
    <row r="19" spans="1:9" x14ac:dyDescent="0.25">
      <c r="A19" s="36" t="str">
        <f>IF(B19="","",MAX($A$10:A18)+1)</f>
        <v/>
      </c>
      <c r="B19" s="35" t="str">
        <f>IF(BOM!A13="","",IF(BOM!A13=BOM!A12,"",BOM!A13))</f>
        <v/>
      </c>
      <c r="C19" s="35" t="str">
        <f>IF(B19="","",IFERROR(INDEX(DM_SP!$B$5:$B$304,MATCH(B19,DM_SP!$A$5:$A$304,0)),"(chưa có trong DM_SP)"))</f>
        <v/>
      </c>
      <c r="D19" s="35" t="str">
        <f>IF(B19="","",IFERROR(INDEX(DM_SP!$C$5:$C$304,MATCH(B19,DM_SP!$A$5:$A$304,0)),""))</f>
        <v/>
      </c>
      <c r="E19" s="35" t="str">
        <f>IF(BOM!A13="","",BOM!B13)</f>
        <v>CHI01</v>
      </c>
      <c r="F19" s="35" t="str">
        <f>IF(E19="","",IFERROR(INDEX(DM_NL!$B$5:$B$304,MATCH(E19,DM_NL!$A$5:$A$304,0)),"(chưa có trong DM_NL)"))</f>
        <v>Chỉ may</v>
      </c>
      <c r="G19" s="35" t="str">
        <f>IF(E19="","",IFERROR(INDEX(DM_NL!$C$5:$C$304,MATCH(E19,DM_NL!$A$5:$A$304,0)),""))</f>
        <v>MTR</v>
      </c>
      <c r="H19" s="39">
        <f>IF(OR(E19="",BOM!G13="KXDDM"),"",BOM!F13)</f>
        <v>84</v>
      </c>
      <c r="I19" s="36" t="str">
        <f>IF(E19="","",BOM!G13&amp;"")</f>
        <v/>
      </c>
    </row>
    <row r="20" spans="1:9" x14ac:dyDescent="0.25">
      <c r="A20" s="36" t="str">
        <f>IF(B20="","",MAX($A$10:A19)+1)</f>
        <v/>
      </c>
      <c r="B20" s="35" t="str">
        <f>IF(BOM!A14="","",IF(BOM!A14=BOM!A13,"",BOM!A14))</f>
        <v/>
      </c>
      <c r="C20" s="35" t="str">
        <f>IF(B20="","",IFERROR(INDEX(DM_SP!$B$5:$B$304,MATCH(B20,DM_SP!$A$5:$A$304,0)),"(chưa có trong DM_SP)"))</f>
        <v/>
      </c>
      <c r="D20" s="35" t="str">
        <f>IF(B20="","",IFERROR(INDEX(DM_SP!$C$5:$C$304,MATCH(B20,DM_SP!$A$5:$A$304,0)),""))</f>
        <v/>
      </c>
      <c r="E20" s="35" t="str">
        <f>IF(BOM!A14="","",BOM!B14)</f>
        <v>NUT01</v>
      </c>
      <c r="F20" s="35" t="str">
        <f>IF(E20="","",IFERROR(INDEX(DM_NL!$B$5:$B$304,MATCH(E20,DM_NL!$A$5:$A$304,0)),"(chưa có trong DM_NL)"))</f>
        <v>Nút nhựa</v>
      </c>
      <c r="G20" s="35" t="str">
        <f>IF(E20="","",IFERROR(INDEX(DM_NL!$C$5:$C$304,MATCH(E20,DM_NL!$A$5:$A$304,0)),""))</f>
        <v>PCE</v>
      </c>
      <c r="H20" s="39">
        <f>IF(OR(E20="",BOM!G14="KXDDM"),"",BOM!F14)</f>
        <v>2.04</v>
      </c>
      <c r="I20" s="36" t="str">
        <f>IF(E20="","",BOM!G14&amp;"")</f>
        <v/>
      </c>
    </row>
    <row r="21" spans="1:9" x14ac:dyDescent="0.25">
      <c r="A21" s="36" t="str">
        <f>IF(B21="","",MAX($A$10:A20)+1)</f>
        <v/>
      </c>
      <c r="B21" s="35" t="str">
        <f>IF(BOM!A15="","",IF(BOM!A15=BOM!A14,"",BOM!A15))</f>
        <v/>
      </c>
      <c r="C21" s="35" t="str">
        <f>IF(B21="","",IFERROR(INDEX(DM_SP!$B$5:$B$304,MATCH(B21,DM_SP!$A$5:$A$304,0)),"(chưa có trong DM_SP)"))</f>
        <v/>
      </c>
      <c r="D21" s="35" t="str">
        <f>IF(B21="","",IFERROR(INDEX(DM_SP!$C$5:$C$304,MATCH(B21,DM_SP!$A$5:$A$304,0)),""))</f>
        <v/>
      </c>
      <c r="E21" s="35" t="str">
        <f>IF(BOM!A15="","",BOM!B15)</f>
        <v>KHOA01</v>
      </c>
      <c r="F21" s="35" t="str">
        <f>IF(E21="","",IFERROR(INDEX(DM_NL!$B$5:$B$304,MATCH(E21,DM_NL!$A$5:$A$304,0)),"(chưa có trong DM_NL)"))</f>
        <v>Khóa kéo</v>
      </c>
      <c r="G21" s="35" t="str">
        <f>IF(E21="","",IFERROR(INDEX(DM_NL!$C$5:$C$304,MATCH(E21,DM_NL!$A$5:$A$304,0)),""))</f>
        <v>PCE</v>
      </c>
      <c r="H21" s="39">
        <f>IF(OR(E21="",BOM!G15="KXDDM"),"",BOM!F15)</f>
        <v>1.01</v>
      </c>
      <c r="I21" s="36" t="str">
        <f>IF(E21="","",BOM!G15&amp;"")</f>
        <v/>
      </c>
    </row>
    <row r="22" spans="1:9" x14ac:dyDescent="0.25">
      <c r="A22" s="36" t="str">
        <f>IF(B22="","",MAX($A$10:A21)+1)</f>
        <v/>
      </c>
      <c r="B22" s="35" t="str">
        <f>IF(BOM!A16="","",IF(BOM!A16=BOM!A15,"",BOM!A16))</f>
        <v/>
      </c>
      <c r="C22" s="35" t="str">
        <f>IF(B22="","",IFERROR(INDEX(DM_SP!$B$5:$B$304,MATCH(B22,DM_SP!$A$5:$A$304,0)),"(chưa có trong DM_SP)"))</f>
        <v/>
      </c>
      <c r="D22" s="35" t="str">
        <f>IF(B22="","",IFERROR(INDEX(DM_SP!$C$5:$C$304,MATCH(B22,DM_SP!$A$5:$A$304,0)),""))</f>
        <v/>
      </c>
      <c r="E22" s="35" t="str">
        <f>IF(BOM!A16="","",BOM!B16)</f>
        <v>NHAN01</v>
      </c>
      <c r="F22" s="35" t="str">
        <f>IF(E22="","",IFERROR(INDEX(DM_NL!$B$5:$B$304,MATCH(E22,DM_NL!$A$5:$A$304,0)),"(chưa có trong DM_NL)"))</f>
        <v>Nhãn vải</v>
      </c>
      <c r="G22" s="35" t="str">
        <f>IF(E22="","",IFERROR(INDEX(DM_NL!$C$5:$C$304,MATCH(E22,DM_NL!$A$5:$A$304,0)),""))</f>
        <v>PCE</v>
      </c>
      <c r="H22" s="39">
        <f>IF(OR(E22="",BOM!G16="KXDDM"),"",BOM!F16)</f>
        <v>1.01</v>
      </c>
      <c r="I22" s="36" t="str">
        <f>IF(E22="","",BOM!G16&amp;"")</f>
        <v/>
      </c>
    </row>
    <row r="23" spans="1:9" x14ac:dyDescent="0.25">
      <c r="A23" s="36" t="str">
        <f>IF(B23="","",MAX($A$10:A22)+1)</f>
        <v/>
      </c>
      <c r="B23" s="35" t="str">
        <f>IF(BOM!A17="","",IF(BOM!A17=BOM!A16,"",BOM!A17))</f>
        <v/>
      </c>
      <c r="C23" s="35" t="str">
        <f>IF(B23="","",IFERROR(INDEX(DM_SP!$B$5:$B$304,MATCH(B23,DM_SP!$A$5:$A$304,0)),"(chưa có trong DM_SP)"))</f>
        <v/>
      </c>
      <c r="D23" s="35" t="str">
        <f>IF(B23="","",IFERROR(INDEX(DM_SP!$C$5:$C$304,MATCH(B23,DM_SP!$A$5:$A$304,0)),""))</f>
        <v/>
      </c>
      <c r="E23" s="35" t="str">
        <f>IF(BOM!A17="","",BOM!B17)</f>
        <v>TUI01</v>
      </c>
      <c r="F23" s="35" t="str">
        <f>IF(E23="","",IFERROR(INDEX(DM_NL!$B$5:$B$304,MATCH(E23,DM_NL!$A$5:$A$304,0)),"(chưa có trong DM_NL)"))</f>
        <v>Túi PE đóng gói</v>
      </c>
      <c r="G23" s="35" t="str">
        <f>IF(E23="","",IFERROR(INDEX(DM_NL!$C$5:$C$304,MATCH(E23,DM_NL!$A$5:$A$304,0)),""))</f>
        <v>PCE</v>
      </c>
      <c r="H23" s="39">
        <f>IF(OR(E23="",BOM!G17="KXDDM"),"",BOM!F17)</f>
        <v>1</v>
      </c>
      <c r="I23" s="36" t="str">
        <f>IF(E23="","",BOM!G17&amp;"")</f>
        <v>X</v>
      </c>
    </row>
    <row r="24" spans="1:9" x14ac:dyDescent="0.25">
      <c r="A24" s="36" t="str">
        <f>IF(B24="","",MAX($A$10:A23)+1)</f>
        <v/>
      </c>
      <c r="B24" s="35" t="str">
        <f>IF(BOM!A18="","",IF(BOM!A18=BOM!A17,"",BOM!A18))</f>
        <v/>
      </c>
      <c r="C24" s="35" t="str">
        <f>IF(B24="","",IFERROR(INDEX(DM_SP!$B$5:$B$304,MATCH(B24,DM_SP!$A$5:$A$304,0)),"(chưa có trong DM_SP)"))</f>
        <v/>
      </c>
      <c r="D24" s="35" t="str">
        <f>IF(B24="","",IFERROR(INDEX(DM_SP!$C$5:$C$304,MATCH(B24,DM_SP!$A$5:$A$304,0)),""))</f>
        <v/>
      </c>
      <c r="E24" s="35" t="str">
        <f>IF(BOM!A18="","",BOM!B18)</f>
        <v>PHAN01</v>
      </c>
      <c r="F24" s="35" t="str">
        <f>IF(E24="","",IFERROR(INDEX(DM_NL!$B$5:$B$304,MATCH(E24,DM_NL!$A$5:$A$304,0)),"(chưa có trong DM_NL)"))</f>
        <v>Phấn vẽ rập</v>
      </c>
      <c r="G24" s="35" t="str">
        <f>IF(E24="","",IFERROR(INDEX(DM_NL!$C$5:$C$304,MATCH(E24,DM_NL!$A$5:$A$304,0)),""))</f>
        <v>Viên</v>
      </c>
      <c r="H24" s="39" t="str">
        <f>IF(OR(E24="",BOM!G18="KXDDM"),"",BOM!F18)</f>
        <v/>
      </c>
      <c r="I24" s="36" t="str">
        <f>IF(E24="","",BOM!G18&amp;"")</f>
        <v>KXDDM</v>
      </c>
    </row>
    <row r="25" spans="1:9" x14ac:dyDescent="0.25">
      <c r="A25" s="36">
        <f>IF(B25="","",MAX($A$10:A24)+1)</f>
        <v>3</v>
      </c>
      <c r="B25" s="35" t="str">
        <f>IF(BOM!A19="","",IF(BOM!A19=BOM!A18,"",BOM!A19))</f>
        <v>VAY01</v>
      </c>
      <c r="C25" s="35" t="str">
        <f>IF(B25="","",IFERROR(INDEX(DM_SP!$B$5:$B$304,MATCH(B25,DM_SP!$A$5:$A$304,0)),"(chưa có trong DM_SP)"))</f>
        <v>Váy nữ</v>
      </c>
      <c r="D25" s="35" t="str">
        <f>IF(B25="","",IFERROR(INDEX(DM_SP!$C$5:$C$304,MATCH(B25,DM_SP!$A$5:$A$304,0)),""))</f>
        <v>PCE</v>
      </c>
      <c r="E25" s="35" t="str">
        <f>IF(BOM!A19="","",BOM!B19)</f>
        <v>VAI01</v>
      </c>
      <c r="F25" s="35" t="str">
        <f>IF(E25="","",IFERROR(INDEX(DM_NL!$B$5:$B$304,MATCH(E25,DM_NL!$A$5:$A$304,0)),"(chưa có trong DM_NL)"))</f>
        <v>Vải chính 100% polyester</v>
      </c>
      <c r="G25" s="35" t="str">
        <f>IF(E25="","",IFERROR(INDEX(DM_NL!$C$5:$C$304,MATCH(E25,DM_NL!$A$5:$A$304,0)),""))</f>
        <v>MTR</v>
      </c>
      <c r="H25" s="39">
        <f>IF(OR(E25="",BOM!G19="KXDDM"),"",BOM!F19)</f>
        <v>1.5449999999999999</v>
      </c>
      <c r="I25" s="36" t="str">
        <f>IF(E25="","",BOM!G19&amp;"")</f>
        <v/>
      </c>
    </row>
    <row r="26" spans="1:9" x14ac:dyDescent="0.25">
      <c r="A26" s="36" t="str">
        <f>IF(B26="","",MAX($A$10:A25)+1)</f>
        <v/>
      </c>
      <c r="B26" s="35" t="str">
        <f>IF(BOM!A20="","",IF(BOM!A20=BOM!A19,"",BOM!A20))</f>
        <v/>
      </c>
      <c r="C26" s="35" t="str">
        <f>IF(B26="","",IFERROR(INDEX(DM_SP!$B$5:$B$304,MATCH(B26,DM_SP!$A$5:$A$304,0)),"(chưa có trong DM_SP)"))</f>
        <v/>
      </c>
      <c r="D26" s="35" t="str">
        <f>IF(B26="","",IFERROR(INDEX(DM_SP!$C$5:$C$304,MATCH(B26,DM_SP!$A$5:$A$304,0)),""))</f>
        <v/>
      </c>
      <c r="E26" s="35" t="str">
        <f>IF(BOM!A20="","",BOM!B20)</f>
        <v>CHI01</v>
      </c>
      <c r="F26" s="35" t="str">
        <f>IF(E26="","",IFERROR(INDEX(DM_NL!$B$5:$B$304,MATCH(E26,DM_NL!$A$5:$A$304,0)),"(chưa có trong DM_NL)"))</f>
        <v>Chỉ may</v>
      </c>
      <c r="G26" s="35" t="str">
        <f>IF(E26="","",IFERROR(INDEX(DM_NL!$C$5:$C$304,MATCH(E26,DM_NL!$A$5:$A$304,0)),""))</f>
        <v>MTR</v>
      </c>
      <c r="H26" s="39">
        <f>IF(OR(E26="",BOM!G20="KXDDM"),"",BOM!F20)</f>
        <v>94.5</v>
      </c>
      <c r="I26" s="36" t="str">
        <f>IF(E26="","",BOM!G20&amp;"")</f>
        <v/>
      </c>
    </row>
    <row r="27" spans="1:9" x14ac:dyDescent="0.25">
      <c r="A27" s="36" t="str">
        <f>IF(B27="","",MAX($A$10:A26)+1)</f>
        <v/>
      </c>
      <c r="B27" s="35" t="str">
        <f>IF(BOM!A21="","",IF(BOM!A21=BOM!A20,"",BOM!A21))</f>
        <v/>
      </c>
      <c r="C27" s="35" t="str">
        <f>IF(B27="","",IFERROR(INDEX(DM_SP!$B$5:$B$304,MATCH(B27,DM_SP!$A$5:$A$304,0)),"(chưa có trong DM_SP)"))</f>
        <v/>
      </c>
      <c r="D27" s="35" t="str">
        <f>IF(B27="","",IFERROR(INDEX(DM_SP!$C$5:$C$304,MATCH(B27,DM_SP!$A$5:$A$304,0)),""))</f>
        <v/>
      </c>
      <c r="E27" s="35" t="str">
        <f>IF(BOM!A21="","",BOM!B21)</f>
        <v>KHOA01</v>
      </c>
      <c r="F27" s="35" t="str">
        <f>IF(E27="","",IFERROR(INDEX(DM_NL!$B$5:$B$304,MATCH(E27,DM_NL!$A$5:$A$304,0)),"(chưa có trong DM_NL)"))</f>
        <v>Khóa kéo</v>
      </c>
      <c r="G27" s="35" t="str">
        <f>IF(E27="","",IFERROR(INDEX(DM_NL!$C$5:$C$304,MATCH(E27,DM_NL!$A$5:$A$304,0)),""))</f>
        <v>PCE</v>
      </c>
      <c r="H27" s="39">
        <f>IF(OR(E27="",BOM!G21="KXDDM"),"",BOM!F21)</f>
        <v>1.01</v>
      </c>
      <c r="I27" s="36" t="str">
        <f>IF(E27="","",BOM!G21&amp;"")</f>
        <v/>
      </c>
    </row>
    <row r="28" spans="1:9" x14ac:dyDescent="0.25">
      <c r="A28" s="36" t="str">
        <f>IF(B28="","",MAX($A$10:A27)+1)</f>
        <v/>
      </c>
      <c r="B28" s="35" t="str">
        <f>IF(BOM!A22="","",IF(BOM!A22=BOM!A21,"",BOM!A22))</f>
        <v/>
      </c>
      <c r="C28" s="35" t="str">
        <f>IF(B28="","",IFERROR(INDEX(DM_SP!$B$5:$B$304,MATCH(B28,DM_SP!$A$5:$A$304,0)),"(chưa có trong DM_SP)"))</f>
        <v/>
      </c>
      <c r="D28" s="35" t="str">
        <f>IF(B28="","",IFERROR(INDEX(DM_SP!$C$5:$C$304,MATCH(B28,DM_SP!$A$5:$A$304,0)),""))</f>
        <v/>
      </c>
      <c r="E28" s="35" t="str">
        <f>IF(BOM!A22="","",BOM!B22)</f>
        <v>NHAN01</v>
      </c>
      <c r="F28" s="35" t="str">
        <f>IF(E28="","",IFERROR(INDEX(DM_NL!$B$5:$B$304,MATCH(E28,DM_NL!$A$5:$A$304,0)),"(chưa có trong DM_NL)"))</f>
        <v>Nhãn vải</v>
      </c>
      <c r="G28" s="35" t="str">
        <f>IF(E28="","",IFERROR(INDEX(DM_NL!$C$5:$C$304,MATCH(E28,DM_NL!$A$5:$A$304,0)),""))</f>
        <v>PCE</v>
      </c>
      <c r="H28" s="39">
        <f>IF(OR(E28="",BOM!G22="KXDDM"),"",BOM!F22)</f>
        <v>1.01</v>
      </c>
      <c r="I28" s="36" t="str">
        <f>IF(E28="","",BOM!G22&amp;"")</f>
        <v/>
      </c>
    </row>
    <row r="29" spans="1:9" x14ac:dyDescent="0.25">
      <c r="A29" s="36" t="str">
        <f>IF(B29="","",MAX($A$10:A28)+1)</f>
        <v/>
      </c>
      <c r="B29" s="35" t="str">
        <f>IF(BOM!A23="","",IF(BOM!A23=BOM!A22,"",BOM!A23))</f>
        <v/>
      </c>
      <c r="C29" s="35" t="str">
        <f>IF(B29="","",IFERROR(INDEX(DM_SP!$B$5:$B$304,MATCH(B29,DM_SP!$A$5:$A$304,0)),"(chưa có trong DM_SP)"))</f>
        <v/>
      </c>
      <c r="D29" s="35" t="str">
        <f>IF(B29="","",IFERROR(INDEX(DM_SP!$C$5:$C$304,MATCH(B29,DM_SP!$A$5:$A$304,0)),""))</f>
        <v/>
      </c>
      <c r="E29" s="35" t="str">
        <f>IF(BOM!A23="","",BOM!B23)</f>
        <v>TUI01</v>
      </c>
      <c r="F29" s="35" t="str">
        <f>IF(E29="","",IFERROR(INDEX(DM_NL!$B$5:$B$304,MATCH(E29,DM_NL!$A$5:$A$304,0)),"(chưa có trong DM_NL)"))</f>
        <v>Túi PE đóng gói</v>
      </c>
      <c r="G29" s="35" t="str">
        <f>IF(E29="","",IFERROR(INDEX(DM_NL!$C$5:$C$304,MATCH(E29,DM_NL!$A$5:$A$304,0)),""))</f>
        <v>PCE</v>
      </c>
      <c r="H29" s="39">
        <f>IF(OR(E29="",BOM!G23="KXDDM"),"",BOM!F23)</f>
        <v>1</v>
      </c>
      <c r="I29" s="36" t="str">
        <f>IF(E29="","",BOM!G23&amp;"")</f>
        <v>X</v>
      </c>
    </row>
    <row r="30" spans="1:9" x14ac:dyDescent="0.25">
      <c r="A30" s="36" t="str">
        <f>IF(B30="","",MAX($A$10:A29)+1)</f>
        <v/>
      </c>
      <c r="B30" s="35" t="str">
        <f>IF(BOM!A24="","",IF(BOM!A24=BOM!A23,"",BOM!A24))</f>
        <v/>
      </c>
      <c r="C30" s="35" t="str">
        <f>IF(B30="","",IFERROR(INDEX(DM_SP!$B$5:$B$304,MATCH(B30,DM_SP!$A$5:$A$304,0)),"(chưa có trong DM_SP)"))</f>
        <v/>
      </c>
      <c r="D30" s="35" t="str">
        <f>IF(B30="","",IFERROR(INDEX(DM_SP!$C$5:$C$304,MATCH(B30,DM_SP!$A$5:$A$304,0)),""))</f>
        <v/>
      </c>
      <c r="E30" s="35" t="str">
        <f>IF(BOM!A24="","",BOM!B24)</f>
        <v/>
      </c>
      <c r="F30" s="35" t="str">
        <f>IF(E30="","",IFERROR(INDEX(DM_NL!$B$5:$B$304,MATCH(E30,DM_NL!$A$5:$A$304,0)),"(chưa có trong DM_NL)"))</f>
        <v/>
      </c>
      <c r="G30" s="35" t="str">
        <f>IF(E30="","",IFERROR(INDEX(DM_NL!$C$5:$C$304,MATCH(E30,DM_NL!$A$5:$A$304,0)),""))</f>
        <v/>
      </c>
      <c r="H30" s="39" t="str">
        <f>IF(OR(E30="",BOM!G24="KXDDM"),"",BOM!F24)</f>
        <v/>
      </c>
      <c r="I30" s="36" t="str">
        <f>IF(E30="","",BOM!G24&amp;"")</f>
        <v/>
      </c>
    </row>
    <row r="31" spans="1:9" x14ac:dyDescent="0.25">
      <c r="A31" s="36" t="str">
        <f>IF(B31="","",MAX($A$10:A30)+1)</f>
        <v/>
      </c>
      <c r="B31" s="35" t="str">
        <f>IF(BOM!A25="","",IF(BOM!A25=BOM!A24,"",BOM!A25))</f>
        <v/>
      </c>
      <c r="C31" s="35" t="str">
        <f>IF(B31="","",IFERROR(INDEX(DM_SP!$B$5:$B$304,MATCH(B31,DM_SP!$A$5:$A$304,0)),"(chưa có trong DM_SP)"))</f>
        <v/>
      </c>
      <c r="D31" s="35" t="str">
        <f>IF(B31="","",IFERROR(INDEX(DM_SP!$C$5:$C$304,MATCH(B31,DM_SP!$A$5:$A$304,0)),""))</f>
        <v/>
      </c>
      <c r="E31" s="35" t="str">
        <f>IF(BOM!A25="","",BOM!B25)</f>
        <v/>
      </c>
      <c r="F31" s="35" t="str">
        <f>IF(E31="","",IFERROR(INDEX(DM_NL!$B$5:$B$304,MATCH(E31,DM_NL!$A$5:$A$304,0)),"(chưa có trong DM_NL)"))</f>
        <v/>
      </c>
      <c r="G31" s="35" t="str">
        <f>IF(E31="","",IFERROR(INDEX(DM_NL!$C$5:$C$304,MATCH(E31,DM_NL!$A$5:$A$304,0)),""))</f>
        <v/>
      </c>
      <c r="H31" s="39" t="str">
        <f>IF(OR(E31="",BOM!G25="KXDDM"),"",BOM!F25)</f>
        <v/>
      </c>
      <c r="I31" s="36" t="str">
        <f>IF(E31="","",BOM!G25&amp;"")</f>
        <v/>
      </c>
    </row>
    <row r="32" spans="1:9" x14ac:dyDescent="0.25">
      <c r="A32" s="36" t="str">
        <f>IF(B32="","",MAX($A$10:A31)+1)</f>
        <v/>
      </c>
      <c r="B32" s="35" t="str">
        <f>IF(BOM!A26="","",IF(BOM!A26=BOM!A25,"",BOM!A26))</f>
        <v/>
      </c>
      <c r="C32" s="35" t="str">
        <f>IF(B32="","",IFERROR(INDEX(DM_SP!$B$5:$B$304,MATCH(B32,DM_SP!$A$5:$A$304,0)),"(chưa có trong DM_SP)"))</f>
        <v/>
      </c>
      <c r="D32" s="35" t="str">
        <f>IF(B32="","",IFERROR(INDEX(DM_SP!$C$5:$C$304,MATCH(B32,DM_SP!$A$5:$A$304,0)),""))</f>
        <v/>
      </c>
      <c r="E32" s="35" t="str">
        <f>IF(BOM!A26="","",BOM!B26)</f>
        <v/>
      </c>
      <c r="F32" s="35" t="str">
        <f>IF(E32="","",IFERROR(INDEX(DM_NL!$B$5:$B$304,MATCH(E32,DM_NL!$A$5:$A$304,0)),"(chưa có trong DM_NL)"))</f>
        <v/>
      </c>
      <c r="G32" s="35" t="str">
        <f>IF(E32="","",IFERROR(INDEX(DM_NL!$C$5:$C$304,MATCH(E32,DM_NL!$A$5:$A$304,0)),""))</f>
        <v/>
      </c>
      <c r="H32" s="39" t="str">
        <f>IF(OR(E32="",BOM!G26="KXDDM"),"",BOM!F26)</f>
        <v/>
      </c>
      <c r="I32" s="36" t="str">
        <f>IF(E32="","",BOM!G26&amp;"")</f>
        <v/>
      </c>
    </row>
    <row r="33" spans="1:9" x14ac:dyDescent="0.25">
      <c r="A33" s="36" t="str">
        <f>IF(B33="","",MAX($A$10:A32)+1)</f>
        <v/>
      </c>
      <c r="B33" s="35" t="str">
        <f>IF(BOM!A27="","",IF(BOM!A27=BOM!A26,"",BOM!A27))</f>
        <v/>
      </c>
      <c r="C33" s="35" t="str">
        <f>IF(B33="","",IFERROR(INDEX(DM_SP!$B$5:$B$304,MATCH(B33,DM_SP!$A$5:$A$304,0)),"(chưa có trong DM_SP)"))</f>
        <v/>
      </c>
      <c r="D33" s="35" t="str">
        <f>IF(B33="","",IFERROR(INDEX(DM_SP!$C$5:$C$304,MATCH(B33,DM_SP!$A$5:$A$304,0)),""))</f>
        <v/>
      </c>
      <c r="E33" s="35" t="str">
        <f>IF(BOM!A27="","",BOM!B27)</f>
        <v/>
      </c>
      <c r="F33" s="35" t="str">
        <f>IF(E33="","",IFERROR(INDEX(DM_NL!$B$5:$B$304,MATCH(E33,DM_NL!$A$5:$A$304,0)),"(chưa có trong DM_NL)"))</f>
        <v/>
      </c>
      <c r="G33" s="35" t="str">
        <f>IF(E33="","",IFERROR(INDEX(DM_NL!$C$5:$C$304,MATCH(E33,DM_NL!$A$5:$A$304,0)),""))</f>
        <v/>
      </c>
      <c r="H33" s="39" t="str">
        <f>IF(OR(E33="",BOM!G27="KXDDM"),"",BOM!F27)</f>
        <v/>
      </c>
      <c r="I33" s="36" t="str">
        <f>IF(E33="","",BOM!G27&amp;"")</f>
        <v/>
      </c>
    </row>
    <row r="34" spans="1:9" x14ac:dyDescent="0.25">
      <c r="A34" s="36" t="str">
        <f>IF(B34="","",MAX($A$10:A33)+1)</f>
        <v/>
      </c>
      <c r="B34" s="35" t="str">
        <f>IF(BOM!A28="","",IF(BOM!A28=BOM!A27,"",BOM!A28))</f>
        <v/>
      </c>
      <c r="C34" s="35" t="str">
        <f>IF(B34="","",IFERROR(INDEX(DM_SP!$B$5:$B$304,MATCH(B34,DM_SP!$A$5:$A$304,0)),"(chưa có trong DM_SP)"))</f>
        <v/>
      </c>
      <c r="D34" s="35" t="str">
        <f>IF(B34="","",IFERROR(INDEX(DM_SP!$C$5:$C$304,MATCH(B34,DM_SP!$A$5:$A$304,0)),""))</f>
        <v/>
      </c>
      <c r="E34" s="35" t="str">
        <f>IF(BOM!A28="","",BOM!B28)</f>
        <v/>
      </c>
      <c r="F34" s="35" t="str">
        <f>IF(E34="","",IFERROR(INDEX(DM_NL!$B$5:$B$304,MATCH(E34,DM_NL!$A$5:$A$304,0)),"(chưa có trong DM_NL)"))</f>
        <v/>
      </c>
      <c r="G34" s="35" t="str">
        <f>IF(E34="","",IFERROR(INDEX(DM_NL!$C$5:$C$304,MATCH(E34,DM_NL!$A$5:$A$304,0)),""))</f>
        <v/>
      </c>
      <c r="H34" s="39" t="str">
        <f>IF(OR(E34="",BOM!G28="KXDDM"),"",BOM!F28)</f>
        <v/>
      </c>
      <c r="I34" s="36" t="str">
        <f>IF(E34="","",BOM!G28&amp;"")</f>
        <v/>
      </c>
    </row>
    <row r="35" spans="1:9" x14ac:dyDescent="0.25">
      <c r="A35" s="36" t="str">
        <f>IF(B35="","",MAX($A$10:A34)+1)</f>
        <v/>
      </c>
      <c r="B35" s="35" t="str">
        <f>IF(BOM!A29="","",IF(BOM!A29=BOM!A28,"",BOM!A29))</f>
        <v/>
      </c>
      <c r="C35" s="35" t="str">
        <f>IF(B35="","",IFERROR(INDEX(DM_SP!$B$5:$B$304,MATCH(B35,DM_SP!$A$5:$A$304,0)),"(chưa có trong DM_SP)"))</f>
        <v/>
      </c>
      <c r="D35" s="35" t="str">
        <f>IF(B35="","",IFERROR(INDEX(DM_SP!$C$5:$C$304,MATCH(B35,DM_SP!$A$5:$A$304,0)),""))</f>
        <v/>
      </c>
      <c r="E35" s="35" t="str">
        <f>IF(BOM!A29="","",BOM!B29)</f>
        <v/>
      </c>
      <c r="F35" s="35" t="str">
        <f>IF(E35="","",IFERROR(INDEX(DM_NL!$B$5:$B$304,MATCH(E35,DM_NL!$A$5:$A$304,0)),"(chưa có trong DM_NL)"))</f>
        <v/>
      </c>
      <c r="G35" s="35" t="str">
        <f>IF(E35="","",IFERROR(INDEX(DM_NL!$C$5:$C$304,MATCH(E35,DM_NL!$A$5:$A$304,0)),""))</f>
        <v/>
      </c>
      <c r="H35" s="39" t="str">
        <f>IF(OR(E35="",BOM!G29="KXDDM"),"",BOM!F29)</f>
        <v/>
      </c>
      <c r="I35" s="36" t="str">
        <f>IF(E35="","",BOM!G29&amp;"")</f>
        <v/>
      </c>
    </row>
    <row r="36" spans="1:9" x14ac:dyDescent="0.25">
      <c r="A36" s="36" t="str">
        <f>IF(B36="","",MAX($A$10:A35)+1)</f>
        <v/>
      </c>
      <c r="B36" s="35" t="str">
        <f>IF(BOM!A30="","",IF(BOM!A30=BOM!A29,"",BOM!A30))</f>
        <v/>
      </c>
      <c r="C36" s="35" t="str">
        <f>IF(B36="","",IFERROR(INDEX(DM_SP!$B$5:$B$304,MATCH(B36,DM_SP!$A$5:$A$304,0)),"(chưa có trong DM_SP)"))</f>
        <v/>
      </c>
      <c r="D36" s="35" t="str">
        <f>IF(B36="","",IFERROR(INDEX(DM_SP!$C$5:$C$304,MATCH(B36,DM_SP!$A$5:$A$304,0)),""))</f>
        <v/>
      </c>
      <c r="E36" s="35" t="str">
        <f>IF(BOM!A30="","",BOM!B30)</f>
        <v/>
      </c>
      <c r="F36" s="35" t="str">
        <f>IF(E36="","",IFERROR(INDEX(DM_NL!$B$5:$B$304,MATCH(E36,DM_NL!$A$5:$A$304,0)),"(chưa có trong DM_NL)"))</f>
        <v/>
      </c>
      <c r="G36" s="35" t="str">
        <f>IF(E36="","",IFERROR(INDEX(DM_NL!$C$5:$C$304,MATCH(E36,DM_NL!$A$5:$A$304,0)),""))</f>
        <v/>
      </c>
      <c r="H36" s="39" t="str">
        <f>IF(OR(E36="",BOM!G30="KXDDM"),"",BOM!F30)</f>
        <v/>
      </c>
      <c r="I36" s="36" t="str">
        <f>IF(E36="","",BOM!G30&amp;"")</f>
        <v/>
      </c>
    </row>
    <row r="37" spans="1:9" x14ac:dyDescent="0.25">
      <c r="A37" s="36" t="str">
        <f>IF(B37="","",MAX($A$10:A36)+1)</f>
        <v/>
      </c>
      <c r="B37" s="35" t="str">
        <f>IF(BOM!A31="","",IF(BOM!A31=BOM!A30,"",BOM!A31))</f>
        <v/>
      </c>
      <c r="C37" s="35" t="str">
        <f>IF(B37="","",IFERROR(INDEX(DM_SP!$B$5:$B$304,MATCH(B37,DM_SP!$A$5:$A$304,0)),"(chưa có trong DM_SP)"))</f>
        <v/>
      </c>
      <c r="D37" s="35" t="str">
        <f>IF(B37="","",IFERROR(INDEX(DM_SP!$C$5:$C$304,MATCH(B37,DM_SP!$A$5:$A$304,0)),""))</f>
        <v/>
      </c>
      <c r="E37" s="35" t="str">
        <f>IF(BOM!A31="","",BOM!B31)</f>
        <v/>
      </c>
      <c r="F37" s="35" t="str">
        <f>IF(E37="","",IFERROR(INDEX(DM_NL!$B$5:$B$304,MATCH(E37,DM_NL!$A$5:$A$304,0)),"(chưa có trong DM_NL)"))</f>
        <v/>
      </c>
      <c r="G37" s="35" t="str">
        <f>IF(E37="","",IFERROR(INDEX(DM_NL!$C$5:$C$304,MATCH(E37,DM_NL!$A$5:$A$304,0)),""))</f>
        <v/>
      </c>
      <c r="H37" s="39" t="str">
        <f>IF(OR(E37="",BOM!G31="KXDDM"),"",BOM!F31)</f>
        <v/>
      </c>
      <c r="I37" s="36" t="str">
        <f>IF(E37="","",BOM!G31&amp;"")</f>
        <v/>
      </c>
    </row>
    <row r="38" spans="1:9" x14ac:dyDescent="0.25">
      <c r="A38" s="36" t="str">
        <f>IF(B38="","",MAX($A$10:A37)+1)</f>
        <v/>
      </c>
      <c r="B38" s="35" t="str">
        <f>IF(BOM!A32="","",IF(BOM!A32=BOM!A31,"",BOM!A32))</f>
        <v/>
      </c>
      <c r="C38" s="35" t="str">
        <f>IF(B38="","",IFERROR(INDEX(DM_SP!$B$5:$B$304,MATCH(B38,DM_SP!$A$5:$A$304,0)),"(chưa có trong DM_SP)"))</f>
        <v/>
      </c>
      <c r="D38" s="35" t="str">
        <f>IF(B38="","",IFERROR(INDEX(DM_SP!$C$5:$C$304,MATCH(B38,DM_SP!$A$5:$A$304,0)),""))</f>
        <v/>
      </c>
      <c r="E38" s="35" t="str">
        <f>IF(BOM!A32="","",BOM!B32)</f>
        <v/>
      </c>
      <c r="F38" s="35" t="str">
        <f>IF(E38="","",IFERROR(INDEX(DM_NL!$B$5:$B$304,MATCH(E38,DM_NL!$A$5:$A$304,0)),"(chưa có trong DM_NL)"))</f>
        <v/>
      </c>
      <c r="G38" s="35" t="str">
        <f>IF(E38="","",IFERROR(INDEX(DM_NL!$C$5:$C$304,MATCH(E38,DM_NL!$A$5:$A$304,0)),""))</f>
        <v/>
      </c>
      <c r="H38" s="39" t="str">
        <f>IF(OR(E38="",BOM!G32="KXDDM"),"",BOM!F32)</f>
        <v/>
      </c>
      <c r="I38" s="36" t="str">
        <f>IF(E38="","",BOM!G32&amp;"")</f>
        <v/>
      </c>
    </row>
    <row r="39" spans="1:9" x14ac:dyDescent="0.25">
      <c r="A39" s="36" t="str">
        <f>IF(B39="","",MAX($A$10:A38)+1)</f>
        <v/>
      </c>
      <c r="B39" s="35" t="str">
        <f>IF(BOM!A33="","",IF(BOM!A33=BOM!A32,"",BOM!A33))</f>
        <v/>
      </c>
      <c r="C39" s="35" t="str">
        <f>IF(B39="","",IFERROR(INDEX(DM_SP!$B$5:$B$304,MATCH(B39,DM_SP!$A$5:$A$304,0)),"(chưa có trong DM_SP)"))</f>
        <v/>
      </c>
      <c r="D39" s="35" t="str">
        <f>IF(B39="","",IFERROR(INDEX(DM_SP!$C$5:$C$304,MATCH(B39,DM_SP!$A$5:$A$304,0)),""))</f>
        <v/>
      </c>
      <c r="E39" s="35" t="str">
        <f>IF(BOM!A33="","",BOM!B33)</f>
        <v/>
      </c>
      <c r="F39" s="35" t="str">
        <f>IF(E39="","",IFERROR(INDEX(DM_NL!$B$5:$B$304,MATCH(E39,DM_NL!$A$5:$A$304,0)),"(chưa có trong DM_NL)"))</f>
        <v/>
      </c>
      <c r="G39" s="35" t="str">
        <f>IF(E39="","",IFERROR(INDEX(DM_NL!$C$5:$C$304,MATCH(E39,DM_NL!$A$5:$A$304,0)),""))</f>
        <v/>
      </c>
      <c r="H39" s="39" t="str">
        <f>IF(OR(E39="",BOM!G33="KXDDM"),"",BOM!F33)</f>
        <v/>
      </c>
      <c r="I39" s="36" t="str">
        <f>IF(E39="","",BOM!G33&amp;"")</f>
        <v/>
      </c>
    </row>
    <row r="40" spans="1:9" x14ac:dyDescent="0.25">
      <c r="A40" s="36" t="str">
        <f>IF(B40="","",MAX($A$10:A39)+1)</f>
        <v/>
      </c>
      <c r="B40" s="35" t="str">
        <f>IF(BOM!A34="","",IF(BOM!A34=BOM!A33,"",BOM!A34))</f>
        <v/>
      </c>
      <c r="C40" s="35" t="str">
        <f>IF(B40="","",IFERROR(INDEX(DM_SP!$B$5:$B$304,MATCH(B40,DM_SP!$A$5:$A$304,0)),"(chưa có trong DM_SP)"))</f>
        <v/>
      </c>
      <c r="D40" s="35" t="str">
        <f>IF(B40="","",IFERROR(INDEX(DM_SP!$C$5:$C$304,MATCH(B40,DM_SP!$A$5:$A$304,0)),""))</f>
        <v/>
      </c>
      <c r="E40" s="35" t="str">
        <f>IF(BOM!A34="","",BOM!B34)</f>
        <v/>
      </c>
      <c r="F40" s="35" t="str">
        <f>IF(E40="","",IFERROR(INDEX(DM_NL!$B$5:$B$304,MATCH(E40,DM_NL!$A$5:$A$304,0)),"(chưa có trong DM_NL)"))</f>
        <v/>
      </c>
      <c r="G40" s="35" t="str">
        <f>IF(E40="","",IFERROR(INDEX(DM_NL!$C$5:$C$304,MATCH(E40,DM_NL!$A$5:$A$304,0)),""))</f>
        <v/>
      </c>
      <c r="H40" s="39" t="str">
        <f>IF(OR(E40="",BOM!G34="KXDDM"),"",BOM!F34)</f>
        <v/>
      </c>
      <c r="I40" s="36" t="str">
        <f>IF(E40="","",BOM!G34&amp;"")</f>
        <v/>
      </c>
    </row>
    <row r="41" spans="1:9" x14ac:dyDescent="0.25">
      <c r="A41" s="36" t="str">
        <f>IF(B41="","",MAX($A$10:A40)+1)</f>
        <v/>
      </c>
      <c r="B41" s="35" t="str">
        <f>IF(BOM!A35="","",IF(BOM!A35=BOM!A34,"",BOM!A35))</f>
        <v/>
      </c>
      <c r="C41" s="35" t="str">
        <f>IF(B41="","",IFERROR(INDEX(DM_SP!$B$5:$B$304,MATCH(B41,DM_SP!$A$5:$A$304,0)),"(chưa có trong DM_SP)"))</f>
        <v/>
      </c>
      <c r="D41" s="35" t="str">
        <f>IF(B41="","",IFERROR(INDEX(DM_SP!$C$5:$C$304,MATCH(B41,DM_SP!$A$5:$A$304,0)),""))</f>
        <v/>
      </c>
      <c r="E41" s="35" t="str">
        <f>IF(BOM!A35="","",BOM!B35)</f>
        <v/>
      </c>
      <c r="F41" s="35" t="str">
        <f>IF(E41="","",IFERROR(INDEX(DM_NL!$B$5:$B$304,MATCH(E41,DM_NL!$A$5:$A$304,0)),"(chưa có trong DM_NL)"))</f>
        <v/>
      </c>
      <c r="G41" s="35" t="str">
        <f>IF(E41="","",IFERROR(INDEX(DM_NL!$C$5:$C$304,MATCH(E41,DM_NL!$A$5:$A$304,0)),""))</f>
        <v/>
      </c>
      <c r="H41" s="39" t="str">
        <f>IF(OR(E41="",BOM!G35="KXDDM"),"",BOM!F35)</f>
        <v/>
      </c>
      <c r="I41" s="36" t="str">
        <f>IF(E41="","",BOM!G35&amp;"")</f>
        <v/>
      </c>
    </row>
    <row r="42" spans="1:9" x14ac:dyDescent="0.25">
      <c r="A42" s="36" t="str">
        <f>IF(B42="","",MAX($A$10:A41)+1)</f>
        <v/>
      </c>
      <c r="B42" s="35" t="str">
        <f>IF(BOM!A36="","",IF(BOM!A36=BOM!A35,"",BOM!A36))</f>
        <v/>
      </c>
      <c r="C42" s="35" t="str">
        <f>IF(B42="","",IFERROR(INDEX(DM_SP!$B$5:$B$304,MATCH(B42,DM_SP!$A$5:$A$304,0)),"(chưa có trong DM_SP)"))</f>
        <v/>
      </c>
      <c r="D42" s="35" t="str">
        <f>IF(B42="","",IFERROR(INDEX(DM_SP!$C$5:$C$304,MATCH(B42,DM_SP!$A$5:$A$304,0)),""))</f>
        <v/>
      </c>
      <c r="E42" s="35" t="str">
        <f>IF(BOM!A36="","",BOM!B36)</f>
        <v/>
      </c>
      <c r="F42" s="35" t="str">
        <f>IF(E42="","",IFERROR(INDEX(DM_NL!$B$5:$B$304,MATCH(E42,DM_NL!$A$5:$A$304,0)),"(chưa có trong DM_NL)"))</f>
        <v/>
      </c>
      <c r="G42" s="35" t="str">
        <f>IF(E42="","",IFERROR(INDEX(DM_NL!$C$5:$C$304,MATCH(E42,DM_NL!$A$5:$A$304,0)),""))</f>
        <v/>
      </c>
      <c r="H42" s="39" t="str">
        <f>IF(OR(E42="",BOM!G36="KXDDM"),"",BOM!F36)</f>
        <v/>
      </c>
      <c r="I42" s="36" t="str">
        <f>IF(E42="","",BOM!G36&amp;"")</f>
        <v/>
      </c>
    </row>
    <row r="43" spans="1:9" x14ac:dyDescent="0.25">
      <c r="A43" s="36" t="str">
        <f>IF(B43="","",MAX($A$10:A42)+1)</f>
        <v/>
      </c>
      <c r="B43" s="35" t="str">
        <f>IF(BOM!A37="","",IF(BOM!A37=BOM!A36,"",BOM!A37))</f>
        <v/>
      </c>
      <c r="C43" s="35" t="str">
        <f>IF(B43="","",IFERROR(INDEX(DM_SP!$B$5:$B$304,MATCH(B43,DM_SP!$A$5:$A$304,0)),"(chưa có trong DM_SP)"))</f>
        <v/>
      </c>
      <c r="D43" s="35" t="str">
        <f>IF(B43="","",IFERROR(INDEX(DM_SP!$C$5:$C$304,MATCH(B43,DM_SP!$A$5:$A$304,0)),""))</f>
        <v/>
      </c>
      <c r="E43" s="35" t="str">
        <f>IF(BOM!A37="","",BOM!B37)</f>
        <v/>
      </c>
      <c r="F43" s="35" t="str">
        <f>IF(E43="","",IFERROR(INDEX(DM_NL!$B$5:$B$304,MATCH(E43,DM_NL!$A$5:$A$304,0)),"(chưa có trong DM_NL)"))</f>
        <v/>
      </c>
      <c r="G43" s="35" t="str">
        <f>IF(E43="","",IFERROR(INDEX(DM_NL!$C$5:$C$304,MATCH(E43,DM_NL!$A$5:$A$304,0)),""))</f>
        <v/>
      </c>
      <c r="H43" s="39" t="str">
        <f>IF(OR(E43="",BOM!G37="KXDDM"),"",BOM!F37)</f>
        <v/>
      </c>
      <c r="I43" s="36" t="str">
        <f>IF(E43="","",BOM!G37&amp;"")</f>
        <v/>
      </c>
    </row>
    <row r="44" spans="1:9" x14ac:dyDescent="0.25">
      <c r="A44" s="36" t="str">
        <f>IF(B44="","",MAX($A$10:A43)+1)</f>
        <v/>
      </c>
      <c r="B44" s="35" t="str">
        <f>IF(BOM!A38="","",IF(BOM!A38=BOM!A37,"",BOM!A38))</f>
        <v/>
      </c>
      <c r="C44" s="35" t="str">
        <f>IF(B44="","",IFERROR(INDEX(DM_SP!$B$5:$B$304,MATCH(B44,DM_SP!$A$5:$A$304,0)),"(chưa có trong DM_SP)"))</f>
        <v/>
      </c>
      <c r="D44" s="35" t="str">
        <f>IF(B44="","",IFERROR(INDEX(DM_SP!$C$5:$C$304,MATCH(B44,DM_SP!$A$5:$A$304,0)),""))</f>
        <v/>
      </c>
      <c r="E44" s="35" t="str">
        <f>IF(BOM!A38="","",BOM!B38)</f>
        <v/>
      </c>
      <c r="F44" s="35" t="str">
        <f>IF(E44="","",IFERROR(INDEX(DM_NL!$B$5:$B$304,MATCH(E44,DM_NL!$A$5:$A$304,0)),"(chưa có trong DM_NL)"))</f>
        <v/>
      </c>
      <c r="G44" s="35" t="str">
        <f>IF(E44="","",IFERROR(INDEX(DM_NL!$C$5:$C$304,MATCH(E44,DM_NL!$A$5:$A$304,0)),""))</f>
        <v/>
      </c>
      <c r="H44" s="39" t="str">
        <f>IF(OR(E44="",BOM!G38="KXDDM"),"",BOM!F38)</f>
        <v/>
      </c>
      <c r="I44" s="36" t="str">
        <f>IF(E44="","",BOM!G38&amp;"")</f>
        <v/>
      </c>
    </row>
    <row r="45" spans="1:9" x14ac:dyDescent="0.25">
      <c r="A45" s="36" t="str">
        <f>IF(B45="","",MAX($A$10:A44)+1)</f>
        <v/>
      </c>
      <c r="B45" s="35" t="str">
        <f>IF(BOM!A39="","",IF(BOM!A39=BOM!A38,"",BOM!A39))</f>
        <v/>
      </c>
      <c r="C45" s="35" t="str">
        <f>IF(B45="","",IFERROR(INDEX(DM_SP!$B$5:$B$304,MATCH(B45,DM_SP!$A$5:$A$304,0)),"(chưa có trong DM_SP)"))</f>
        <v/>
      </c>
      <c r="D45" s="35" t="str">
        <f>IF(B45="","",IFERROR(INDEX(DM_SP!$C$5:$C$304,MATCH(B45,DM_SP!$A$5:$A$304,0)),""))</f>
        <v/>
      </c>
      <c r="E45" s="35" t="str">
        <f>IF(BOM!A39="","",BOM!B39)</f>
        <v/>
      </c>
      <c r="F45" s="35" t="str">
        <f>IF(E45="","",IFERROR(INDEX(DM_NL!$B$5:$B$304,MATCH(E45,DM_NL!$A$5:$A$304,0)),"(chưa có trong DM_NL)"))</f>
        <v/>
      </c>
      <c r="G45" s="35" t="str">
        <f>IF(E45="","",IFERROR(INDEX(DM_NL!$C$5:$C$304,MATCH(E45,DM_NL!$A$5:$A$304,0)),""))</f>
        <v/>
      </c>
      <c r="H45" s="39" t="str">
        <f>IF(OR(E45="",BOM!G39="KXDDM"),"",BOM!F39)</f>
        <v/>
      </c>
      <c r="I45" s="36" t="str">
        <f>IF(E45="","",BOM!G39&amp;"")</f>
        <v/>
      </c>
    </row>
    <row r="46" spans="1:9" x14ac:dyDescent="0.25">
      <c r="A46" s="36" t="str">
        <f>IF(B46="","",MAX($A$10:A45)+1)</f>
        <v/>
      </c>
      <c r="B46" s="35" t="str">
        <f>IF(BOM!A40="","",IF(BOM!A40=BOM!A39,"",BOM!A40))</f>
        <v/>
      </c>
      <c r="C46" s="35" t="str">
        <f>IF(B46="","",IFERROR(INDEX(DM_SP!$B$5:$B$304,MATCH(B46,DM_SP!$A$5:$A$304,0)),"(chưa có trong DM_SP)"))</f>
        <v/>
      </c>
      <c r="D46" s="35" t="str">
        <f>IF(B46="","",IFERROR(INDEX(DM_SP!$C$5:$C$304,MATCH(B46,DM_SP!$A$5:$A$304,0)),""))</f>
        <v/>
      </c>
      <c r="E46" s="35" t="str">
        <f>IF(BOM!A40="","",BOM!B40)</f>
        <v/>
      </c>
      <c r="F46" s="35" t="str">
        <f>IF(E46="","",IFERROR(INDEX(DM_NL!$B$5:$B$304,MATCH(E46,DM_NL!$A$5:$A$304,0)),"(chưa có trong DM_NL)"))</f>
        <v/>
      </c>
      <c r="G46" s="35" t="str">
        <f>IF(E46="","",IFERROR(INDEX(DM_NL!$C$5:$C$304,MATCH(E46,DM_NL!$A$5:$A$304,0)),""))</f>
        <v/>
      </c>
      <c r="H46" s="39" t="str">
        <f>IF(OR(E46="",BOM!G40="KXDDM"),"",BOM!F40)</f>
        <v/>
      </c>
      <c r="I46" s="36" t="str">
        <f>IF(E46="","",BOM!G40&amp;"")</f>
        <v/>
      </c>
    </row>
    <row r="47" spans="1:9" x14ac:dyDescent="0.25">
      <c r="A47" s="36" t="str">
        <f>IF(B47="","",MAX($A$10:A46)+1)</f>
        <v/>
      </c>
      <c r="B47" s="35" t="str">
        <f>IF(BOM!A41="","",IF(BOM!A41=BOM!A40,"",BOM!A41))</f>
        <v/>
      </c>
      <c r="C47" s="35" t="str">
        <f>IF(B47="","",IFERROR(INDEX(DM_SP!$B$5:$B$304,MATCH(B47,DM_SP!$A$5:$A$304,0)),"(chưa có trong DM_SP)"))</f>
        <v/>
      </c>
      <c r="D47" s="35" t="str">
        <f>IF(B47="","",IFERROR(INDEX(DM_SP!$C$5:$C$304,MATCH(B47,DM_SP!$A$5:$A$304,0)),""))</f>
        <v/>
      </c>
      <c r="E47" s="35" t="str">
        <f>IF(BOM!A41="","",BOM!B41)</f>
        <v/>
      </c>
      <c r="F47" s="35" t="str">
        <f>IF(E47="","",IFERROR(INDEX(DM_NL!$B$5:$B$304,MATCH(E47,DM_NL!$A$5:$A$304,0)),"(chưa có trong DM_NL)"))</f>
        <v/>
      </c>
      <c r="G47" s="35" t="str">
        <f>IF(E47="","",IFERROR(INDEX(DM_NL!$C$5:$C$304,MATCH(E47,DM_NL!$A$5:$A$304,0)),""))</f>
        <v/>
      </c>
      <c r="H47" s="39" t="str">
        <f>IF(OR(E47="",BOM!G41="KXDDM"),"",BOM!F41)</f>
        <v/>
      </c>
      <c r="I47" s="36" t="str">
        <f>IF(E47="","",BOM!G41&amp;"")</f>
        <v/>
      </c>
    </row>
    <row r="48" spans="1:9" x14ac:dyDescent="0.25">
      <c r="A48" s="36" t="str">
        <f>IF(B48="","",MAX($A$10:A47)+1)</f>
        <v/>
      </c>
      <c r="B48" s="35" t="str">
        <f>IF(BOM!A42="","",IF(BOM!A42=BOM!A41,"",BOM!A42))</f>
        <v/>
      </c>
      <c r="C48" s="35" t="str">
        <f>IF(B48="","",IFERROR(INDEX(DM_SP!$B$5:$B$304,MATCH(B48,DM_SP!$A$5:$A$304,0)),"(chưa có trong DM_SP)"))</f>
        <v/>
      </c>
      <c r="D48" s="35" t="str">
        <f>IF(B48="","",IFERROR(INDEX(DM_SP!$C$5:$C$304,MATCH(B48,DM_SP!$A$5:$A$304,0)),""))</f>
        <v/>
      </c>
      <c r="E48" s="35" t="str">
        <f>IF(BOM!A42="","",BOM!B42)</f>
        <v/>
      </c>
      <c r="F48" s="35" t="str">
        <f>IF(E48="","",IFERROR(INDEX(DM_NL!$B$5:$B$304,MATCH(E48,DM_NL!$A$5:$A$304,0)),"(chưa có trong DM_NL)"))</f>
        <v/>
      </c>
      <c r="G48" s="35" t="str">
        <f>IF(E48="","",IFERROR(INDEX(DM_NL!$C$5:$C$304,MATCH(E48,DM_NL!$A$5:$A$304,0)),""))</f>
        <v/>
      </c>
      <c r="H48" s="39" t="str">
        <f>IF(OR(E48="",BOM!G42="KXDDM"),"",BOM!F42)</f>
        <v/>
      </c>
      <c r="I48" s="36" t="str">
        <f>IF(E48="","",BOM!G42&amp;"")</f>
        <v/>
      </c>
    </row>
    <row r="49" spans="1:9" x14ac:dyDescent="0.25">
      <c r="A49" s="36" t="str">
        <f>IF(B49="","",MAX($A$10:A48)+1)</f>
        <v/>
      </c>
      <c r="B49" s="35" t="str">
        <f>IF(BOM!A43="","",IF(BOM!A43=BOM!A42,"",BOM!A43))</f>
        <v/>
      </c>
      <c r="C49" s="35" t="str">
        <f>IF(B49="","",IFERROR(INDEX(DM_SP!$B$5:$B$304,MATCH(B49,DM_SP!$A$5:$A$304,0)),"(chưa có trong DM_SP)"))</f>
        <v/>
      </c>
      <c r="D49" s="35" t="str">
        <f>IF(B49="","",IFERROR(INDEX(DM_SP!$C$5:$C$304,MATCH(B49,DM_SP!$A$5:$A$304,0)),""))</f>
        <v/>
      </c>
      <c r="E49" s="35" t="str">
        <f>IF(BOM!A43="","",BOM!B43)</f>
        <v/>
      </c>
      <c r="F49" s="35" t="str">
        <f>IF(E49="","",IFERROR(INDEX(DM_NL!$B$5:$B$304,MATCH(E49,DM_NL!$A$5:$A$304,0)),"(chưa có trong DM_NL)"))</f>
        <v/>
      </c>
      <c r="G49" s="35" t="str">
        <f>IF(E49="","",IFERROR(INDEX(DM_NL!$C$5:$C$304,MATCH(E49,DM_NL!$A$5:$A$304,0)),""))</f>
        <v/>
      </c>
      <c r="H49" s="39" t="str">
        <f>IF(OR(E49="",BOM!G43="KXDDM"),"",BOM!F43)</f>
        <v/>
      </c>
      <c r="I49" s="36" t="str">
        <f>IF(E49="","",BOM!G43&amp;"")</f>
        <v/>
      </c>
    </row>
    <row r="50" spans="1:9" x14ac:dyDescent="0.25">
      <c r="A50" s="36" t="str">
        <f>IF(B50="","",MAX($A$10:A49)+1)</f>
        <v/>
      </c>
      <c r="B50" s="35" t="str">
        <f>IF(BOM!A44="","",IF(BOM!A44=BOM!A43,"",BOM!A44))</f>
        <v/>
      </c>
      <c r="C50" s="35" t="str">
        <f>IF(B50="","",IFERROR(INDEX(DM_SP!$B$5:$B$304,MATCH(B50,DM_SP!$A$5:$A$304,0)),"(chưa có trong DM_SP)"))</f>
        <v/>
      </c>
      <c r="D50" s="35" t="str">
        <f>IF(B50="","",IFERROR(INDEX(DM_SP!$C$5:$C$304,MATCH(B50,DM_SP!$A$5:$A$304,0)),""))</f>
        <v/>
      </c>
      <c r="E50" s="35" t="str">
        <f>IF(BOM!A44="","",BOM!B44)</f>
        <v/>
      </c>
      <c r="F50" s="35" t="str">
        <f>IF(E50="","",IFERROR(INDEX(DM_NL!$B$5:$B$304,MATCH(E50,DM_NL!$A$5:$A$304,0)),"(chưa có trong DM_NL)"))</f>
        <v/>
      </c>
      <c r="G50" s="35" t="str">
        <f>IF(E50="","",IFERROR(INDEX(DM_NL!$C$5:$C$304,MATCH(E50,DM_NL!$A$5:$A$304,0)),""))</f>
        <v/>
      </c>
      <c r="H50" s="39" t="str">
        <f>IF(OR(E50="",BOM!G44="KXDDM"),"",BOM!F44)</f>
        <v/>
      </c>
      <c r="I50" s="36" t="str">
        <f>IF(E50="","",BOM!G44&amp;"")</f>
        <v/>
      </c>
    </row>
    <row r="51" spans="1:9" x14ac:dyDescent="0.25">
      <c r="A51" s="36" t="str">
        <f>IF(B51="","",MAX($A$10:A50)+1)</f>
        <v/>
      </c>
      <c r="B51" s="35" t="str">
        <f>IF(BOM!A45="","",IF(BOM!A45=BOM!A44,"",BOM!A45))</f>
        <v/>
      </c>
      <c r="C51" s="35" t="str">
        <f>IF(B51="","",IFERROR(INDEX(DM_SP!$B$5:$B$304,MATCH(B51,DM_SP!$A$5:$A$304,0)),"(chưa có trong DM_SP)"))</f>
        <v/>
      </c>
      <c r="D51" s="35" t="str">
        <f>IF(B51="","",IFERROR(INDEX(DM_SP!$C$5:$C$304,MATCH(B51,DM_SP!$A$5:$A$304,0)),""))</f>
        <v/>
      </c>
      <c r="E51" s="35" t="str">
        <f>IF(BOM!A45="","",BOM!B45)</f>
        <v/>
      </c>
      <c r="F51" s="35" t="str">
        <f>IF(E51="","",IFERROR(INDEX(DM_NL!$B$5:$B$304,MATCH(E51,DM_NL!$A$5:$A$304,0)),"(chưa có trong DM_NL)"))</f>
        <v/>
      </c>
      <c r="G51" s="35" t="str">
        <f>IF(E51="","",IFERROR(INDEX(DM_NL!$C$5:$C$304,MATCH(E51,DM_NL!$A$5:$A$304,0)),""))</f>
        <v/>
      </c>
      <c r="H51" s="39" t="str">
        <f>IF(OR(E51="",BOM!G45="KXDDM"),"",BOM!F45)</f>
        <v/>
      </c>
      <c r="I51" s="36" t="str">
        <f>IF(E51="","",BOM!G45&amp;"")</f>
        <v/>
      </c>
    </row>
    <row r="52" spans="1:9" x14ac:dyDescent="0.25">
      <c r="A52" s="36" t="str">
        <f>IF(B52="","",MAX($A$10:A51)+1)</f>
        <v/>
      </c>
      <c r="B52" s="35" t="str">
        <f>IF(BOM!A46="","",IF(BOM!A46=BOM!A45,"",BOM!A46))</f>
        <v/>
      </c>
      <c r="C52" s="35" t="str">
        <f>IF(B52="","",IFERROR(INDEX(DM_SP!$B$5:$B$304,MATCH(B52,DM_SP!$A$5:$A$304,0)),"(chưa có trong DM_SP)"))</f>
        <v/>
      </c>
      <c r="D52" s="35" t="str">
        <f>IF(B52="","",IFERROR(INDEX(DM_SP!$C$5:$C$304,MATCH(B52,DM_SP!$A$5:$A$304,0)),""))</f>
        <v/>
      </c>
      <c r="E52" s="35" t="str">
        <f>IF(BOM!A46="","",BOM!B46)</f>
        <v/>
      </c>
      <c r="F52" s="35" t="str">
        <f>IF(E52="","",IFERROR(INDEX(DM_NL!$B$5:$B$304,MATCH(E52,DM_NL!$A$5:$A$304,0)),"(chưa có trong DM_NL)"))</f>
        <v/>
      </c>
      <c r="G52" s="35" t="str">
        <f>IF(E52="","",IFERROR(INDEX(DM_NL!$C$5:$C$304,MATCH(E52,DM_NL!$A$5:$A$304,0)),""))</f>
        <v/>
      </c>
      <c r="H52" s="39" t="str">
        <f>IF(OR(E52="",BOM!G46="KXDDM"),"",BOM!F46)</f>
        <v/>
      </c>
      <c r="I52" s="36" t="str">
        <f>IF(E52="","",BOM!G46&amp;"")</f>
        <v/>
      </c>
    </row>
    <row r="53" spans="1:9" x14ac:dyDescent="0.25">
      <c r="A53" s="36" t="str">
        <f>IF(B53="","",MAX($A$10:A52)+1)</f>
        <v/>
      </c>
      <c r="B53" s="35" t="str">
        <f>IF(BOM!A47="","",IF(BOM!A47=BOM!A46,"",BOM!A47))</f>
        <v/>
      </c>
      <c r="C53" s="35" t="str">
        <f>IF(B53="","",IFERROR(INDEX(DM_SP!$B$5:$B$304,MATCH(B53,DM_SP!$A$5:$A$304,0)),"(chưa có trong DM_SP)"))</f>
        <v/>
      </c>
      <c r="D53" s="35" t="str">
        <f>IF(B53="","",IFERROR(INDEX(DM_SP!$C$5:$C$304,MATCH(B53,DM_SP!$A$5:$A$304,0)),""))</f>
        <v/>
      </c>
      <c r="E53" s="35" t="str">
        <f>IF(BOM!A47="","",BOM!B47)</f>
        <v/>
      </c>
      <c r="F53" s="35" t="str">
        <f>IF(E53="","",IFERROR(INDEX(DM_NL!$B$5:$B$304,MATCH(E53,DM_NL!$A$5:$A$304,0)),"(chưa có trong DM_NL)"))</f>
        <v/>
      </c>
      <c r="G53" s="35" t="str">
        <f>IF(E53="","",IFERROR(INDEX(DM_NL!$C$5:$C$304,MATCH(E53,DM_NL!$A$5:$A$304,0)),""))</f>
        <v/>
      </c>
      <c r="H53" s="39" t="str">
        <f>IF(OR(E53="",BOM!G47="KXDDM"),"",BOM!F47)</f>
        <v/>
      </c>
      <c r="I53" s="36" t="str">
        <f>IF(E53="","",BOM!G47&amp;"")</f>
        <v/>
      </c>
    </row>
    <row r="54" spans="1:9" x14ac:dyDescent="0.25">
      <c r="A54" s="36" t="str">
        <f>IF(B54="","",MAX($A$10:A53)+1)</f>
        <v/>
      </c>
      <c r="B54" s="35" t="str">
        <f>IF(BOM!A48="","",IF(BOM!A48=BOM!A47,"",BOM!A48))</f>
        <v/>
      </c>
      <c r="C54" s="35" t="str">
        <f>IF(B54="","",IFERROR(INDEX(DM_SP!$B$5:$B$304,MATCH(B54,DM_SP!$A$5:$A$304,0)),"(chưa có trong DM_SP)"))</f>
        <v/>
      </c>
      <c r="D54" s="35" t="str">
        <f>IF(B54="","",IFERROR(INDEX(DM_SP!$C$5:$C$304,MATCH(B54,DM_SP!$A$5:$A$304,0)),""))</f>
        <v/>
      </c>
      <c r="E54" s="35" t="str">
        <f>IF(BOM!A48="","",BOM!B48)</f>
        <v/>
      </c>
      <c r="F54" s="35" t="str">
        <f>IF(E54="","",IFERROR(INDEX(DM_NL!$B$5:$B$304,MATCH(E54,DM_NL!$A$5:$A$304,0)),"(chưa có trong DM_NL)"))</f>
        <v/>
      </c>
      <c r="G54" s="35" t="str">
        <f>IF(E54="","",IFERROR(INDEX(DM_NL!$C$5:$C$304,MATCH(E54,DM_NL!$A$5:$A$304,0)),""))</f>
        <v/>
      </c>
      <c r="H54" s="39" t="str">
        <f>IF(OR(E54="",BOM!G48="KXDDM"),"",BOM!F48)</f>
        <v/>
      </c>
      <c r="I54" s="36" t="str">
        <f>IF(E54="","",BOM!G48&amp;"")</f>
        <v/>
      </c>
    </row>
    <row r="55" spans="1:9" x14ac:dyDescent="0.25">
      <c r="A55" s="36" t="str">
        <f>IF(B55="","",MAX($A$10:A54)+1)</f>
        <v/>
      </c>
      <c r="B55" s="35" t="str">
        <f>IF(BOM!A49="","",IF(BOM!A49=BOM!A48,"",BOM!A49))</f>
        <v/>
      </c>
      <c r="C55" s="35" t="str">
        <f>IF(B55="","",IFERROR(INDEX(DM_SP!$B$5:$B$304,MATCH(B55,DM_SP!$A$5:$A$304,0)),"(chưa có trong DM_SP)"))</f>
        <v/>
      </c>
      <c r="D55" s="35" t="str">
        <f>IF(B55="","",IFERROR(INDEX(DM_SP!$C$5:$C$304,MATCH(B55,DM_SP!$A$5:$A$304,0)),""))</f>
        <v/>
      </c>
      <c r="E55" s="35" t="str">
        <f>IF(BOM!A49="","",BOM!B49)</f>
        <v/>
      </c>
      <c r="F55" s="35" t="str">
        <f>IF(E55="","",IFERROR(INDEX(DM_NL!$B$5:$B$304,MATCH(E55,DM_NL!$A$5:$A$304,0)),"(chưa có trong DM_NL)"))</f>
        <v/>
      </c>
      <c r="G55" s="35" t="str">
        <f>IF(E55="","",IFERROR(INDEX(DM_NL!$C$5:$C$304,MATCH(E55,DM_NL!$A$5:$A$304,0)),""))</f>
        <v/>
      </c>
      <c r="H55" s="39" t="str">
        <f>IF(OR(E55="",BOM!G49="KXDDM"),"",BOM!F49)</f>
        <v/>
      </c>
      <c r="I55" s="36" t="str">
        <f>IF(E55="","",BOM!G49&amp;"")</f>
        <v/>
      </c>
    </row>
    <row r="56" spans="1:9" x14ac:dyDescent="0.25">
      <c r="A56" s="36" t="str">
        <f>IF(B56="","",MAX($A$10:A55)+1)</f>
        <v/>
      </c>
      <c r="B56" s="35" t="str">
        <f>IF(BOM!A50="","",IF(BOM!A50=BOM!A49,"",BOM!A50))</f>
        <v/>
      </c>
      <c r="C56" s="35" t="str">
        <f>IF(B56="","",IFERROR(INDEX(DM_SP!$B$5:$B$304,MATCH(B56,DM_SP!$A$5:$A$304,0)),"(chưa có trong DM_SP)"))</f>
        <v/>
      </c>
      <c r="D56" s="35" t="str">
        <f>IF(B56="","",IFERROR(INDEX(DM_SP!$C$5:$C$304,MATCH(B56,DM_SP!$A$5:$A$304,0)),""))</f>
        <v/>
      </c>
      <c r="E56" s="35" t="str">
        <f>IF(BOM!A50="","",BOM!B50)</f>
        <v/>
      </c>
      <c r="F56" s="35" t="str">
        <f>IF(E56="","",IFERROR(INDEX(DM_NL!$B$5:$B$304,MATCH(E56,DM_NL!$A$5:$A$304,0)),"(chưa có trong DM_NL)"))</f>
        <v/>
      </c>
      <c r="G56" s="35" t="str">
        <f>IF(E56="","",IFERROR(INDEX(DM_NL!$C$5:$C$304,MATCH(E56,DM_NL!$A$5:$A$304,0)),""))</f>
        <v/>
      </c>
      <c r="H56" s="39" t="str">
        <f>IF(OR(E56="",BOM!G50="KXDDM"),"",BOM!F50)</f>
        <v/>
      </c>
      <c r="I56" s="36" t="str">
        <f>IF(E56="","",BOM!G50&amp;"")</f>
        <v/>
      </c>
    </row>
    <row r="57" spans="1:9" x14ac:dyDescent="0.25">
      <c r="A57" s="36" t="str">
        <f>IF(B57="","",MAX($A$10:A56)+1)</f>
        <v/>
      </c>
      <c r="B57" s="35" t="str">
        <f>IF(BOM!A51="","",IF(BOM!A51=BOM!A50,"",BOM!A51))</f>
        <v/>
      </c>
      <c r="C57" s="35" t="str">
        <f>IF(B57="","",IFERROR(INDEX(DM_SP!$B$5:$B$304,MATCH(B57,DM_SP!$A$5:$A$304,0)),"(chưa có trong DM_SP)"))</f>
        <v/>
      </c>
      <c r="D57" s="35" t="str">
        <f>IF(B57="","",IFERROR(INDEX(DM_SP!$C$5:$C$304,MATCH(B57,DM_SP!$A$5:$A$304,0)),""))</f>
        <v/>
      </c>
      <c r="E57" s="35" t="str">
        <f>IF(BOM!A51="","",BOM!B51)</f>
        <v/>
      </c>
      <c r="F57" s="35" t="str">
        <f>IF(E57="","",IFERROR(INDEX(DM_NL!$B$5:$B$304,MATCH(E57,DM_NL!$A$5:$A$304,0)),"(chưa có trong DM_NL)"))</f>
        <v/>
      </c>
      <c r="G57" s="35" t="str">
        <f>IF(E57="","",IFERROR(INDEX(DM_NL!$C$5:$C$304,MATCH(E57,DM_NL!$A$5:$A$304,0)),""))</f>
        <v/>
      </c>
      <c r="H57" s="39" t="str">
        <f>IF(OR(E57="",BOM!G51="KXDDM"),"",BOM!F51)</f>
        <v/>
      </c>
      <c r="I57" s="36" t="str">
        <f>IF(E57="","",BOM!G51&amp;"")</f>
        <v/>
      </c>
    </row>
    <row r="58" spans="1:9" x14ac:dyDescent="0.25">
      <c r="A58" s="36" t="str">
        <f>IF(B58="","",MAX($A$10:A57)+1)</f>
        <v/>
      </c>
      <c r="B58" s="35" t="str">
        <f>IF(BOM!A52="","",IF(BOM!A52=BOM!A51,"",BOM!A52))</f>
        <v/>
      </c>
      <c r="C58" s="35" t="str">
        <f>IF(B58="","",IFERROR(INDEX(DM_SP!$B$5:$B$304,MATCH(B58,DM_SP!$A$5:$A$304,0)),"(chưa có trong DM_SP)"))</f>
        <v/>
      </c>
      <c r="D58" s="35" t="str">
        <f>IF(B58="","",IFERROR(INDEX(DM_SP!$C$5:$C$304,MATCH(B58,DM_SP!$A$5:$A$304,0)),""))</f>
        <v/>
      </c>
      <c r="E58" s="35" t="str">
        <f>IF(BOM!A52="","",BOM!B52)</f>
        <v/>
      </c>
      <c r="F58" s="35" t="str">
        <f>IF(E58="","",IFERROR(INDEX(DM_NL!$B$5:$B$304,MATCH(E58,DM_NL!$A$5:$A$304,0)),"(chưa có trong DM_NL)"))</f>
        <v/>
      </c>
      <c r="G58" s="35" t="str">
        <f>IF(E58="","",IFERROR(INDEX(DM_NL!$C$5:$C$304,MATCH(E58,DM_NL!$A$5:$A$304,0)),""))</f>
        <v/>
      </c>
      <c r="H58" s="39" t="str">
        <f>IF(OR(E58="",BOM!G52="KXDDM"),"",BOM!F52)</f>
        <v/>
      </c>
      <c r="I58" s="36" t="str">
        <f>IF(E58="","",BOM!G52&amp;"")</f>
        <v/>
      </c>
    </row>
    <row r="59" spans="1:9" x14ac:dyDescent="0.25">
      <c r="A59" s="36" t="str">
        <f>IF(B59="","",MAX($A$10:A58)+1)</f>
        <v/>
      </c>
      <c r="B59" s="35" t="str">
        <f>IF(BOM!A53="","",IF(BOM!A53=BOM!A52,"",BOM!A53))</f>
        <v/>
      </c>
      <c r="C59" s="35" t="str">
        <f>IF(B59="","",IFERROR(INDEX(DM_SP!$B$5:$B$304,MATCH(B59,DM_SP!$A$5:$A$304,0)),"(chưa có trong DM_SP)"))</f>
        <v/>
      </c>
      <c r="D59" s="35" t="str">
        <f>IF(B59="","",IFERROR(INDEX(DM_SP!$C$5:$C$304,MATCH(B59,DM_SP!$A$5:$A$304,0)),""))</f>
        <v/>
      </c>
      <c r="E59" s="35" t="str">
        <f>IF(BOM!A53="","",BOM!B53)</f>
        <v/>
      </c>
      <c r="F59" s="35" t="str">
        <f>IF(E59="","",IFERROR(INDEX(DM_NL!$B$5:$B$304,MATCH(E59,DM_NL!$A$5:$A$304,0)),"(chưa có trong DM_NL)"))</f>
        <v/>
      </c>
      <c r="G59" s="35" t="str">
        <f>IF(E59="","",IFERROR(INDEX(DM_NL!$C$5:$C$304,MATCH(E59,DM_NL!$A$5:$A$304,0)),""))</f>
        <v/>
      </c>
      <c r="H59" s="39" t="str">
        <f>IF(OR(E59="",BOM!G53="KXDDM"),"",BOM!F53)</f>
        <v/>
      </c>
      <c r="I59" s="36" t="str">
        <f>IF(E59="","",BOM!G53&amp;"")</f>
        <v/>
      </c>
    </row>
    <row r="60" spans="1:9" x14ac:dyDescent="0.25">
      <c r="A60" s="36" t="str">
        <f>IF(B60="","",MAX($A$10:A59)+1)</f>
        <v/>
      </c>
      <c r="B60" s="35" t="str">
        <f>IF(BOM!A54="","",IF(BOM!A54=BOM!A53,"",BOM!A54))</f>
        <v/>
      </c>
      <c r="C60" s="35" t="str">
        <f>IF(B60="","",IFERROR(INDEX(DM_SP!$B$5:$B$304,MATCH(B60,DM_SP!$A$5:$A$304,0)),"(chưa có trong DM_SP)"))</f>
        <v/>
      </c>
      <c r="D60" s="35" t="str">
        <f>IF(B60="","",IFERROR(INDEX(DM_SP!$C$5:$C$304,MATCH(B60,DM_SP!$A$5:$A$304,0)),""))</f>
        <v/>
      </c>
      <c r="E60" s="35" t="str">
        <f>IF(BOM!A54="","",BOM!B54)</f>
        <v/>
      </c>
      <c r="F60" s="35" t="str">
        <f>IF(E60="","",IFERROR(INDEX(DM_NL!$B$5:$B$304,MATCH(E60,DM_NL!$A$5:$A$304,0)),"(chưa có trong DM_NL)"))</f>
        <v/>
      </c>
      <c r="G60" s="35" t="str">
        <f>IF(E60="","",IFERROR(INDEX(DM_NL!$C$5:$C$304,MATCH(E60,DM_NL!$A$5:$A$304,0)),""))</f>
        <v/>
      </c>
      <c r="H60" s="39" t="str">
        <f>IF(OR(E60="",BOM!G54="KXDDM"),"",BOM!F54)</f>
        <v/>
      </c>
      <c r="I60" s="36" t="str">
        <f>IF(E60="","",BOM!G54&amp;"")</f>
        <v/>
      </c>
    </row>
    <row r="61" spans="1:9" x14ac:dyDescent="0.25">
      <c r="A61" s="36" t="str">
        <f>IF(B61="","",MAX($A$10:A60)+1)</f>
        <v/>
      </c>
      <c r="B61" s="35" t="str">
        <f>IF(BOM!A55="","",IF(BOM!A55=BOM!A54,"",BOM!A55))</f>
        <v/>
      </c>
      <c r="C61" s="35" t="str">
        <f>IF(B61="","",IFERROR(INDEX(DM_SP!$B$5:$B$304,MATCH(B61,DM_SP!$A$5:$A$304,0)),"(chưa có trong DM_SP)"))</f>
        <v/>
      </c>
      <c r="D61" s="35" t="str">
        <f>IF(B61="","",IFERROR(INDEX(DM_SP!$C$5:$C$304,MATCH(B61,DM_SP!$A$5:$A$304,0)),""))</f>
        <v/>
      </c>
      <c r="E61" s="35" t="str">
        <f>IF(BOM!A55="","",BOM!B55)</f>
        <v/>
      </c>
      <c r="F61" s="35" t="str">
        <f>IF(E61="","",IFERROR(INDEX(DM_NL!$B$5:$B$304,MATCH(E61,DM_NL!$A$5:$A$304,0)),"(chưa có trong DM_NL)"))</f>
        <v/>
      </c>
      <c r="G61" s="35" t="str">
        <f>IF(E61="","",IFERROR(INDEX(DM_NL!$C$5:$C$304,MATCH(E61,DM_NL!$A$5:$A$304,0)),""))</f>
        <v/>
      </c>
      <c r="H61" s="39" t="str">
        <f>IF(OR(E61="",BOM!G55="KXDDM"),"",BOM!F55)</f>
        <v/>
      </c>
      <c r="I61" s="36" t="str">
        <f>IF(E61="","",BOM!G55&amp;"")</f>
        <v/>
      </c>
    </row>
    <row r="62" spans="1:9" x14ac:dyDescent="0.25">
      <c r="A62" s="36" t="str">
        <f>IF(B62="","",MAX($A$10:A61)+1)</f>
        <v/>
      </c>
      <c r="B62" s="35" t="str">
        <f>IF(BOM!A56="","",IF(BOM!A56=BOM!A55,"",BOM!A56))</f>
        <v/>
      </c>
      <c r="C62" s="35" t="str">
        <f>IF(B62="","",IFERROR(INDEX(DM_SP!$B$5:$B$304,MATCH(B62,DM_SP!$A$5:$A$304,0)),"(chưa có trong DM_SP)"))</f>
        <v/>
      </c>
      <c r="D62" s="35" t="str">
        <f>IF(B62="","",IFERROR(INDEX(DM_SP!$C$5:$C$304,MATCH(B62,DM_SP!$A$5:$A$304,0)),""))</f>
        <v/>
      </c>
      <c r="E62" s="35" t="str">
        <f>IF(BOM!A56="","",BOM!B56)</f>
        <v/>
      </c>
      <c r="F62" s="35" t="str">
        <f>IF(E62="","",IFERROR(INDEX(DM_NL!$B$5:$B$304,MATCH(E62,DM_NL!$A$5:$A$304,0)),"(chưa có trong DM_NL)"))</f>
        <v/>
      </c>
      <c r="G62" s="35" t="str">
        <f>IF(E62="","",IFERROR(INDEX(DM_NL!$C$5:$C$304,MATCH(E62,DM_NL!$A$5:$A$304,0)),""))</f>
        <v/>
      </c>
      <c r="H62" s="39" t="str">
        <f>IF(OR(E62="",BOM!G56="KXDDM"),"",BOM!F56)</f>
        <v/>
      </c>
      <c r="I62" s="36" t="str">
        <f>IF(E62="","",BOM!G56&amp;"")</f>
        <v/>
      </c>
    </row>
    <row r="63" spans="1:9" x14ac:dyDescent="0.25">
      <c r="A63" s="36" t="str">
        <f>IF(B63="","",MAX($A$10:A62)+1)</f>
        <v/>
      </c>
      <c r="B63" s="35" t="str">
        <f>IF(BOM!A57="","",IF(BOM!A57=BOM!A56,"",BOM!A57))</f>
        <v/>
      </c>
      <c r="C63" s="35" t="str">
        <f>IF(B63="","",IFERROR(INDEX(DM_SP!$B$5:$B$304,MATCH(B63,DM_SP!$A$5:$A$304,0)),"(chưa có trong DM_SP)"))</f>
        <v/>
      </c>
      <c r="D63" s="35" t="str">
        <f>IF(B63="","",IFERROR(INDEX(DM_SP!$C$5:$C$304,MATCH(B63,DM_SP!$A$5:$A$304,0)),""))</f>
        <v/>
      </c>
      <c r="E63" s="35" t="str">
        <f>IF(BOM!A57="","",BOM!B57)</f>
        <v/>
      </c>
      <c r="F63" s="35" t="str">
        <f>IF(E63="","",IFERROR(INDEX(DM_NL!$B$5:$B$304,MATCH(E63,DM_NL!$A$5:$A$304,0)),"(chưa có trong DM_NL)"))</f>
        <v/>
      </c>
      <c r="G63" s="35" t="str">
        <f>IF(E63="","",IFERROR(INDEX(DM_NL!$C$5:$C$304,MATCH(E63,DM_NL!$A$5:$A$304,0)),""))</f>
        <v/>
      </c>
      <c r="H63" s="39" t="str">
        <f>IF(OR(E63="",BOM!G57="KXDDM"),"",BOM!F57)</f>
        <v/>
      </c>
      <c r="I63" s="36" t="str">
        <f>IF(E63="","",BOM!G57&amp;"")</f>
        <v/>
      </c>
    </row>
    <row r="64" spans="1:9" x14ac:dyDescent="0.25">
      <c r="A64" s="36" t="str">
        <f>IF(B64="","",MAX($A$10:A63)+1)</f>
        <v/>
      </c>
      <c r="B64" s="35" t="str">
        <f>IF(BOM!A58="","",IF(BOM!A58=BOM!A57,"",BOM!A58))</f>
        <v/>
      </c>
      <c r="C64" s="35" t="str">
        <f>IF(B64="","",IFERROR(INDEX(DM_SP!$B$5:$B$304,MATCH(B64,DM_SP!$A$5:$A$304,0)),"(chưa có trong DM_SP)"))</f>
        <v/>
      </c>
      <c r="D64" s="35" t="str">
        <f>IF(B64="","",IFERROR(INDEX(DM_SP!$C$5:$C$304,MATCH(B64,DM_SP!$A$5:$A$304,0)),""))</f>
        <v/>
      </c>
      <c r="E64" s="35" t="str">
        <f>IF(BOM!A58="","",BOM!B58)</f>
        <v/>
      </c>
      <c r="F64" s="35" t="str">
        <f>IF(E64="","",IFERROR(INDEX(DM_NL!$B$5:$B$304,MATCH(E64,DM_NL!$A$5:$A$304,0)),"(chưa có trong DM_NL)"))</f>
        <v/>
      </c>
      <c r="G64" s="35" t="str">
        <f>IF(E64="","",IFERROR(INDEX(DM_NL!$C$5:$C$304,MATCH(E64,DM_NL!$A$5:$A$304,0)),""))</f>
        <v/>
      </c>
      <c r="H64" s="39" t="str">
        <f>IF(OR(E64="",BOM!G58="KXDDM"),"",BOM!F58)</f>
        <v/>
      </c>
      <c r="I64" s="36" t="str">
        <f>IF(E64="","",BOM!G58&amp;"")</f>
        <v/>
      </c>
    </row>
    <row r="65" spans="1:9" x14ac:dyDescent="0.25">
      <c r="A65" s="36" t="str">
        <f>IF(B65="","",MAX($A$10:A64)+1)</f>
        <v/>
      </c>
      <c r="B65" s="35" t="str">
        <f>IF(BOM!A59="","",IF(BOM!A59=BOM!A58,"",BOM!A59))</f>
        <v/>
      </c>
      <c r="C65" s="35" t="str">
        <f>IF(B65="","",IFERROR(INDEX(DM_SP!$B$5:$B$304,MATCH(B65,DM_SP!$A$5:$A$304,0)),"(chưa có trong DM_SP)"))</f>
        <v/>
      </c>
      <c r="D65" s="35" t="str">
        <f>IF(B65="","",IFERROR(INDEX(DM_SP!$C$5:$C$304,MATCH(B65,DM_SP!$A$5:$A$304,0)),""))</f>
        <v/>
      </c>
      <c r="E65" s="35" t="str">
        <f>IF(BOM!A59="","",BOM!B59)</f>
        <v/>
      </c>
      <c r="F65" s="35" t="str">
        <f>IF(E65="","",IFERROR(INDEX(DM_NL!$B$5:$B$304,MATCH(E65,DM_NL!$A$5:$A$304,0)),"(chưa có trong DM_NL)"))</f>
        <v/>
      </c>
      <c r="G65" s="35" t="str">
        <f>IF(E65="","",IFERROR(INDEX(DM_NL!$C$5:$C$304,MATCH(E65,DM_NL!$A$5:$A$304,0)),""))</f>
        <v/>
      </c>
      <c r="H65" s="39" t="str">
        <f>IF(OR(E65="",BOM!G59="KXDDM"),"",BOM!F59)</f>
        <v/>
      </c>
      <c r="I65" s="36" t="str">
        <f>IF(E65="","",BOM!G59&amp;"")</f>
        <v/>
      </c>
    </row>
    <row r="66" spans="1:9" x14ac:dyDescent="0.25">
      <c r="A66" s="36" t="str">
        <f>IF(B66="","",MAX($A$10:A65)+1)</f>
        <v/>
      </c>
      <c r="B66" s="35" t="str">
        <f>IF(BOM!A60="","",IF(BOM!A60=BOM!A59,"",BOM!A60))</f>
        <v/>
      </c>
      <c r="C66" s="35" t="str">
        <f>IF(B66="","",IFERROR(INDEX(DM_SP!$B$5:$B$304,MATCH(B66,DM_SP!$A$5:$A$304,0)),"(chưa có trong DM_SP)"))</f>
        <v/>
      </c>
      <c r="D66" s="35" t="str">
        <f>IF(B66="","",IFERROR(INDEX(DM_SP!$C$5:$C$304,MATCH(B66,DM_SP!$A$5:$A$304,0)),""))</f>
        <v/>
      </c>
      <c r="E66" s="35" t="str">
        <f>IF(BOM!A60="","",BOM!B60)</f>
        <v/>
      </c>
      <c r="F66" s="35" t="str">
        <f>IF(E66="","",IFERROR(INDEX(DM_NL!$B$5:$B$304,MATCH(E66,DM_NL!$A$5:$A$304,0)),"(chưa có trong DM_NL)"))</f>
        <v/>
      </c>
      <c r="G66" s="35" t="str">
        <f>IF(E66="","",IFERROR(INDEX(DM_NL!$C$5:$C$304,MATCH(E66,DM_NL!$A$5:$A$304,0)),""))</f>
        <v/>
      </c>
      <c r="H66" s="39" t="str">
        <f>IF(OR(E66="",BOM!G60="KXDDM"),"",BOM!F60)</f>
        <v/>
      </c>
      <c r="I66" s="36" t="str">
        <f>IF(E66="","",BOM!G60&amp;"")</f>
        <v/>
      </c>
    </row>
    <row r="67" spans="1:9" x14ac:dyDescent="0.25">
      <c r="A67" s="36" t="str">
        <f>IF(B67="","",MAX($A$10:A66)+1)</f>
        <v/>
      </c>
      <c r="B67" s="35" t="str">
        <f>IF(BOM!A61="","",IF(BOM!A61=BOM!A60,"",BOM!A61))</f>
        <v/>
      </c>
      <c r="C67" s="35" t="str">
        <f>IF(B67="","",IFERROR(INDEX(DM_SP!$B$5:$B$304,MATCH(B67,DM_SP!$A$5:$A$304,0)),"(chưa có trong DM_SP)"))</f>
        <v/>
      </c>
      <c r="D67" s="35" t="str">
        <f>IF(B67="","",IFERROR(INDEX(DM_SP!$C$5:$C$304,MATCH(B67,DM_SP!$A$5:$A$304,0)),""))</f>
        <v/>
      </c>
      <c r="E67" s="35" t="str">
        <f>IF(BOM!A61="","",BOM!B61)</f>
        <v/>
      </c>
      <c r="F67" s="35" t="str">
        <f>IF(E67="","",IFERROR(INDEX(DM_NL!$B$5:$B$304,MATCH(E67,DM_NL!$A$5:$A$304,0)),"(chưa có trong DM_NL)"))</f>
        <v/>
      </c>
      <c r="G67" s="35" t="str">
        <f>IF(E67="","",IFERROR(INDEX(DM_NL!$C$5:$C$304,MATCH(E67,DM_NL!$A$5:$A$304,0)),""))</f>
        <v/>
      </c>
      <c r="H67" s="39" t="str">
        <f>IF(OR(E67="",BOM!G61="KXDDM"),"",BOM!F61)</f>
        <v/>
      </c>
      <c r="I67" s="36" t="str">
        <f>IF(E67="","",BOM!G61&amp;"")</f>
        <v/>
      </c>
    </row>
    <row r="68" spans="1:9" x14ac:dyDescent="0.25">
      <c r="A68" s="36" t="str">
        <f>IF(B68="","",MAX($A$10:A67)+1)</f>
        <v/>
      </c>
      <c r="B68" s="35" t="str">
        <f>IF(BOM!A62="","",IF(BOM!A62=BOM!A61,"",BOM!A62))</f>
        <v/>
      </c>
      <c r="C68" s="35" t="str">
        <f>IF(B68="","",IFERROR(INDEX(DM_SP!$B$5:$B$304,MATCH(B68,DM_SP!$A$5:$A$304,0)),"(chưa có trong DM_SP)"))</f>
        <v/>
      </c>
      <c r="D68" s="35" t="str">
        <f>IF(B68="","",IFERROR(INDEX(DM_SP!$C$5:$C$304,MATCH(B68,DM_SP!$A$5:$A$304,0)),""))</f>
        <v/>
      </c>
      <c r="E68" s="35" t="str">
        <f>IF(BOM!A62="","",BOM!B62)</f>
        <v/>
      </c>
      <c r="F68" s="35" t="str">
        <f>IF(E68="","",IFERROR(INDEX(DM_NL!$B$5:$B$304,MATCH(E68,DM_NL!$A$5:$A$304,0)),"(chưa có trong DM_NL)"))</f>
        <v/>
      </c>
      <c r="G68" s="35" t="str">
        <f>IF(E68="","",IFERROR(INDEX(DM_NL!$C$5:$C$304,MATCH(E68,DM_NL!$A$5:$A$304,0)),""))</f>
        <v/>
      </c>
      <c r="H68" s="39" t="str">
        <f>IF(OR(E68="",BOM!G62="KXDDM"),"",BOM!F62)</f>
        <v/>
      </c>
      <c r="I68" s="36" t="str">
        <f>IF(E68="","",BOM!G62&amp;"")</f>
        <v/>
      </c>
    </row>
    <row r="69" spans="1:9" x14ac:dyDescent="0.25">
      <c r="A69" s="36" t="str">
        <f>IF(B69="","",MAX($A$10:A68)+1)</f>
        <v/>
      </c>
      <c r="B69" s="35" t="str">
        <f>IF(BOM!A63="","",IF(BOM!A63=BOM!A62,"",BOM!A63))</f>
        <v/>
      </c>
      <c r="C69" s="35" t="str">
        <f>IF(B69="","",IFERROR(INDEX(DM_SP!$B$5:$B$304,MATCH(B69,DM_SP!$A$5:$A$304,0)),"(chưa có trong DM_SP)"))</f>
        <v/>
      </c>
      <c r="D69" s="35" t="str">
        <f>IF(B69="","",IFERROR(INDEX(DM_SP!$C$5:$C$304,MATCH(B69,DM_SP!$A$5:$A$304,0)),""))</f>
        <v/>
      </c>
      <c r="E69" s="35" t="str">
        <f>IF(BOM!A63="","",BOM!B63)</f>
        <v/>
      </c>
      <c r="F69" s="35" t="str">
        <f>IF(E69="","",IFERROR(INDEX(DM_NL!$B$5:$B$304,MATCH(E69,DM_NL!$A$5:$A$304,0)),"(chưa có trong DM_NL)"))</f>
        <v/>
      </c>
      <c r="G69" s="35" t="str">
        <f>IF(E69="","",IFERROR(INDEX(DM_NL!$C$5:$C$304,MATCH(E69,DM_NL!$A$5:$A$304,0)),""))</f>
        <v/>
      </c>
      <c r="H69" s="39" t="str">
        <f>IF(OR(E69="",BOM!G63="KXDDM"),"",BOM!F63)</f>
        <v/>
      </c>
      <c r="I69" s="36" t="str">
        <f>IF(E69="","",BOM!G63&amp;"")</f>
        <v/>
      </c>
    </row>
    <row r="70" spans="1:9" x14ac:dyDescent="0.25">
      <c r="A70" s="36" t="str">
        <f>IF(B70="","",MAX($A$10:A69)+1)</f>
        <v/>
      </c>
      <c r="B70" s="35" t="str">
        <f>IF(BOM!A64="","",IF(BOM!A64=BOM!A63,"",BOM!A64))</f>
        <v/>
      </c>
      <c r="C70" s="35" t="str">
        <f>IF(B70="","",IFERROR(INDEX(DM_SP!$B$5:$B$304,MATCH(B70,DM_SP!$A$5:$A$304,0)),"(chưa có trong DM_SP)"))</f>
        <v/>
      </c>
      <c r="D70" s="35" t="str">
        <f>IF(B70="","",IFERROR(INDEX(DM_SP!$C$5:$C$304,MATCH(B70,DM_SP!$A$5:$A$304,0)),""))</f>
        <v/>
      </c>
      <c r="E70" s="35" t="str">
        <f>IF(BOM!A64="","",BOM!B64)</f>
        <v/>
      </c>
      <c r="F70" s="35" t="str">
        <f>IF(E70="","",IFERROR(INDEX(DM_NL!$B$5:$B$304,MATCH(E70,DM_NL!$A$5:$A$304,0)),"(chưa có trong DM_NL)"))</f>
        <v/>
      </c>
      <c r="G70" s="35" t="str">
        <f>IF(E70="","",IFERROR(INDEX(DM_NL!$C$5:$C$304,MATCH(E70,DM_NL!$A$5:$A$304,0)),""))</f>
        <v/>
      </c>
      <c r="H70" s="39" t="str">
        <f>IF(OR(E70="",BOM!G64="KXDDM"),"",BOM!F64)</f>
        <v/>
      </c>
      <c r="I70" s="36" t="str">
        <f>IF(E70="","",BOM!G64&amp;"")</f>
        <v/>
      </c>
    </row>
    <row r="71" spans="1:9" x14ac:dyDescent="0.25">
      <c r="A71" s="36" t="str">
        <f>IF(B71="","",MAX($A$10:A70)+1)</f>
        <v/>
      </c>
      <c r="B71" s="35" t="str">
        <f>IF(BOM!A65="","",IF(BOM!A65=BOM!A64,"",BOM!A65))</f>
        <v/>
      </c>
      <c r="C71" s="35" t="str">
        <f>IF(B71="","",IFERROR(INDEX(DM_SP!$B$5:$B$304,MATCH(B71,DM_SP!$A$5:$A$304,0)),"(chưa có trong DM_SP)"))</f>
        <v/>
      </c>
      <c r="D71" s="35" t="str">
        <f>IF(B71="","",IFERROR(INDEX(DM_SP!$C$5:$C$304,MATCH(B71,DM_SP!$A$5:$A$304,0)),""))</f>
        <v/>
      </c>
      <c r="E71" s="35" t="str">
        <f>IF(BOM!A65="","",BOM!B65)</f>
        <v/>
      </c>
      <c r="F71" s="35" t="str">
        <f>IF(E71="","",IFERROR(INDEX(DM_NL!$B$5:$B$304,MATCH(E71,DM_NL!$A$5:$A$304,0)),"(chưa có trong DM_NL)"))</f>
        <v/>
      </c>
      <c r="G71" s="35" t="str">
        <f>IF(E71="","",IFERROR(INDEX(DM_NL!$C$5:$C$304,MATCH(E71,DM_NL!$A$5:$A$304,0)),""))</f>
        <v/>
      </c>
      <c r="H71" s="39" t="str">
        <f>IF(OR(E71="",BOM!G65="KXDDM"),"",BOM!F65)</f>
        <v/>
      </c>
      <c r="I71" s="36" t="str">
        <f>IF(E71="","",BOM!G65&amp;"")</f>
        <v/>
      </c>
    </row>
    <row r="72" spans="1:9" x14ac:dyDescent="0.25">
      <c r="A72" s="36" t="str">
        <f>IF(B72="","",MAX($A$10:A71)+1)</f>
        <v/>
      </c>
      <c r="B72" s="35" t="str">
        <f>IF(BOM!A66="","",IF(BOM!A66=BOM!A65,"",BOM!A66))</f>
        <v/>
      </c>
      <c r="C72" s="35" t="str">
        <f>IF(B72="","",IFERROR(INDEX(DM_SP!$B$5:$B$304,MATCH(B72,DM_SP!$A$5:$A$304,0)),"(chưa có trong DM_SP)"))</f>
        <v/>
      </c>
      <c r="D72" s="35" t="str">
        <f>IF(B72="","",IFERROR(INDEX(DM_SP!$C$5:$C$304,MATCH(B72,DM_SP!$A$5:$A$304,0)),""))</f>
        <v/>
      </c>
      <c r="E72" s="35" t="str">
        <f>IF(BOM!A66="","",BOM!B66)</f>
        <v/>
      </c>
      <c r="F72" s="35" t="str">
        <f>IF(E72="","",IFERROR(INDEX(DM_NL!$B$5:$B$304,MATCH(E72,DM_NL!$A$5:$A$304,0)),"(chưa có trong DM_NL)"))</f>
        <v/>
      </c>
      <c r="G72" s="35" t="str">
        <f>IF(E72="","",IFERROR(INDEX(DM_NL!$C$5:$C$304,MATCH(E72,DM_NL!$A$5:$A$304,0)),""))</f>
        <v/>
      </c>
      <c r="H72" s="39" t="str">
        <f>IF(OR(E72="",BOM!G66="KXDDM"),"",BOM!F66)</f>
        <v/>
      </c>
      <c r="I72" s="36" t="str">
        <f>IF(E72="","",BOM!G66&amp;"")</f>
        <v/>
      </c>
    </row>
    <row r="73" spans="1:9" x14ac:dyDescent="0.25">
      <c r="A73" s="36" t="str">
        <f>IF(B73="","",MAX($A$10:A72)+1)</f>
        <v/>
      </c>
      <c r="B73" s="35" t="str">
        <f>IF(BOM!A67="","",IF(BOM!A67=BOM!A66,"",BOM!A67))</f>
        <v/>
      </c>
      <c r="C73" s="35" t="str">
        <f>IF(B73="","",IFERROR(INDEX(DM_SP!$B$5:$B$304,MATCH(B73,DM_SP!$A$5:$A$304,0)),"(chưa có trong DM_SP)"))</f>
        <v/>
      </c>
      <c r="D73" s="35" t="str">
        <f>IF(B73="","",IFERROR(INDEX(DM_SP!$C$5:$C$304,MATCH(B73,DM_SP!$A$5:$A$304,0)),""))</f>
        <v/>
      </c>
      <c r="E73" s="35" t="str">
        <f>IF(BOM!A67="","",BOM!B67)</f>
        <v/>
      </c>
      <c r="F73" s="35" t="str">
        <f>IF(E73="","",IFERROR(INDEX(DM_NL!$B$5:$B$304,MATCH(E73,DM_NL!$A$5:$A$304,0)),"(chưa có trong DM_NL)"))</f>
        <v/>
      </c>
      <c r="G73" s="35" t="str">
        <f>IF(E73="","",IFERROR(INDEX(DM_NL!$C$5:$C$304,MATCH(E73,DM_NL!$A$5:$A$304,0)),""))</f>
        <v/>
      </c>
      <c r="H73" s="39" t="str">
        <f>IF(OR(E73="",BOM!G67="KXDDM"),"",BOM!F67)</f>
        <v/>
      </c>
      <c r="I73" s="36" t="str">
        <f>IF(E73="","",BOM!G67&amp;"")</f>
        <v/>
      </c>
    </row>
    <row r="74" spans="1:9" x14ac:dyDescent="0.25">
      <c r="A74" s="36" t="str">
        <f>IF(B74="","",MAX($A$10:A73)+1)</f>
        <v/>
      </c>
      <c r="B74" s="35" t="str">
        <f>IF(BOM!A68="","",IF(BOM!A68=BOM!A67,"",BOM!A68))</f>
        <v/>
      </c>
      <c r="C74" s="35" t="str">
        <f>IF(B74="","",IFERROR(INDEX(DM_SP!$B$5:$B$304,MATCH(B74,DM_SP!$A$5:$A$304,0)),"(chưa có trong DM_SP)"))</f>
        <v/>
      </c>
      <c r="D74" s="35" t="str">
        <f>IF(B74="","",IFERROR(INDEX(DM_SP!$C$5:$C$304,MATCH(B74,DM_SP!$A$5:$A$304,0)),""))</f>
        <v/>
      </c>
      <c r="E74" s="35" t="str">
        <f>IF(BOM!A68="","",BOM!B68)</f>
        <v/>
      </c>
      <c r="F74" s="35" t="str">
        <f>IF(E74="","",IFERROR(INDEX(DM_NL!$B$5:$B$304,MATCH(E74,DM_NL!$A$5:$A$304,0)),"(chưa có trong DM_NL)"))</f>
        <v/>
      </c>
      <c r="G74" s="35" t="str">
        <f>IF(E74="","",IFERROR(INDEX(DM_NL!$C$5:$C$304,MATCH(E74,DM_NL!$A$5:$A$304,0)),""))</f>
        <v/>
      </c>
      <c r="H74" s="39" t="str">
        <f>IF(OR(E74="",BOM!G68="KXDDM"),"",BOM!F68)</f>
        <v/>
      </c>
      <c r="I74" s="36" t="str">
        <f>IF(E74="","",BOM!G68&amp;"")</f>
        <v/>
      </c>
    </row>
    <row r="75" spans="1:9" x14ac:dyDescent="0.25">
      <c r="A75" s="36" t="str">
        <f>IF(B75="","",MAX($A$10:A74)+1)</f>
        <v/>
      </c>
      <c r="B75" s="35" t="str">
        <f>IF(BOM!A69="","",IF(BOM!A69=BOM!A68,"",BOM!A69))</f>
        <v/>
      </c>
      <c r="C75" s="35" t="str">
        <f>IF(B75="","",IFERROR(INDEX(DM_SP!$B$5:$B$304,MATCH(B75,DM_SP!$A$5:$A$304,0)),"(chưa có trong DM_SP)"))</f>
        <v/>
      </c>
      <c r="D75" s="35" t="str">
        <f>IF(B75="","",IFERROR(INDEX(DM_SP!$C$5:$C$304,MATCH(B75,DM_SP!$A$5:$A$304,0)),""))</f>
        <v/>
      </c>
      <c r="E75" s="35" t="str">
        <f>IF(BOM!A69="","",BOM!B69)</f>
        <v/>
      </c>
      <c r="F75" s="35" t="str">
        <f>IF(E75="","",IFERROR(INDEX(DM_NL!$B$5:$B$304,MATCH(E75,DM_NL!$A$5:$A$304,0)),"(chưa có trong DM_NL)"))</f>
        <v/>
      </c>
      <c r="G75" s="35" t="str">
        <f>IF(E75="","",IFERROR(INDEX(DM_NL!$C$5:$C$304,MATCH(E75,DM_NL!$A$5:$A$304,0)),""))</f>
        <v/>
      </c>
      <c r="H75" s="39" t="str">
        <f>IF(OR(E75="",BOM!G69="KXDDM"),"",BOM!F69)</f>
        <v/>
      </c>
      <c r="I75" s="36" t="str">
        <f>IF(E75="","",BOM!G69&amp;"")</f>
        <v/>
      </c>
    </row>
    <row r="76" spans="1:9" x14ac:dyDescent="0.25">
      <c r="A76" s="36" t="str">
        <f>IF(B76="","",MAX($A$10:A75)+1)</f>
        <v/>
      </c>
      <c r="B76" s="35" t="str">
        <f>IF(BOM!A70="","",IF(BOM!A70=BOM!A69,"",BOM!A70))</f>
        <v/>
      </c>
      <c r="C76" s="35" t="str">
        <f>IF(B76="","",IFERROR(INDEX(DM_SP!$B$5:$B$304,MATCH(B76,DM_SP!$A$5:$A$304,0)),"(chưa có trong DM_SP)"))</f>
        <v/>
      </c>
      <c r="D76" s="35" t="str">
        <f>IF(B76="","",IFERROR(INDEX(DM_SP!$C$5:$C$304,MATCH(B76,DM_SP!$A$5:$A$304,0)),""))</f>
        <v/>
      </c>
      <c r="E76" s="35" t="str">
        <f>IF(BOM!A70="","",BOM!B70)</f>
        <v/>
      </c>
      <c r="F76" s="35" t="str">
        <f>IF(E76="","",IFERROR(INDEX(DM_NL!$B$5:$B$304,MATCH(E76,DM_NL!$A$5:$A$304,0)),"(chưa có trong DM_NL)"))</f>
        <v/>
      </c>
      <c r="G76" s="35" t="str">
        <f>IF(E76="","",IFERROR(INDEX(DM_NL!$C$5:$C$304,MATCH(E76,DM_NL!$A$5:$A$304,0)),""))</f>
        <v/>
      </c>
      <c r="H76" s="39" t="str">
        <f>IF(OR(E76="",BOM!G70="KXDDM"),"",BOM!F70)</f>
        <v/>
      </c>
      <c r="I76" s="36" t="str">
        <f>IF(E76="","",BOM!G70&amp;"")</f>
        <v/>
      </c>
    </row>
    <row r="77" spans="1:9" x14ac:dyDescent="0.25">
      <c r="A77" s="36" t="str">
        <f>IF(B77="","",MAX($A$10:A76)+1)</f>
        <v/>
      </c>
      <c r="B77" s="35" t="str">
        <f>IF(BOM!A71="","",IF(BOM!A71=BOM!A70,"",BOM!A71))</f>
        <v/>
      </c>
      <c r="C77" s="35" t="str">
        <f>IF(B77="","",IFERROR(INDEX(DM_SP!$B$5:$B$304,MATCH(B77,DM_SP!$A$5:$A$304,0)),"(chưa có trong DM_SP)"))</f>
        <v/>
      </c>
      <c r="D77" s="35" t="str">
        <f>IF(B77="","",IFERROR(INDEX(DM_SP!$C$5:$C$304,MATCH(B77,DM_SP!$A$5:$A$304,0)),""))</f>
        <v/>
      </c>
      <c r="E77" s="35" t="str">
        <f>IF(BOM!A71="","",BOM!B71)</f>
        <v/>
      </c>
      <c r="F77" s="35" t="str">
        <f>IF(E77="","",IFERROR(INDEX(DM_NL!$B$5:$B$304,MATCH(E77,DM_NL!$A$5:$A$304,0)),"(chưa có trong DM_NL)"))</f>
        <v/>
      </c>
      <c r="G77" s="35" t="str">
        <f>IF(E77="","",IFERROR(INDEX(DM_NL!$C$5:$C$304,MATCH(E77,DM_NL!$A$5:$A$304,0)),""))</f>
        <v/>
      </c>
      <c r="H77" s="39" t="str">
        <f>IF(OR(E77="",BOM!G71="KXDDM"),"",BOM!F71)</f>
        <v/>
      </c>
      <c r="I77" s="36" t="str">
        <f>IF(E77="","",BOM!G71&amp;"")</f>
        <v/>
      </c>
    </row>
    <row r="78" spans="1:9" x14ac:dyDescent="0.25">
      <c r="A78" s="36" t="str">
        <f>IF(B78="","",MAX($A$10:A77)+1)</f>
        <v/>
      </c>
      <c r="B78" s="35" t="str">
        <f>IF(BOM!A72="","",IF(BOM!A72=BOM!A71,"",BOM!A72))</f>
        <v/>
      </c>
      <c r="C78" s="35" t="str">
        <f>IF(B78="","",IFERROR(INDEX(DM_SP!$B$5:$B$304,MATCH(B78,DM_SP!$A$5:$A$304,0)),"(chưa có trong DM_SP)"))</f>
        <v/>
      </c>
      <c r="D78" s="35" t="str">
        <f>IF(B78="","",IFERROR(INDEX(DM_SP!$C$5:$C$304,MATCH(B78,DM_SP!$A$5:$A$304,0)),""))</f>
        <v/>
      </c>
      <c r="E78" s="35" t="str">
        <f>IF(BOM!A72="","",BOM!B72)</f>
        <v/>
      </c>
      <c r="F78" s="35" t="str">
        <f>IF(E78="","",IFERROR(INDEX(DM_NL!$B$5:$B$304,MATCH(E78,DM_NL!$A$5:$A$304,0)),"(chưa có trong DM_NL)"))</f>
        <v/>
      </c>
      <c r="G78" s="35" t="str">
        <f>IF(E78="","",IFERROR(INDEX(DM_NL!$C$5:$C$304,MATCH(E78,DM_NL!$A$5:$A$304,0)),""))</f>
        <v/>
      </c>
      <c r="H78" s="39" t="str">
        <f>IF(OR(E78="",BOM!G72="KXDDM"),"",BOM!F72)</f>
        <v/>
      </c>
      <c r="I78" s="36" t="str">
        <f>IF(E78="","",BOM!G72&amp;"")</f>
        <v/>
      </c>
    </row>
    <row r="79" spans="1:9" x14ac:dyDescent="0.25">
      <c r="A79" s="36" t="str">
        <f>IF(B79="","",MAX($A$10:A78)+1)</f>
        <v/>
      </c>
      <c r="B79" s="35" t="str">
        <f>IF(BOM!A73="","",IF(BOM!A73=BOM!A72,"",BOM!A73))</f>
        <v/>
      </c>
      <c r="C79" s="35" t="str">
        <f>IF(B79="","",IFERROR(INDEX(DM_SP!$B$5:$B$304,MATCH(B79,DM_SP!$A$5:$A$304,0)),"(chưa có trong DM_SP)"))</f>
        <v/>
      </c>
      <c r="D79" s="35" t="str">
        <f>IF(B79="","",IFERROR(INDEX(DM_SP!$C$5:$C$304,MATCH(B79,DM_SP!$A$5:$A$304,0)),""))</f>
        <v/>
      </c>
      <c r="E79" s="35" t="str">
        <f>IF(BOM!A73="","",BOM!B73)</f>
        <v/>
      </c>
      <c r="F79" s="35" t="str">
        <f>IF(E79="","",IFERROR(INDEX(DM_NL!$B$5:$B$304,MATCH(E79,DM_NL!$A$5:$A$304,0)),"(chưa có trong DM_NL)"))</f>
        <v/>
      </c>
      <c r="G79" s="35" t="str">
        <f>IF(E79="","",IFERROR(INDEX(DM_NL!$C$5:$C$304,MATCH(E79,DM_NL!$A$5:$A$304,0)),""))</f>
        <v/>
      </c>
      <c r="H79" s="39" t="str">
        <f>IF(OR(E79="",BOM!G73="KXDDM"),"",BOM!F73)</f>
        <v/>
      </c>
      <c r="I79" s="36" t="str">
        <f>IF(E79="","",BOM!G73&amp;"")</f>
        <v/>
      </c>
    </row>
    <row r="80" spans="1:9" x14ac:dyDescent="0.25">
      <c r="A80" s="36" t="str">
        <f>IF(B80="","",MAX($A$10:A79)+1)</f>
        <v/>
      </c>
      <c r="B80" s="35" t="str">
        <f>IF(BOM!A74="","",IF(BOM!A74=BOM!A73,"",BOM!A74))</f>
        <v/>
      </c>
      <c r="C80" s="35" t="str">
        <f>IF(B80="","",IFERROR(INDEX(DM_SP!$B$5:$B$304,MATCH(B80,DM_SP!$A$5:$A$304,0)),"(chưa có trong DM_SP)"))</f>
        <v/>
      </c>
      <c r="D80" s="35" t="str">
        <f>IF(B80="","",IFERROR(INDEX(DM_SP!$C$5:$C$304,MATCH(B80,DM_SP!$A$5:$A$304,0)),""))</f>
        <v/>
      </c>
      <c r="E80" s="35" t="str">
        <f>IF(BOM!A74="","",BOM!B74)</f>
        <v/>
      </c>
      <c r="F80" s="35" t="str">
        <f>IF(E80="","",IFERROR(INDEX(DM_NL!$B$5:$B$304,MATCH(E80,DM_NL!$A$5:$A$304,0)),"(chưa có trong DM_NL)"))</f>
        <v/>
      </c>
      <c r="G80" s="35" t="str">
        <f>IF(E80="","",IFERROR(INDEX(DM_NL!$C$5:$C$304,MATCH(E80,DM_NL!$A$5:$A$304,0)),""))</f>
        <v/>
      </c>
      <c r="H80" s="39" t="str">
        <f>IF(OR(E80="",BOM!G74="KXDDM"),"",BOM!F74)</f>
        <v/>
      </c>
      <c r="I80" s="36" t="str">
        <f>IF(E80="","",BOM!G74&amp;"")</f>
        <v/>
      </c>
    </row>
    <row r="81" spans="1:9" x14ac:dyDescent="0.25">
      <c r="A81" s="36" t="str">
        <f>IF(B81="","",MAX($A$10:A80)+1)</f>
        <v/>
      </c>
      <c r="B81" s="35" t="str">
        <f>IF(BOM!A75="","",IF(BOM!A75=BOM!A74,"",BOM!A75))</f>
        <v/>
      </c>
      <c r="C81" s="35" t="str">
        <f>IF(B81="","",IFERROR(INDEX(DM_SP!$B$5:$B$304,MATCH(B81,DM_SP!$A$5:$A$304,0)),"(chưa có trong DM_SP)"))</f>
        <v/>
      </c>
      <c r="D81" s="35" t="str">
        <f>IF(B81="","",IFERROR(INDEX(DM_SP!$C$5:$C$304,MATCH(B81,DM_SP!$A$5:$A$304,0)),""))</f>
        <v/>
      </c>
      <c r="E81" s="35" t="str">
        <f>IF(BOM!A75="","",BOM!B75)</f>
        <v/>
      </c>
      <c r="F81" s="35" t="str">
        <f>IF(E81="","",IFERROR(INDEX(DM_NL!$B$5:$B$304,MATCH(E81,DM_NL!$A$5:$A$304,0)),"(chưa có trong DM_NL)"))</f>
        <v/>
      </c>
      <c r="G81" s="35" t="str">
        <f>IF(E81="","",IFERROR(INDEX(DM_NL!$C$5:$C$304,MATCH(E81,DM_NL!$A$5:$A$304,0)),""))</f>
        <v/>
      </c>
      <c r="H81" s="39" t="str">
        <f>IF(OR(E81="",BOM!G75="KXDDM"),"",BOM!F75)</f>
        <v/>
      </c>
      <c r="I81" s="36" t="str">
        <f>IF(E81="","",BOM!G75&amp;"")</f>
        <v/>
      </c>
    </row>
    <row r="82" spans="1:9" x14ac:dyDescent="0.25">
      <c r="A82" s="36" t="str">
        <f>IF(B82="","",MAX($A$10:A81)+1)</f>
        <v/>
      </c>
      <c r="B82" s="35" t="str">
        <f>IF(BOM!A76="","",IF(BOM!A76=BOM!A75,"",BOM!A76))</f>
        <v/>
      </c>
      <c r="C82" s="35" t="str">
        <f>IF(B82="","",IFERROR(INDEX(DM_SP!$B$5:$B$304,MATCH(B82,DM_SP!$A$5:$A$304,0)),"(chưa có trong DM_SP)"))</f>
        <v/>
      </c>
      <c r="D82" s="35" t="str">
        <f>IF(B82="","",IFERROR(INDEX(DM_SP!$C$5:$C$304,MATCH(B82,DM_SP!$A$5:$A$304,0)),""))</f>
        <v/>
      </c>
      <c r="E82" s="35" t="str">
        <f>IF(BOM!A76="","",BOM!B76)</f>
        <v/>
      </c>
      <c r="F82" s="35" t="str">
        <f>IF(E82="","",IFERROR(INDEX(DM_NL!$B$5:$B$304,MATCH(E82,DM_NL!$A$5:$A$304,0)),"(chưa có trong DM_NL)"))</f>
        <v/>
      </c>
      <c r="G82" s="35" t="str">
        <f>IF(E82="","",IFERROR(INDEX(DM_NL!$C$5:$C$304,MATCH(E82,DM_NL!$A$5:$A$304,0)),""))</f>
        <v/>
      </c>
      <c r="H82" s="39" t="str">
        <f>IF(OR(E82="",BOM!G76="KXDDM"),"",BOM!F76)</f>
        <v/>
      </c>
      <c r="I82" s="36" t="str">
        <f>IF(E82="","",BOM!G76&amp;"")</f>
        <v/>
      </c>
    </row>
    <row r="83" spans="1:9" x14ac:dyDescent="0.25">
      <c r="A83" s="36" t="str">
        <f>IF(B83="","",MAX($A$10:A82)+1)</f>
        <v/>
      </c>
      <c r="B83" s="35" t="str">
        <f>IF(BOM!A77="","",IF(BOM!A77=BOM!A76,"",BOM!A77))</f>
        <v/>
      </c>
      <c r="C83" s="35" t="str">
        <f>IF(B83="","",IFERROR(INDEX(DM_SP!$B$5:$B$304,MATCH(B83,DM_SP!$A$5:$A$304,0)),"(chưa có trong DM_SP)"))</f>
        <v/>
      </c>
      <c r="D83" s="35" t="str">
        <f>IF(B83="","",IFERROR(INDEX(DM_SP!$C$5:$C$304,MATCH(B83,DM_SP!$A$5:$A$304,0)),""))</f>
        <v/>
      </c>
      <c r="E83" s="35" t="str">
        <f>IF(BOM!A77="","",BOM!B77)</f>
        <v/>
      </c>
      <c r="F83" s="35" t="str">
        <f>IF(E83="","",IFERROR(INDEX(DM_NL!$B$5:$B$304,MATCH(E83,DM_NL!$A$5:$A$304,0)),"(chưa có trong DM_NL)"))</f>
        <v/>
      </c>
      <c r="G83" s="35" t="str">
        <f>IF(E83="","",IFERROR(INDEX(DM_NL!$C$5:$C$304,MATCH(E83,DM_NL!$A$5:$A$304,0)),""))</f>
        <v/>
      </c>
      <c r="H83" s="39" t="str">
        <f>IF(OR(E83="",BOM!G77="KXDDM"),"",BOM!F77)</f>
        <v/>
      </c>
      <c r="I83" s="36" t="str">
        <f>IF(E83="","",BOM!G77&amp;"")</f>
        <v/>
      </c>
    </row>
    <row r="84" spans="1:9" x14ac:dyDescent="0.25">
      <c r="A84" s="36" t="str">
        <f>IF(B84="","",MAX($A$10:A83)+1)</f>
        <v/>
      </c>
      <c r="B84" s="35" t="str">
        <f>IF(BOM!A78="","",IF(BOM!A78=BOM!A77,"",BOM!A78))</f>
        <v/>
      </c>
      <c r="C84" s="35" t="str">
        <f>IF(B84="","",IFERROR(INDEX(DM_SP!$B$5:$B$304,MATCH(B84,DM_SP!$A$5:$A$304,0)),"(chưa có trong DM_SP)"))</f>
        <v/>
      </c>
      <c r="D84" s="35" t="str">
        <f>IF(B84="","",IFERROR(INDEX(DM_SP!$C$5:$C$304,MATCH(B84,DM_SP!$A$5:$A$304,0)),""))</f>
        <v/>
      </c>
      <c r="E84" s="35" t="str">
        <f>IF(BOM!A78="","",BOM!B78)</f>
        <v/>
      </c>
      <c r="F84" s="35" t="str">
        <f>IF(E84="","",IFERROR(INDEX(DM_NL!$B$5:$B$304,MATCH(E84,DM_NL!$A$5:$A$304,0)),"(chưa có trong DM_NL)"))</f>
        <v/>
      </c>
      <c r="G84" s="35" t="str">
        <f>IF(E84="","",IFERROR(INDEX(DM_NL!$C$5:$C$304,MATCH(E84,DM_NL!$A$5:$A$304,0)),""))</f>
        <v/>
      </c>
      <c r="H84" s="39" t="str">
        <f>IF(OR(E84="",BOM!G78="KXDDM"),"",BOM!F78)</f>
        <v/>
      </c>
      <c r="I84" s="36" t="str">
        <f>IF(E84="","",BOM!G78&amp;"")</f>
        <v/>
      </c>
    </row>
    <row r="85" spans="1:9" x14ac:dyDescent="0.25">
      <c r="A85" s="36" t="str">
        <f>IF(B85="","",MAX($A$10:A84)+1)</f>
        <v/>
      </c>
      <c r="B85" s="35" t="str">
        <f>IF(BOM!A79="","",IF(BOM!A79=BOM!A78,"",BOM!A79))</f>
        <v/>
      </c>
      <c r="C85" s="35" t="str">
        <f>IF(B85="","",IFERROR(INDEX(DM_SP!$B$5:$B$304,MATCH(B85,DM_SP!$A$5:$A$304,0)),"(chưa có trong DM_SP)"))</f>
        <v/>
      </c>
      <c r="D85" s="35" t="str">
        <f>IF(B85="","",IFERROR(INDEX(DM_SP!$C$5:$C$304,MATCH(B85,DM_SP!$A$5:$A$304,0)),""))</f>
        <v/>
      </c>
      <c r="E85" s="35" t="str">
        <f>IF(BOM!A79="","",BOM!B79)</f>
        <v/>
      </c>
      <c r="F85" s="35" t="str">
        <f>IF(E85="","",IFERROR(INDEX(DM_NL!$B$5:$B$304,MATCH(E85,DM_NL!$A$5:$A$304,0)),"(chưa có trong DM_NL)"))</f>
        <v/>
      </c>
      <c r="G85" s="35" t="str">
        <f>IF(E85="","",IFERROR(INDEX(DM_NL!$C$5:$C$304,MATCH(E85,DM_NL!$A$5:$A$304,0)),""))</f>
        <v/>
      </c>
      <c r="H85" s="39" t="str">
        <f>IF(OR(E85="",BOM!G79="KXDDM"),"",BOM!F79)</f>
        <v/>
      </c>
      <c r="I85" s="36" t="str">
        <f>IF(E85="","",BOM!G79&amp;"")</f>
        <v/>
      </c>
    </row>
    <row r="86" spans="1:9" x14ac:dyDescent="0.25">
      <c r="A86" s="36" t="str">
        <f>IF(B86="","",MAX($A$10:A85)+1)</f>
        <v/>
      </c>
      <c r="B86" s="35" t="str">
        <f>IF(BOM!A80="","",IF(BOM!A80=BOM!A79,"",BOM!A80))</f>
        <v/>
      </c>
      <c r="C86" s="35" t="str">
        <f>IF(B86="","",IFERROR(INDEX(DM_SP!$B$5:$B$304,MATCH(B86,DM_SP!$A$5:$A$304,0)),"(chưa có trong DM_SP)"))</f>
        <v/>
      </c>
      <c r="D86" s="35" t="str">
        <f>IF(B86="","",IFERROR(INDEX(DM_SP!$C$5:$C$304,MATCH(B86,DM_SP!$A$5:$A$304,0)),""))</f>
        <v/>
      </c>
      <c r="E86" s="35" t="str">
        <f>IF(BOM!A80="","",BOM!B80)</f>
        <v/>
      </c>
      <c r="F86" s="35" t="str">
        <f>IF(E86="","",IFERROR(INDEX(DM_NL!$B$5:$B$304,MATCH(E86,DM_NL!$A$5:$A$304,0)),"(chưa có trong DM_NL)"))</f>
        <v/>
      </c>
      <c r="G86" s="35" t="str">
        <f>IF(E86="","",IFERROR(INDEX(DM_NL!$C$5:$C$304,MATCH(E86,DM_NL!$A$5:$A$304,0)),""))</f>
        <v/>
      </c>
      <c r="H86" s="39" t="str">
        <f>IF(OR(E86="",BOM!G80="KXDDM"),"",BOM!F80)</f>
        <v/>
      </c>
      <c r="I86" s="36" t="str">
        <f>IF(E86="","",BOM!G80&amp;"")</f>
        <v/>
      </c>
    </row>
    <row r="87" spans="1:9" x14ac:dyDescent="0.25">
      <c r="A87" s="36" t="str">
        <f>IF(B87="","",MAX($A$10:A86)+1)</f>
        <v/>
      </c>
      <c r="B87" s="35" t="str">
        <f>IF(BOM!A81="","",IF(BOM!A81=BOM!A80,"",BOM!A81))</f>
        <v/>
      </c>
      <c r="C87" s="35" t="str">
        <f>IF(B87="","",IFERROR(INDEX(DM_SP!$B$5:$B$304,MATCH(B87,DM_SP!$A$5:$A$304,0)),"(chưa có trong DM_SP)"))</f>
        <v/>
      </c>
      <c r="D87" s="35" t="str">
        <f>IF(B87="","",IFERROR(INDEX(DM_SP!$C$5:$C$304,MATCH(B87,DM_SP!$A$5:$A$304,0)),""))</f>
        <v/>
      </c>
      <c r="E87" s="35" t="str">
        <f>IF(BOM!A81="","",BOM!B81)</f>
        <v/>
      </c>
      <c r="F87" s="35" t="str">
        <f>IF(E87="","",IFERROR(INDEX(DM_NL!$B$5:$B$304,MATCH(E87,DM_NL!$A$5:$A$304,0)),"(chưa có trong DM_NL)"))</f>
        <v/>
      </c>
      <c r="G87" s="35" t="str">
        <f>IF(E87="","",IFERROR(INDEX(DM_NL!$C$5:$C$304,MATCH(E87,DM_NL!$A$5:$A$304,0)),""))</f>
        <v/>
      </c>
      <c r="H87" s="39" t="str">
        <f>IF(OR(E87="",BOM!G81="KXDDM"),"",BOM!F81)</f>
        <v/>
      </c>
      <c r="I87" s="36" t="str">
        <f>IF(E87="","",BOM!G81&amp;"")</f>
        <v/>
      </c>
    </row>
    <row r="88" spans="1:9" x14ac:dyDescent="0.25">
      <c r="A88" s="36" t="str">
        <f>IF(B88="","",MAX($A$10:A87)+1)</f>
        <v/>
      </c>
      <c r="B88" s="35" t="str">
        <f>IF(BOM!A82="","",IF(BOM!A82=BOM!A81,"",BOM!A82))</f>
        <v/>
      </c>
      <c r="C88" s="35" t="str">
        <f>IF(B88="","",IFERROR(INDEX(DM_SP!$B$5:$B$304,MATCH(B88,DM_SP!$A$5:$A$304,0)),"(chưa có trong DM_SP)"))</f>
        <v/>
      </c>
      <c r="D88" s="35" t="str">
        <f>IF(B88="","",IFERROR(INDEX(DM_SP!$C$5:$C$304,MATCH(B88,DM_SP!$A$5:$A$304,0)),""))</f>
        <v/>
      </c>
      <c r="E88" s="35" t="str">
        <f>IF(BOM!A82="","",BOM!B82)</f>
        <v/>
      </c>
      <c r="F88" s="35" t="str">
        <f>IF(E88="","",IFERROR(INDEX(DM_NL!$B$5:$B$304,MATCH(E88,DM_NL!$A$5:$A$304,0)),"(chưa có trong DM_NL)"))</f>
        <v/>
      </c>
      <c r="G88" s="35" t="str">
        <f>IF(E88="","",IFERROR(INDEX(DM_NL!$C$5:$C$304,MATCH(E88,DM_NL!$A$5:$A$304,0)),""))</f>
        <v/>
      </c>
      <c r="H88" s="39" t="str">
        <f>IF(OR(E88="",BOM!G82="KXDDM"),"",BOM!F82)</f>
        <v/>
      </c>
      <c r="I88" s="36" t="str">
        <f>IF(E88="","",BOM!G82&amp;"")</f>
        <v/>
      </c>
    </row>
    <row r="89" spans="1:9" x14ac:dyDescent="0.25">
      <c r="A89" s="36" t="str">
        <f>IF(B89="","",MAX($A$10:A88)+1)</f>
        <v/>
      </c>
      <c r="B89" s="35" t="str">
        <f>IF(BOM!A83="","",IF(BOM!A83=BOM!A82,"",BOM!A83))</f>
        <v/>
      </c>
      <c r="C89" s="35" t="str">
        <f>IF(B89="","",IFERROR(INDEX(DM_SP!$B$5:$B$304,MATCH(B89,DM_SP!$A$5:$A$304,0)),"(chưa có trong DM_SP)"))</f>
        <v/>
      </c>
      <c r="D89" s="35" t="str">
        <f>IF(B89="","",IFERROR(INDEX(DM_SP!$C$5:$C$304,MATCH(B89,DM_SP!$A$5:$A$304,0)),""))</f>
        <v/>
      </c>
      <c r="E89" s="35" t="str">
        <f>IF(BOM!A83="","",BOM!B83)</f>
        <v/>
      </c>
      <c r="F89" s="35" t="str">
        <f>IF(E89="","",IFERROR(INDEX(DM_NL!$B$5:$B$304,MATCH(E89,DM_NL!$A$5:$A$304,0)),"(chưa có trong DM_NL)"))</f>
        <v/>
      </c>
      <c r="G89" s="35" t="str">
        <f>IF(E89="","",IFERROR(INDEX(DM_NL!$C$5:$C$304,MATCH(E89,DM_NL!$A$5:$A$304,0)),""))</f>
        <v/>
      </c>
      <c r="H89" s="39" t="str">
        <f>IF(OR(E89="",BOM!G83="KXDDM"),"",BOM!F83)</f>
        <v/>
      </c>
      <c r="I89" s="36" t="str">
        <f>IF(E89="","",BOM!G83&amp;"")</f>
        <v/>
      </c>
    </row>
    <row r="90" spans="1:9" x14ac:dyDescent="0.25">
      <c r="A90" s="36" t="str">
        <f>IF(B90="","",MAX($A$10:A89)+1)</f>
        <v/>
      </c>
      <c r="B90" s="35" t="str">
        <f>IF(BOM!A84="","",IF(BOM!A84=BOM!A83,"",BOM!A84))</f>
        <v/>
      </c>
      <c r="C90" s="35" t="str">
        <f>IF(B90="","",IFERROR(INDEX(DM_SP!$B$5:$B$304,MATCH(B90,DM_SP!$A$5:$A$304,0)),"(chưa có trong DM_SP)"))</f>
        <v/>
      </c>
      <c r="D90" s="35" t="str">
        <f>IF(B90="","",IFERROR(INDEX(DM_SP!$C$5:$C$304,MATCH(B90,DM_SP!$A$5:$A$304,0)),""))</f>
        <v/>
      </c>
      <c r="E90" s="35" t="str">
        <f>IF(BOM!A84="","",BOM!B84)</f>
        <v/>
      </c>
      <c r="F90" s="35" t="str">
        <f>IF(E90="","",IFERROR(INDEX(DM_NL!$B$5:$B$304,MATCH(E90,DM_NL!$A$5:$A$304,0)),"(chưa có trong DM_NL)"))</f>
        <v/>
      </c>
      <c r="G90" s="35" t="str">
        <f>IF(E90="","",IFERROR(INDEX(DM_NL!$C$5:$C$304,MATCH(E90,DM_NL!$A$5:$A$304,0)),""))</f>
        <v/>
      </c>
      <c r="H90" s="39" t="str">
        <f>IF(OR(E90="",BOM!G84="KXDDM"),"",BOM!F84)</f>
        <v/>
      </c>
      <c r="I90" s="36" t="str">
        <f>IF(E90="","",BOM!G84&amp;"")</f>
        <v/>
      </c>
    </row>
    <row r="91" spans="1:9" x14ac:dyDescent="0.25">
      <c r="A91" s="36" t="str">
        <f>IF(B91="","",MAX($A$10:A90)+1)</f>
        <v/>
      </c>
      <c r="B91" s="35" t="str">
        <f>IF(BOM!A85="","",IF(BOM!A85=BOM!A84,"",BOM!A85))</f>
        <v/>
      </c>
      <c r="C91" s="35" t="str">
        <f>IF(B91="","",IFERROR(INDEX(DM_SP!$B$5:$B$304,MATCH(B91,DM_SP!$A$5:$A$304,0)),"(chưa có trong DM_SP)"))</f>
        <v/>
      </c>
      <c r="D91" s="35" t="str">
        <f>IF(B91="","",IFERROR(INDEX(DM_SP!$C$5:$C$304,MATCH(B91,DM_SP!$A$5:$A$304,0)),""))</f>
        <v/>
      </c>
      <c r="E91" s="35" t="str">
        <f>IF(BOM!A85="","",BOM!B85)</f>
        <v/>
      </c>
      <c r="F91" s="35" t="str">
        <f>IF(E91="","",IFERROR(INDEX(DM_NL!$B$5:$B$304,MATCH(E91,DM_NL!$A$5:$A$304,0)),"(chưa có trong DM_NL)"))</f>
        <v/>
      </c>
      <c r="G91" s="35" t="str">
        <f>IF(E91="","",IFERROR(INDEX(DM_NL!$C$5:$C$304,MATCH(E91,DM_NL!$A$5:$A$304,0)),""))</f>
        <v/>
      </c>
      <c r="H91" s="39" t="str">
        <f>IF(OR(E91="",BOM!G85="KXDDM"),"",BOM!F85)</f>
        <v/>
      </c>
      <c r="I91" s="36" t="str">
        <f>IF(E91="","",BOM!G85&amp;"")</f>
        <v/>
      </c>
    </row>
    <row r="92" spans="1:9" x14ac:dyDescent="0.25">
      <c r="A92" s="36" t="str">
        <f>IF(B92="","",MAX($A$10:A91)+1)</f>
        <v/>
      </c>
      <c r="B92" s="35" t="str">
        <f>IF(BOM!A86="","",IF(BOM!A86=BOM!A85,"",BOM!A86))</f>
        <v/>
      </c>
      <c r="C92" s="35" t="str">
        <f>IF(B92="","",IFERROR(INDEX(DM_SP!$B$5:$B$304,MATCH(B92,DM_SP!$A$5:$A$304,0)),"(chưa có trong DM_SP)"))</f>
        <v/>
      </c>
      <c r="D92" s="35" t="str">
        <f>IF(B92="","",IFERROR(INDEX(DM_SP!$C$5:$C$304,MATCH(B92,DM_SP!$A$5:$A$304,0)),""))</f>
        <v/>
      </c>
      <c r="E92" s="35" t="str">
        <f>IF(BOM!A86="","",BOM!B86)</f>
        <v/>
      </c>
      <c r="F92" s="35" t="str">
        <f>IF(E92="","",IFERROR(INDEX(DM_NL!$B$5:$B$304,MATCH(E92,DM_NL!$A$5:$A$304,0)),"(chưa có trong DM_NL)"))</f>
        <v/>
      </c>
      <c r="G92" s="35" t="str">
        <f>IF(E92="","",IFERROR(INDEX(DM_NL!$C$5:$C$304,MATCH(E92,DM_NL!$A$5:$A$304,0)),""))</f>
        <v/>
      </c>
      <c r="H92" s="39" t="str">
        <f>IF(OR(E92="",BOM!G86="KXDDM"),"",BOM!F86)</f>
        <v/>
      </c>
      <c r="I92" s="36" t="str">
        <f>IF(E92="","",BOM!G86&amp;"")</f>
        <v/>
      </c>
    </row>
    <row r="93" spans="1:9" x14ac:dyDescent="0.25">
      <c r="A93" s="36" t="str">
        <f>IF(B93="","",MAX($A$10:A92)+1)</f>
        <v/>
      </c>
      <c r="B93" s="35" t="str">
        <f>IF(BOM!A87="","",IF(BOM!A87=BOM!A86,"",BOM!A87))</f>
        <v/>
      </c>
      <c r="C93" s="35" t="str">
        <f>IF(B93="","",IFERROR(INDEX(DM_SP!$B$5:$B$304,MATCH(B93,DM_SP!$A$5:$A$304,0)),"(chưa có trong DM_SP)"))</f>
        <v/>
      </c>
      <c r="D93" s="35" t="str">
        <f>IF(B93="","",IFERROR(INDEX(DM_SP!$C$5:$C$304,MATCH(B93,DM_SP!$A$5:$A$304,0)),""))</f>
        <v/>
      </c>
      <c r="E93" s="35" t="str">
        <f>IF(BOM!A87="","",BOM!B87)</f>
        <v/>
      </c>
      <c r="F93" s="35" t="str">
        <f>IF(E93="","",IFERROR(INDEX(DM_NL!$B$5:$B$304,MATCH(E93,DM_NL!$A$5:$A$304,0)),"(chưa có trong DM_NL)"))</f>
        <v/>
      </c>
      <c r="G93" s="35" t="str">
        <f>IF(E93="","",IFERROR(INDEX(DM_NL!$C$5:$C$304,MATCH(E93,DM_NL!$A$5:$A$304,0)),""))</f>
        <v/>
      </c>
      <c r="H93" s="39" t="str">
        <f>IF(OR(E93="",BOM!G87="KXDDM"),"",BOM!F87)</f>
        <v/>
      </c>
      <c r="I93" s="36" t="str">
        <f>IF(E93="","",BOM!G87&amp;"")</f>
        <v/>
      </c>
    </row>
    <row r="94" spans="1:9" x14ac:dyDescent="0.25">
      <c r="A94" s="36" t="str">
        <f>IF(B94="","",MAX($A$10:A93)+1)</f>
        <v/>
      </c>
      <c r="B94" s="35" t="str">
        <f>IF(BOM!A88="","",IF(BOM!A88=BOM!A87,"",BOM!A88))</f>
        <v/>
      </c>
      <c r="C94" s="35" t="str">
        <f>IF(B94="","",IFERROR(INDEX(DM_SP!$B$5:$B$304,MATCH(B94,DM_SP!$A$5:$A$304,0)),"(chưa có trong DM_SP)"))</f>
        <v/>
      </c>
      <c r="D94" s="35" t="str">
        <f>IF(B94="","",IFERROR(INDEX(DM_SP!$C$5:$C$304,MATCH(B94,DM_SP!$A$5:$A$304,0)),""))</f>
        <v/>
      </c>
      <c r="E94" s="35" t="str">
        <f>IF(BOM!A88="","",BOM!B88)</f>
        <v/>
      </c>
      <c r="F94" s="35" t="str">
        <f>IF(E94="","",IFERROR(INDEX(DM_NL!$B$5:$B$304,MATCH(E94,DM_NL!$A$5:$A$304,0)),"(chưa có trong DM_NL)"))</f>
        <v/>
      </c>
      <c r="G94" s="35" t="str">
        <f>IF(E94="","",IFERROR(INDEX(DM_NL!$C$5:$C$304,MATCH(E94,DM_NL!$A$5:$A$304,0)),""))</f>
        <v/>
      </c>
      <c r="H94" s="39" t="str">
        <f>IF(OR(E94="",BOM!G88="KXDDM"),"",BOM!F88)</f>
        <v/>
      </c>
      <c r="I94" s="36" t="str">
        <f>IF(E94="","",BOM!G88&amp;"")</f>
        <v/>
      </c>
    </row>
    <row r="95" spans="1:9" x14ac:dyDescent="0.25">
      <c r="A95" s="36" t="str">
        <f>IF(B95="","",MAX($A$10:A94)+1)</f>
        <v/>
      </c>
      <c r="B95" s="35" t="str">
        <f>IF(BOM!A89="","",IF(BOM!A89=BOM!A88,"",BOM!A89))</f>
        <v/>
      </c>
      <c r="C95" s="35" t="str">
        <f>IF(B95="","",IFERROR(INDEX(DM_SP!$B$5:$B$304,MATCH(B95,DM_SP!$A$5:$A$304,0)),"(chưa có trong DM_SP)"))</f>
        <v/>
      </c>
      <c r="D95" s="35" t="str">
        <f>IF(B95="","",IFERROR(INDEX(DM_SP!$C$5:$C$304,MATCH(B95,DM_SP!$A$5:$A$304,0)),""))</f>
        <v/>
      </c>
      <c r="E95" s="35" t="str">
        <f>IF(BOM!A89="","",BOM!B89)</f>
        <v/>
      </c>
      <c r="F95" s="35" t="str">
        <f>IF(E95="","",IFERROR(INDEX(DM_NL!$B$5:$B$304,MATCH(E95,DM_NL!$A$5:$A$304,0)),"(chưa có trong DM_NL)"))</f>
        <v/>
      </c>
      <c r="G95" s="35" t="str">
        <f>IF(E95="","",IFERROR(INDEX(DM_NL!$C$5:$C$304,MATCH(E95,DM_NL!$A$5:$A$304,0)),""))</f>
        <v/>
      </c>
      <c r="H95" s="39" t="str">
        <f>IF(OR(E95="",BOM!G89="KXDDM"),"",BOM!F89)</f>
        <v/>
      </c>
      <c r="I95" s="36" t="str">
        <f>IF(E95="","",BOM!G89&amp;"")</f>
        <v/>
      </c>
    </row>
    <row r="96" spans="1:9" x14ac:dyDescent="0.25">
      <c r="A96" s="36" t="str">
        <f>IF(B96="","",MAX($A$10:A95)+1)</f>
        <v/>
      </c>
      <c r="B96" s="35" t="str">
        <f>IF(BOM!A90="","",IF(BOM!A90=BOM!A89,"",BOM!A90))</f>
        <v/>
      </c>
      <c r="C96" s="35" t="str">
        <f>IF(B96="","",IFERROR(INDEX(DM_SP!$B$5:$B$304,MATCH(B96,DM_SP!$A$5:$A$304,0)),"(chưa có trong DM_SP)"))</f>
        <v/>
      </c>
      <c r="D96" s="35" t="str">
        <f>IF(B96="","",IFERROR(INDEX(DM_SP!$C$5:$C$304,MATCH(B96,DM_SP!$A$5:$A$304,0)),""))</f>
        <v/>
      </c>
      <c r="E96" s="35" t="str">
        <f>IF(BOM!A90="","",BOM!B90)</f>
        <v/>
      </c>
      <c r="F96" s="35" t="str">
        <f>IF(E96="","",IFERROR(INDEX(DM_NL!$B$5:$B$304,MATCH(E96,DM_NL!$A$5:$A$304,0)),"(chưa có trong DM_NL)"))</f>
        <v/>
      </c>
      <c r="G96" s="35" t="str">
        <f>IF(E96="","",IFERROR(INDEX(DM_NL!$C$5:$C$304,MATCH(E96,DM_NL!$A$5:$A$304,0)),""))</f>
        <v/>
      </c>
      <c r="H96" s="39" t="str">
        <f>IF(OR(E96="",BOM!G90="KXDDM"),"",BOM!F90)</f>
        <v/>
      </c>
      <c r="I96" s="36" t="str">
        <f>IF(E96="","",BOM!G90&amp;"")</f>
        <v/>
      </c>
    </row>
    <row r="97" spans="1:9" x14ac:dyDescent="0.25">
      <c r="A97" s="36" t="str">
        <f>IF(B97="","",MAX($A$10:A96)+1)</f>
        <v/>
      </c>
      <c r="B97" s="35" t="str">
        <f>IF(BOM!A91="","",IF(BOM!A91=BOM!A90,"",BOM!A91))</f>
        <v/>
      </c>
      <c r="C97" s="35" t="str">
        <f>IF(B97="","",IFERROR(INDEX(DM_SP!$B$5:$B$304,MATCH(B97,DM_SP!$A$5:$A$304,0)),"(chưa có trong DM_SP)"))</f>
        <v/>
      </c>
      <c r="D97" s="35" t="str">
        <f>IF(B97="","",IFERROR(INDEX(DM_SP!$C$5:$C$304,MATCH(B97,DM_SP!$A$5:$A$304,0)),""))</f>
        <v/>
      </c>
      <c r="E97" s="35" t="str">
        <f>IF(BOM!A91="","",BOM!B91)</f>
        <v/>
      </c>
      <c r="F97" s="35" t="str">
        <f>IF(E97="","",IFERROR(INDEX(DM_NL!$B$5:$B$304,MATCH(E97,DM_NL!$A$5:$A$304,0)),"(chưa có trong DM_NL)"))</f>
        <v/>
      </c>
      <c r="G97" s="35" t="str">
        <f>IF(E97="","",IFERROR(INDEX(DM_NL!$C$5:$C$304,MATCH(E97,DM_NL!$A$5:$A$304,0)),""))</f>
        <v/>
      </c>
      <c r="H97" s="39" t="str">
        <f>IF(OR(E97="",BOM!G91="KXDDM"),"",BOM!F91)</f>
        <v/>
      </c>
      <c r="I97" s="36" t="str">
        <f>IF(E97="","",BOM!G91&amp;"")</f>
        <v/>
      </c>
    </row>
    <row r="98" spans="1:9" x14ac:dyDescent="0.25">
      <c r="A98" s="36" t="str">
        <f>IF(B98="","",MAX($A$10:A97)+1)</f>
        <v/>
      </c>
      <c r="B98" s="35" t="str">
        <f>IF(BOM!A92="","",IF(BOM!A92=BOM!A91,"",BOM!A92))</f>
        <v/>
      </c>
      <c r="C98" s="35" t="str">
        <f>IF(B98="","",IFERROR(INDEX(DM_SP!$B$5:$B$304,MATCH(B98,DM_SP!$A$5:$A$304,0)),"(chưa có trong DM_SP)"))</f>
        <v/>
      </c>
      <c r="D98" s="35" t="str">
        <f>IF(B98="","",IFERROR(INDEX(DM_SP!$C$5:$C$304,MATCH(B98,DM_SP!$A$5:$A$304,0)),""))</f>
        <v/>
      </c>
      <c r="E98" s="35" t="str">
        <f>IF(BOM!A92="","",BOM!B92)</f>
        <v/>
      </c>
      <c r="F98" s="35" t="str">
        <f>IF(E98="","",IFERROR(INDEX(DM_NL!$B$5:$B$304,MATCH(E98,DM_NL!$A$5:$A$304,0)),"(chưa có trong DM_NL)"))</f>
        <v/>
      </c>
      <c r="G98" s="35" t="str">
        <f>IF(E98="","",IFERROR(INDEX(DM_NL!$C$5:$C$304,MATCH(E98,DM_NL!$A$5:$A$304,0)),""))</f>
        <v/>
      </c>
      <c r="H98" s="39" t="str">
        <f>IF(OR(E98="",BOM!G92="KXDDM"),"",BOM!F92)</f>
        <v/>
      </c>
      <c r="I98" s="36" t="str">
        <f>IF(E98="","",BOM!G92&amp;"")</f>
        <v/>
      </c>
    </row>
    <row r="99" spans="1:9" x14ac:dyDescent="0.25">
      <c r="A99" s="36" t="str">
        <f>IF(B99="","",MAX($A$10:A98)+1)</f>
        <v/>
      </c>
      <c r="B99" s="35" t="str">
        <f>IF(BOM!A93="","",IF(BOM!A93=BOM!A92,"",BOM!A93))</f>
        <v/>
      </c>
      <c r="C99" s="35" t="str">
        <f>IF(B99="","",IFERROR(INDEX(DM_SP!$B$5:$B$304,MATCH(B99,DM_SP!$A$5:$A$304,0)),"(chưa có trong DM_SP)"))</f>
        <v/>
      </c>
      <c r="D99" s="35" t="str">
        <f>IF(B99="","",IFERROR(INDEX(DM_SP!$C$5:$C$304,MATCH(B99,DM_SP!$A$5:$A$304,0)),""))</f>
        <v/>
      </c>
      <c r="E99" s="35" t="str">
        <f>IF(BOM!A93="","",BOM!B93)</f>
        <v/>
      </c>
      <c r="F99" s="35" t="str">
        <f>IF(E99="","",IFERROR(INDEX(DM_NL!$B$5:$B$304,MATCH(E99,DM_NL!$A$5:$A$304,0)),"(chưa có trong DM_NL)"))</f>
        <v/>
      </c>
      <c r="G99" s="35" t="str">
        <f>IF(E99="","",IFERROR(INDEX(DM_NL!$C$5:$C$304,MATCH(E99,DM_NL!$A$5:$A$304,0)),""))</f>
        <v/>
      </c>
      <c r="H99" s="39" t="str">
        <f>IF(OR(E99="",BOM!G93="KXDDM"),"",BOM!F93)</f>
        <v/>
      </c>
      <c r="I99" s="36" t="str">
        <f>IF(E99="","",BOM!G93&amp;"")</f>
        <v/>
      </c>
    </row>
    <row r="100" spans="1:9" x14ac:dyDescent="0.25">
      <c r="A100" s="36" t="str">
        <f>IF(B100="","",MAX($A$10:A99)+1)</f>
        <v/>
      </c>
      <c r="B100" s="35" t="str">
        <f>IF(BOM!A94="","",IF(BOM!A94=BOM!A93,"",BOM!A94))</f>
        <v/>
      </c>
      <c r="C100" s="35" t="str">
        <f>IF(B100="","",IFERROR(INDEX(DM_SP!$B$5:$B$304,MATCH(B100,DM_SP!$A$5:$A$304,0)),"(chưa có trong DM_SP)"))</f>
        <v/>
      </c>
      <c r="D100" s="35" t="str">
        <f>IF(B100="","",IFERROR(INDEX(DM_SP!$C$5:$C$304,MATCH(B100,DM_SP!$A$5:$A$304,0)),""))</f>
        <v/>
      </c>
      <c r="E100" s="35" t="str">
        <f>IF(BOM!A94="","",BOM!B94)</f>
        <v/>
      </c>
      <c r="F100" s="35" t="str">
        <f>IF(E100="","",IFERROR(INDEX(DM_NL!$B$5:$B$304,MATCH(E100,DM_NL!$A$5:$A$304,0)),"(chưa có trong DM_NL)"))</f>
        <v/>
      </c>
      <c r="G100" s="35" t="str">
        <f>IF(E100="","",IFERROR(INDEX(DM_NL!$C$5:$C$304,MATCH(E100,DM_NL!$A$5:$A$304,0)),""))</f>
        <v/>
      </c>
      <c r="H100" s="39" t="str">
        <f>IF(OR(E100="",BOM!G94="KXDDM"),"",BOM!F94)</f>
        <v/>
      </c>
      <c r="I100" s="36" t="str">
        <f>IF(E100="","",BOM!G94&amp;"")</f>
        <v/>
      </c>
    </row>
    <row r="101" spans="1:9" x14ac:dyDescent="0.25">
      <c r="A101" s="36" t="str">
        <f>IF(B101="","",MAX($A$10:A100)+1)</f>
        <v/>
      </c>
      <c r="B101" s="35" t="str">
        <f>IF(BOM!A95="","",IF(BOM!A95=BOM!A94,"",BOM!A95))</f>
        <v/>
      </c>
      <c r="C101" s="35" t="str">
        <f>IF(B101="","",IFERROR(INDEX(DM_SP!$B$5:$B$304,MATCH(B101,DM_SP!$A$5:$A$304,0)),"(chưa có trong DM_SP)"))</f>
        <v/>
      </c>
      <c r="D101" s="35" t="str">
        <f>IF(B101="","",IFERROR(INDEX(DM_SP!$C$5:$C$304,MATCH(B101,DM_SP!$A$5:$A$304,0)),""))</f>
        <v/>
      </c>
      <c r="E101" s="35" t="str">
        <f>IF(BOM!A95="","",BOM!B95)</f>
        <v/>
      </c>
      <c r="F101" s="35" t="str">
        <f>IF(E101="","",IFERROR(INDEX(DM_NL!$B$5:$B$304,MATCH(E101,DM_NL!$A$5:$A$304,0)),"(chưa có trong DM_NL)"))</f>
        <v/>
      </c>
      <c r="G101" s="35" t="str">
        <f>IF(E101="","",IFERROR(INDEX(DM_NL!$C$5:$C$304,MATCH(E101,DM_NL!$A$5:$A$304,0)),""))</f>
        <v/>
      </c>
      <c r="H101" s="39" t="str">
        <f>IF(OR(E101="",BOM!G95="KXDDM"),"",BOM!F95)</f>
        <v/>
      </c>
      <c r="I101" s="36" t="str">
        <f>IF(E101="","",BOM!G95&amp;"")</f>
        <v/>
      </c>
    </row>
    <row r="102" spans="1:9" x14ac:dyDescent="0.25">
      <c r="A102" s="36" t="str">
        <f>IF(B102="","",MAX($A$10:A101)+1)</f>
        <v/>
      </c>
      <c r="B102" s="35" t="str">
        <f>IF(BOM!A96="","",IF(BOM!A96=BOM!A95,"",BOM!A96))</f>
        <v/>
      </c>
      <c r="C102" s="35" t="str">
        <f>IF(B102="","",IFERROR(INDEX(DM_SP!$B$5:$B$304,MATCH(B102,DM_SP!$A$5:$A$304,0)),"(chưa có trong DM_SP)"))</f>
        <v/>
      </c>
      <c r="D102" s="35" t="str">
        <f>IF(B102="","",IFERROR(INDEX(DM_SP!$C$5:$C$304,MATCH(B102,DM_SP!$A$5:$A$304,0)),""))</f>
        <v/>
      </c>
      <c r="E102" s="35" t="str">
        <f>IF(BOM!A96="","",BOM!B96)</f>
        <v/>
      </c>
      <c r="F102" s="35" t="str">
        <f>IF(E102="","",IFERROR(INDEX(DM_NL!$B$5:$B$304,MATCH(E102,DM_NL!$A$5:$A$304,0)),"(chưa có trong DM_NL)"))</f>
        <v/>
      </c>
      <c r="G102" s="35" t="str">
        <f>IF(E102="","",IFERROR(INDEX(DM_NL!$C$5:$C$304,MATCH(E102,DM_NL!$A$5:$A$304,0)),""))</f>
        <v/>
      </c>
      <c r="H102" s="39" t="str">
        <f>IF(OR(E102="",BOM!G96="KXDDM"),"",BOM!F96)</f>
        <v/>
      </c>
      <c r="I102" s="36" t="str">
        <f>IF(E102="","",BOM!G96&amp;"")</f>
        <v/>
      </c>
    </row>
    <row r="103" spans="1:9" x14ac:dyDescent="0.25">
      <c r="A103" s="36" t="str">
        <f>IF(B103="","",MAX($A$10:A102)+1)</f>
        <v/>
      </c>
      <c r="B103" s="35" t="str">
        <f>IF(BOM!A97="","",IF(BOM!A97=BOM!A96,"",BOM!A97))</f>
        <v/>
      </c>
      <c r="C103" s="35" t="str">
        <f>IF(B103="","",IFERROR(INDEX(DM_SP!$B$5:$B$304,MATCH(B103,DM_SP!$A$5:$A$304,0)),"(chưa có trong DM_SP)"))</f>
        <v/>
      </c>
      <c r="D103" s="35" t="str">
        <f>IF(B103="","",IFERROR(INDEX(DM_SP!$C$5:$C$304,MATCH(B103,DM_SP!$A$5:$A$304,0)),""))</f>
        <v/>
      </c>
      <c r="E103" s="35" t="str">
        <f>IF(BOM!A97="","",BOM!B97)</f>
        <v/>
      </c>
      <c r="F103" s="35" t="str">
        <f>IF(E103="","",IFERROR(INDEX(DM_NL!$B$5:$B$304,MATCH(E103,DM_NL!$A$5:$A$304,0)),"(chưa có trong DM_NL)"))</f>
        <v/>
      </c>
      <c r="G103" s="35" t="str">
        <f>IF(E103="","",IFERROR(INDEX(DM_NL!$C$5:$C$304,MATCH(E103,DM_NL!$A$5:$A$304,0)),""))</f>
        <v/>
      </c>
      <c r="H103" s="39" t="str">
        <f>IF(OR(E103="",BOM!G97="KXDDM"),"",BOM!F97)</f>
        <v/>
      </c>
      <c r="I103" s="36" t="str">
        <f>IF(E103="","",BOM!G97&amp;"")</f>
        <v/>
      </c>
    </row>
    <row r="104" spans="1:9" x14ac:dyDescent="0.25">
      <c r="A104" s="36" t="str">
        <f>IF(B104="","",MAX($A$10:A103)+1)</f>
        <v/>
      </c>
      <c r="B104" s="35" t="str">
        <f>IF(BOM!A98="","",IF(BOM!A98=BOM!A97,"",BOM!A98))</f>
        <v/>
      </c>
      <c r="C104" s="35" t="str">
        <f>IF(B104="","",IFERROR(INDEX(DM_SP!$B$5:$B$304,MATCH(B104,DM_SP!$A$5:$A$304,0)),"(chưa có trong DM_SP)"))</f>
        <v/>
      </c>
      <c r="D104" s="35" t="str">
        <f>IF(B104="","",IFERROR(INDEX(DM_SP!$C$5:$C$304,MATCH(B104,DM_SP!$A$5:$A$304,0)),""))</f>
        <v/>
      </c>
      <c r="E104" s="35" t="str">
        <f>IF(BOM!A98="","",BOM!B98)</f>
        <v/>
      </c>
      <c r="F104" s="35" t="str">
        <f>IF(E104="","",IFERROR(INDEX(DM_NL!$B$5:$B$304,MATCH(E104,DM_NL!$A$5:$A$304,0)),"(chưa có trong DM_NL)"))</f>
        <v/>
      </c>
      <c r="G104" s="35" t="str">
        <f>IF(E104="","",IFERROR(INDEX(DM_NL!$C$5:$C$304,MATCH(E104,DM_NL!$A$5:$A$304,0)),""))</f>
        <v/>
      </c>
      <c r="H104" s="39" t="str">
        <f>IF(OR(E104="",BOM!G98="KXDDM"),"",BOM!F98)</f>
        <v/>
      </c>
      <c r="I104" s="36" t="str">
        <f>IF(E104="","",BOM!G98&amp;"")</f>
        <v/>
      </c>
    </row>
    <row r="105" spans="1:9" x14ac:dyDescent="0.25">
      <c r="A105" s="36" t="str">
        <f>IF(B105="","",MAX($A$10:A104)+1)</f>
        <v/>
      </c>
      <c r="B105" s="35" t="str">
        <f>IF(BOM!A99="","",IF(BOM!A99=BOM!A98,"",BOM!A99))</f>
        <v/>
      </c>
      <c r="C105" s="35" t="str">
        <f>IF(B105="","",IFERROR(INDEX(DM_SP!$B$5:$B$304,MATCH(B105,DM_SP!$A$5:$A$304,0)),"(chưa có trong DM_SP)"))</f>
        <v/>
      </c>
      <c r="D105" s="35" t="str">
        <f>IF(B105="","",IFERROR(INDEX(DM_SP!$C$5:$C$304,MATCH(B105,DM_SP!$A$5:$A$304,0)),""))</f>
        <v/>
      </c>
      <c r="E105" s="35" t="str">
        <f>IF(BOM!A99="","",BOM!B99)</f>
        <v/>
      </c>
      <c r="F105" s="35" t="str">
        <f>IF(E105="","",IFERROR(INDEX(DM_NL!$B$5:$B$304,MATCH(E105,DM_NL!$A$5:$A$304,0)),"(chưa có trong DM_NL)"))</f>
        <v/>
      </c>
      <c r="G105" s="35" t="str">
        <f>IF(E105="","",IFERROR(INDEX(DM_NL!$C$5:$C$304,MATCH(E105,DM_NL!$A$5:$A$304,0)),""))</f>
        <v/>
      </c>
      <c r="H105" s="39" t="str">
        <f>IF(OR(E105="",BOM!G99="KXDDM"),"",BOM!F99)</f>
        <v/>
      </c>
      <c r="I105" s="36" t="str">
        <f>IF(E105="","",BOM!G99&amp;"")</f>
        <v/>
      </c>
    </row>
    <row r="106" spans="1:9" x14ac:dyDescent="0.25">
      <c r="A106" s="36" t="str">
        <f>IF(B106="","",MAX($A$10:A105)+1)</f>
        <v/>
      </c>
      <c r="B106" s="35" t="str">
        <f>IF(BOM!A100="","",IF(BOM!A100=BOM!A99,"",BOM!A100))</f>
        <v/>
      </c>
      <c r="C106" s="35" t="str">
        <f>IF(B106="","",IFERROR(INDEX(DM_SP!$B$5:$B$304,MATCH(B106,DM_SP!$A$5:$A$304,0)),"(chưa có trong DM_SP)"))</f>
        <v/>
      </c>
      <c r="D106" s="35" t="str">
        <f>IF(B106="","",IFERROR(INDEX(DM_SP!$C$5:$C$304,MATCH(B106,DM_SP!$A$5:$A$304,0)),""))</f>
        <v/>
      </c>
      <c r="E106" s="35" t="str">
        <f>IF(BOM!A100="","",BOM!B100)</f>
        <v/>
      </c>
      <c r="F106" s="35" t="str">
        <f>IF(E106="","",IFERROR(INDEX(DM_NL!$B$5:$B$304,MATCH(E106,DM_NL!$A$5:$A$304,0)),"(chưa có trong DM_NL)"))</f>
        <v/>
      </c>
      <c r="G106" s="35" t="str">
        <f>IF(E106="","",IFERROR(INDEX(DM_NL!$C$5:$C$304,MATCH(E106,DM_NL!$A$5:$A$304,0)),""))</f>
        <v/>
      </c>
      <c r="H106" s="39" t="str">
        <f>IF(OR(E106="",BOM!G100="KXDDM"),"",BOM!F100)</f>
        <v/>
      </c>
      <c r="I106" s="36" t="str">
        <f>IF(E106="","",BOM!G100&amp;"")</f>
        <v/>
      </c>
    </row>
    <row r="107" spans="1:9" x14ac:dyDescent="0.25">
      <c r="A107" s="36" t="str">
        <f>IF(B107="","",MAX($A$10:A106)+1)</f>
        <v/>
      </c>
      <c r="B107" s="35" t="str">
        <f>IF(BOM!A101="","",IF(BOM!A101=BOM!A100,"",BOM!A101))</f>
        <v/>
      </c>
      <c r="C107" s="35" t="str">
        <f>IF(B107="","",IFERROR(INDEX(DM_SP!$B$5:$B$304,MATCH(B107,DM_SP!$A$5:$A$304,0)),"(chưa có trong DM_SP)"))</f>
        <v/>
      </c>
      <c r="D107" s="35" t="str">
        <f>IF(B107="","",IFERROR(INDEX(DM_SP!$C$5:$C$304,MATCH(B107,DM_SP!$A$5:$A$304,0)),""))</f>
        <v/>
      </c>
      <c r="E107" s="35" t="str">
        <f>IF(BOM!A101="","",BOM!B101)</f>
        <v/>
      </c>
      <c r="F107" s="35" t="str">
        <f>IF(E107="","",IFERROR(INDEX(DM_NL!$B$5:$B$304,MATCH(E107,DM_NL!$A$5:$A$304,0)),"(chưa có trong DM_NL)"))</f>
        <v/>
      </c>
      <c r="G107" s="35" t="str">
        <f>IF(E107="","",IFERROR(INDEX(DM_NL!$C$5:$C$304,MATCH(E107,DM_NL!$A$5:$A$304,0)),""))</f>
        <v/>
      </c>
      <c r="H107" s="39" t="str">
        <f>IF(OR(E107="",BOM!G101="KXDDM"),"",BOM!F101)</f>
        <v/>
      </c>
      <c r="I107" s="36" t="str">
        <f>IF(E107="","",BOM!G101&amp;"")</f>
        <v/>
      </c>
    </row>
    <row r="108" spans="1:9" x14ac:dyDescent="0.25">
      <c r="A108" s="36" t="str">
        <f>IF(B108="","",MAX($A$10:A107)+1)</f>
        <v/>
      </c>
      <c r="B108" s="35" t="str">
        <f>IF(BOM!A102="","",IF(BOM!A102=BOM!A101,"",BOM!A102))</f>
        <v/>
      </c>
      <c r="C108" s="35" t="str">
        <f>IF(B108="","",IFERROR(INDEX(DM_SP!$B$5:$B$304,MATCH(B108,DM_SP!$A$5:$A$304,0)),"(chưa có trong DM_SP)"))</f>
        <v/>
      </c>
      <c r="D108" s="35" t="str">
        <f>IF(B108="","",IFERROR(INDEX(DM_SP!$C$5:$C$304,MATCH(B108,DM_SP!$A$5:$A$304,0)),""))</f>
        <v/>
      </c>
      <c r="E108" s="35" t="str">
        <f>IF(BOM!A102="","",BOM!B102)</f>
        <v/>
      </c>
      <c r="F108" s="35" t="str">
        <f>IF(E108="","",IFERROR(INDEX(DM_NL!$B$5:$B$304,MATCH(E108,DM_NL!$A$5:$A$304,0)),"(chưa có trong DM_NL)"))</f>
        <v/>
      </c>
      <c r="G108" s="35" t="str">
        <f>IF(E108="","",IFERROR(INDEX(DM_NL!$C$5:$C$304,MATCH(E108,DM_NL!$A$5:$A$304,0)),""))</f>
        <v/>
      </c>
      <c r="H108" s="39" t="str">
        <f>IF(OR(E108="",BOM!G102="KXDDM"),"",BOM!F102)</f>
        <v/>
      </c>
      <c r="I108" s="36" t="str">
        <f>IF(E108="","",BOM!G102&amp;"")</f>
        <v/>
      </c>
    </row>
    <row r="109" spans="1:9" x14ac:dyDescent="0.25">
      <c r="A109" s="36" t="str">
        <f>IF(B109="","",MAX($A$10:A108)+1)</f>
        <v/>
      </c>
      <c r="B109" s="35" t="str">
        <f>IF(BOM!A103="","",IF(BOM!A103=BOM!A102,"",BOM!A103))</f>
        <v/>
      </c>
      <c r="C109" s="35" t="str">
        <f>IF(B109="","",IFERROR(INDEX(DM_SP!$B$5:$B$304,MATCH(B109,DM_SP!$A$5:$A$304,0)),"(chưa có trong DM_SP)"))</f>
        <v/>
      </c>
      <c r="D109" s="35" t="str">
        <f>IF(B109="","",IFERROR(INDEX(DM_SP!$C$5:$C$304,MATCH(B109,DM_SP!$A$5:$A$304,0)),""))</f>
        <v/>
      </c>
      <c r="E109" s="35" t="str">
        <f>IF(BOM!A103="","",BOM!B103)</f>
        <v/>
      </c>
      <c r="F109" s="35" t="str">
        <f>IF(E109="","",IFERROR(INDEX(DM_NL!$B$5:$B$304,MATCH(E109,DM_NL!$A$5:$A$304,0)),"(chưa có trong DM_NL)"))</f>
        <v/>
      </c>
      <c r="G109" s="35" t="str">
        <f>IF(E109="","",IFERROR(INDEX(DM_NL!$C$5:$C$304,MATCH(E109,DM_NL!$A$5:$A$304,0)),""))</f>
        <v/>
      </c>
      <c r="H109" s="39" t="str">
        <f>IF(OR(E109="",BOM!G103="KXDDM"),"",BOM!F103)</f>
        <v/>
      </c>
      <c r="I109" s="36" t="str">
        <f>IF(E109="","",BOM!G103&amp;"")</f>
        <v/>
      </c>
    </row>
    <row r="110" spans="1:9" x14ac:dyDescent="0.25">
      <c r="A110" s="36" t="str">
        <f>IF(B110="","",MAX($A$10:A109)+1)</f>
        <v/>
      </c>
      <c r="B110" s="35" t="str">
        <f>IF(BOM!A104="","",IF(BOM!A104=BOM!A103,"",BOM!A104))</f>
        <v/>
      </c>
      <c r="C110" s="35" t="str">
        <f>IF(B110="","",IFERROR(INDEX(DM_SP!$B$5:$B$304,MATCH(B110,DM_SP!$A$5:$A$304,0)),"(chưa có trong DM_SP)"))</f>
        <v/>
      </c>
      <c r="D110" s="35" t="str">
        <f>IF(B110="","",IFERROR(INDEX(DM_SP!$C$5:$C$304,MATCH(B110,DM_SP!$A$5:$A$304,0)),""))</f>
        <v/>
      </c>
      <c r="E110" s="35" t="str">
        <f>IF(BOM!A104="","",BOM!B104)</f>
        <v/>
      </c>
      <c r="F110" s="35" t="str">
        <f>IF(E110="","",IFERROR(INDEX(DM_NL!$B$5:$B$304,MATCH(E110,DM_NL!$A$5:$A$304,0)),"(chưa có trong DM_NL)"))</f>
        <v/>
      </c>
      <c r="G110" s="35" t="str">
        <f>IF(E110="","",IFERROR(INDEX(DM_NL!$C$5:$C$304,MATCH(E110,DM_NL!$A$5:$A$304,0)),""))</f>
        <v/>
      </c>
      <c r="H110" s="39" t="str">
        <f>IF(OR(E110="",BOM!G104="KXDDM"),"",BOM!F104)</f>
        <v/>
      </c>
      <c r="I110" s="36" t="str">
        <f>IF(E110="","",BOM!G104&amp;"")</f>
        <v/>
      </c>
    </row>
    <row r="111" spans="1:9" x14ac:dyDescent="0.25">
      <c r="A111" s="36" t="str">
        <f>IF(B111="","",MAX($A$10:A110)+1)</f>
        <v/>
      </c>
      <c r="B111" s="35" t="str">
        <f>IF(BOM!A105="","",IF(BOM!A105=BOM!A104,"",BOM!A105))</f>
        <v/>
      </c>
      <c r="C111" s="35" t="str">
        <f>IF(B111="","",IFERROR(INDEX(DM_SP!$B$5:$B$304,MATCH(B111,DM_SP!$A$5:$A$304,0)),"(chưa có trong DM_SP)"))</f>
        <v/>
      </c>
      <c r="D111" s="35" t="str">
        <f>IF(B111="","",IFERROR(INDEX(DM_SP!$C$5:$C$304,MATCH(B111,DM_SP!$A$5:$A$304,0)),""))</f>
        <v/>
      </c>
      <c r="E111" s="35" t="str">
        <f>IF(BOM!A105="","",BOM!B105)</f>
        <v/>
      </c>
      <c r="F111" s="35" t="str">
        <f>IF(E111="","",IFERROR(INDEX(DM_NL!$B$5:$B$304,MATCH(E111,DM_NL!$A$5:$A$304,0)),"(chưa có trong DM_NL)"))</f>
        <v/>
      </c>
      <c r="G111" s="35" t="str">
        <f>IF(E111="","",IFERROR(INDEX(DM_NL!$C$5:$C$304,MATCH(E111,DM_NL!$A$5:$A$304,0)),""))</f>
        <v/>
      </c>
      <c r="H111" s="39" t="str">
        <f>IF(OR(E111="",BOM!G105="KXDDM"),"",BOM!F105)</f>
        <v/>
      </c>
      <c r="I111" s="36" t="str">
        <f>IF(E111="","",BOM!G105&amp;"")</f>
        <v/>
      </c>
    </row>
    <row r="112" spans="1:9" x14ac:dyDescent="0.25">
      <c r="A112" s="36" t="str">
        <f>IF(B112="","",MAX($A$10:A111)+1)</f>
        <v/>
      </c>
      <c r="B112" s="35" t="str">
        <f>IF(BOM!A106="","",IF(BOM!A106=BOM!A105,"",BOM!A106))</f>
        <v/>
      </c>
      <c r="C112" s="35" t="str">
        <f>IF(B112="","",IFERROR(INDEX(DM_SP!$B$5:$B$304,MATCH(B112,DM_SP!$A$5:$A$304,0)),"(chưa có trong DM_SP)"))</f>
        <v/>
      </c>
      <c r="D112" s="35" t="str">
        <f>IF(B112="","",IFERROR(INDEX(DM_SP!$C$5:$C$304,MATCH(B112,DM_SP!$A$5:$A$304,0)),""))</f>
        <v/>
      </c>
      <c r="E112" s="35" t="str">
        <f>IF(BOM!A106="","",BOM!B106)</f>
        <v/>
      </c>
      <c r="F112" s="35" t="str">
        <f>IF(E112="","",IFERROR(INDEX(DM_NL!$B$5:$B$304,MATCH(E112,DM_NL!$A$5:$A$304,0)),"(chưa có trong DM_NL)"))</f>
        <v/>
      </c>
      <c r="G112" s="35" t="str">
        <f>IF(E112="","",IFERROR(INDEX(DM_NL!$C$5:$C$304,MATCH(E112,DM_NL!$A$5:$A$304,0)),""))</f>
        <v/>
      </c>
      <c r="H112" s="39" t="str">
        <f>IF(OR(E112="",BOM!G106="KXDDM"),"",BOM!F106)</f>
        <v/>
      </c>
      <c r="I112" s="36" t="str">
        <f>IF(E112="","",BOM!G106&amp;"")</f>
        <v/>
      </c>
    </row>
    <row r="113" spans="1:9" x14ac:dyDescent="0.25">
      <c r="A113" s="36" t="str">
        <f>IF(B113="","",MAX($A$10:A112)+1)</f>
        <v/>
      </c>
      <c r="B113" s="35" t="str">
        <f>IF(BOM!A107="","",IF(BOM!A107=BOM!A106,"",BOM!A107))</f>
        <v/>
      </c>
      <c r="C113" s="35" t="str">
        <f>IF(B113="","",IFERROR(INDEX(DM_SP!$B$5:$B$304,MATCH(B113,DM_SP!$A$5:$A$304,0)),"(chưa có trong DM_SP)"))</f>
        <v/>
      </c>
      <c r="D113" s="35" t="str">
        <f>IF(B113="","",IFERROR(INDEX(DM_SP!$C$5:$C$304,MATCH(B113,DM_SP!$A$5:$A$304,0)),""))</f>
        <v/>
      </c>
      <c r="E113" s="35" t="str">
        <f>IF(BOM!A107="","",BOM!B107)</f>
        <v/>
      </c>
      <c r="F113" s="35" t="str">
        <f>IF(E113="","",IFERROR(INDEX(DM_NL!$B$5:$B$304,MATCH(E113,DM_NL!$A$5:$A$304,0)),"(chưa có trong DM_NL)"))</f>
        <v/>
      </c>
      <c r="G113" s="35" t="str">
        <f>IF(E113="","",IFERROR(INDEX(DM_NL!$C$5:$C$304,MATCH(E113,DM_NL!$A$5:$A$304,0)),""))</f>
        <v/>
      </c>
      <c r="H113" s="39" t="str">
        <f>IF(OR(E113="",BOM!G107="KXDDM"),"",BOM!F107)</f>
        <v/>
      </c>
      <c r="I113" s="36" t="str">
        <f>IF(E113="","",BOM!G107&amp;"")</f>
        <v/>
      </c>
    </row>
    <row r="114" spans="1:9" x14ac:dyDescent="0.25">
      <c r="A114" s="36" t="str">
        <f>IF(B114="","",MAX($A$10:A113)+1)</f>
        <v/>
      </c>
      <c r="B114" s="35" t="str">
        <f>IF(BOM!A108="","",IF(BOM!A108=BOM!A107,"",BOM!A108))</f>
        <v/>
      </c>
      <c r="C114" s="35" t="str">
        <f>IF(B114="","",IFERROR(INDEX(DM_SP!$B$5:$B$304,MATCH(B114,DM_SP!$A$5:$A$304,0)),"(chưa có trong DM_SP)"))</f>
        <v/>
      </c>
      <c r="D114" s="35" t="str">
        <f>IF(B114="","",IFERROR(INDEX(DM_SP!$C$5:$C$304,MATCH(B114,DM_SP!$A$5:$A$304,0)),""))</f>
        <v/>
      </c>
      <c r="E114" s="35" t="str">
        <f>IF(BOM!A108="","",BOM!B108)</f>
        <v/>
      </c>
      <c r="F114" s="35" t="str">
        <f>IF(E114="","",IFERROR(INDEX(DM_NL!$B$5:$B$304,MATCH(E114,DM_NL!$A$5:$A$304,0)),"(chưa có trong DM_NL)"))</f>
        <v/>
      </c>
      <c r="G114" s="35" t="str">
        <f>IF(E114="","",IFERROR(INDEX(DM_NL!$C$5:$C$304,MATCH(E114,DM_NL!$A$5:$A$304,0)),""))</f>
        <v/>
      </c>
      <c r="H114" s="39" t="str">
        <f>IF(OR(E114="",BOM!G108="KXDDM"),"",BOM!F108)</f>
        <v/>
      </c>
      <c r="I114" s="36" t="str">
        <f>IF(E114="","",BOM!G108&amp;"")</f>
        <v/>
      </c>
    </row>
    <row r="115" spans="1:9" x14ac:dyDescent="0.25">
      <c r="A115" s="36" t="str">
        <f>IF(B115="","",MAX($A$10:A114)+1)</f>
        <v/>
      </c>
      <c r="B115" s="35" t="str">
        <f>IF(BOM!A109="","",IF(BOM!A109=BOM!A108,"",BOM!A109))</f>
        <v/>
      </c>
      <c r="C115" s="35" t="str">
        <f>IF(B115="","",IFERROR(INDEX(DM_SP!$B$5:$B$304,MATCH(B115,DM_SP!$A$5:$A$304,0)),"(chưa có trong DM_SP)"))</f>
        <v/>
      </c>
      <c r="D115" s="35" t="str">
        <f>IF(B115="","",IFERROR(INDEX(DM_SP!$C$5:$C$304,MATCH(B115,DM_SP!$A$5:$A$304,0)),""))</f>
        <v/>
      </c>
      <c r="E115" s="35" t="str">
        <f>IF(BOM!A109="","",BOM!B109)</f>
        <v/>
      </c>
      <c r="F115" s="35" t="str">
        <f>IF(E115="","",IFERROR(INDEX(DM_NL!$B$5:$B$304,MATCH(E115,DM_NL!$A$5:$A$304,0)),"(chưa có trong DM_NL)"))</f>
        <v/>
      </c>
      <c r="G115" s="35" t="str">
        <f>IF(E115="","",IFERROR(INDEX(DM_NL!$C$5:$C$304,MATCH(E115,DM_NL!$A$5:$A$304,0)),""))</f>
        <v/>
      </c>
      <c r="H115" s="39" t="str">
        <f>IF(OR(E115="",BOM!G109="KXDDM"),"",BOM!F109)</f>
        <v/>
      </c>
      <c r="I115" s="36" t="str">
        <f>IF(E115="","",BOM!G109&amp;"")</f>
        <v/>
      </c>
    </row>
    <row r="116" spans="1:9" x14ac:dyDescent="0.25">
      <c r="A116" s="36" t="str">
        <f>IF(B116="","",MAX($A$10:A115)+1)</f>
        <v/>
      </c>
      <c r="B116" s="35" t="str">
        <f>IF(BOM!A110="","",IF(BOM!A110=BOM!A109,"",BOM!A110))</f>
        <v/>
      </c>
      <c r="C116" s="35" t="str">
        <f>IF(B116="","",IFERROR(INDEX(DM_SP!$B$5:$B$304,MATCH(B116,DM_SP!$A$5:$A$304,0)),"(chưa có trong DM_SP)"))</f>
        <v/>
      </c>
      <c r="D116" s="35" t="str">
        <f>IF(B116="","",IFERROR(INDEX(DM_SP!$C$5:$C$304,MATCH(B116,DM_SP!$A$5:$A$304,0)),""))</f>
        <v/>
      </c>
      <c r="E116" s="35" t="str">
        <f>IF(BOM!A110="","",BOM!B110)</f>
        <v/>
      </c>
      <c r="F116" s="35" t="str">
        <f>IF(E116="","",IFERROR(INDEX(DM_NL!$B$5:$B$304,MATCH(E116,DM_NL!$A$5:$A$304,0)),"(chưa có trong DM_NL)"))</f>
        <v/>
      </c>
      <c r="G116" s="35" t="str">
        <f>IF(E116="","",IFERROR(INDEX(DM_NL!$C$5:$C$304,MATCH(E116,DM_NL!$A$5:$A$304,0)),""))</f>
        <v/>
      </c>
      <c r="H116" s="39" t="str">
        <f>IF(OR(E116="",BOM!G110="KXDDM"),"",BOM!F110)</f>
        <v/>
      </c>
      <c r="I116" s="36" t="str">
        <f>IF(E116="","",BOM!G110&amp;"")</f>
        <v/>
      </c>
    </row>
    <row r="117" spans="1:9" x14ac:dyDescent="0.25">
      <c r="A117" s="36" t="str">
        <f>IF(B117="","",MAX($A$10:A116)+1)</f>
        <v/>
      </c>
      <c r="B117" s="35" t="str">
        <f>IF(BOM!A111="","",IF(BOM!A111=BOM!A110,"",BOM!A111))</f>
        <v/>
      </c>
      <c r="C117" s="35" t="str">
        <f>IF(B117="","",IFERROR(INDEX(DM_SP!$B$5:$B$304,MATCH(B117,DM_SP!$A$5:$A$304,0)),"(chưa có trong DM_SP)"))</f>
        <v/>
      </c>
      <c r="D117" s="35" t="str">
        <f>IF(B117="","",IFERROR(INDEX(DM_SP!$C$5:$C$304,MATCH(B117,DM_SP!$A$5:$A$304,0)),""))</f>
        <v/>
      </c>
      <c r="E117" s="35" t="str">
        <f>IF(BOM!A111="","",BOM!B111)</f>
        <v/>
      </c>
      <c r="F117" s="35" t="str">
        <f>IF(E117="","",IFERROR(INDEX(DM_NL!$B$5:$B$304,MATCH(E117,DM_NL!$A$5:$A$304,0)),"(chưa có trong DM_NL)"))</f>
        <v/>
      </c>
      <c r="G117" s="35" t="str">
        <f>IF(E117="","",IFERROR(INDEX(DM_NL!$C$5:$C$304,MATCH(E117,DM_NL!$A$5:$A$304,0)),""))</f>
        <v/>
      </c>
      <c r="H117" s="39" t="str">
        <f>IF(OR(E117="",BOM!G111="KXDDM"),"",BOM!F111)</f>
        <v/>
      </c>
      <c r="I117" s="36" t="str">
        <f>IF(E117="","",BOM!G111&amp;"")</f>
        <v/>
      </c>
    </row>
    <row r="118" spans="1:9" x14ac:dyDescent="0.25">
      <c r="A118" s="36" t="str">
        <f>IF(B118="","",MAX($A$10:A117)+1)</f>
        <v/>
      </c>
      <c r="B118" s="35" t="str">
        <f>IF(BOM!A112="","",IF(BOM!A112=BOM!A111,"",BOM!A112))</f>
        <v/>
      </c>
      <c r="C118" s="35" t="str">
        <f>IF(B118="","",IFERROR(INDEX(DM_SP!$B$5:$B$304,MATCH(B118,DM_SP!$A$5:$A$304,0)),"(chưa có trong DM_SP)"))</f>
        <v/>
      </c>
      <c r="D118" s="35" t="str">
        <f>IF(B118="","",IFERROR(INDEX(DM_SP!$C$5:$C$304,MATCH(B118,DM_SP!$A$5:$A$304,0)),""))</f>
        <v/>
      </c>
      <c r="E118" s="35" t="str">
        <f>IF(BOM!A112="","",BOM!B112)</f>
        <v/>
      </c>
      <c r="F118" s="35" t="str">
        <f>IF(E118="","",IFERROR(INDEX(DM_NL!$B$5:$B$304,MATCH(E118,DM_NL!$A$5:$A$304,0)),"(chưa có trong DM_NL)"))</f>
        <v/>
      </c>
      <c r="G118" s="35" t="str">
        <f>IF(E118="","",IFERROR(INDEX(DM_NL!$C$5:$C$304,MATCH(E118,DM_NL!$A$5:$A$304,0)),""))</f>
        <v/>
      </c>
      <c r="H118" s="39" t="str">
        <f>IF(OR(E118="",BOM!G112="KXDDM"),"",BOM!F112)</f>
        <v/>
      </c>
      <c r="I118" s="36" t="str">
        <f>IF(E118="","",BOM!G112&amp;"")</f>
        <v/>
      </c>
    </row>
    <row r="119" spans="1:9" x14ac:dyDescent="0.25">
      <c r="A119" s="36" t="str">
        <f>IF(B119="","",MAX($A$10:A118)+1)</f>
        <v/>
      </c>
      <c r="B119" s="35" t="str">
        <f>IF(BOM!A113="","",IF(BOM!A113=BOM!A112,"",BOM!A113))</f>
        <v/>
      </c>
      <c r="C119" s="35" t="str">
        <f>IF(B119="","",IFERROR(INDEX(DM_SP!$B$5:$B$304,MATCH(B119,DM_SP!$A$5:$A$304,0)),"(chưa có trong DM_SP)"))</f>
        <v/>
      </c>
      <c r="D119" s="35" t="str">
        <f>IF(B119="","",IFERROR(INDEX(DM_SP!$C$5:$C$304,MATCH(B119,DM_SP!$A$5:$A$304,0)),""))</f>
        <v/>
      </c>
      <c r="E119" s="35" t="str">
        <f>IF(BOM!A113="","",BOM!B113)</f>
        <v/>
      </c>
      <c r="F119" s="35" t="str">
        <f>IF(E119="","",IFERROR(INDEX(DM_NL!$B$5:$B$304,MATCH(E119,DM_NL!$A$5:$A$304,0)),"(chưa có trong DM_NL)"))</f>
        <v/>
      </c>
      <c r="G119" s="35" t="str">
        <f>IF(E119="","",IFERROR(INDEX(DM_NL!$C$5:$C$304,MATCH(E119,DM_NL!$A$5:$A$304,0)),""))</f>
        <v/>
      </c>
      <c r="H119" s="39" t="str">
        <f>IF(OR(E119="",BOM!G113="KXDDM"),"",BOM!F113)</f>
        <v/>
      </c>
      <c r="I119" s="36" t="str">
        <f>IF(E119="","",BOM!G113&amp;"")</f>
        <v/>
      </c>
    </row>
    <row r="120" spans="1:9" x14ac:dyDescent="0.25">
      <c r="A120" s="36" t="str">
        <f>IF(B120="","",MAX($A$10:A119)+1)</f>
        <v/>
      </c>
      <c r="B120" s="35" t="str">
        <f>IF(BOM!A114="","",IF(BOM!A114=BOM!A113,"",BOM!A114))</f>
        <v/>
      </c>
      <c r="C120" s="35" t="str">
        <f>IF(B120="","",IFERROR(INDEX(DM_SP!$B$5:$B$304,MATCH(B120,DM_SP!$A$5:$A$304,0)),"(chưa có trong DM_SP)"))</f>
        <v/>
      </c>
      <c r="D120" s="35" t="str">
        <f>IF(B120="","",IFERROR(INDEX(DM_SP!$C$5:$C$304,MATCH(B120,DM_SP!$A$5:$A$304,0)),""))</f>
        <v/>
      </c>
      <c r="E120" s="35" t="str">
        <f>IF(BOM!A114="","",BOM!B114)</f>
        <v/>
      </c>
      <c r="F120" s="35" t="str">
        <f>IF(E120="","",IFERROR(INDEX(DM_NL!$B$5:$B$304,MATCH(E120,DM_NL!$A$5:$A$304,0)),"(chưa có trong DM_NL)"))</f>
        <v/>
      </c>
      <c r="G120" s="35" t="str">
        <f>IF(E120="","",IFERROR(INDEX(DM_NL!$C$5:$C$304,MATCH(E120,DM_NL!$A$5:$A$304,0)),""))</f>
        <v/>
      </c>
      <c r="H120" s="39" t="str">
        <f>IF(OR(E120="",BOM!G114="KXDDM"),"",BOM!F114)</f>
        <v/>
      </c>
      <c r="I120" s="36" t="str">
        <f>IF(E120="","",BOM!G114&amp;"")</f>
        <v/>
      </c>
    </row>
    <row r="121" spans="1:9" x14ac:dyDescent="0.25">
      <c r="A121" s="36" t="str">
        <f>IF(B121="","",MAX($A$10:A120)+1)</f>
        <v/>
      </c>
      <c r="B121" s="35" t="str">
        <f>IF(BOM!A115="","",IF(BOM!A115=BOM!A114,"",BOM!A115))</f>
        <v/>
      </c>
      <c r="C121" s="35" t="str">
        <f>IF(B121="","",IFERROR(INDEX(DM_SP!$B$5:$B$304,MATCH(B121,DM_SP!$A$5:$A$304,0)),"(chưa có trong DM_SP)"))</f>
        <v/>
      </c>
      <c r="D121" s="35" t="str">
        <f>IF(B121="","",IFERROR(INDEX(DM_SP!$C$5:$C$304,MATCH(B121,DM_SP!$A$5:$A$304,0)),""))</f>
        <v/>
      </c>
      <c r="E121" s="35" t="str">
        <f>IF(BOM!A115="","",BOM!B115)</f>
        <v/>
      </c>
      <c r="F121" s="35" t="str">
        <f>IF(E121="","",IFERROR(INDEX(DM_NL!$B$5:$B$304,MATCH(E121,DM_NL!$A$5:$A$304,0)),"(chưa có trong DM_NL)"))</f>
        <v/>
      </c>
      <c r="G121" s="35" t="str">
        <f>IF(E121="","",IFERROR(INDEX(DM_NL!$C$5:$C$304,MATCH(E121,DM_NL!$A$5:$A$304,0)),""))</f>
        <v/>
      </c>
      <c r="H121" s="39" t="str">
        <f>IF(OR(E121="",BOM!G115="KXDDM"),"",BOM!F115)</f>
        <v/>
      </c>
      <c r="I121" s="36" t="str">
        <f>IF(E121="","",BOM!G115&amp;"")</f>
        <v/>
      </c>
    </row>
    <row r="122" spans="1:9" x14ac:dyDescent="0.25">
      <c r="A122" s="36" t="str">
        <f>IF(B122="","",MAX($A$10:A121)+1)</f>
        <v/>
      </c>
      <c r="B122" s="35" t="str">
        <f>IF(BOM!A116="","",IF(BOM!A116=BOM!A115,"",BOM!A116))</f>
        <v/>
      </c>
      <c r="C122" s="35" t="str">
        <f>IF(B122="","",IFERROR(INDEX(DM_SP!$B$5:$B$304,MATCH(B122,DM_SP!$A$5:$A$304,0)),"(chưa có trong DM_SP)"))</f>
        <v/>
      </c>
      <c r="D122" s="35" t="str">
        <f>IF(B122="","",IFERROR(INDEX(DM_SP!$C$5:$C$304,MATCH(B122,DM_SP!$A$5:$A$304,0)),""))</f>
        <v/>
      </c>
      <c r="E122" s="35" t="str">
        <f>IF(BOM!A116="","",BOM!B116)</f>
        <v/>
      </c>
      <c r="F122" s="35" t="str">
        <f>IF(E122="","",IFERROR(INDEX(DM_NL!$B$5:$B$304,MATCH(E122,DM_NL!$A$5:$A$304,0)),"(chưa có trong DM_NL)"))</f>
        <v/>
      </c>
      <c r="G122" s="35" t="str">
        <f>IF(E122="","",IFERROR(INDEX(DM_NL!$C$5:$C$304,MATCH(E122,DM_NL!$A$5:$A$304,0)),""))</f>
        <v/>
      </c>
      <c r="H122" s="39" t="str">
        <f>IF(OR(E122="",BOM!G116="KXDDM"),"",BOM!F116)</f>
        <v/>
      </c>
      <c r="I122" s="36" t="str">
        <f>IF(E122="","",BOM!G116&amp;"")</f>
        <v/>
      </c>
    </row>
    <row r="123" spans="1:9" x14ac:dyDescent="0.25">
      <c r="A123" s="36" t="str">
        <f>IF(B123="","",MAX($A$10:A122)+1)</f>
        <v/>
      </c>
      <c r="B123" s="35" t="str">
        <f>IF(BOM!A117="","",IF(BOM!A117=BOM!A116,"",BOM!A117))</f>
        <v/>
      </c>
      <c r="C123" s="35" t="str">
        <f>IF(B123="","",IFERROR(INDEX(DM_SP!$B$5:$B$304,MATCH(B123,DM_SP!$A$5:$A$304,0)),"(chưa có trong DM_SP)"))</f>
        <v/>
      </c>
      <c r="D123" s="35" t="str">
        <f>IF(B123="","",IFERROR(INDEX(DM_SP!$C$5:$C$304,MATCH(B123,DM_SP!$A$5:$A$304,0)),""))</f>
        <v/>
      </c>
      <c r="E123" s="35" t="str">
        <f>IF(BOM!A117="","",BOM!B117)</f>
        <v/>
      </c>
      <c r="F123" s="35" t="str">
        <f>IF(E123="","",IFERROR(INDEX(DM_NL!$B$5:$B$304,MATCH(E123,DM_NL!$A$5:$A$304,0)),"(chưa có trong DM_NL)"))</f>
        <v/>
      </c>
      <c r="G123" s="35" t="str">
        <f>IF(E123="","",IFERROR(INDEX(DM_NL!$C$5:$C$304,MATCH(E123,DM_NL!$A$5:$A$304,0)),""))</f>
        <v/>
      </c>
      <c r="H123" s="39" t="str">
        <f>IF(OR(E123="",BOM!G117="KXDDM"),"",BOM!F117)</f>
        <v/>
      </c>
      <c r="I123" s="36" t="str">
        <f>IF(E123="","",BOM!G117&amp;"")</f>
        <v/>
      </c>
    </row>
    <row r="124" spans="1:9" x14ac:dyDescent="0.25">
      <c r="A124" s="36" t="str">
        <f>IF(B124="","",MAX($A$10:A123)+1)</f>
        <v/>
      </c>
      <c r="B124" s="35" t="str">
        <f>IF(BOM!A118="","",IF(BOM!A118=BOM!A117,"",BOM!A118))</f>
        <v/>
      </c>
      <c r="C124" s="35" t="str">
        <f>IF(B124="","",IFERROR(INDEX(DM_SP!$B$5:$B$304,MATCH(B124,DM_SP!$A$5:$A$304,0)),"(chưa có trong DM_SP)"))</f>
        <v/>
      </c>
      <c r="D124" s="35" t="str">
        <f>IF(B124="","",IFERROR(INDEX(DM_SP!$C$5:$C$304,MATCH(B124,DM_SP!$A$5:$A$304,0)),""))</f>
        <v/>
      </c>
      <c r="E124" s="35" t="str">
        <f>IF(BOM!A118="","",BOM!B118)</f>
        <v/>
      </c>
      <c r="F124" s="35" t="str">
        <f>IF(E124="","",IFERROR(INDEX(DM_NL!$B$5:$B$304,MATCH(E124,DM_NL!$A$5:$A$304,0)),"(chưa có trong DM_NL)"))</f>
        <v/>
      </c>
      <c r="G124" s="35" t="str">
        <f>IF(E124="","",IFERROR(INDEX(DM_NL!$C$5:$C$304,MATCH(E124,DM_NL!$A$5:$A$304,0)),""))</f>
        <v/>
      </c>
      <c r="H124" s="39" t="str">
        <f>IF(OR(E124="",BOM!G118="KXDDM"),"",BOM!F118)</f>
        <v/>
      </c>
      <c r="I124" s="36" t="str">
        <f>IF(E124="","",BOM!G118&amp;"")</f>
        <v/>
      </c>
    </row>
    <row r="125" spans="1:9" x14ac:dyDescent="0.25">
      <c r="A125" s="36" t="str">
        <f>IF(B125="","",MAX($A$10:A124)+1)</f>
        <v/>
      </c>
      <c r="B125" s="35" t="str">
        <f>IF(BOM!A119="","",IF(BOM!A119=BOM!A118,"",BOM!A119))</f>
        <v/>
      </c>
      <c r="C125" s="35" t="str">
        <f>IF(B125="","",IFERROR(INDEX(DM_SP!$B$5:$B$304,MATCH(B125,DM_SP!$A$5:$A$304,0)),"(chưa có trong DM_SP)"))</f>
        <v/>
      </c>
      <c r="D125" s="35" t="str">
        <f>IF(B125="","",IFERROR(INDEX(DM_SP!$C$5:$C$304,MATCH(B125,DM_SP!$A$5:$A$304,0)),""))</f>
        <v/>
      </c>
      <c r="E125" s="35" t="str">
        <f>IF(BOM!A119="","",BOM!B119)</f>
        <v/>
      </c>
      <c r="F125" s="35" t="str">
        <f>IF(E125="","",IFERROR(INDEX(DM_NL!$B$5:$B$304,MATCH(E125,DM_NL!$A$5:$A$304,0)),"(chưa có trong DM_NL)"))</f>
        <v/>
      </c>
      <c r="G125" s="35" t="str">
        <f>IF(E125="","",IFERROR(INDEX(DM_NL!$C$5:$C$304,MATCH(E125,DM_NL!$A$5:$A$304,0)),""))</f>
        <v/>
      </c>
      <c r="H125" s="39" t="str">
        <f>IF(OR(E125="",BOM!G119="KXDDM"),"",BOM!F119)</f>
        <v/>
      </c>
      <c r="I125" s="36" t="str">
        <f>IF(E125="","",BOM!G119&amp;"")</f>
        <v/>
      </c>
    </row>
    <row r="126" spans="1:9" x14ac:dyDescent="0.25">
      <c r="A126" s="36" t="str">
        <f>IF(B126="","",MAX($A$10:A125)+1)</f>
        <v/>
      </c>
      <c r="B126" s="35" t="str">
        <f>IF(BOM!A120="","",IF(BOM!A120=BOM!A119,"",BOM!A120))</f>
        <v/>
      </c>
      <c r="C126" s="35" t="str">
        <f>IF(B126="","",IFERROR(INDEX(DM_SP!$B$5:$B$304,MATCH(B126,DM_SP!$A$5:$A$304,0)),"(chưa có trong DM_SP)"))</f>
        <v/>
      </c>
      <c r="D126" s="35" t="str">
        <f>IF(B126="","",IFERROR(INDEX(DM_SP!$C$5:$C$304,MATCH(B126,DM_SP!$A$5:$A$304,0)),""))</f>
        <v/>
      </c>
      <c r="E126" s="35" t="str">
        <f>IF(BOM!A120="","",BOM!B120)</f>
        <v/>
      </c>
      <c r="F126" s="35" t="str">
        <f>IF(E126="","",IFERROR(INDEX(DM_NL!$B$5:$B$304,MATCH(E126,DM_NL!$A$5:$A$304,0)),"(chưa có trong DM_NL)"))</f>
        <v/>
      </c>
      <c r="G126" s="35" t="str">
        <f>IF(E126="","",IFERROR(INDEX(DM_NL!$C$5:$C$304,MATCH(E126,DM_NL!$A$5:$A$304,0)),""))</f>
        <v/>
      </c>
      <c r="H126" s="39" t="str">
        <f>IF(OR(E126="",BOM!G120="KXDDM"),"",BOM!F120)</f>
        <v/>
      </c>
      <c r="I126" s="36" t="str">
        <f>IF(E126="","",BOM!G120&amp;"")</f>
        <v/>
      </c>
    </row>
    <row r="127" spans="1:9" x14ac:dyDescent="0.25">
      <c r="A127" s="36" t="str">
        <f>IF(B127="","",MAX($A$10:A126)+1)</f>
        <v/>
      </c>
      <c r="B127" s="35" t="str">
        <f>IF(BOM!A121="","",IF(BOM!A121=BOM!A120,"",BOM!A121))</f>
        <v/>
      </c>
      <c r="C127" s="35" t="str">
        <f>IF(B127="","",IFERROR(INDEX(DM_SP!$B$5:$B$304,MATCH(B127,DM_SP!$A$5:$A$304,0)),"(chưa có trong DM_SP)"))</f>
        <v/>
      </c>
      <c r="D127" s="35" t="str">
        <f>IF(B127="","",IFERROR(INDEX(DM_SP!$C$5:$C$304,MATCH(B127,DM_SP!$A$5:$A$304,0)),""))</f>
        <v/>
      </c>
      <c r="E127" s="35" t="str">
        <f>IF(BOM!A121="","",BOM!B121)</f>
        <v/>
      </c>
      <c r="F127" s="35" t="str">
        <f>IF(E127="","",IFERROR(INDEX(DM_NL!$B$5:$B$304,MATCH(E127,DM_NL!$A$5:$A$304,0)),"(chưa có trong DM_NL)"))</f>
        <v/>
      </c>
      <c r="G127" s="35" t="str">
        <f>IF(E127="","",IFERROR(INDEX(DM_NL!$C$5:$C$304,MATCH(E127,DM_NL!$A$5:$A$304,0)),""))</f>
        <v/>
      </c>
      <c r="H127" s="39" t="str">
        <f>IF(OR(E127="",BOM!G121="KXDDM"),"",BOM!F121)</f>
        <v/>
      </c>
      <c r="I127" s="36" t="str">
        <f>IF(E127="","",BOM!G121&amp;"")</f>
        <v/>
      </c>
    </row>
    <row r="128" spans="1:9" x14ac:dyDescent="0.25">
      <c r="A128" s="36" t="str">
        <f>IF(B128="","",MAX($A$10:A127)+1)</f>
        <v/>
      </c>
      <c r="B128" s="35" t="str">
        <f>IF(BOM!A122="","",IF(BOM!A122=BOM!A121,"",BOM!A122))</f>
        <v/>
      </c>
      <c r="C128" s="35" t="str">
        <f>IF(B128="","",IFERROR(INDEX(DM_SP!$B$5:$B$304,MATCH(B128,DM_SP!$A$5:$A$304,0)),"(chưa có trong DM_SP)"))</f>
        <v/>
      </c>
      <c r="D128" s="35" t="str">
        <f>IF(B128="","",IFERROR(INDEX(DM_SP!$C$5:$C$304,MATCH(B128,DM_SP!$A$5:$A$304,0)),""))</f>
        <v/>
      </c>
      <c r="E128" s="35" t="str">
        <f>IF(BOM!A122="","",BOM!B122)</f>
        <v/>
      </c>
      <c r="F128" s="35" t="str">
        <f>IF(E128="","",IFERROR(INDEX(DM_NL!$B$5:$B$304,MATCH(E128,DM_NL!$A$5:$A$304,0)),"(chưa có trong DM_NL)"))</f>
        <v/>
      </c>
      <c r="G128" s="35" t="str">
        <f>IF(E128="","",IFERROR(INDEX(DM_NL!$C$5:$C$304,MATCH(E128,DM_NL!$A$5:$A$304,0)),""))</f>
        <v/>
      </c>
      <c r="H128" s="39" t="str">
        <f>IF(OR(E128="",BOM!G122="KXDDM"),"",BOM!F122)</f>
        <v/>
      </c>
      <c r="I128" s="36" t="str">
        <f>IF(E128="","",BOM!G122&amp;"")</f>
        <v/>
      </c>
    </row>
    <row r="129" spans="1:9" x14ac:dyDescent="0.25">
      <c r="A129" s="36" t="str">
        <f>IF(B129="","",MAX($A$10:A128)+1)</f>
        <v/>
      </c>
      <c r="B129" s="35" t="str">
        <f>IF(BOM!A123="","",IF(BOM!A123=BOM!A122,"",BOM!A123))</f>
        <v/>
      </c>
      <c r="C129" s="35" t="str">
        <f>IF(B129="","",IFERROR(INDEX(DM_SP!$B$5:$B$304,MATCH(B129,DM_SP!$A$5:$A$304,0)),"(chưa có trong DM_SP)"))</f>
        <v/>
      </c>
      <c r="D129" s="35" t="str">
        <f>IF(B129="","",IFERROR(INDEX(DM_SP!$C$5:$C$304,MATCH(B129,DM_SP!$A$5:$A$304,0)),""))</f>
        <v/>
      </c>
      <c r="E129" s="35" t="str">
        <f>IF(BOM!A123="","",BOM!B123)</f>
        <v/>
      </c>
      <c r="F129" s="35" t="str">
        <f>IF(E129="","",IFERROR(INDEX(DM_NL!$B$5:$B$304,MATCH(E129,DM_NL!$A$5:$A$304,0)),"(chưa có trong DM_NL)"))</f>
        <v/>
      </c>
      <c r="G129" s="35" t="str">
        <f>IF(E129="","",IFERROR(INDEX(DM_NL!$C$5:$C$304,MATCH(E129,DM_NL!$A$5:$A$304,0)),""))</f>
        <v/>
      </c>
      <c r="H129" s="39" t="str">
        <f>IF(OR(E129="",BOM!G123="KXDDM"),"",BOM!F123)</f>
        <v/>
      </c>
      <c r="I129" s="36" t="str">
        <f>IF(E129="","",BOM!G123&amp;"")</f>
        <v/>
      </c>
    </row>
    <row r="130" spans="1:9" x14ac:dyDescent="0.25">
      <c r="A130" s="36" t="str">
        <f>IF(B130="","",MAX($A$10:A129)+1)</f>
        <v/>
      </c>
      <c r="B130" s="35" t="str">
        <f>IF(BOM!A124="","",IF(BOM!A124=BOM!A123,"",BOM!A124))</f>
        <v/>
      </c>
      <c r="C130" s="35" t="str">
        <f>IF(B130="","",IFERROR(INDEX(DM_SP!$B$5:$B$304,MATCH(B130,DM_SP!$A$5:$A$304,0)),"(chưa có trong DM_SP)"))</f>
        <v/>
      </c>
      <c r="D130" s="35" t="str">
        <f>IF(B130="","",IFERROR(INDEX(DM_SP!$C$5:$C$304,MATCH(B130,DM_SP!$A$5:$A$304,0)),""))</f>
        <v/>
      </c>
      <c r="E130" s="35" t="str">
        <f>IF(BOM!A124="","",BOM!B124)</f>
        <v/>
      </c>
      <c r="F130" s="35" t="str">
        <f>IF(E130="","",IFERROR(INDEX(DM_NL!$B$5:$B$304,MATCH(E130,DM_NL!$A$5:$A$304,0)),"(chưa có trong DM_NL)"))</f>
        <v/>
      </c>
      <c r="G130" s="35" t="str">
        <f>IF(E130="","",IFERROR(INDEX(DM_NL!$C$5:$C$304,MATCH(E130,DM_NL!$A$5:$A$304,0)),""))</f>
        <v/>
      </c>
      <c r="H130" s="39" t="str">
        <f>IF(OR(E130="",BOM!G124="KXDDM"),"",BOM!F124)</f>
        <v/>
      </c>
      <c r="I130" s="36" t="str">
        <f>IF(E130="","",BOM!G124&amp;"")</f>
        <v/>
      </c>
    </row>
    <row r="131" spans="1:9" x14ac:dyDescent="0.25">
      <c r="A131" s="36" t="str">
        <f>IF(B131="","",MAX($A$10:A130)+1)</f>
        <v/>
      </c>
      <c r="B131" s="35" t="str">
        <f>IF(BOM!A125="","",IF(BOM!A125=BOM!A124,"",BOM!A125))</f>
        <v/>
      </c>
      <c r="C131" s="35" t="str">
        <f>IF(B131="","",IFERROR(INDEX(DM_SP!$B$5:$B$304,MATCH(B131,DM_SP!$A$5:$A$304,0)),"(chưa có trong DM_SP)"))</f>
        <v/>
      </c>
      <c r="D131" s="35" t="str">
        <f>IF(B131="","",IFERROR(INDEX(DM_SP!$C$5:$C$304,MATCH(B131,DM_SP!$A$5:$A$304,0)),""))</f>
        <v/>
      </c>
      <c r="E131" s="35" t="str">
        <f>IF(BOM!A125="","",BOM!B125)</f>
        <v/>
      </c>
      <c r="F131" s="35" t="str">
        <f>IF(E131="","",IFERROR(INDEX(DM_NL!$B$5:$B$304,MATCH(E131,DM_NL!$A$5:$A$304,0)),"(chưa có trong DM_NL)"))</f>
        <v/>
      </c>
      <c r="G131" s="35" t="str">
        <f>IF(E131="","",IFERROR(INDEX(DM_NL!$C$5:$C$304,MATCH(E131,DM_NL!$A$5:$A$304,0)),""))</f>
        <v/>
      </c>
      <c r="H131" s="39" t="str">
        <f>IF(OR(E131="",BOM!G125="KXDDM"),"",BOM!F125)</f>
        <v/>
      </c>
      <c r="I131" s="36" t="str">
        <f>IF(E131="","",BOM!G125&amp;"")</f>
        <v/>
      </c>
    </row>
    <row r="132" spans="1:9" x14ac:dyDescent="0.25">
      <c r="A132" s="36" t="str">
        <f>IF(B132="","",MAX($A$10:A131)+1)</f>
        <v/>
      </c>
      <c r="B132" s="35" t="str">
        <f>IF(BOM!A126="","",IF(BOM!A126=BOM!A125,"",BOM!A126))</f>
        <v/>
      </c>
      <c r="C132" s="35" t="str">
        <f>IF(B132="","",IFERROR(INDEX(DM_SP!$B$5:$B$304,MATCH(B132,DM_SP!$A$5:$A$304,0)),"(chưa có trong DM_SP)"))</f>
        <v/>
      </c>
      <c r="D132" s="35" t="str">
        <f>IF(B132="","",IFERROR(INDEX(DM_SP!$C$5:$C$304,MATCH(B132,DM_SP!$A$5:$A$304,0)),""))</f>
        <v/>
      </c>
      <c r="E132" s="35" t="str">
        <f>IF(BOM!A126="","",BOM!B126)</f>
        <v/>
      </c>
      <c r="F132" s="35" t="str">
        <f>IF(E132="","",IFERROR(INDEX(DM_NL!$B$5:$B$304,MATCH(E132,DM_NL!$A$5:$A$304,0)),"(chưa có trong DM_NL)"))</f>
        <v/>
      </c>
      <c r="G132" s="35" t="str">
        <f>IF(E132="","",IFERROR(INDEX(DM_NL!$C$5:$C$304,MATCH(E132,DM_NL!$A$5:$A$304,0)),""))</f>
        <v/>
      </c>
      <c r="H132" s="39" t="str">
        <f>IF(OR(E132="",BOM!G126="KXDDM"),"",BOM!F126)</f>
        <v/>
      </c>
      <c r="I132" s="36" t="str">
        <f>IF(E132="","",BOM!G126&amp;"")</f>
        <v/>
      </c>
    </row>
    <row r="133" spans="1:9" x14ac:dyDescent="0.25">
      <c r="A133" s="36" t="str">
        <f>IF(B133="","",MAX($A$10:A132)+1)</f>
        <v/>
      </c>
      <c r="B133" s="35" t="str">
        <f>IF(BOM!A127="","",IF(BOM!A127=BOM!A126,"",BOM!A127))</f>
        <v/>
      </c>
      <c r="C133" s="35" t="str">
        <f>IF(B133="","",IFERROR(INDEX(DM_SP!$B$5:$B$304,MATCH(B133,DM_SP!$A$5:$A$304,0)),"(chưa có trong DM_SP)"))</f>
        <v/>
      </c>
      <c r="D133" s="35" t="str">
        <f>IF(B133="","",IFERROR(INDEX(DM_SP!$C$5:$C$304,MATCH(B133,DM_SP!$A$5:$A$304,0)),""))</f>
        <v/>
      </c>
      <c r="E133" s="35" t="str">
        <f>IF(BOM!A127="","",BOM!B127)</f>
        <v/>
      </c>
      <c r="F133" s="35" t="str">
        <f>IF(E133="","",IFERROR(INDEX(DM_NL!$B$5:$B$304,MATCH(E133,DM_NL!$A$5:$A$304,0)),"(chưa có trong DM_NL)"))</f>
        <v/>
      </c>
      <c r="G133" s="35" t="str">
        <f>IF(E133="","",IFERROR(INDEX(DM_NL!$C$5:$C$304,MATCH(E133,DM_NL!$A$5:$A$304,0)),""))</f>
        <v/>
      </c>
      <c r="H133" s="39" t="str">
        <f>IF(OR(E133="",BOM!G127="KXDDM"),"",BOM!F127)</f>
        <v/>
      </c>
      <c r="I133" s="36" t="str">
        <f>IF(E133="","",BOM!G127&amp;"")</f>
        <v/>
      </c>
    </row>
    <row r="134" spans="1:9" x14ac:dyDescent="0.25">
      <c r="A134" s="36" t="str">
        <f>IF(B134="","",MAX($A$10:A133)+1)</f>
        <v/>
      </c>
      <c r="B134" s="35" t="str">
        <f>IF(BOM!A128="","",IF(BOM!A128=BOM!A127,"",BOM!A128))</f>
        <v/>
      </c>
      <c r="C134" s="35" t="str">
        <f>IF(B134="","",IFERROR(INDEX(DM_SP!$B$5:$B$304,MATCH(B134,DM_SP!$A$5:$A$304,0)),"(chưa có trong DM_SP)"))</f>
        <v/>
      </c>
      <c r="D134" s="35" t="str">
        <f>IF(B134="","",IFERROR(INDEX(DM_SP!$C$5:$C$304,MATCH(B134,DM_SP!$A$5:$A$304,0)),""))</f>
        <v/>
      </c>
      <c r="E134" s="35" t="str">
        <f>IF(BOM!A128="","",BOM!B128)</f>
        <v/>
      </c>
      <c r="F134" s="35" t="str">
        <f>IF(E134="","",IFERROR(INDEX(DM_NL!$B$5:$B$304,MATCH(E134,DM_NL!$A$5:$A$304,0)),"(chưa có trong DM_NL)"))</f>
        <v/>
      </c>
      <c r="G134" s="35" t="str">
        <f>IF(E134="","",IFERROR(INDEX(DM_NL!$C$5:$C$304,MATCH(E134,DM_NL!$A$5:$A$304,0)),""))</f>
        <v/>
      </c>
      <c r="H134" s="39" t="str">
        <f>IF(OR(E134="",BOM!G128="KXDDM"),"",BOM!F128)</f>
        <v/>
      </c>
      <c r="I134" s="36" t="str">
        <f>IF(E134="","",BOM!G128&amp;"")</f>
        <v/>
      </c>
    </row>
    <row r="135" spans="1:9" x14ac:dyDescent="0.25">
      <c r="A135" s="36" t="str">
        <f>IF(B135="","",MAX($A$10:A134)+1)</f>
        <v/>
      </c>
      <c r="B135" s="35" t="str">
        <f>IF(BOM!A129="","",IF(BOM!A129=BOM!A128,"",BOM!A129))</f>
        <v/>
      </c>
      <c r="C135" s="35" t="str">
        <f>IF(B135="","",IFERROR(INDEX(DM_SP!$B$5:$B$304,MATCH(B135,DM_SP!$A$5:$A$304,0)),"(chưa có trong DM_SP)"))</f>
        <v/>
      </c>
      <c r="D135" s="35" t="str">
        <f>IF(B135="","",IFERROR(INDEX(DM_SP!$C$5:$C$304,MATCH(B135,DM_SP!$A$5:$A$304,0)),""))</f>
        <v/>
      </c>
      <c r="E135" s="35" t="str">
        <f>IF(BOM!A129="","",BOM!B129)</f>
        <v/>
      </c>
      <c r="F135" s="35" t="str">
        <f>IF(E135="","",IFERROR(INDEX(DM_NL!$B$5:$B$304,MATCH(E135,DM_NL!$A$5:$A$304,0)),"(chưa có trong DM_NL)"))</f>
        <v/>
      </c>
      <c r="G135" s="35" t="str">
        <f>IF(E135="","",IFERROR(INDEX(DM_NL!$C$5:$C$304,MATCH(E135,DM_NL!$A$5:$A$304,0)),""))</f>
        <v/>
      </c>
      <c r="H135" s="39" t="str">
        <f>IF(OR(E135="",BOM!G129="KXDDM"),"",BOM!F129)</f>
        <v/>
      </c>
      <c r="I135" s="36" t="str">
        <f>IF(E135="","",BOM!G129&amp;"")</f>
        <v/>
      </c>
    </row>
    <row r="136" spans="1:9" x14ac:dyDescent="0.25">
      <c r="A136" s="36" t="str">
        <f>IF(B136="","",MAX($A$10:A135)+1)</f>
        <v/>
      </c>
      <c r="B136" s="35" t="str">
        <f>IF(BOM!A130="","",IF(BOM!A130=BOM!A129,"",BOM!A130))</f>
        <v/>
      </c>
      <c r="C136" s="35" t="str">
        <f>IF(B136="","",IFERROR(INDEX(DM_SP!$B$5:$B$304,MATCH(B136,DM_SP!$A$5:$A$304,0)),"(chưa có trong DM_SP)"))</f>
        <v/>
      </c>
      <c r="D136" s="35" t="str">
        <f>IF(B136="","",IFERROR(INDEX(DM_SP!$C$5:$C$304,MATCH(B136,DM_SP!$A$5:$A$304,0)),""))</f>
        <v/>
      </c>
      <c r="E136" s="35" t="str">
        <f>IF(BOM!A130="","",BOM!B130)</f>
        <v/>
      </c>
      <c r="F136" s="35" t="str">
        <f>IF(E136="","",IFERROR(INDEX(DM_NL!$B$5:$B$304,MATCH(E136,DM_NL!$A$5:$A$304,0)),"(chưa có trong DM_NL)"))</f>
        <v/>
      </c>
      <c r="G136" s="35" t="str">
        <f>IF(E136="","",IFERROR(INDEX(DM_NL!$C$5:$C$304,MATCH(E136,DM_NL!$A$5:$A$304,0)),""))</f>
        <v/>
      </c>
      <c r="H136" s="39" t="str">
        <f>IF(OR(E136="",BOM!G130="KXDDM"),"",BOM!F130)</f>
        <v/>
      </c>
      <c r="I136" s="36" t="str">
        <f>IF(E136="","",BOM!G130&amp;"")</f>
        <v/>
      </c>
    </row>
    <row r="137" spans="1:9" x14ac:dyDescent="0.25">
      <c r="A137" s="36" t="str">
        <f>IF(B137="","",MAX($A$10:A136)+1)</f>
        <v/>
      </c>
      <c r="B137" s="35" t="str">
        <f>IF(BOM!A131="","",IF(BOM!A131=BOM!A130,"",BOM!A131))</f>
        <v/>
      </c>
      <c r="C137" s="35" t="str">
        <f>IF(B137="","",IFERROR(INDEX(DM_SP!$B$5:$B$304,MATCH(B137,DM_SP!$A$5:$A$304,0)),"(chưa có trong DM_SP)"))</f>
        <v/>
      </c>
      <c r="D137" s="35" t="str">
        <f>IF(B137="","",IFERROR(INDEX(DM_SP!$C$5:$C$304,MATCH(B137,DM_SP!$A$5:$A$304,0)),""))</f>
        <v/>
      </c>
      <c r="E137" s="35" t="str">
        <f>IF(BOM!A131="","",BOM!B131)</f>
        <v/>
      </c>
      <c r="F137" s="35" t="str">
        <f>IF(E137="","",IFERROR(INDEX(DM_NL!$B$5:$B$304,MATCH(E137,DM_NL!$A$5:$A$304,0)),"(chưa có trong DM_NL)"))</f>
        <v/>
      </c>
      <c r="G137" s="35" t="str">
        <f>IF(E137="","",IFERROR(INDEX(DM_NL!$C$5:$C$304,MATCH(E137,DM_NL!$A$5:$A$304,0)),""))</f>
        <v/>
      </c>
      <c r="H137" s="39" t="str">
        <f>IF(OR(E137="",BOM!G131="KXDDM"),"",BOM!F131)</f>
        <v/>
      </c>
      <c r="I137" s="36" t="str">
        <f>IF(E137="","",BOM!G131&amp;"")</f>
        <v/>
      </c>
    </row>
    <row r="138" spans="1:9" x14ac:dyDescent="0.25">
      <c r="A138" s="36" t="str">
        <f>IF(B138="","",MAX($A$10:A137)+1)</f>
        <v/>
      </c>
      <c r="B138" s="35" t="str">
        <f>IF(BOM!A132="","",IF(BOM!A132=BOM!A131,"",BOM!A132))</f>
        <v/>
      </c>
      <c r="C138" s="35" t="str">
        <f>IF(B138="","",IFERROR(INDEX(DM_SP!$B$5:$B$304,MATCH(B138,DM_SP!$A$5:$A$304,0)),"(chưa có trong DM_SP)"))</f>
        <v/>
      </c>
      <c r="D138" s="35" t="str">
        <f>IF(B138="","",IFERROR(INDEX(DM_SP!$C$5:$C$304,MATCH(B138,DM_SP!$A$5:$A$304,0)),""))</f>
        <v/>
      </c>
      <c r="E138" s="35" t="str">
        <f>IF(BOM!A132="","",BOM!B132)</f>
        <v/>
      </c>
      <c r="F138" s="35" t="str">
        <f>IF(E138="","",IFERROR(INDEX(DM_NL!$B$5:$B$304,MATCH(E138,DM_NL!$A$5:$A$304,0)),"(chưa có trong DM_NL)"))</f>
        <v/>
      </c>
      <c r="G138" s="35" t="str">
        <f>IF(E138="","",IFERROR(INDEX(DM_NL!$C$5:$C$304,MATCH(E138,DM_NL!$A$5:$A$304,0)),""))</f>
        <v/>
      </c>
      <c r="H138" s="39" t="str">
        <f>IF(OR(E138="",BOM!G132="KXDDM"),"",BOM!F132)</f>
        <v/>
      </c>
      <c r="I138" s="36" t="str">
        <f>IF(E138="","",BOM!G132&amp;"")</f>
        <v/>
      </c>
    </row>
    <row r="139" spans="1:9" x14ac:dyDescent="0.25">
      <c r="A139" s="36" t="str">
        <f>IF(B139="","",MAX($A$10:A138)+1)</f>
        <v/>
      </c>
      <c r="B139" s="35" t="str">
        <f>IF(BOM!A133="","",IF(BOM!A133=BOM!A132,"",BOM!A133))</f>
        <v/>
      </c>
      <c r="C139" s="35" t="str">
        <f>IF(B139="","",IFERROR(INDEX(DM_SP!$B$5:$B$304,MATCH(B139,DM_SP!$A$5:$A$304,0)),"(chưa có trong DM_SP)"))</f>
        <v/>
      </c>
      <c r="D139" s="35" t="str">
        <f>IF(B139="","",IFERROR(INDEX(DM_SP!$C$5:$C$304,MATCH(B139,DM_SP!$A$5:$A$304,0)),""))</f>
        <v/>
      </c>
      <c r="E139" s="35" t="str">
        <f>IF(BOM!A133="","",BOM!B133)</f>
        <v/>
      </c>
      <c r="F139" s="35" t="str">
        <f>IF(E139="","",IFERROR(INDEX(DM_NL!$B$5:$B$304,MATCH(E139,DM_NL!$A$5:$A$304,0)),"(chưa có trong DM_NL)"))</f>
        <v/>
      </c>
      <c r="G139" s="35" t="str">
        <f>IF(E139="","",IFERROR(INDEX(DM_NL!$C$5:$C$304,MATCH(E139,DM_NL!$A$5:$A$304,0)),""))</f>
        <v/>
      </c>
      <c r="H139" s="39" t="str">
        <f>IF(OR(E139="",BOM!G133="KXDDM"),"",BOM!F133)</f>
        <v/>
      </c>
      <c r="I139" s="36" t="str">
        <f>IF(E139="","",BOM!G133&amp;"")</f>
        <v/>
      </c>
    </row>
    <row r="140" spans="1:9" x14ac:dyDescent="0.25">
      <c r="A140" s="36" t="str">
        <f>IF(B140="","",MAX($A$10:A139)+1)</f>
        <v/>
      </c>
      <c r="B140" s="35" t="str">
        <f>IF(BOM!A134="","",IF(BOM!A134=BOM!A133,"",BOM!A134))</f>
        <v/>
      </c>
      <c r="C140" s="35" t="str">
        <f>IF(B140="","",IFERROR(INDEX(DM_SP!$B$5:$B$304,MATCH(B140,DM_SP!$A$5:$A$304,0)),"(chưa có trong DM_SP)"))</f>
        <v/>
      </c>
      <c r="D140" s="35" t="str">
        <f>IF(B140="","",IFERROR(INDEX(DM_SP!$C$5:$C$304,MATCH(B140,DM_SP!$A$5:$A$304,0)),""))</f>
        <v/>
      </c>
      <c r="E140" s="35" t="str">
        <f>IF(BOM!A134="","",BOM!B134)</f>
        <v/>
      </c>
      <c r="F140" s="35" t="str">
        <f>IF(E140="","",IFERROR(INDEX(DM_NL!$B$5:$B$304,MATCH(E140,DM_NL!$A$5:$A$304,0)),"(chưa có trong DM_NL)"))</f>
        <v/>
      </c>
      <c r="G140" s="35" t="str">
        <f>IF(E140="","",IFERROR(INDEX(DM_NL!$C$5:$C$304,MATCH(E140,DM_NL!$A$5:$A$304,0)),""))</f>
        <v/>
      </c>
      <c r="H140" s="39" t="str">
        <f>IF(OR(E140="",BOM!G134="KXDDM"),"",BOM!F134)</f>
        <v/>
      </c>
      <c r="I140" s="36" t="str">
        <f>IF(E140="","",BOM!G134&amp;"")</f>
        <v/>
      </c>
    </row>
    <row r="141" spans="1:9" x14ac:dyDescent="0.25">
      <c r="A141" s="36" t="str">
        <f>IF(B141="","",MAX($A$10:A140)+1)</f>
        <v/>
      </c>
      <c r="B141" s="35" t="str">
        <f>IF(BOM!A135="","",IF(BOM!A135=BOM!A134,"",BOM!A135))</f>
        <v/>
      </c>
      <c r="C141" s="35" t="str">
        <f>IF(B141="","",IFERROR(INDEX(DM_SP!$B$5:$B$304,MATCH(B141,DM_SP!$A$5:$A$304,0)),"(chưa có trong DM_SP)"))</f>
        <v/>
      </c>
      <c r="D141" s="35" t="str">
        <f>IF(B141="","",IFERROR(INDEX(DM_SP!$C$5:$C$304,MATCH(B141,DM_SP!$A$5:$A$304,0)),""))</f>
        <v/>
      </c>
      <c r="E141" s="35" t="str">
        <f>IF(BOM!A135="","",BOM!B135)</f>
        <v/>
      </c>
      <c r="F141" s="35" t="str">
        <f>IF(E141="","",IFERROR(INDEX(DM_NL!$B$5:$B$304,MATCH(E141,DM_NL!$A$5:$A$304,0)),"(chưa có trong DM_NL)"))</f>
        <v/>
      </c>
      <c r="G141" s="35" t="str">
        <f>IF(E141="","",IFERROR(INDEX(DM_NL!$C$5:$C$304,MATCH(E141,DM_NL!$A$5:$A$304,0)),""))</f>
        <v/>
      </c>
      <c r="H141" s="39" t="str">
        <f>IF(OR(E141="",BOM!G135="KXDDM"),"",BOM!F135)</f>
        <v/>
      </c>
      <c r="I141" s="36" t="str">
        <f>IF(E141="","",BOM!G135&amp;"")</f>
        <v/>
      </c>
    </row>
    <row r="142" spans="1:9" x14ac:dyDescent="0.25">
      <c r="A142" s="36" t="str">
        <f>IF(B142="","",MAX($A$10:A141)+1)</f>
        <v/>
      </c>
      <c r="B142" s="35" t="str">
        <f>IF(BOM!A136="","",IF(BOM!A136=BOM!A135,"",BOM!A136))</f>
        <v/>
      </c>
      <c r="C142" s="35" t="str">
        <f>IF(B142="","",IFERROR(INDEX(DM_SP!$B$5:$B$304,MATCH(B142,DM_SP!$A$5:$A$304,0)),"(chưa có trong DM_SP)"))</f>
        <v/>
      </c>
      <c r="D142" s="35" t="str">
        <f>IF(B142="","",IFERROR(INDEX(DM_SP!$C$5:$C$304,MATCH(B142,DM_SP!$A$5:$A$304,0)),""))</f>
        <v/>
      </c>
      <c r="E142" s="35" t="str">
        <f>IF(BOM!A136="","",BOM!B136)</f>
        <v/>
      </c>
      <c r="F142" s="35" t="str">
        <f>IF(E142="","",IFERROR(INDEX(DM_NL!$B$5:$B$304,MATCH(E142,DM_NL!$A$5:$A$304,0)),"(chưa có trong DM_NL)"))</f>
        <v/>
      </c>
      <c r="G142" s="35" t="str">
        <f>IF(E142="","",IFERROR(INDEX(DM_NL!$C$5:$C$304,MATCH(E142,DM_NL!$A$5:$A$304,0)),""))</f>
        <v/>
      </c>
      <c r="H142" s="39" t="str">
        <f>IF(OR(E142="",BOM!G136="KXDDM"),"",BOM!F136)</f>
        <v/>
      </c>
      <c r="I142" s="36" t="str">
        <f>IF(E142="","",BOM!G136&amp;"")</f>
        <v/>
      </c>
    </row>
    <row r="143" spans="1:9" x14ac:dyDescent="0.25">
      <c r="A143" s="36" t="str">
        <f>IF(B143="","",MAX($A$10:A142)+1)</f>
        <v/>
      </c>
      <c r="B143" s="35" t="str">
        <f>IF(BOM!A137="","",IF(BOM!A137=BOM!A136,"",BOM!A137))</f>
        <v/>
      </c>
      <c r="C143" s="35" t="str">
        <f>IF(B143="","",IFERROR(INDEX(DM_SP!$B$5:$B$304,MATCH(B143,DM_SP!$A$5:$A$304,0)),"(chưa có trong DM_SP)"))</f>
        <v/>
      </c>
      <c r="D143" s="35" t="str">
        <f>IF(B143="","",IFERROR(INDEX(DM_SP!$C$5:$C$304,MATCH(B143,DM_SP!$A$5:$A$304,0)),""))</f>
        <v/>
      </c>
      <c r="E143" s="35" t="str">
        <f>IF(BOM!A137="","",BOM!B137)</f>
        <v/>
      </c>
      <c r="F143" s="35" t="str">
        <f>IF(E143="","",IFERROR(INDEX(DM_NL!$B$5:$B$304,MATCH(E143,DM_NL!$A$5:$A$304,0)),"(chưa có trong DM_NL)"))</f>
        <v/>
      </c>
      <c r="G143" s="35" t="str">
        <f>IF(E143="","",IFERROR(INDEX(DM_NL!$C$5:$C$304,MATCH(E143,DM_NL!$A$5:$A$304,0)),""))</f>
        <v/>
      </c>
      <c r="H143" s="39" t="str">
        <f>IF(OR(E143="",BOM!G137="KXDDM"),"",BOM!F137)</f>
        <v/>
      </c>
      <c r="I143" s="36" t="str">
        <f>IF(E143="","",BOM!G137&amp;"")</f>
        <v/>
      </c>
    </row>
    <row r="144" spans="1:9" x14ac:dyDescent="0.25">
      <c r="A144" s="36" t="str">
        <f>IF(B144="","",MAX($A$10:A143)+1)</f>
        <v/>
      </c>
      <c r="B144" s="35" t="str">
        <f>IF(BOM!A138="","",IF(BOM!A138=BOM!A137,"",BOM!A138))</f>
        <v/>
      </c>
      <c r="C144" s="35" t="str">
        <f>IF(B144="","",IFERROR(INDEX(DM_SP!$B$5:$B$304,MATCH(B144,DM_SP!$A$5:$A$304,0)),"(chưa có trong DM_SP)"))</f>
        <v/>
      </c>
      <c r="D144" s="35" t="str">
        <f>IF(B144="","",IFERROR(INDEX(DM_SP!$C$5:$C$304,MATCH(B144,DM_SP!$A$5:$A$304,0)),""))</f>
        <v/>
      </c>
      <c r="E144" s="35" t="str">
        <f>IF(BOM!A138="","",BOM!B138)</f>
        <v/>
      </c>
      <c r="F144" s="35" t="str">
        <f>IF(E144="","",IFERROR(INDEX(DM_NL!$B$5:$B$304,MATCH(E144,DM_NL!$A$5:$A$304,0)),"(chưa có trong DM_NL)"))</f>
        <v/>
      </c>
      <c r="G144" s="35" t="str">
        <f>IF(E144="","",IFERROR(INDEX(DM_NL!$C$5:$C$304,MATCH(E144,DM_NL!$A$5:$A$304,0)),""))</f>
        <v/>
      </c>
      <c r="H144" s="39" t="str">
        <f>IF(OR(E144="",BOM!G138="KXDDM"),"",BOM!F138)</f>
        <v/>
      </c>
      <c r="I144" s="36" t="str">
        <f>IF(E144="","",BOM!G138&amp;"")</f>
        <v/>
      </c>
    </row>
    <row r="145" spans="1:9" x14ac:dyDescent="0.25">
      <c r="A145" s="36" t="str">
        <f>IF(B145="","",MAX($A$10:A144)+1)</f>
        <v/>
      </c>
      <c r="B145" s="35" t="str">
        <f>IF(BOM!A139="","",IF(BOM!A139=BOM!A138,"",BOM!A139))</f>
        <v/>
      </c>
      <c r="C145" s="35" t="str">
        <f>IF(B145="","",IFERROR(INDEX(DM_SP!$B$5:$B$304,MATCH(B145,DM_SP!$A$5:$A$304,0)),"(chưa có trong DM_SP)"))</f>
        <v/>
      </c>
      <c r="D145" s="35" t="str">
        <f>IF(B145="","",IFERROR(INDEX(DM_SP!$C$5:$C$304,MATCH(B145,DM_SP!$A$5:$A$304,0)),""))</f>
        <v/>
      </c>
      <c r="E145" s="35" t="str">
        <f>IF(BOM!A139="","",BOM!B139)</f>
        <v/>
      </c>
      <c r="F145" s="35" t="str">
        <f>IF(E145="","",IFERROR(INDEX(DM_NL!$B$5:$B$304,MATCH(E145,DM_NL!$A$5:$A$304,0)),"(chưa có trong DM_NL)"))</f>
        <v/>
      </c>
      <c r="G145" s="35" t="str">
        <f>IF(E145="","",IFERROR(INDEX(DM_NL!$C$5:$C$304,MATCH(E145,DM_NL!$A$5:$A$304,0)),""))</f>
        <v/>
      </c>
      <c r="H145" s="39" t="str">
        <f>IF(OR(E145="",BOM!G139="KXDDM"),"",BOM!F139)</f>
        <v/>
      </c>
      <c r="I145" s="36" t="str">
        <f>IF(E145="","",BOM!G139&amp;"")</f>
        <v/>
      </c>
    </row>
    <row r="146" spans="1:9" x14ac:dyDescent="0.25">
      <c r="A146" s="36" t="str">
        <f>IF(B146="","",MAX($A$10:A145)+1)</f>
        <v/>
      </c>
      <c r="B146" s="35" t="str">
        <f>IF(BOM!A140="","",IF(BOM!A140=BOM!A139,"",BOM!A140))</f>
        <v/>
      </c>
      <c r="C146" s="35" t="str">
        <f>IF(B146="","",IFERROR(INDEX(DM_SP!$B$5:$B$304,MATCH(B146,DM_SP!$A$5:$A$304,0)),"(chưa có trong DM_SP)"))</f>
        <v/>
      </c>
      <c r="D146" s="35" t="str">
        <f>IF(B146="","",IFERROR(INDEX(DM_SP!$C$5:$C$304,MATCH(B146,DM_SP!$A$5:$A$304,0)),""))</f>
        <v/>
      </c>
      <c r="E146" s="35" t="str">
        <f>IF(BOM!A140="","",BOM!B140)</f>
        <v/>
      </c>
      <c r="F146" s="35" t="str">
        <f>IF(E146="","",IFERROR(INDEX(DM_NL!$B$5:$B$304,MATCH(E146,DM_NL!$A$5:$A$304,0)),"(chưa có trong DM_NL)"))</f>
        <v/>
      </c>
      <c r="G146" s="35" t="str">
        <f>IF(E146="","",IFERROR(INDEX(DM_NL!$C$5:$C$304,MATCH(E146,DM_NL!$A$5:$A$304,0)),""))</f>
        <v/>
      </c>
      <c r="H146" s="39" t="str">
        <f>IF(OR(E146="",BOM!G140="KXDDM"),"",BOM!F140)</f>
        <v/>
      </c>
      <c r="I146" s="36" t="str">
        <f>IF(E146="","",BOM!G140&amp;"")</f>
        <v/>
      </c>
    </row>
    <row r="147" spans="1:9" x14ac:dyDescent="0.25">
      <c r="A147" s="36" t="str">
        <f>IF(B147="","",MAX($A$10:A146)+1)</f>
        <v/>
      </c>
      <c r="B147" s="35" t="str">
        <f>IF(BOM!A141="","",IF(BOM!A141=BOM!A140,"",BOM!A141))</f>
        <v/>
      </c>
      <c r="C147" s="35" t="str">
        <f>IF(B147="","",IFERROR(INDEX(DM_SP!$B$5:$B$304,MATCH(B147,DM_SP!$A$5:$A$304,0)),"(chưa có trong DM_SP)"))</f>
        <v/>
      </c>
      <c r="D147" s="35" t="str">
        <f>IF(B147="","",IFERROR(INDEX(DM_SP!$C$5:$C$304,MATCH(B147,DM_SP!$A$5:$A$304,0)),""))</f>
        <v/>
      </c>
      <c r="E147" s="35" t="str">
        <f>IF(BOM!A141="","",BOM!B141)</f>
        <v/>
      </c>
      <c r="F147" s="35" t="str">
        <f>IF(E147="","",IFERROR(INDEX(DM_NL!$B$5:$B$304,MATCH(E147,DM_NL!$A$5:$A$304,0)),"(chưa có trong DM_NL)"))</f>
        <v/>
      </c>
      <c r="G147" s="35" t="str">
        <f>IF(E147="","",IFERROR(INDEX(DM_NL!$C$5:$C$304,MATCH(E147,DM_NL!$A$5:$A$304,0)),""))</f>
        <v/>
      </c>
      <c r="H147" s="39" t="str">
        <f>IF(OR(E147="",BOM!G141="KXDDM"),"",BOM!F141)</f>
        <v/>
      </c>
      <c r="I147" s="36" t="str">
        <f>IF(E147="","",BOM!G141&amp;"")</f>
        <v/>
      </c>
    </row>
    <row r="148" spans="1:9" x14ac:dyDescent="0.25">
      <c r="A148" s="36" t="str">
        <f>IF(B148="","",MAX($A$10:A147)+1)</f>
        <v/>
      </c>
      <c r="B148" s="35" t="str">
        <f>IF(BOM!A142="","",IF(BOM!A142=BOM!A141,"",BOM!A142))</f>
        <v/>
      </c>
      <c r="C148" s="35" t="str">
        <f>IF(B148="","",IFERROR(INDEX(DM_SP!$B$5:$B$304,MATCH(B148,DM_SP!$A$5:$A$304,0)),"(chưa có trong DM_SP)"))</f>
        <v/>
      </c>
      <c r="D148" s="35" t="str">
        <f>IF(B148="","",IFERROR(INDEX(DM_SP!$C$5:$C$304,MATCH(B148,DM_SP!$A$5:$A$304,0)),""))</f>
        <v/>
      </c>
      <c r="E148" s="35" t="str">
        <f>IF(BOM!A142="","",BOM!B142)</f>
        <v/>
      </c>
      <c r="F148" s="35" t="str">
        <f>IF(E148="","",IFERROR(INDEX(DM_NL!$B$5:$B$304,MATCH(E148,DM_NL!$A$5:$A$304,0)),"(chưa có trong DM_NL)"))</f>
        <v/>
      </c>
      <c r="G148" s="35" t="str">
        <f>IF(E148="","",IFERROR(INDEX(DM_NL!$C$5:$C$304,MATCH(E148,DM_NL!$A$5:$A$304,0)),""))</f>
        <v/>
      </c>
      <c r="H148" s="39" t="str">
        <f>IF(OR(E148="",BOM!G142="KXDDM"),"",BOM!F142)</f>
        <v/>
      </c>
      <c r="I148" s="36" t="str">
        <f>IF(E148="","",BOM!G142&amp;"")</f>
        <v/>
      </c>
    </row>
    <row r="149" spans="1:9" x14ac:dyDescent="0.25">
      <c r="A149" s="36" t="str">
        <f>IF(B149="","",MAX($A$10:A148)+1)</f>
        <v/>
      </c>
      <c r="B149" s="35" t="str">
        <f>IF(BOM!A143="","",IF(BOM!A143=BOM!A142,"",BOM!A143))</f>
        <v/>
      </c>
      <c r="C149" s="35" t="str">
        <f>IF(B149="","",IFERROR(INDEX(DM_SP!$B$5:$B$304,MATCH(B149,DM_SP!$A$5:$A$304,0)),"(chưa có trong DM_SP)"))</f>
        <v/>
      </c>
      <c r="D149" s="35" t="str">
        <f>IF(B149="","",IFERROR(INDEX(DM_SP!$C$5:$C$304,MATCH(B149,DM_SP!$A$5:$A$304,0)),""))</f>
        <v/>
      </c>
      <c r="E149" s="35" t="str">
        <f>IF(BOM!A143="","",BOM!B143)</f>
        <v/>
      </c>
      <c r="F149" s="35" t="str">
        <f>IF(E149="","",IFERROR(INDEX(DM_NL!$B$5:$B$304,MATCH(E149,DM_NL!$A$5:$A$304,0)),"(chưa có trong DM_NL)"))</f>
        <v/>
      </c>
      <c r="G149" s="35" t="str">
        <f>IF(E149="","",IFERROR(INDEX(DM_NL!$C$5:$C$304,MATCH(E149,DM_NL!$A$5:$A$304,0)),""))</f>
        <v/>
      </c>
      <c r="H149" s="39" t="str">
        <f>IF(OR(E149="",BOM!G143="KXDDM"),"",BOM!F143)</f>
        <v/>
      </c>
      <c r="I149" s="36" t="str">
        <f>IF(E149="","",BOM!G143&amp;"")</f>
        <v/>
      </c>
    </row>
    <row r="150" spans="1:9" x14ac:dyDescent="0.25">
      <c r="A150" s="36" t="str">
        <f>IF(B150="","",MAX($A$10:A149)+1)</f>
        <v/>
      </c>
      <c r="B150" s="35" t="str">
        <f>IF(BOM!A144="","",IF(BOM!A144=BOM!A143,"",BOM!A144))</f>
        <v/>
      </c>
      <c r="C150" s="35" t="str">
        <f>IF(B150="","",IFERROR(INDEX(DM_SP!$B$5:$B$304,MATCH(B150,DM_SP!$A$5:$A$304,0)),"(chưa có trong DM_SP)"))</f>
        <v/>
      </c>
      <c r="D150" s="35" t="str">
        <f>IF(B150="","",IFERROR(INDEX(DM_SP!$C$5:$C$304,MATCH(B150,DM_SP!$A$5:$A$304,0)),""))</f>
        <v/>
      </c>
      <c r="E150" s="35" t="str">
        <f>IF(BOM!A144="","",BOM!B144)</f>
        <v/>
      </c>
      <c r="F150" s="35" t="str">
        <f>IF(E150="","",IFERROR(INDEX(DM_NL!$B$5:$B$304,MATCH(E150,DM_NL!$A$5:$A$304,0)),"(chưa có trong DM_NL)"))</f>
        <v/>
      </c>
      <c r="G150" s="35" t="str">
        <f>IF(E150="","",IFERROR(INDEX(DM_NL!$C$5:$C$304,MATCH(E150,DM_NL!$A$5:$A$304,0)),""))</f>
        <v/>
      </c>
      <c r="H150" s="39" t="str">
        <f>IF(OR(E150="",BOM!G144="KXDDM"),"",BOM!F144)</f>
        <v/>
      </c>
      <c r="I150" s="36" t="str">
        <f>IF(E150="","",BOM!G144&amp;"")</f>
        <v/>
      </c>
    </row>
    <row r="151" spans="1:9" x14ac:dyDescent="0.25">
      <c r="A151" s="36" t="str">
        <f>IF(B151="","",MAX($A$10:A150)+1)</f>
        <v/>
      </c>
      <c r="B151" s="35" t="str">
        <f>IF(BOM!A145="","",IF(BOM!A145=BOM!A144,"",BOM!A145))</f>
        <v/>
      </c>
      <c r="C151" s="35" t="str">
        <f>IF(B151="","",IFERROR(INDEX(DM_SP!$B$5:$B$304,MATCH(B151,DM_SP!$A$5:$A$304,0)),"(chưa có trong DM_SP)"))</f>
        <v/>
      </c>
      <c r="D151" s="35" t="str">
        <f>IF(B151="","",IFERROR(INDEX(DM_SP!$C$5:$C$304,MATCH(B151,DM_SP!$A$5:$A$304,0)),""))</f>
        <v/>
      </c>
      <c r="E151" s="35" t="str">
        <f>IF(BOM!A145="","",BOM!B145)</f>
        <v/>
      </c>
      <c r="F151" s="35" t="str">
        <f>IF(E151="","",IFERROR(INDEX(DM_NL!$B$5:$B$304,MATCH(E151,DM_NL!$A$5:$A$304,0)),"(chưa có trong DM_NL)"))</f>
        <v/>
      </c>
      <c r="G151" s="35" t="str">
        <f>IF(E151="","",IFERROR(INDEX(DM_NL!$C$5:$C$304,MATCH(E151,DM_NL!$A$5:$A$304,0)),""))</f>
        <v/>
      </c>
      <c r="H151" s="39" t="str">
        <f>IF(OR(E151="",BOM!G145="KXDDM"),"",BOM!F145)</f>
        <v/>
      </c>
      <c r="I151" s="36" t="str">
        <f>IF(E151="","",BOM!G145&amp;"")</f>
        <v/>
      </c>
    </row>
    <row r="152" spans="1:9" x14ac:dyDescent="0.25">
      <c r="A152" s="36" t="str">
        <f>IF(B152="","",MAX($A$10:A151)+1)</f>
        <v/>
      </c>
      <c r="B152" s="35" t="str">
        <f>IF(BOM!A146="","",IF(BOM!A146=BOM!A145,"",BOM!A146))</f>
        <v/>
      </c>
      <c r="C152" s="35" t="str">
        <f>IF(B152="","",IFERROR(INDEX(DM_SP!$B$5:$B$304,MATCH(B152,DM_SP!$A$5:$A$304,0)),"(chưa có trong DM_SP)"))</f>
        <v/>
      </c>
      <c r="D152" s="35" t="str">
        <f>IF(B152="","",IFERROR(INDEX(DM_SP!$C$5:$C$304,MATCH(B152,DM_SP!$A$5:$A$304,0)),""))</f>
        <v/>
      </c>
      <c r="E152" s="35" t="str">
        <f>IF(BOM!A146="","",BOM!B146)</f>
        <v/>
      </c>
      <c r="F152" s="35" t="str">
        <f>IF(E152="","",IFERROR(INDEX(DM_NL!$B$5:$B$304,MATCH(E152,DM_NL!$A$5:$A$304,0)),"(chưa có trong DM_NL)"))</f>
        <v/>
      </c>
      <c r="G152" s="35" t="str">
        <f>IF(E152="","",IFERROR(INDEX(DM_NL!$C$5:$C$304,MATCH(E152,DM_NL!$A$5:$A$304,0)),""))</f>
        <v/>
      </c>
      <c r="H152" s="39" t="str">
        <f>IF(OR(E152="",BOM!G146="KXDDM"),"",BOM!F146)</f>
        <v/>
      </c>
      <c r="I152" s="36" t="str">
        <f>IF(E152="","",BOM!G146&amp;"")</f>
        <v/>
      </c>
    </row>
    <row r="153" spans="1:9" x14ac:dyDescent="0.25">
      <c r="A153" s="36" t="str">
        <f>IF(B153="","",MAX($A$10:A152)+1)</f>
        <v/>
      </c>
      <c r="B153" s="35" t="str">
        <f>IF(BOM!A147="","",IF(BOM!A147=BOM!A146,"",BOM!A147))</f>
        <v/>
      </c>
      <c r="C153" s="35" t="str">
        <f>IF(B153="","",IFERROR(INDEX(DM_SP!$B$5:$B$304,MATCH(B153,DM_SP!$A$5:$A$304,0)),"(chưa có trong DM_SP)"))</f>
        <v/>
      </c>
      <c r="D153" s="35" t="str">
        <f>IF(B153="","",IFERROR(INDEX(DM_SP!$C$5:$C$304,MATCH(B153,DM_SP!$A$5:$A$304,0)),""))</f>
        <v/>
      </c>
      <c r="E153" s="35" t="str">
        <f>IF(BOM!A147="","",BOM!B147)</f>
        <v/>
      </c>
      <c r="F153" s="35" t="str">
        <f>IF(E153="","",IFERROR(INDEX(DM_NL!$B$5:$B$304,MATCH(E153,DM_NL!$A$5:$A$304,0)),"(chưa có trong DM_NL)"))</f>
        <v/>
      </c>
      <c r="G153" s="35" t="str">
        <f>IF(E153="","",IFERROR(INDEX(DM_NL!$C$5:$C$304,MATCH(E153,DM_NL!$A$5:$A$304,0)),""))</f>
        <v/>
      </c>
      <c r="H153" s="39" t="str">
        <f>IF(OR(E153="",BOM!G147="KXDDM"),"",BOM!F147)</f>
        <v/>
      </c>
      <c r="I153" s="36" t="str">
        <f>IF(E153="","",BOM!G147&amp;"")</f>
        <v/>
      </c>
    </row>
    <row r="154" spans="1:9" x14ac:dyDescent="0.25">
      <c r="A154" s="36" t="str">
        <f>IF(B154="","",MAX($A$10:A153)+1)</f>
        <v/>
      </c>
      <c r="B154" s="35" t="str">
        <f>IF(BOM!A148="","",IF(BOM!A148=BOM!A147,"",BOM!A148))</f>
        <v/>
      </c>
      <c r="C154" s="35" t="str">
        <f>IF(B154="","",IFERROR(INDEX(DM_SP!$B$5:$B$304,MATCH(B154,DM_SP!$A$5:$A$304,0)),"(chưa có trong DM_SP)"))</f>
        <v/>
      </c>
      <c r="D154" s="35" t="str">
        <f>IF(B154="","",IFERROR(INDEX(DM_SP!$C$5:$C$304,MATCH(B154,DM_SP!$A$5:$A$304,0)),""))</f>
        <v/>
      </c>
      <c r="E154" s="35" t="str">
        <f>IF(BOM!A148="","",BOM!B148)</f>
        <v/>
      </c>
      <c r="F154" s="35" t="str">
        <f>IF(E154="","",IFERROR(INDEX(DM_NL!$B$5:$B$304,MATCH(E154,DM_NL!$A$5:$A$304,0)),"(chưa có trong DM_NL)"))</f>
        <v/>
      </c>
      <c r="G154" s="35" t="str">
        <f>IF(E154="","",IFERROR(INDEX(DM_NL!$C$5:$C$304,MATCH(E154,DM_NL!$A$5:$A$304,0)),""))</f>
        <v/>
      </c>
      <c r="H154" s="39" t="str">
        <f>IF(OR(E154="",BOM!G148="KXDDM"),"",BOM!F148)</f>
        <v/>
      </c>
      <c r="I154" s="36" t="str">
        <f>IF(E154="","",BOM!G148&amp;"")</f>
        <v/>
      </c>
    </row>
    <row r="155" spans="1:9" x14ac:dyDescent="0.25">
      <c r="A155" s="36" t="str">
        <f>IF(B155="","",MAX($A$10:A154)+1)</f>
        <v/>
      </c>
      <c r="B155" s="35" t="str">
        <f>IF(BOM!A149="","",IF(BOM!A149=BOM!A148,"",BOM!A149))</f>
        <v/>
      </c>
      <c r="C155" s="35" t="str">
        <f>IF(B155="","",IFERROR(INDEX(DM_SP!$B$5:$B$304,MATCH(B155,DM_SP!$A$5:$A$304,0)),"(chưa có trong DM_SP)"))</f>
        <v/>
      </c>
      <c r="D155" s="35" t="str">
        <f>IF(B155="","",IFERROR(INDEX(DM_SP!$C$5:$C$304,MATCH(B155,DM_SP!$A$5:$A$304,0)),""))</f>
        <v/>
      </c>
      <c r="E155" s="35" t="str">
        <f>IF(BOM!A149="","",BOM!B149)</f>
        <v/>
      </c>
      <c r="F155" s="35" t="str">
        <f>IF(E155="","",IFERROR(INDEX(DM_NL!$B$5:$B$304,MATCH(E155,DM_NL!$A$5:$A$304,0)),"(chưa có trong DM_NL)"))</f>
        <v/>
      </c>
      <c r="G155" s="35" t="str">
        <f>IF(E155="","",IFERROR(INDEX(DM_NL!$C$5:$C$304,MATCH(E155,DM_NL!$A$5:$A$304,0)),""))</f>
        <v/>
      </c>
      <c r="H155" s="39" t="str">
        <f>IF(OR(E155="",BOM!G149="KXDDM"),"",BOM!F149)</f>
        <v/>
      </c>
      <c r="I155" s="36" t="str">
        <f>IF(E155="","",BOM!G149&amp;"")</f>
        <v/>
      </c>
    </row>
    <row r="156" spans="1:9" x14ac:dyDescent="0.25">
      <c r="A156" s="36" t="str">
        <f>IF(B156="","",MAX($A$10:A155)+1)</f>
        <v/>
      </c>
      <c r="B156" s="35" t="str">
        <f>IF(BOM!A150="","",IF(BOM!A150=BOM!A149,"",BOM!A150))</f>
        <v/>
      </c>
      <c r="C156" s="35" t="str">
        <f>IF(B156="","",IFERROR(INDEX(DM_SP!$B$5:$B$304,MATCH(B156,DM_SP!$A$5:$A$304,0)),"(chưa có trong DM_SP)"))</f>
        <v/>
      </c>
      <c r="D156" s="35" t="str">
        <f>IF(B156="","",IFERROR(INDEX(DM_SP!$C$5:$C$304,MATCH(B156,DM_SP!$A$5:$A$304,0)),""))</f>
        <v/>
      </c>
      <c r="E156" s="35" t="str">
        <f>IF(BOM!A150="","",BOM!B150)</f>
        <v/>
      </c>
      <c r="F156" s="35" t="str">
        <f>IF(E156="","",IFERROR(INDEX(DM_NL!$B$5:$B$304,MATCH(E156,DM_NL!$A$5:$A$304,0)),"(chưa có trong DM_NL)"))</f>
        <v/>
      </c>
      <c r="G156" s="35" t="str">
        <f>IF(E156="","",IFERROR(INDEX(DM_NL!$C$5:$C$304,MATCH(E156,DM_NL!$A$5:$A$304,0)),""))</f>
        <v/>
      </c>
      <c r="H156" s="39" t="str">
        <f>IF(OR(E156="",BOM!G150="KXDDM"),"",BOM!F150)</f>
        <v/>
      </c>
      <c r="I156" s="36" t="str">
        <f>IF(E156="","",BOM!G150&amp;"")</f>
        <v/>
      </c>
    </row>
    <row r="157" spans="1:9" x14ac:dyDescent="0.25">
      <c r="A157" s="36" t="str">
        <f>IF(B157="","",MAX($A$10:A156)+1)</f>
        <v/>
      </c>
      <c r="B157" s="35" t="str">
        <f>IF(BOM!A151="","",IF(BOM!A151=BOM!A150,"",BOM!A151))</f>
        <v/>
      </c>
      <c r="C157" s="35" t="str">
        <f>IF(B157="","",IFERROR(INDEX(DM_SP!$B$5:$B$304,MATCH(B157,DM_SP!$A$5:$A$304,0)),"(chưa có trong DM_SP)"))</f>
        <v/>
      </c>
      <c r="D157" s="35" t="str">
        <f>IF(B157="","",IFERROR(INDEX(DM_SP!$C$5:$C$304,MATCH(B157,DM_SP!$A$5:$A$304,0)),""))</f>
        <v/>
      </c>
      <c r="E157" s="35" t="str">
        <f>IF(BOM!A151="","",BOM!B151)</f>
        <v/>
      </c>
      <c r="F157" s="35" t="str">
        <f>IF(E157="","",IFERROR(INDEX(DM_NL!$B$5:$B$304,MATCH(E157,DM_NL!$A$5:$A$304,0)),"(chưa có trong DM_NL)"))</f>
        <v/>
      </c>
      <c r="G157" s="35" t="str">
        <f>IF(E157="","",IFERROR(INDEX(DM_NL!$C$5:$C$304,MATCH(E157,DM_NL!$A$5:$A$304,0)),""))</f>
        <v/>
      </c>
      <c r="H157" s="39" t="str">
        <f>IF(OR(E157="",BOM!G151="KXDDM"),"",BOM!F151)</f>
        <v/>
      </c>
      <c r="I157" s="36" t="str">
        <f>IF(E157="","",BOM!G151&amp;"")</f>
        <v/>
      </c>
    </row>
    <row r="158" spans="1:9" x14ac:dyDescent="0.25">
      <c r="A158" s="36" t="str">
        <f>IF(B158="","",MAX($A$10:A157)+1)</f>
        <v/>
      </c>
      <c r="B158" s="35" t="str">
        <f>IF(BOM!A152="","",IF(BOM!A152=BOM!A151,"",BOM!A152))</f>
        <v/>
      </c>
      <c r="C158" s="35" t="str">
        <f>IF(B158="","",IFERROR(INDEX(DM_SP!$B$5:$B$304,MATCH(B158,DM_SP!$A$5:$A$304,0)),"(chưa có trong DM_SP)"))</f>
        <v/>
      </c>
      <c r="D158" s="35" t="str">
        <f>IF(B158="","",IFERROR(INDEX(DM_SP!$C$5:$C$304,MATCH(B158,DM_SP!$A$5:$A$304,0)),""))</f>
        <v/>
      </c>
      <c r="E158" s="35" t="str">
        <f>IF(BOM!A152="","",BOM!B152)</f>
        <v/>
      </c>
      <c r="F158" s="35" t="str">
        <f>IF(E158="","",IFERROR(INDEX(DM_NL!$B$5:$B$304,MATCH(E158,DM_NL!$A$5:$A$304,0)),"(chưa có trong DM_NL)"))</f>
        <v/>
      </c>
      <c r="G158" s="35" t="str">
        <f>IF(E158="","",IFERROR(INDEX(DM_NL!$C$5:$C$304,MATCH(E158,DM_NL!$A$5:$A$304,0)),""))</f>
        <v/>
      </c>
      <c r="H158" s="39" t="str">
        <f>IF(OR(E158="",BOM!G152="KXDDM"),"",BOM!F152)</f>
        <v/>
      </c>
      <c r="I158" s="36" t="str">
        <f>IF(E158="","",BOM!G152&amp;"")</f>
        <v/>
      </c>
    </row>
    <row r="159" spans="1:9" x14ac:dyDescent="0.25">
      <c r="A159" s="36" t="str">
        <f>IF(B159="","",MAX($A$10:A158)+1)</f>
        <v/>
      </c>
      <c r="B159" s="35" t="str">
        <f>IF(BOM!A153="","",IF(BOM!A153=BOM!A152,"",BOM!A153))</f>
        <v/>
      </c>
      <c r="C159" s="35" t="str">
        <f>IF(B159="","",IFERROR(INDEX(DM_SP!$B$5:$B$304,MATCH(B159,DM_SP!$A$5:$A$304,0)),"(chưa có trong DM_SP)"))</f>
        <v/>
      </c>
      <c r="D159" s="35" t="str">
        <f>IF(B159="","",IFERROR(INDEX(DM_SP!$C$5:$C$304,MATCH(B159,DM_SP!$A$5:$A$304,0)),""))</f>
        <v/>
      </c>
      <c r="E159" s="35" t="str">
        <f>IF(BOM!A153="","",BOM!B153)</f>
        <v/>
      </c>
      <c r="F159" s="35" t="str">
        <f>IF(E159="","",IFERROR(INDEX(DM_NL!$B$5:$B$304,MATCH(E159,DM_NL!$A$5:$A$304,0)),"(chưa có trong DM_NL)"))</f>
        <v/>
      </c>
      <c r="G159" s="35" t="str">
        <f>IF(E159="","",IFERROR(INDEX(DM_NL!$C$5:$C$304,MATCH(E159,DM_NL!$A$5:$A$304,0)),""))</f>
        <v/>
      </c>
      <c r="H159" s="39" t="str">
        <f>IF(OR(E159="",BOM!G153="KXDDM"),"",BOM!F153)</f>
        <v/>
      </c>
      <c r="I159" s="36" t="str">
        <f>IF(E159="","",BOM!G153&amp;"")</f>
        <v/>
      </c>
    </row>
    <row r="160" spans="1:9" x14ac:dyDescent="0.25">
      <c r="A160" s="36" t="str">
        <f>IF(B160="","",MAX($A$10:A159)+1)</f>
        <v/>
      </c>
      <c r="B160" s="35" t="str">
        <f>IF(BOM!A154="","",IF(BOM!A154=BOM!A153,"",BOM!A154))</f>
        <v/>
      </c>
      <c r="C160" s="35" t="str">
        <f>IF(B160="","",IFERROR(INDEX(DM_SP!$B$5:$B$304,MATCH(B160,DM_SP!$A$5:$A$304,0)),"(chưa có trong DM_SP)"))</f>
        <v/>
      </c>
      <c r="D160" s="35" t="str">
        <f>IF(B160="","",IFERROR(INDEX(DM_SP!$C$5:$C$304,MATCH(B160,DM_SP!$A$5:$A$304,0)),""))</f>
        <v/>
      </c>
      <c r="E160" s="35" t="str">
        <f>IF(BOM!A154="","",BOM!B154)</f>
        <v/>
      </c>
      <c r="F160" s="35" t="str">
        <f>IF(E160="","",IFERROR(INDEX(DM_NL!$B$5:$B$304,MATCH(E160,DM_NL!$A$5:$A$304,0)),"(chưa có trong DM_NL)"))</f>
        <v/>
      </c>
      <c r="G160" s="35" t="str">
        <f>IF(E160="","",IFERROR(INDEX(DM_NL!$C$5:$C$304,MATCH(E160,DM_NL!$A$5:$A$304,0)),""))</f>
        <v/>
      </c>
      <c r="H160" s="39" t="str">
        <f>IF(OR(E160="",BOM!G154="KXDDM"),"",BOM!F154)</f>
        <v/>
      </c>
      <c r="I160" s="36" t="str">
        <f>IF(E160="","",BOM!G154&amp;"")</f>
        <v/>
      </c>
    </row>
    <row r="161" spans="1:9" x14ac:dyDescent="0.25">
      <c r="A161" s="36" t="str">
        <f>IF(B161="","",MAX($A$10:A160)+1)</f>
        <v/>
      </c>
      <c r="B161" s="35" t="str">
        <f>IF(BOM!A155="","",IF(BOM!A155=BOM!A154,"",BOM!A155))</f>
        <v/>
      </c>
      <c r="C161" s="35" t="str">
        <f>IF(B161="","",IFERROR(INDEX(DM_SP!$B$5:$B$304,MATCH(B161,DM_SP!$A$5:$A$304,0)),"(chưa có trong DM_SP)"))</f>
        <v/>
      </c>
      <c r="D161" s="35" t="str">
        <f>IF(B161="","",IFERROR(INDEX(DM_SP!$C$5:$C$304,MATCH(B161,DM_SP!$A$5:$A$304,0)),""))</f>
        <v/>
      </c>
      <c r="E161" s="35" t="str">
        <f>IF(BOM!A155="","",BOM!B155)</f>
        <v/>
      </c>
      <c r="F161" s="35" t="str">
        <f>IF(E161="","",IFERROR(INDEX(DM_NL!$B$5:$B$304,MATCH(E161,DM_NL!$A$5:$A$304,0)),"(chưa có trong DM_NL)"))</f>
        <v/>
      </c>
      <c r="G161" s="35" t="str">
        <f>IF(E161="","",IFERROR(INDEX(DM_NL!$C$5:$C$304,MATCH(E161,DM_NL!$A$5:$A$304,0)),""))</f>
        <v/>
      </c>
      <c r="H161" s="39" t="str">
        <f>IF(OR(E161="",BOM!G155="KXDDM"),"",BOM!F155)</f>
        <v/>
      </c>
      <c r="I161" s="36" t="str">
        <f>IF(E161="","",BOM!G155&amp;"")</f>
        <v/>
      </c>
    </row>
    <row r="162" spans="1:9" x14ac:dyDescent="0.25">
      <c r="A162" s="36" t="str">
        <f>IF(B162="","",MAX($A$10:A161)+1)</f>
        <v/>
      </c>
      <c r="B162" s="35" t="str">
        <f>IF(BOM!A156="","",IF(BOM!A156=BOM!A155,"",BOM!A156))</f>
        <v/>
      </c>
      <c r="C162" s="35" t="str">
        <f>IF(B162="","",IFERROR(INDEX(DM_SP!$B$5:$B$304,MATCH(B162,DM_SP!$A$5:$A$304,0)),"(chưa có trong DM_SP)"))</f>
        <v/>
      </c>
      <c r="D162" s="35" t="str">
        <f>IF(B162="","",IFERROR(INDEX(DM_SP!$C$5:$C$304,MATCH(B162,DM_SP!$A$5:$A$304,0)),""))</f>
        <v/>
      </c>
      <c r="E162" s="35" t="str">
        <f>IF(BOM!A156="","",BOM!B156)</f>
        <v/>
      </c>
      <c r="F162" s="35" t="str">
        <f>IF(E162="","",IFERROR(INDEX(DM_NL!$B$5:$B$304,MATCH(E162,DM_NL!$A$5:$A$304,0)),"(chưa có trong DM_NL)"))</f>
        <v/>
      </c>
      <c r="G162" s="35" t="str">
        <f>IF(E162="","",IFERROR(INDEX(DM_NL!$C$5:$C$304,MATCH(E162,DM_NL!$A$5:$A$304,0)),""))</f>
        <v/>
      </c>
      <c r="H162" s="39" t="str">
        <f>IF(OR(E162="",BOM!G156="KXDDM"),"",BOM!F156)</f>
        <v/>
      </c>
      <c r="I162" s="36" t="str">
        <f>IF(E162="","",BOM!G156&amp;"")</f>
        <v/>
      </c>
    </row>
    <row r="163" spans="1:9" x14ac:dyDescent="0.25">
      <c r="A163" s="36" t="str">
        <f>IF(B163="","",MAX($A$10:A162)+1)</f>
        <v/>
      </c>
      <c r="B163" s="35" t="str">
        <f>IF(BOM!A157="","",IF(BOM!A157=BOM!A156,"",BOM!A157))</f>
        <v/>
      </c>
      <c r="C163" s="35" t="str">
        <f>IF(B163="","",IFERROR(INDEX(DM_SP!$B$5:$B$304,MATCH(B163,DM_SP!$A$5:$A$304,0)),"(chưa có trong DM_SP)"))</f>
        <v/>
      </c>
      <c r="D163" s="35" t="str">
        <f>IF(B163="","",IFERROR(INDEX(DM_SP!$C$5:$C$304,MATCH(B163,DM_SP!$A$5:$A$304,0)),""))</f>
        <v/>
      </c>
      <c r="E163" s="35" t="str">
        <f>IF(BOM!A157="","",BOM!B157)</f>
        <v/>
      </c>
      <c r="F163" s="35" t="str">
        <f>IF(E163="","",IFERROR(INDEX(DM_NL!$B$5:$B$304,MATCH(E163,DM_NL!$A$5:$A$304,0)),"(chưa có trong DM_NL)"))</f>
        <v/>
      </c>
      <c r="G163" s="35" t="str">
        <f>IF(E163="","",IFERROR(INDEX(DM_NL!$C$5:$C$304,MATCH(E163,DM_NL!$A$5:$A$304,0)),""))</f>
        <v/>
      </c>
      <c r="H163" s="39" t="str">
        <f>IF(OR(E163="",BOM!G157="KXDDM"),"",BOM!F157)</f>
        <v/>
      </c>
      <c r="I163" s="36" t="str">
        <f>IF(E163="","",BOM!G157&amp;"")</f>
        <v/>
      </c>
    </row>
    <row r="164" spans="1:9" x14ac:dyDescent="0.25">
      <c r="A164" s="36" t="str">
        <f>IF(B164="","",MAX($A$10:A163)+1)</f>
        <v/>
      </c>
      <c r="B164" s="35" t="str">
        <f>IF(BOM!A158="","",IF(BOM!A158=BOM!A157,"",BOM!A158))</f>
        <v/>
      </c>
      <c r="C164" s="35" t="str">
        <f>IF(B164="","",IFERROR(INDEX(DM_SP!$B$5:$B$304,MATCH(B164,DM_SP!$A$5:$A$304,0)),"(chưa có trong DM_SP)"))</f>
        <v/>
      </c>
      <c r="D164" s="35" t="str">
        <f>IF(B164="","",IFERROR(INDEX(DM_SP!$C$5:$C$304,MATCH(B164,DM_SP!$A$5:$A$304,0)),""))</f>
        <v/>
      </c>
      <c r="E164" s="35" t="str">
        <f>IF(BOM!A158="","",BOM!B158)</f>
        <v/>
      </c>
      <c r="F164" s="35" t="str">
        <f>IF(E164="","",IFERROR(INDEX(DM_NL!$B$5:$B$304,MATCH(E164,DM_NL!$A$5:$A$304,0)),"(chưa có trong DM_NL)"))</f>
        <v/>
      </c>
      <c r="G164" s="35" t="str">
        <f>IF(E164="","",IFERROR(INDEX(DM_NL!$C$5:$C$304,MATCH(E164,DM_NL!$A$5:$A$304,0)),""))</f>
        <v/>
      </c>
      <c r="H164" s="39" t="str">
        <f>IF(OR(E164="",BOM!G158="KXDDM"),"",BOM!F158)</f>
        <v/>
      </c>
      <c r="I164" s="36" t="str">
        <f>IF(E164="","",BOM!G158&amp;"")</f>
        <v/>
      </c>
    </row>
    <row r="165" spans="1:9" x14ac:dyDescent="0.25">
      <c r="A165" s="36" t="str">
        <f>IF(B165="","",MAX($A$10:A164)+1)</f>
        <v/>
      </c>
      <c r="B165" s="35" t="str">
        <f>IF(BOM!A159="","",IF(BOM!A159=BOM!A158,"",BOM!A159))</f>
        <v/>
      </c>
      <c r="C165" s="35" t="str">
        <f>IF(B165="","",IFERROR(INDEX(DM_SP!$B$5:$B$304,MATCH(B165,DM_SP!$A$5:$A$304,0)),"(chưa có trong DM_SP)"))</f>
        <v/>
      </c>
      <c r="D165" s="35" t="str">
        <f>IF(B165="","",IFERROR(INDEX(DM_SP!$C$5:$C$304,MATCH(B165,DM_SP!$A$5:$A$304,0)),""))</f>
        <v/>
      </c>
      <c r="E165" s="35" t="str">
        <f>IF(BOM!A159="","",BOM!B159)</f>
        <v/>
      </c>
      <c r="F165" s="35" t="str">
        <f>IF(E165="","",IFERROR(INDEX(DM_NL!$B$5:$B$304,MATCH(E165,DM_NL!$A$5:$A$304,0)),"(chưa có trong DM_NL)"))</f>
        <v/>
      </c>
      <c r="G165" s="35" t="str">
        <f>IF(E165="","",IFERROR(INDEX(DM_NL!$C$5:$C$304,MATCH(E165,DM_NL!$A$5:$A$304,0)),""))</f>
        <v/>
      </c>
      <c r="H165" s="39" t="str">
        <f>IF(OR(E165="",BOM!G159="KXDDM"),"",BOM!F159)</f>
        <v/>
      </c>
      <c r="I165" s="36" t="str">
        <f>IF(E165="","",BOM!G159&amp;"")</f>
        <v/>
      </c>
    </row>
    <row r="166" spans="1:9" x14ac:dyDescent="0.25">
      <c r="A166" s="36" t="str">
        <f>IF(B166="","",MAX($A$10:A165)+1)</f>
        <v/>
      </c>
      <c r="B166" s="35" t="str">
        <f>IF(BOM!A160="","",IF(BOM!A160=BOM!A159,"",BOM!A160))</f>
        <v/>
      </c>
      <c r="C166" s="35" t="str">
        <f>IF(B166="","",IFERROR(INDEX(DM_SP!$B$5:$B$304,MATCH(B166,DM_SP!$A$5:$A$304,0)),"(chưa có trong DM_SP)"))</f>
        <v/>
      </c>
      <c r="D166" s="35" t="str">
        <f>IF(B166="","",IFERROR(INDEX(DM_SP!$C$5:$C$304,MATCH(B166,DM_SP!$A$5:$A$304,0)),""))</f>
        <v/>
      </c>
      <c r="E166" s="35" t="str">
        <f>IF(BOM!A160="","",BOM!B160)</f>
        <v/>
      </c>
      <c r="F166" s="35" t="str">
        <f>IF(E166="","",IFERROR(INDEX(DM_NL!$B$5:$B$304,MATCH(E166,DM_NL!$A$5:$A$304,0)),"(chưa có trong DM_NL)"))</f>
        <v/>
      </c>
      <c r="G166" s="35" t="str">
        <f>IF(E166="","",IFERROR(INDEX(DM_NL!$C$5:$C$304,MATCH(E166,DM_NL!$A$5:$A$304,0)),""))</f>
        <v/>
      </c>
      <c r="H166" s="39" t="str">
        <f>IF(OR(E166="",BOM!G160="KXDDM"),"",BOM!F160)</f>
        <v/>
      </c>
      <c r="I166" s="36" t="str">
        <f>IF(E166="","",BOM!G160&amp;"")</f>
        <v/>
      </c>
    </row>
    <row r="167" spans="1:9" x14ac:dyDescent="0.25">
      <c r="A167" s="36" t="str">
        <f>IF(B167="","",MAX($A$10:A166)+1)</f>
        <v/>
      </c>
      <c r="B167" s="35" t="str">
        <f>IF(BOM!A161="","",IF(BOM!A161=BOM!A160,"",BOM!A161))</f>
        <v/>
      </c>
      <c r="C167" s="35" t="str">
        <f>IF(B167="","",IFERROR(INDEX(DM_SP!$B$5:$B$304,MATCH(B167,DM_SP!$A$5:$A$304,0)),"(chưa có trong DM_SP)"))</f>
        <v/>
      </c>
      <c r="D167" s="35" t="str">
        <f>IF(B167="","",IFERROR(INDEX(DM_SP!$C$5:$C$304,MATCH(B167,DM_SP!$A$5:$A$304,0)),""))</f>
        <v/>
      </c>
      <c r="E167" s="35" t="str">
        <f>IF(BOM!A161="","",BOM!B161)</f>
        <v/>
      </c>
      <c r="F167" s="35" t="str">
        <f>IF(E167="","",IFERROR(INDEX(DM_NL!$B$5:$B$304,MATCH(E167,DM_NL!$A$5:$A$304,0)),"(chưa có trong DM_NL)"))</f>
        <v/>
      </c>
      <c r="G167" s="35" t="str">
        <f>IF(E167="","",IFERROR(INDEX(DM_NL!$C$5:$C$304,MATCH(E167,DM_NL!$A$5:$A$304,0)),""))</f>
        <v/>
      </c>
      <c r="H167" s="39" t="str">
        <f>IF(OR(E167="",BOM!G161="KXDDM"),"",BOM!F161)</f>
        <v/>
      </c>
      <c r="I167" s="36" t="str">
        <f>IF(E167="","",BOM!G161&amp;"")</f>
        <v/>
      </c>
    </row>
    <row r="168" spans="1:9" x14ac:dyDescent="0.25">
      <c r="A168" s="36" t="str">
        <f>IF(B168="","",MAX($A$10:A167)+1)</f>
        <v/>
      </c>
      <c r="B168" s="35" t="str">
        <f>IF(BOM!A162="","",IF(BOM!A162=BOM!A161,"",BOM!A162))</f>
        <v/>
      </c>
      <c r="C168" s="35" t="str">
        <f>IF(B168="","",IFERROR(INDEX(DM_SP!$B$5:$B$304,MATCH(B168,DM_SP!$A$5:$A$304,0)),"(chưa có trong DM_SP)"))</f>
        <v/>
      </c>
      <c r="D168" s="35" t="str">
        <f>IF(B168="","",IFERROR(INDEX(DM_SP!$C$5:$C$304,MATCH(B168,DM_SP!$A$5:$A$304,0)),""))</f>
        <v/>
      </c>
      <c r="E168" s="35" t="str">
        <f>IF(BOM!A162="","",BOM!B162)</f>
        <v/>
      </c>
      <c r="F168" s="35" t="str">
        <f>IF(E168="","",IFERROR(INDEX(DM_NL!$B$5:$B$304,MATCH(E168,DM_NL!$A$5:$A$304,0)),"(chưa có trong DM_NL)"))</f>
        <v/>
      </c>
      <c r="G168" s="35" t="str">
        <f>IF(E168="","",IFERROR(INDEX(DM_NL!$C$5:$C$304,MATCH(E168,DM_NL!$A$5:$A$304,0)),""))</f>
        <v/>
      </c>
      <c r="H168" s="39" t="str">
        <f>IF(OR(E168="",BOM!G162="KXDDM"),"",BOM!F162)</f>
        <v/>
      </c>
      <c r="I168" s="36" t="str">
        <f>IF(E168="","",BOM!G162&amp;"")</f>
        <v/>
      </c>
    </row>
    <row r="169" spans="1:9" x14ac:dyDescent="0.25">
      <c r="A169" s="36" t="str">
        <f>IF(B169="","",MAX($A$10:A168)+1)</f>
        <v/>
      </c>
      <c r="B169" s="35" t="str">
        <f>IF(BOM!A163="","",IF(BOM!A163=BOM!A162,"",BOM!A163))</f>
        <v/>
      </c>
      <c r="C169" s="35" t="str">
        <f>IF(B169="","",IFERROR(INDEX(DM_SP!$B$5:$B$304,MATCH(B169,DM_SP!$A$5:$A$304,0)),"(chưa có trong DM_SP)"))</f>
        <v/>
      </c>
      <c r="D169" s="35" t="str">
        <f>IF(B169="","",IFERROR(INDEX(DM_SP!$C$5:$C$304,MATCH(B169,DM_SP!$A$5:$A$304,0)),""))</f>
        <v/>
      </c>
      <c r="E169" s="35" t="str">
        <f>IF(BOM!A163="","",BOM!B163)</f>
        <v/>
      </c>
      <c r="F169" s="35" t="str">
        <f>IF(E169="","",IFERROR(INDEX(DM_NL!$B$5:$B$304,MATCH(E169,DM_NL!$A$5:$A$304,0)),"(chưa có trong DM_NL)"))</f>
        <v/>
      </c>
      <c r="G169" s="35" t="str">
        <f>IF(E169="","",IFERROR(INDEX(DM_NL!$C$5:$C$304,MATCH(E169,DM_NL!$A$5:$A$304,0)),""))</f>
        <v/>
      </c>
      <c r="H169" s="39" t="str">
        <f>IF(OR(E169="",BOM!G163="KXDDM"),"",BOM!F163)</f>
        <v/>
      </c>
      <c r="I169" s="36" t="str">
        <f>IF(E169="","",BOM!G163&amp;"")</f>
        <v/>
      </c>
    </row>
    <row r="170" spans="1:9" x14ac:dyDescent="0.25">
      <c r="A170" s="36" t="str">
        <f>IF(B170="","",MAX($A$10:A169)+1)</f>
        <v/>
      </c>
      <c r="B170" s="35" t="str">
        <f>IF(BOM!A164="","",IF(BOM!A164=BOM!A163,"",BOM!A164))</f>
        <v/>
      </c>
      <c r="C170" s="35" t="str">
        <f>IF(B170="","",IFERROR(INDEX(DM_SP!$B$5:$B$304,MATCH(B170,DM_SP!$A$5:$A$304,0)),"(chưa có trong DM_SP)"))</f>
        <v/>
      </c>
      <c r="D170" s="35" t="str">
        <f>IF(B170="","",IFERROR(INDEX(DM_SP!$C$5:$C$304,MATCH(B170,DM_SP!$A$5:$A$304,0)),""))</f>
        <v/>
      </c>
      <c r="E170" s="35" t="str">
        <f>IF(BOM!A164="","",BOM!B164)</f>
        <v/>
      </c>
      <c r="F170" s="35" t="str">
        <f>IF(E170="","",IFERROR(INDEX(DM_NL!$B$5:$B$304,MATCH(E170,DM_NL!$A$5:$A$304,0)),"(chưa có trong DM_NL)"))</f>
        <v/>
      </c>
      <c r="G170" s="35" t="str">
        <f>IF(E170="","",IFERROR(INDEX(DM_NL!$C$5:$C$304,MATCH(E170,DM_NL!$A$5:$A$304,0)),""))</f>
        <v/>
      </c>
      <c r="H170" s="39" t="str">
        <f>IF(OR(E170="",BOM!G164="KXDDM"),"",BOM!F164)</f>
        <v/>
      </c>
      <c r="I170" s="36" t="str">
        <f>IF(E170="","",BOM!G164&amp;"")</f>
        <v/>
      </c>
    </row>
    <row r="171" spans="1:9" x14ac:dyDescent="0.25">
      <c r="A171" s="36" t="str">
        <f>IF(B171="","",MAX($A$10:A170)+1)</f>
        <v/>
      </c>
      <c r="B171" s="35" t="str">
        <f>IF(BOM!A165="","",IF(BOM!A165=BOM!A164,"",BOM!A165))</f>
        <v/>
      </c>
      <c r="C171" s="35" t="str">
        <f>IF(B171="","",IFERROR(INDEX(DM_SP!$B$5:$B$304,MATCH(B171,DM_SP!$A$5:$A$304,0)),"(chưa có trong DM_SP)"))</f>
        <v/>
      </c>
      <c r="D171" s="35" t="str">
        <f>IF(B171="","",IFERROR(INDEX(DM_SP!$C$5:$C$304,MATCH(B171,DM_SP!$A$5:$A$304,0)),""))</f>
        <v/>
      </c>
      <c r="E171" s="35" t="str">
        <f>IF(BOM!A165="","",BOM!B165)</f>
        <v/>
      </c>
      <c r="F171" s="35" t="str">
        <f>IF(E171="","",IFERROR(INDEX(DM_NL!$B$5:$B$304,MATCH(E171,DM_NL!$A$5:$A$304,0)),"(chưa có trong DM_NL)"))</f>
        <v/>
      </c>
      <c r="G171" s="35" t="str">
        <f>IF(E171="","",IFERROR(INDEX(DM_NL!$C$5:$C$304,MATCH(E171,DM_NL!$A$5:$A$304,0)),""))</f>
        <v/>
      </c>
      <c r="H171" s="39" t="str">
        <f>IF(OR(E171="",BOM!G165="KXDDM"),"",BOM!F165)</f>
        <v/>
      </c>
      <c r="I171" s="36" t="str">
        <f>IF(E171="","",BOM!G165&amp;"")</f>
        <v/>
      </c>
    </row>
    <row r="172" spans="1:9" x14ac:dyDescent="0.25">
      <c r="A172" s="36" t="str">
        <f>IF(B172="","",MAX($A$10:A171)+1)</f>
        <v/>
      </c>
      <c r="B172" s="35" t="str">
        <f>IF(BOM!A166="","",IF(BOM!A166=BOM!A165,"",BOM!A166))</f>
        <v/>
      </c>
      <c r="C172" s="35" t="str">
        <f>IF(B172="","",IFERROR(INDEX(DM_SP!$B$5:$B$304,MATCH(B172,DM_SP!$A$5:$A$304,0)),"(chưa có trong DM_SP)"))</f>
        <v/>
      </c>
      <c r="D172" s="35" t="str">
        <f>IF(B172="","",IFERROR(INDEX(DM_SP!$C$5:$C$304,MATCH(B172,DM_SP!$A$5:$A$304,0)),""))</f>
        <v/>
      </c>
      <c r="E172" s="35" t="str">
        <f>IF(BOM!A166="","",BOM!B166)</f>
        <v/>
      </c>
      <c r="F172" s="35" t="str">
        <f>IF(E172="","",IFERROR(INDEX(DM_NL!$B$5:$B$304,MATCH(E172,DM_NL!$A$5:$A$304,0)),"(chưa có trong DM_NL)"))</f>
        <v/>
      </c>
      <c r="G172" s="35" t="str">
        <f>IF(E172="","",IFERROR(INDEX(DM_NL!$C$5:$C$304,MATCH(E172,DM_NL!$A$5:$A$304,0)),""))</f>
        <v/>
      </c>
      <c r="H172" s="39" t="str">
        <f>IF(OR(E172="",BOM!G166="KXDDM"),"",BOM!F166)</f>
        <v/>
      </c>
      <c r="I172" s="36" t="str">
        <f>IF(E172="","",BOM!G166&amp;"")</f>
        <v/>
      </c>
    </row>
    <row r="173" spans="1:9" x14ac:dyDescent="0.25">
      <c r="A173" s="36" t="str">
        <f>IF(B173="","",MAX($A$10:A172)+1)</f>
        <v/>
      </c>
      <c r="B173" s="35" t="str">
        <f>IF(BOM!A167="","",IF(BOM!A167=BOM!A166,"",BOM!A167))</f>
        <v/>
      </c>
      <c r="C173" s="35" t="str">
        <f>IF(B173="","",IFERROR(INDEX(DM_SP!$B$5:$B$304,MATCH(B173,DM_SP!$A$5:$A$304,0)),"(chưa có trong DM_SP)"))</f>
        <v/>
      </c>
      <c r="D173" s="35" t="str">
        <f>IF(B173="","",IFERROR(INDEX(DM_SP!$C$5:$C$304,MATCH(B173,DM_SP!$A$5:$A$304,0)),""))</f>
        <v/>
      </c>
      <c r="E173" s="35" t="str">
        <f>IF(BOM!A167="","",BOM!B167)</f>
        <v/>
      </c>
      <c r="F173" s="35" t="str">
        <f>IF(E173="","",IFERROR(INDEX(DM_NL!$B$5:$B$304,MATCH(E173,DM_NL!$A$5:$A$304,0)),"(chưa có trong DM_NL)"))</f>
        <v/>
      </c>
      <c r="G173" s="35" t="str">
        <f>IF(E173="","",IFERROR(INDEX(DM_NL!$C$5:$C$304,MATCH(E173,DM_NL!$A$5:$A$304,0)),""))</f>
        <v/>
      </c>
      <c r="H173" s="39" t="str">
        <f>IF(OR(E173="",BOM!G167="KXDDM"),"",BOM!F167)</f>
        <v/>
      </c>
      <c r="I173" s="36" t="str">
        <f>IF(E173="","",BOM!G167&amp;"")</f>
        <v/>
      </c>
    </row>
    <row r="174" spans="1:9" x14ac:dyDescent="0.25">
      <c r="A174" s="36" t="str">
        <f>IF(B174="","",MAX($A$10:A173)+1)</f>
        <v/>
      </c>
      <c r="B174" s="35" t="str">
        <f>IF(BOM!A168="","",IF(BOM!A168=BOM!A167,"",BOM!A168))</f>
        <v/>
      </c>
      <c r="C174" s="35" t="str">
        <f>IF(B174="","",IFERROR(INDEX(DM_SP!$B$5:$B$304,MATCH(B174,DM_SP!$A$5:$A$304,0)),"(chưa có trong DM_SP)"))</f>
        <v/>
      </c>
      <c r="D174" s="35" t="str">
        <f>IF(B174="","",IFERROR(INDEX(DM_SP!$C$5:$C$304,MATCH(B174,DM_SP!$A$5:$A$304,0)),""))</f>
        <v/>
      </c>
      <c r="E174" s="35" t="str">
        <f>IF(BOM!A168="","",BOM!B168)</f>
        <v/>
      </c>
      <c r="F174" s="35" t="str">
        <f>IF(E174="","",IFERROR(INDEX(DM_NL!$B$5:$B$304,MATCH(E174,DM_NL!$A$5:$A$304,0)),"(chưa có trong DM_NL)"))</f>
        <v/>
      </c>
      <c r="G174" s="35" t="str">
        <f>IF(E174="","",IFERROR(INDEX(DM_NL!$C$5:$C$304,MATCH(E174,DM_NL!$A$5:$A$304,0)),""))</f>
        <v/>
      </c>
      <c r="H174" s="39" t="str">
        <f>IF(OR(E174="",BOM!G168="KXDDM"),"",BOM!F168)</f>
        <v/>
      </c>
      <c r="I174" s="36" t="str">
        <f>IF(E174="","",BOM!G168&amp;"")</f>
        <v/>
      </c>
    </row>
    <row r="175" spans="1:9" x14ac:dyDescent="0.25">
      <c r="A175" s="36" t="str">
        <f>IF(B175="","",MAX($A$10:A174)+1)</f>
        <v/>
      </c>
      <c r="B175" s="35" t="str">
        <f>IF(BOM!A169="","",IF(BOM!A169=BOM!A168,"",BOM!A169))</f>
        <v/>
      </c>
      <c r="C175" s="35" t="str">
        <f>IF(B175="","",IFERROR(INDEX(DM_SP!$B$5:$B$304,MATCH(B175,DM_SP!$A$5:$A$304,0)),"(chưa có trong DM_SP)"))</f>
        <v/>
      </c>
      <c r="D175" s="35" t="str">
        <f>IF(B175="","",IFERROR(INDEX(DM_SP!$C$5:$C$304,MATCH(B175,DM_SP!$A$5:$A$304,0)),""))</f>
        <v/>
      </c>
      <c r="E175" s="35" t="str">
        <f>IF(BOM!A169="","",BOM!B169)</f>
        <v/>
      </c>
      <c r="F175" s="35" t="str">
        <f>IF(E175="","",IFERROR(INDEX(DM_NL!$B$5:$B$304,MATCH(E175,DM_NL!$A$5:$A$304,0)),"(chưa có trong DM_NL)"))</f>
        <v/>
      </c>
      <c r="G175" s="35" t="str">
        <f>IF(E175="","",IFERROR(INDEX(DM_NL!$C$5:$C$304,MATCH(E175,DM_NL!$A$5:$A$304,0)),""))</f>
        <v/>
      </c>
      <c r="H175" s="39" t="str">
        <f>IF(OR(E175="",BOM!G169="KXDDM"),"",BOM!F169)</f>
        <v/>
      </c>
      <c r="I175" s="36" t="str">
        <f>IF(E175="","",BOM!G169&amp;"")</f>
        <v/>
      </c>
    </row>
    <row r="176" spans="1:9" x14ac:dyDescent="0.25">
      <c r="A176" s="36" t="str">
        <f>IF(B176="","",MAX($A$10:A175)+1)</f>
        <v/>
      </c>
      <c r="B176" s="35" t="str">
        <f>IF(BOM!A170="","",IF(BOM!A170=BOM!A169,"",BOM!A170))</f>
        <v/>
      </c>
      <c r="C176" s="35" t="str">
        <f>IF(B176="","",IFERROR(INDEX(DM_SP!$B$5:$B$304,MATCH(B176,DM_SP!$A$5:$A$304,0)),"(chưa có trong DM_SP)"))</f>
        <v/>
      </c>
      <c r="D176" s="35" t="str">
        <f>IF(B176="","",IFERROR(INDEX(DM_SP!$C$5:$C$304,MATCH(B176,DM_SP!$A$5:$A$304,0)),""))</f>
        <v/>
      </c>
      <c r="E176" s="35" t="str">
        <f>IF(BOM!A170="","",BOM!B170)</f>
        <v/>
      </c>
      <c r="F176" s="35" t="str">
        <f>IF(E176="","",IFERROR(INDEX(DM_NL!$B$5:$B$304,MATCH(E176,DM_NL!$A$5:$A$304,0)),"(chưa có trong DM_NL)"))</f>
        <v/>
      </c>
      <c r="G176" s="35" t="str">
        <f>IF(E176="","",IFERROR(INDEX(DM_NL!$C$5:$C$304,MATCH(E176,DM_NL!$A$5:$A$304,0)),""))</f>
        <v/>
      </c>
      <c r="H176" s="39" t="str">
        <f>IF(OR(E176="",BOM!G170="KXDDM"),"",BOM!F170)</f>
        <v/>
      </c>
      <c r="I176" s="36" t="str">
        <f>IF(E176="","",BOM!G170&amp;"")</f>
        <v/>
      </c>
    </row>
    <row r="177" spans="1:9" x14ac:dyDescent="0.25">
      <c r="A177" s="36" t="str">
        <f>IF(B177="","",MAX($A$10:A176)+1)</f>
        <v/>
      </c>
      <c r="B177" s="35" t="str">
        <f>IF(BOM!A171="","",IF(BOM!A171=BOM!A170,"",BOM!A171))</f>
        <v/>
      </c>
      <c r="C177" s="35" t="str">
        <f>IF(B177="","",IFERROR(INDEX(DM_SP!$B$5:$B$304,MATCH(B177,DM_SP!$A$5:$A$304,0)),"(chưa có trong DM_SP)"))</f>
        <v/>
      </c>
      <c r="D177" s="35" t="str">
        <f>IF(B177="","",IFERROR(INDEX(DM_SP!$C$5:$C$304,MATCH(B177,DM_SP!$A$5:$A$304,0)),""))</f>
        <v/>
      </c>
      <c r="E177" s="35" t="str">
        <f>IF(BOM!A171="","",BOM!B171)</f>
        <v/>
      </c>
      <c r="F177" s="35" t="str">
        <f>IF(E177="","",IFERROR(INDEX(DM_NL!$B$5:$B$304,MATCH(E177,DM_NL!$A$5:$A$304,0)),"(chưa có trong DM_NL)"))</f>
        <v/>
      </c>
      <c r="G177" s="35" t="str">
        <f>IF(E177="","",IFERROR(INDEX(DM_NL!$C$5:$C$304,MATCH(E177,DM_NL!$A$5:$A$304,0)),""))</f>
        <v/>
      </c>
      <c r="H177" s="39" t="str">
        <f>IF(OR(E177="",BOM!G171="KXDDM"),"",BOM!F171)</f>
        <v/>
      </c>
      <c r="I177" s="36" t="str">
        <f>IF(E177="","",BOM!G171&amp;"")</f>
        <v/>
      </c>
    </row>
    <row r="178" spans="1:9" x14ac:dyDescent="0.25">
      <c r="A178" s="36" t="str">
        <f>IF(B178="","",MAX($A$10:A177)+1)</f>
        <v/>
      </c>
      <c r="B178" s="35" t="str">
        <f>IF(BOM!A172="","",IF(BOM!A172=BOM!A171,"",BOM!A172))</f>
        <v/>
      </c>
      <c r="C178" s="35" t="str">
        <f>IF(B178="","",IFERROR(INDEX(DM_SP!$B$5:$B$304,MATCH(B178,DM_SP!$A$5:$A$304,0)),"(chưa có trong DM_SP)"))</f>
        <v/>
      </c>
      <c r="D178" s="35" t="str">
        <f>IF(B178="","",IFERROR(INDEX(DM_SP!$C$5:$C$304,MATCH(B178,DM_SP!$A$5:$A$304,0)),""))</f>
        <v/>
      </c>
      <c r="E178" s="35" t="str">
        <f>IF(BOM!A172="","",BOM!B172)</f>
        <v/>
      </c>
      <c r="F178" s="35" t="str">
        <f>IF(E178="","",IFERROR(INDEX(DM_NL!$B$5:$B$304,MATCH(E178,DM_NL!$A$5:$A$304,0)),"(chưa có trong DM_NL)"))</f>
        <v/>
      </c>
      <c r="G178" s="35" t="str">
        <f>IF(E178="","",IFERROR(INDEX(DM_NL!$C$5:$C$304,MATCH(E178,DM_NL!$A$5:$A$304,0)),""))</f>
        <v/>
      </c>
      <c r="H178" s="39" t="str">
        <f>IF(OR(E178="",BOM!G172="KXDDM"),"",BOM!F172)</f>
        <v/>
      </c>
      <c r="I178" s="36" t="str">
        <f>IF(E178="","",BOM!G172&amp;"")</f>
        <v/>
      </c>
    </row>
    <row r="179" spans="1:9" x14ac:dyDescent="0.25">
      <c r="A179" s="36" t="str">
        <f>IF(B179="","",MAX($A$10:A178)+1)</f>
        <v/>
      </c>
      <c r="B179" s="35" t="str">
        <f>IF(BOM!A173="","",IF(BOM!A173=BOM!A172,"",BOM!A173))</f>
        <v/>
      </c>
      <c r="C179" s="35" t="str">
        <f>IF(B179="","",IFERROR(INDEX(DM_SP!$B$5:$B$304,MATCH(B179,DM_SP!$A$5:$A$304,0)),"(chưa có trong DM_SP)"))</f>
        <v/>
      </c>
      <c r="D179" s="35" t="str">
        <f>IF(B179="","",IFERROR(INDEX(DM_SP!$C$5:$C$304,MATCH(B179,DM_SP!$A$5:$A$304,0)),""))</f>
        <v/>
      </c>
      <c r="E179" s="35" t="str">
        <f>IF(BOM!A173="","",BOM!B173)</f>
        <v/>
      </c>
      <c r="F179" s="35" t="str">
        <f>IF(E179="","",IFERROR(INDEX(DM_NL!$B$5:$B$304,MATCH(E179,DM_NL!$A$5:$A$304,0)),"(chưa có trong DM_NL)"))</f>
        <v/>
      </c>
      <c r="G179" s="35" t="str">
        <f>IF(E179="","",IFERROR(INDEX(DM_NL!$C$5:$C$304,MATCH(E179,DM_NL!$A$5:$A$304,0)),""))</f>
        <v/>
      </c>
      <c r="H179" s="39" t="str">
        <f>IF(OR(E179="",BOM!G173="KXDDM"),"",BOM!F173)</f>
        <v/>
      </c>
      <c r="I179" s="36" t="str">
        <f>IF(E179="","",BOM!G173&amp;"")</f>
        <v/>
      </c>
    </row>
    <row r="180" spans="1:9" x14ac:dyDescent="0.25">
      <c r="A180" s="36" t="str">
        <f>IF(B180="","",MAX($A$10:A179)+1)</f>
        <v/>
      </c>
      <c r="B180" s="35" t="str">
        <f>IF(BOM!A174="","",IF(BOM!A174=BOM!A173,"",BOM!A174))</f>
        <v/>
      </c>
      <c r="C180" s="35" t="str">
        <f>IF(B180="","",IFERROR(INDEX(DM_SP!$B$5:$B$304,MATCH(B180,DM_SP!$A$5:$A$304,0)),"(chưa có trong DM_SP)"))</f>
        <v/>
      </c>
      <c r="D180" s="35" t="str">
        <f>IF(B180="","",IFERROR(INDEX(DM_SP!$C$5:$C$304,MATCH(B180,DM_SP!$A$5:$A$304,0)),""))</f>
        <v/>
      </c>
      <c r="E180" s="35" t="str">
        <f>IF(BOM!A174="","",BOM!B174)</f>
        <v/>
      </c>
      <c r="F180" s="35" t="str">
        <f>IF(E180="","",IFERROR(INDEX(DM_NL!$B$5:$B$304,MATCH(E180,DM_NL!$A$5:$A$304,0)),"(chưa có trong DM_NL)"))</f>
        <v/>
      </c>
      <c r="G180" s="35" t="str">
        <f>IF(E180="","",IFERROR(INDEX(DM_NL!$C$5:$C$304,MATCH(E180,DM_NL!$A$5:$A$304,0)),""))</f>
        <v/>
      </c>
      <c r="H180" s="39" t="str">
        <f>IF(OR(E180="",BOM!G174="KXDDM"),"",BOM!F174)</f>
        <v/>
      </c>
      <c r="I180" s="36" t="str">
        <f>IF(E180="","",BOM!G174&amp;"")</f>
        <v/>
      </c>
    </row>
    <row r="181" spans="1:9" x14ac:dyDescent="0.25">
      <c r="A181" s="36" t="str">
        <f>IF(B181="","",MAX($A$10:A180)+1)</f>
        <v/>
      </c>
      <c r="B181" s="35" t="str">
        <f>IF(BOM!A175="","",IF(BOM!A175=BOM!A174,"",BOM!A175))</f>
        <v/>
      </c>
      <c r="C181" s="35" t="str">
        <f>IF(B181="","",IFERROR(INDEX(DM_SP!$B$5:$B$304,MATCH(B181,DM_SP!$A$5:$A$304,0)),"(chưa có trong DM_SP)"))</f>
        <v/>
      </c>
      <c r="D181" s="35" t="str">
        <f>IF(B181="","",IFERROR(INDEX(DM_SP!$C$5:$C$304,MATCH(B181,DM_SP!$A$5:$A$304,0)),""))</f>
        <v/>
      </c>
      <c r="E181" s="35" t="str">
        <f>IF(BOM!A175="","",BOM!B175)</f>
        <v/>
      </c>
      <c r="F181" s="35" t="str">
        <f>IF(E181="","",IFERROR(INDEX(DM_NL!$B$5:$B$304,MATCH(E181,DM_NL!$A$5:$A$304,0)),"(chưa có trong DM_NL)"))</f>
        <v/>
      </c>
      <c r="G181" s="35" t="str">
        <f>IF(E181="","",IFERROR(INDEX(DM_NL!$C$5:$C$304,MATCH(E181,DM_NL!$A$5:$A$304,0)),""))</f>
        <v/>
      </c>
      <c r="H181" s="39" t="str">
        <f>IF(OR(E181="",BOM!G175="KXDDM"),"",BOM!F175)</f>
        <v/>
      </c>
      <c r="I181" s="36" t="str">
        <f>IF(E181="","",BOM!G175&amp;"")</f>
        <v/>
      </c>
    </row>
    <row r="182" spans="1:9" x14ac:dyDescent="0.25">
      <c r="A182" s="36" t="str">
        <f>IF(B182="","",MAX($A$10:A181)+1)</f>
        <v/>
      </c>
      <c r="B182" s="35" t="str">
        <f>IF(BOM!A176="","",IF(BOM!A176=BOM!A175,"",BOM!A176))</f>
        <v/>
      </c>
      <c r="C182" s="35" t="str">
        <f>IF(B182="","",IFERROR(INDEX(DM_SP!$B$5:$B$304,MATCH(B182,DM_SP!$A$5:$A$304,0)),"(chưa có trong DM_SP)"))</f>
        <v/>
      </c>
      <c r="D182" s="35" t="str">
        <f>IF(B182="","",IFERROR(INDEX(DM_SP!$C$5:$C$304,MATCH(B182,DM_SP!$A$5:$A$304,0)),""))</f>
        <v/>
      </c>
      <c r="E182" s="35" t="str">
        <f>IF(BOM!A176="","",BOM!B176)</f>
        <v/>
      </c>
      <c r="F182" s="35" t="str">
        <f>IF(E182="","",IFERROR(INDEX(DM_NL!$B$5:$B$304,MATCH(E182,DM_NL!$A$5:$A$304,0)),"(chưa có trong DM_NL)"))</f>
        <v/>
      </c>
      <c r="G182" s="35" t="str">
        <f>IF(E182="","",IFERROR(INDEX(DM_NL!$C$5:$C$304,MATCH(E182,DM_NL!$A$5:$A$304,0)),""))</f>
        <v/>
      </c>
      <c r="H182" s="39" t="str">
        <f>IF(OR(E182="",BOM!G176="KXDDM"),"",BOM!F176)</f>
        <v/>
      </c>
      <c r="I182" s="36" t="str">
        <f>IF(E182="","",BOM!G176&amp;"")</f>
        <v/>
      </c>
    </row>
    <row r="183" spans="1:9" x14ac:dyDescent="0.25">
      <c r="A183" s="36" t="str">
        <f>IF(B183="","",MAX($A$10:A182)+1)</f>
        <v/>
      </c>
      <c r="B183" s="35" t="str">
        <f>IF(BOM!A177="","",IF(BOM!A177=BOM!A176,"",BOM!A177))</f>
        <v/>
      </c>
      <c r="C183" s="35" t="str">
        <f>IF(B183="","",IFERROR(INDEX(DM_SP!$B$5:$B$304,MATCH(B183,DM_SP!$A$5:$A$304,0)),"(chưa có trong DM_SP)"))</f>
        <v/>
      </c>
      <c r="D183" s="35" t="str">
        <f>IF(B183="","",IFERROR(INDEX(DM_SP!$C$5:$C$304,MATCH(B183,DM_SP!$A$5:$A$304,0)),""))</f>
        <v/>
      </c>
      <c r="E183" s="35" t="str">
        <f>IF(BOM!A177="","",BOM!B177)</f>
        <v/>
      </c>
      <c r="F183" s="35" t="str">
        <f>IF(E183="","",IFERROR(INDEX(DM_NL!$B$5:$B$304,MATCH(E183,DM_NL!$A$5:$A$304,0)),"(chưa có trong DM_NL)"))</f>
        <v/>
      </c>
      <c r="G183" s="35" t="str">
        <f>IF(E183="","",IFERROR(INDEX(DM_NL!$C$5:$C$304,MATCH(E183,DM_NL!$A$5:$A$304,0)),""))</f>
        <v/>
      </c>
      <c r="H183" s="39" t="str">
        <f>IF(OR(E183="",BOM!G177="KXDDM"),"",BOM!F177)</f>
        <v/>
      </c>
      <c r="I183" s="36" t="str">
        <f>IF(E183="","",BOM!G177&amp;"")</f>
        <v/>
      </c>
    </row>
    <row r="184" spans="1:9" x14ac:dyDescent="0.25">
      <c r="A184" s="36" t="str">
        <f>IF(B184="","",MAX($A$10:A183)+1)</f>
        <v/>
      </c>
      <c r="B184" s="35" t="str">
        <f>IF(BOM!A178="","",IF(BOM!A178=BOM!A177,"",BOM!A178))</f>
        <v/>
      </c>
      <c r="C184" s="35" t="str">
        <f>IF(B184="","",IFERROR(INDEX(DM_SP!$B$5:$B$304,MATCH(B184,DM_SP!$A$5:$A$304,0)),"(chưa có trong DM_SP)"))</f>
        <v/>
      </c>
      <c r="D184" s="35" t="str">
        <f>IF(B184="","",IFERROR(INDEX(DM_SP!$C$5:$C$304,MATCH(B184,DM_SP!$A$5:$A$304,0)),""))</f>
        <v/>
      </c>
      <c r="E184" s="35" t="str">
        <f>IF(BOM!A178="","",BOM!B178)</f>
        <v/>
      </c>
      <c r="F184" s="35" t="str">
        <f>IF(E184="","",IFERROR(INDEX(DM_NL!$B$5:$B$304,MATCH(E184,DM_NL!$A$5:$A$304,0)),"(chưa có trong DM_NL)"))</f>
        <v/>
      </c>
      <c r="G184" s="35" t="str">
        <f>IF(E184="","",IFERROR(INDEX(DM_NL!$C$5:$C$304,MATCH(E184,DM_NL!$A$5:$A$304,0)),""))</f>
        <v/>
      </c>
      <c r="H184" s="39" t="str">
        <f>IF(OR(E184="",BOM!G178="KXDDM"),"",BOM!F178)</f>
        <v/>
      </c>
      <c r="I184" s="36" t="str">
        <f>IF(E184="","",BOM!G178&amp;"")</f>
        <v/>
      </c>
    </row>
    <row r="185" spans="1:9" x14ac:dyDescent="0.25">
      <c r="A185" s="36" t="str">
        <f>IF(B185="","",MAX($A$10:A184)+1)</f>
        <v/>
      </c>
      <c r="B185" s="35" t="str">
        <f>IF(BOM!A179="","",IF(BOM!A179=BOM!A178,"",BOM!A179))</f>
        <v/>
      </c>
      <c r="C185" s="35" t="str">
        <f>IF(B185="","",IFERROR(INDEX(DM_SP!$B$5:$B$304,MATCH(B185,DM_SP!$A$5:$A$304,0)),"(chưa có trong DM_SP)"))</f>
        <v/>
      </c>
      <c r="D185" s="35" t="str">
        <f>IF(B185="","",IFERROR(INDEX(DM_SP!$C$5:$C$304,MATCH(B185,DM_SP!$A$5:$A$304,0)),""))</f>
        <v/>
      </c>
      <c r="E185" s="35" t="str">
        <f>IF(BOM!A179="","",BOM!B179)</f>
        <v/>
      </c>
      <c r="F185" s="35" t="str">
        <f>IF(E185="","",IFERROR(INDEX(DM_NL!$B$5:$B$304,MATCH(E185,DM_NL!$A$5:$A$304,0)),"(chưa có trong DM_NL)"))</f>
        <v/>
      </c>
      <c r="G185" s="35" t="str">
        <f>IF(E185="","",IFERROR(INDEX(DM_NL!$C$5:$C$304,MATCH(E185,DM_NL!$A$5:$A$304,0)),""))</f>
        <v/>
      </c>
      <c r="H185" s="39" t="str">
        <f>IF(OR(E185="",BOM!G179="KXDDM"),"",BOM!F179)</f>
        <v/>
      </c>
      <c r="I185" s="36" t="str">
        <f>IF(E185="","",BOM!G179&amp;"")</f>
        <v/>
      </c>
    </row>
    <row r="186" spans="1:9" x14ac:dyDescent="0.25">
      <c r="A186" s="36" t="str">
        <f>IF(B186="","",MAX($A$10:A185)+1)</f>
        <v/>
      </c>
      <c r="B186" s="35" t="str">
        <f>IF(BOM!A180="","",IF(BOM!A180=BOM!A179,"",BOM!A180))</f>
        <v/>
      </c>
      <c r="C186" s="35" t="str">
        <f>IF(B186="","",IFERROR(INDEX(DM_SP!$B$5:$B$304,MATCH(B186,DM_SP!$A$5:$A$304,0)),"(chưa có trong DM_SP)"))</f>
        <v/>
      </c>
      <c r="D186" s="35" t="str">
        <f>IF(B186="","",IFERROR(INDEX(DM_SP!$C$5:$C$304,MATCH(B186,DM_SP!$A$5:$A$304,0)),""))</f>
        <v/>
      </c>
      <c r="E186" s="35" t="str">
        <f>IF(BOM!A180="","",BOM!B180)</f>
        <v/>
      </c>
      <c r="F186" s="35" t="str">
        <f>IF(E186="","",IFERROR(INDEX(DM_NL!$B$5:$B$304,MATCH(E186,DM_NL!$A$5:$A$304,0)),"(chưa có trong DM_NL)"))</f>
        <v/>
      </c>
      <c r="G186" s="35" t="str">
        <f>IF(E186="","",IFERROR(INDEX(DM_NL!$C$5:$C$304,MATCH(E186,DM_NL!$A$5:$A$304,0)),""))</f>
        <v/>
      </c>
      <c r="H186" s="39" t="str">
        <f>IF(OR(E186="",BOM!G180="KXDDM"),"",BOM!F180)</f>
        <v/>
      </c>
      <c r="I186" s="36" t="str">
        <f>IF(E186="","",BOM!G180&amp;"")</f>
        <v/>
      </c>
    </row>
    <row r="187" spans="1:9" x14ac:dyDescent="0.25">
      <c r="A187" s="36" t="str">
        <f>IF(B187="","",MAX($A$10:A186)+1)</f>
        <v/>
      </c>
      <c r="B187" s="35" t="str">
        <f>IF(BOM!A181="","",IF(BOM!A181=BOM!A180,"",BOM!A181))</f>
        <v/>
      </c>
      <c r="C187" s="35" t="str">
        <f>IF(B187="","",IFERROR(INDEX(DM_SP!$B$5:$B$304,MATCH(B187,DM_SP!$A$5:$A$304,0)),"(chưa có trong DM_SP)"))</f>
        <v/>
      </c>
      <c r="D187" s="35" t="str">
        <f>IF(B187="","",IFERROR(INDEX(DM_SP!$C$5:$C$304,MATCH(B187,DM_SP!$A$5:$A$304,0)),""))</f>
        <v/>
      </c>
      <c r="E187" s="35" t="str">
        <f>IF(BOM!A181="","",BOM!B181)</f>
        <v/>
      </c>
      <c r="F187" s="35" t="str">
        <f>IF(E187="","",IFERROR(INDEX(DM_NL!$B$5:$B$304,MATCH(E187,DM_NL!$A$5:$A$304,0)),"(chưa có trong DM_NL)"))</f>
        <v/>
      </c>
      <c r="G187" s="35" t="str">
        <f>IF(E187="","",IFERROR(INDEX(DM_NL!$C$5:$C$304,MATCH(E187,DM_NL!$A$5:$A$304,0)),""))</f>
        <v/>
      </c>
      <c r="H187" s="39" t="str">
        <f>IF(OR(E187="",BOM!G181="KXDDM"),"",BOM!F181)</f>
        <v/>
      </c>
      <c r="I187" s="36" t="str">
        <f>IF(E187="","",BOM!G181&amp;"")</f>
        <v/>
      </c>
    </row>
    <row r="188" spans="1:9" x14ac:dyDescent="0.25">
      <c r="A188" s="36" t="str">
        <f>IF(B188="","",MAX($A$10:A187)+1)</f>
        <v/>
      </c>
      <c r="B188" s="35" t="str">
        <f>IF(BOM!A182="","",IF(BOM!A182=BOM!A181,"",BOM!A182))</f>
        <v/>
      </c>
      <c r="C188" s="35" t="str">
        <f>IF(B188="","",IFERROR(INDEX(DM_SP!$B$5:$B$304,MATCH(B188,DM_SP!$A$5:$A$304,0)),"(chưa có trong DM_SP)"))</f>
        <v/>
      </c>
      <c r="D188" s="35" t="str">
        <f>IF(B188="","",IFERROR(INDEX(DM_SP!$C$5:$C$304,MATCH(B188,DM_SP!$A$5:$A$304,0)),""))</f>
        <v/>
      </c>
      <c r="E188" s="35" t="str">
        <f>IF(BOM!A182="","",BOM!B182)</f>
        <v/>
      </c>
      <c r="F188" s="35" t="str">
        <f>IF(E188="","",IFERROR(INDEX(DM_NL!$B$5:$B$304,MATCH(E188,DM_NL!$A$5:$A$304,0)),"(chưa có trong DM_NL)"))</f>
        <v/>
      </c>
      <c r="G188" s="35" t="str">
        <f>IF(E188="","",IFERROR(INDEX(DM_NL!$C$5:$C$304,MATCH(E188,DM_NL!$A$5:$A$304,0)),""))</f>
        <v/>
      </c>
      <c r="H188" s="39" t="str">
        <f>IF(OR(E188="",BOM!G182="KXDDM"),"",BOM!F182)</f>
        <v/>
      </c>
      <c r="I188" s="36" t="str">
        <f>IF(E188="","",BOM!G182&amp;"")</f>
        <v/>
      </c>
    </row>
    <row r="189" spans="1:9" x14ac:dyDescent="0.25">
      <c r="A189" s="36" t="str">
        <f>IF(B189="","",MAX($A$10:A188)+1)</f>
        <v/>
      </c>
      <c r="B189" s="35" t="str">
        <f>IF(BOM!A183="","",IF(BOM!A183=BOM!A182,"",BOM!A183))</f>
        <v/>
      </c>
      <c r="C189" s="35" t="str">
        <f>IF(B189="","",IFERROR(INDEX(DM_SP!$B$5:$B$304,MATCH(B189,DM_SP!$A$5:$A$304,0)),"(chưa có trong DM_SP)"))</f>
        <v/>
      </c>
      <c r="D189" s="35" t="str">
        <f>IF(B189="","",IFERROR(INDEX(DM_SP!$C$5:$C$304,MATCH(B189,DM_SP!$A$5:$A$304,0)),""))</f>
        <v/>
      </c>
      <c r="E189" s="35" t="str">
        <f>IF(BOM!A183="","",BOM!B183)</f>
        <v/>
      </c>
      <c r="F189" s="35" t="str">
        <f>IF(E189="","",IFERROR(INDEX(DM_NL!$B$5:$B$304,MATCH(E189,DM_NL!$A$5:$A$304,0)),"(chưa có trong DM_NL)"))</f>
        <v/>
      </c>
      <c r="G189" s="35" t="str">
        <f>IF(E189="","",IFERROR(INDEX(DM_NL!$C$5:$C$304,MATCH(E189,DM_NL!$A$5:$A$304,0)),""))</f>
        <v/>
      </c>
      <c r="H189" s="39" t="str">
        <f>IF(OR(E189="",BOM!G183="KXDDM"),"",BOM!F183)</f>
        <v/>
      </c>
      <c r="I189" s="36" t="str">
        <f>IF(E189="","",BOM!G183&amp;"")</f>
        <v/>
      </c>
    </row>
    <row r="190" spans="1:9" x14ac:dyDescent="0.25">
      <c r="A190" s="36" t="str">
        <f>IF(B190="","",MAX($A$10:A189)+1)</f>
        <v/>
      </c>
      <c r="B190" s="35" t="str">
        <f>IF(BOM!A184="","",IF(BOM!A184=BOM!A183,"",BOM!A184))</f>
        <v/>
      </c>
      <c r="C190" s="35" t="str">
        <f>IF(B190="","",IFERROR(INDEX(DM_SP!$B$5:$B$304,MATCH(B190,DM_SP!$A$5:$A$304,0)),"(chưa có trong DM_SP)"))</f>
        <v/>
      </c>
      <c r="D190" s="35" t="str">
        <f>IF(B190="","",IFERROR(INDEX(DM_SP!$C$5:$C$304,MATCH(B190,DM_SP!$A$5:$A$304,0)),""))</f>
        <v/>
      </c>
      <c r="E190" s="35" t="str">
        <f>IF(BOM!A184="","",BOM!B184)</f>
        <v/>
      </c>
      <c r="F190" s="35" t="str">
        <f>IF(E190="","",IFERROR(INDEX(DM_NL!$B$5:$B$304,MATCH(E190,DM_NL!$A$5:$A$304,0)),"(chưa có trong DM_NL)"))</f>
        <v/>
      </c>
      <c r="G190" s="35" t="str">
        <f>IF(E190="","",IFERROR(INDEX(DM_NL!$C$5:$C$304,MATCH(E190,DM_NL!$A$5:$A$304,0)),""))</f>
        <v/>
      </c>
      <c r="H190" s="39" t="str">
        <f>IF(OR(E190="",BOM!G184="KXDDM"),"",BOM!F184)</f>
        <v/>
      </c>
      <c r="I190" s="36" t="str">
        <f>IF(E190="","",BOM!G184&amp;"")</f>
        <v/>
      </c>
    </row>
    <row r="191" spans="1:9" x14ac:dyDescent="0.25">
      <c r="A191" s="36" t="str">
        <f>IF(B191="","",MAX($A$10:A190)+1)</f>
        <v/>
      </c>
      <c r="B191" s="35" t="str">
        <f>IF(BOM!A185="","",IF(BOM!A185=BOM!A184,"",BOM!A185))</f>
        <v/>
      </c>
      <c r="C191" s="35" t="str">
        <f>IF(B191="","",IFERROR(INDEX(DM_SP!$B$5:$B$304,MATCH(B191,DM_SP!$A$5:$A$304,0)),"(chưa có trong DM_SP)"))</f>
        <v/>
      </c>
      <c r="D191" s="35" t="str">
        <f>IF(B191="","",IFERROR(INDEX(DM_SP!$C$5:$C$304,MATCH(B191,DM_SP!$A$5:$A$304,0)),""))</f>
        <v/>
      </c>
      <c r="E191" s="35" t="str">
        <f>IF(BOM!A185="","",BOM!B185)</f>
        <v/>
      </c>
      <c r="F191" s="35" t="str">
        <f>IF(E191="","",IFERROR(INDEX(DM_NL!$B$5:$B$304,MATCH(E191,DM_NL!$A$5:$A$304,0)),"(chưa có trong DM_NL)"))</f>
        <v/>
      </c>
      <c r="G191" s="35" t="str">
        <f>IF(E191="","",IFERROR(INDEX(DM_NL!$C$5:$C$304,MATCH(E191,DM_NL!$A$5:$A$304,0)),""))</f>
        <v/>
      </c>
      <c r="H191" s="39" t="str">
        <f>IF(OR(E191="",BOM!G185="KXDDM"),"",BOM!F185)</f>
        <v/>
      </c>
      <c r="I191" s="36" t="str">
        <f>IF(E191="","",BOM!G185&amp;"")</f>
        <v/>
      </c>
    </row>
    <row r="192" spans="1:9" x14ac:dyDescent="0.25">
      <c r="A192" s="36" t="str">
        <f>IF(B192="","",MAX($A$10:A191)+1)</f>
        <v/>
      </c>
      <c r="B192" s="35" t="str">
        <f>IF(BOM!A186="","",IF(BOM!A186=BOM!A185,"",BOM!A186))</f>
        <v/>
      </c>
      <c r="C192" s="35" t="str">
        <f>IF(B192="","",IFERROR(INDEX(DM_SP!$B$5:$B$304,MATCH(B192,DM_SP!$A$5:$A$304,0)),"(chưa có trong DM_SP)"))</f>
        <v/>
      </c>
      <c r="D192" s="35" t="str">
        <f>IF(B192="","",IFERROR(INDEX(DM_SP!$C$5:$C$304,MATCH(B192,DM_SP!$A$5:$A$304,0)),""))</f>
        <v/>
      </c>
      <c r="E192" s="35" t="str">
        <f>IF(BOM!A186="","",BOM!B186)</f>
        <v/>
      </c>
      <c r="F192" s="35" t="str">
        <f>IF(E192="","",IFERROR(INDEX(DM_NL!$B$5:$B$304,MATCH(E192,DM_NL!$A$5:$A$304,0)),"(chưa có trong DM_NL)"))</f>
        <v/>
      </c>
      <c r="G192" s="35" t="str">
        <f>IF(E192="","",IFERROR(INDEX(DM_NL!$C$5:$C$304,MATCH(E192,DM_NL!$A$5:$A$304,0)),""))</f>
        <v/>
      </c>
      <c r="H192" s="39" t="str">
        <f>IF(OR(E192="",BOM!G186="KXDDM"),"",BOM!F186)</f>
        <v/>
      </c>
      <c r="I192" s="36" t="str">
        <f>IF(E192="","",BOM!G186&amp;"")</f>
        <v/>
      </c>
    </row>
    <row r="193" spans="1:9" x14ac:dyDescent="0.25">
      <c r="A193" s="36" t="str">
        <f>IF(B193="","",MAX($A$10:A192)+1)</f>
        <v/>
      </c>
      <c r="B193" s="35" t="str">
        <f>IF(BOM!A187="","",IF(BOM!A187=BOM!A186,"",BOM!A187))</f>
        <v/>
      </c>
      <c r="C193" s="35" t="str">
        <f>IF(B193="","",IFERROR(INDEX(DM_SP!$B$5:$B$304,MATCH(B193,DM_SP!$A$5:$A$304,0)),"(chưa có trong DM_SP)"))</f>
        <v/>
      </c>
      <c r="D193" s="35" t="str">
        <f>IF(B193="","",IFERROR(INDEX(DM_SP!$C$5:$C$304,MATCH(B193,DM_SP!$A$5:$A$304,0)),""))</f>
        <v/>
      </c>
      <c r="E193" s="35" t="str">
        <f>IF(BOM!A187="","",BOM!B187)</f>
        <v/>
      </c>
      <c r="F193" s="35" t="str">
        <f>IF(E193="","",IFERROR(INDEX(DM_NL!$B$5:$B$304,MATCH(E193,DM_NL!$A$5:$A$304,0)),"(chưa có trong DM_NL)"))</f>
        <v/>
      </c>
      <c r="G193" s="35" t="str">
        <f>IF(E193="","",IFERROR(INDEX(DM_NL!$C$5:$C$304,MATCH(E193,DM_NL!$A$5:$A$304,0)),""))</f>
        <v/>
      </c>
      <c r="H193" s="39" t="str">
        <f>IF(OR(E193="",BOM!G187="KXDDM"),"",BOM!F187)</f>
        <v/>
      </c>
      <c r="I193" s="36" t="str">
        <f>IF(E193="","",BOM!G187&amp;"")</f>
        <v/>
      </c>
    </row>
    <row r="194" spans="1:9" x14ac:dyDescent="0.25">
      <c r="A194" s="36" t="str">
        <f>IF(B194="","",MAX($A$10:A193)+1)</f>
        <v/>
      </c>
      <c r="B194" s="35" t="str">
        <f>IF(BOM!A188="","",IF(BOM!A188=BOM!A187,"",BOM!A188))</f>
        <v/>
      </c>
      <c r="C194" s="35" t="str">
        <f>IF(B194="","",IFERROR(INDEX(DM_SP!$B$5:$B$304,MATCH(B194,DM_SP!$A$5:$A$304,0)),"(chưa có trong DM_SP)"))</f>
        <v/>
      </c>
      <c r="D194" s="35" t="str">
        <f>IF(B194="","",IFERROR(INDEX(DM_SP!$C$5:$C$304,MATCH(B194,DM_SP!$A$5:$A$304,0)),""))</f>
        <v/>
      </c>
      <c r="E194" s="35" t="str">
        <f>IF(BOM!A188="","",BOM!B188)</f>
        <v/>
      </c>
      <c r="F194" s="35" t="str">
        <f>IF(E194="","",IFERROR(INDEX(DM_NL!$B$5:$B$304,MATCH(E194,DM_NL!$A$5:$A$304,0)),"(chưa có trong DM_NL)"))</f>
        <v/>
      </c>
      <c r="G194" s="35" t="str">
        <f>IF(E194="","",IFERROR(INDEX(DM_NL!$C$5:$C$304,MATCH(E194,DM_NL!$A$5:$A$304,0)),""))</f>
        <v/>
      </c>
      <c r="H194" s="39" t="str">
        <f>IF(OR(E194="",BOM!G188="KXDDM"),"",BOM!F188)</f>
        <v/>
      </c>
      <c r="I194" s="36" t="str">
        <f>IF(E194="","",BOM!G188&amp;"")</f>
        <v/>
      </c>
    </row>
    <row r="195" spans="1:9" x14ac:dyDescent="0.25">
      <c r="A195" s="36" t="str">
        <f>IF(B195="","",MAX($A$10:A194)+1)</f>
        <v/>
      </c>
      <c r="B195" s="35" t="str">
        <f>IF(BOM!A189="","",IF(BOM!A189=BOM!A188,"",BOM!A189))</f>
        <v/>
      </c>
      <c r="C195" s="35" t="str">
        <f>IF(B195="","",IFERROR(INDEX(DM_SP!$B$5:$B$304,MATCH(B195,DM_SP!$A$5:$A$304,0)),"(chưa có trong DM_SP)"))</f>
        <v/>
      </c>
      <c r="D195" s="35" t="str">
        <f>IF(B195="","",IFERROR(INDEX(DM_SP!$C$5:$C$304,MATCH(B195,DM_SP!$A$5:$A$304,0)),""))</f>
        <v/>
      </c>
      <c r="E195" s="35" t="str">
        <f>IF(BOM!A189="","",BOM!B189)</f>
        <v/>
      </c>
      <c r="F195" s="35" t="str">
        <f>IF(E195="","",IFERROR(INDEX(DM_NL!$B$5:$B$304,MATCH(E195,DM_NL!$A$5:$A$304,0)),"(chưa có trong DM_NL)"))</f>
        <v/>
      </c>
      <c r="G195" s="35" t="str">
        <f>IF(E195="","",IFERROR(INDEX(DM_NL!$C$5:$C$304,MATCH(E195,DM_NL!$A$5:$A$304,0)),""))</f>
        <v/>
      </c>
      <c r="H195" s="39" t="str">
        <f>IF(OR(E195="",BOM!G189="KXDDM"),"",BOM!F189)</f>
        <v/>
      </c>
      <c r="I195" s="36" t="str">
        <f>IF(E195="","",BOM!G189&amp;"")</f>
        <v/>
      </c>
    </row>
    <row r="196" spans="1:9" x14ac:dyDescent="0.25">
      <c r="A196" s="36" t="str">
        <f>IF(B196="","",MAX($A$10:A195)+1)</f>
        <v/>
      </c>
      <c r="B196" s="35" t="str">
        <f>IF(BOM!A190="","",IF(BOM!A190=BOM!A189,"",BOM!A190))</f>
        <v/>
      </c>
      <c r="C196" s="35" t="str">
        <f>IF(B196="","",IFERROR(INDEX(DM_SP!$B$5:$B$304,MATCH(B196,DM_SP!$A$5:$A$304,0)),"(chưa có trong DM_SP)"))</f>
        <v/>
      </c>
      <c r="D196" s="35" t="str">
        <f>IF(B196="","",IFERROR(INDEX(DM_SP!$C$5:$C$304,MATCH(B196,DM_SP!$A$5:$A$304,0)),""))</f>
        <v/>
      </c>
      <c r="E196" s="35" t="str">
        <f>IF(BOM!A190="","",BOM!B190)</f>
        <v/>
      </c>
      <c r="F196" s="35" t="str">
        <f>IF(E196="","",IFERROR(INDEX(DM_NL!$B$5:$B$304,MATCH(E196,DM_NL!$A$5:$A$304,0)),"(chưa có trong DM_NL)"))</f>
        <v/>
      </c>
      <c r="G196" s="35" t="str">
        <f>IF(E196="","",IFERROR(INDEX(DM_NL!$C$5:$C$304,MATCH(E196,DM_NL!$A$5:$A$304,0)),""))</f>
        <v/>
      </c>
      <c r="H196" s="39" t="str">
        <f>IF(OR(E196="",BOM!G190="KXDDM"),"",BOM!F190)</f>
        <v/>
      </c>
      <c r="I196" s="36" t="str">
        <f>IF(E196="","",BOM!G190&amp;"")</f>
        <v/>
      </c>
    </row>
    <row r="197" spans="1:9" x14ac:dyDescent="0.25">
      <c r="A197" s="36" t="str">
        <f>IF(B197="","",MAX($A$10:A196)+1)</f>
        <v/>
      </c>
      <c r="B197" s="35" t="str">
        <f>IF(BOM!A191="","",IF(BOM!A191=BOM!A190,"",BOM!A191))</f>
        <v/>
      </c>
      <c r="C197" s="35" t="str">
        <f>IF(B197="","",IFERROR(INDEX(DM_SP!$B$5:$B$304,MATCH(B197,DM_SP!$A$5:$A$304,0)),"(chưa có trong DM_SP)"))</f>
        <v/>
      </c>
      <c r="D197" s="35" t="str">
        <f>IF(B197="","",IFERROR(INDEX(DM_SP!$C$5:$C$304,MATCH(B197,DM_SP!$A$5:$A$304,0)),""))</f>
        <v/>
      </c>
      <c r="E197" s="35" t="str">
        <f>IF(BOM!A191="","",BOM!B191)</f>
        <v/>
      </c>
      <c r="F197" s="35" t="str">
        <f>IF(E197="","",IFERROR(INDEX(DM_NL!$B$5:$B$304,MATCH(E197,DM_NL!$A$5:$A$304,0)),"(chưa có trong DM_NL)"))</f>
        <v/>
      </c>
      <c r="G197" s="35" t="str">
        <f>IF(E197="","",IFERROR(INDEX(DM_NL!$C$5:$C$304,MATCH(E197,DM_NL!$A$5:$A$304,0)),""))</f>
        <v/>
      </c>
      <c r="H197" s="39" t="str">
        <f>IF(OR(E197="",BOM!G191="KXDDM"),"",BOM!F191)</f>
        <v/>
      </c>
      <c r="I197" s="36" t="str">
        <f>IF(E197="","",BOM!G191&amp;"")</f>
        <v/>
      </c>
    </row>
    <row r="198" spans="1:9" x14ac:dyDescent="0.25">
      <c r="A198" s="36" t="str">
        <f>IF(B198="","",MAX($A$10:A197)+1)</f>
        <v/>
      </c>
      <c r="B198" s="35" t="str">
        <f>IF(BOM!A192="","",IF(BOM!A192=BOM!A191,"",BOM!A192))</f>
        <v/>
      </c>
      <c r="C198" s="35" t="str">
        <f>IF(B198="","",IFERROR(INDEX(DM_SP!$B$5:$B$304,MATCH(B198,DM_SP!$A$5:$A$304,0)),"(chưa có trong DM_SP)"))</f>
        <v/>
      </c>
      <c r="D198" s="35" t="str">
        <f>IF(B198="","",IFERROR(INDEX(DM_SP!$C$5:$C$304,MATCH(B198,DM_SP!$A$5:$A$304,0)),""))</f>
        <v/>
      </c>
      <c r="E198" s="35" t="str">
        <f>IF(BOM!A192="","",BOM!B192)</f>
        <v/>
      </c>
      <c r="F198" s="35" t="str">
        <f>IF(E198="","",IFERROR(INDEX(DM_NL!$B$5:$B$304,MATCH(E198,DM_NL!$A$5:$A$304,0)),"(chưa có trong DM_NL)"))</f>
        <v/>
      </c>
      <c r="G198" s="35" t="str">
        <f>IF(E198="","",IFERROR(INDEX(DM_NL!$C$5:$C$304,MATCH(E198,DM_NL!$A$5:$A$304,0)),""))</f>
        <v/>
      </c>
      <c r="H198" s="39" t="str">
        <f>IF(OR(E198="",BOM!G192="KXDDM"),"",BOM!F192)</f>
        <v/>
      </c>
      <c r="I198" s="36" t="str">
        <f>IF(E198="","",BOM!G192&amp;"")</f>
        <v/>
      </c>
    </row>
    <row r="199" spans="1:9" x14ac:dyDescent="0.25">
      <c r="A199" s="36" t="str">
        <f>IF(B199="","",MAX($A$10:A198)+1)</f>
        <v/>
      </c>
      <c r="B199" s="35" t="str">
        <f>IF(BOM!A193="","",IF(BOM!A193=BOM!A192,"",BOM!A193))</f>
        <v/>
      </c>
      <c r="C199" s="35" t="str">
        <f>IF(B199="","",IFERROR(INDEX(DM_SP!$B$5:$B$304,MATCH(B199,DM_SP!$A$5:$A$304,0)),"(chưa có trong DM_SP)"))</f>
        <v/>
      </c>
      <c r="D199" s="35" t="str">
        <f>IF(B199="","",IFERROR(INDEX(DM_SP!$C$5:$C$304,MATCH(B199,DM_SP!$A$5:$A$304,0)),""))</f>
        <v/>
      </c>
      <c r="E199" s="35" t="str">
        <f>IF(BOM!A193="","",BOM!B193)</f>
        <v/>
      </c>
      <c r="F199" s="35" t="str">
        <f>IF(E199="","",IFERROR(INDEX(DM_NL!$B$5:$B$304,MATCH(E199,DM_NL!$A$5:$A$304,0)),"(chưa có trong DM_NL)"))</f>
        <v/>
      </c>
      <c r="G199" s="35" t="str">
        <f>IF(E199="","",IFERROR(INDEX(DM_NL!$C$5:$C$304,MATCH(E199,DM_NL!$A$5:$A$304,0)),""))</f>
        <v/>
      </c>
      <c r="H199" s="39" t="str">
        <f>IF(OR(E199="",BOM!G193="KXDDM"),"",BOM!F193)</f>
        <v/>
      </c>
      <c r="I199" s="36" t="str">
        <f>IF(E199="","",BOM!G193&amp;"")</f>
        <v/>
      </c>
    </row>
    <row r="200" spans="1:9" x14ac:dyDescent="0.25">
      <c r="A200" s="36" t="str">
        <f>IF(B200="","",MAX($A$10:A199)+1)</f>
        <v/>
      </c>
      <c r="B200" s="35" t="str">
        <f>IF(BOM!A194="","",IF(BOM!A194=BOM!A193,"",BOM!A194))</f>
        <v/>
      </c>
      <c r="C200" s="35" t="str">
        <f>IF(B200="","",IFERROR(INDEX(DM_SP!$B$5:$B$304,MATCH(B200,DM_SP!$A$5:$A$304,0)),"(chưa có trong DM_SP)"))</f>
        <v/>
      </c>
      <c r="D200" s="35" t="str">
        <f>IF(B200="","",IFERROR(INDEX(DM_SP!$C$5:$C$304,MATCH(B200,DM_SP!$A$5:$A$304,0)),""))</f>
        <v/>
      </c>
      <c r="E200" s="35" t="str">
        <f>IF(BOM!A194="","",BOM!B194)</f>
        <v/>
      </c>
      <c r="F200" s="35" t="str">
        <f>IF(E200="","",IFERROR(INDEX(DM_NL!$B$5:$B$304,MATCH(E200,DM_NL!$A$5:$A$304,0)),"(chưa có trong DM_NL)"))</f>
        <v/>
      </c>
      <c r="G200" s="35" t="str">
        <f>IF(E200="","",IFERROR(INDEX(DM_NL!$C$5:$C$304,MATCH(E200,DM_NL!$A$5:$A$304,0)),""))</f>
        <v/>
      </c>
      <c r="H200" s="39" t="str">
        <f>IF(OR(E200="",BOM!G194="KXDDM"),"",BOM!F194)</f>
        <v/>
      </c>
      <c r="I200" s="36" t="str">
        <f>IF(E200="","",BOM!G194&amp;"")</f>
        <v/>
      </c>
    </row>
    <row r="201" spans="1:9" x14ac:dyDescent="0.25">
      <c r="A201" s="36" t="str">
        <f>IF(B201="","",MAX($A$10:A200)+1)</f>
        <v/>
      </c>
      <c r="B201" s="35" t="str">
        <f>IF(BOM!A195="","",IF(BOM!A195=BOM!A194,"",BOM!A195))</f>
        <v/>
      </c>
      <c r="C201" s="35" t="str">
        <f>IF(B201="","",IFERROR(INDEX(DM_SP!$B$5:$B$304,MATCH(B201,DM_SP!$A$5:$A$304,0)),"(chưa có trong DM_SP)"))</f>
        <v/>
      </c>
      <c r="D201" s="35" t="str">
        <f>IF(B201="","",IFERROR(INDEX(DM_SP!$C$5:$C$304,MATCH(B201,DM_SP!$A$5:$A$304,0)),""))</f>
        <v/>
      </c>
      <c r="E201" s="35" t="str">
        <f>IF(BOM!A195="","",BOM!B195)</f>
        <v/>
      </c>
      <c r="F201" s="35" t="str">
        <f>IF(E201="","",IFERROR(INDEX(DM_NL!$B$5:$B$304,MATCH(E201,DM_NL!$A$5:$A$304,0)),"(chưa có trong DM_NL)"))</f>
        <v/>
      </c>
      <c r="G201" s="35" t="str">
        <f>IF(E201="","",IFERROR(INDEX(DM_NL!$C$5:$C$304,MATCH(E201,DM_NL!$A$5:$A$304,0)),""))</f>
        <v/>
      </c>
      <c r="H201" s="39" t="str">
        <f>IF(OR(E201="",BOM!G195="KXDDM"),"",BOM!F195)</f>
        <v/>
      </c>
      <c r="I201" s="36" t="str">
        <f>IF(E201="","",BOM!G195&amp;"")</f>
        <v/>
      </c>
    </row>
    <row r="202" spans="1:9" x14ac:dyDescent="0.25">
      <c r="A202" s="36" t="str">
        <f>IF(B202="","",MAX($A$10:A201)+1)</f>
        <v/>
      </c>
      <c r="B202" s="35" t="str">
        <f>IF(BOM!A196="","",IF(BOM!A196=BOM!A195,"",BOM!A196))</f>
        <v/>
      </c>
      <c r="C202" s="35" t="str">
        <f>IF(B202="","",IFERROR(INDEX(DM_SP!$B$5:$B$304,MATCH(B202,DM_SP!$A$5:$A$304,0)),"(chưa có trong DM_SP)"))</f>
        <v/>
      </c>
      <c r="D202" s="35" t="str">
        <f>IF(B202="","",IFERROR(INDEX(DM_SP!$C$5:$C$304,MATCH(B202,DM_SP!$A$5:$A$304,0)),""))</f>
        <v/>
      </c>
      <c r="E202" s="35" t="str">
        <f>IF(BOM!A196="","",BOM!B196)</f>
        <v/>
      </c>
      <c r="F202" s="35" t="str">
        <f>IF(E202="","",IFERROR(INDEX(DM_NL!$B$5:$B$304,MATCH(E202,DM_NL!$A$5:$A$304,0)),"(chưa có trong DM_NL)"))</f>
        <v/>
      </c>
      <c r="G202" s="35" t="str">
        <f>IF(E202="","",IFERROR(INDEX(DM_NL!$C$5:$C$304,MATCH(E202,DM_NL!$A$5:$A$304,0)),""))</f>
        <v/>
      </c>
      <c r="H202" s="39" t="str">
        <f>IF(OR(E202="",BOM!G196="KXDDM"),"",BOM!F196)</f>
        <v/>
      </c>
      <c r="I202" s="36" t="str">
        <f>IF(E202="","",BOM!G196&amp;"")</f>
        <v/>
      </c>
    </row>
    <row r="203" spans="1:9" x14ac:dyDescent="0.25">
      <c r="A203" s="36" t="str">
        <f>IF(B203="","",MAX($A$10:A202)+1)</f>
        <v/>
      </c>
      <c r="B203" s="35" t="str">
        <f>IF(BOM!A197="","",IF(BOM!A197=BOM!A196,"",BOM!A197))</f>
        <v/>
      </c>
      <c r="C203" s="35" t="str">
        <f>IF(B203="","",IFERROR(INDEX(DM_SP!$B$5:$B$304,MATCH(B203,DM_SP!$A$5:$A$304,0)),"(chưa có trong DM_SP)"))</f>
        <v/>
      </c>
      <c r="D203" s="35" t="str">
        <f>IF(B203="","",IFERROR(INDEX(DM_SP!$C$5:$C$304,MATCH(B203,DM_SP!$A$5:$A$304,0)),""))</f>
        <v/>
      </c>
      <c r="E203" s="35" t="str">
        <f>IF(BOM!A197="","",BOM!B197)</f>
        <v/>
      </c>
      <c r="F203" s="35" t="str">
        <f>IF(E203="","",IFERROR(INDEX(DM_NL!$B$5:$B$304,MATCH(E203,DM_NL!$A$5:$A$304,0)),"(chưa có trong DM_NL)"))</f>
        <v/>
      </c>
      <c r="G203" s="35" t="str">
        <f>IF(E203="","",IFERROR(INDEX(DM_NL!$C$5:$C$304,MATCH(E203,DM_NL!$A$5:$A$304,0)),""))</f>
        <v/>
      </c>
      <c r="H203" s="39" t="str">
        <f>IF(OR(E203="",BOM!G197="KXDDM"),"",BOM!F197)</f>
        <v/>
      </c>
      <c r="I203" s="36" t="str">
        <f>IF(E203="","",BOM!G197&amp;"")</f>
        <v/>
      </c>
    </row>
    <row r="204" spans="1:9" x14ac:dyDescent="0.25">
      <c r="A204" s="36" t="str">
        <f>IF(B204="","",MAX($A$10:A203)+1)</f>
        <v/>
      </c>
      <c r="B204" s="35" t="str">
        <f>IF(BOM!A198="","",IF(BOM!A198=BOM!A197,"",BOM!A198))</f>
        <v/>
      </c>
      <c r="C204" s="35" t="str">
        <f>IF(B204="","",IFERROR(INDEX(DM_SP!$B$5:$B$304,MATCH(B204,DM_SP!$A$5:$A$304,0)),"(chưa có trong DM_SP)"))</f>
        <v/>
      </c>
      <c r="D204" s="35" t="str">
        <f>IF(B204="","",IFERROR(INDEX(DM_SP!$C$5:$C$304,MATCH(B204,DM_SP!$A$5:$A$304,0)),""))</f>
        <v/>
      </c>
      <c r="E204" s="35" t="str">
        <f>IF(BOM!A198="","",BOM!B198)</f>
        <v/>
      </c>
      <c r="F204" s="35" t="str">
        <f>IF(E204="","",IFERROR(INDEX(DM_NL!$B$5:$B$304,MATCH(E204,DM_NL!$A$5:$A$304,0)),"(chưa có trong DM_NL)"))</f>
        <v/>
      </c>
      <c r="G204" s="35" t="str">
        <f>IF(E204="","",IFERROR(INDEX(DM_NL!$C$5:$C$304,MATCH(E204,DM_NL!$A$5:$A$304,0)),""))</f>
        <v/>
      </c>
      <c r="H204" s="39" t="str">
        <f>IF(OR(E204="",BOM!G198="KXDDM"),"",BOM!F198)</f>
        <v/>
      </c>
      <c r="I204" s="36" t="str">
        <f>IF(E204="","",BOM!G198&amp;"")</f>
        <v/>
      </c>
    </row>
    <row r="205" spans="1:9" x14ac:dyDescent="0.25">
      <c r="A205" s="36" t="str">
        <f>IF(B205="","",MAX($A$10:A204)+1)</f>
        <v/>
      </c>
      <c r="B205" s="35" t="str">
        <f>IF(BOM!A199="","",IF(BOM!A199=BOM!A198,"",BOM!A199))</f>
        <v/>
      </c>
      <c r="C205" s="35" t="str">
        <f>IF(B205="","",IFERROR(INDEX(DM_SP!$B$5:$B$304,MATCH(B205,DM_SP!$A$5:$A$304,0)),"(chưa có trong DM_SP)"))</f>
        <v/>
      </c>
      <c r="D205" s="35" t="str">
        <f>IF(B205="","",IFERROR(INDEX(DM_SP!$C$5:$C$304,MATCH(B205,DM_SP!$A$5:$A$304,0)),""))</f>
        <v/>
      </c>
      <c r="E205" s="35" t="str">
        <f>IF(BOM!A199="","",BOM!B199)</f>
        <v/>
      </c>
      <c r="F205" s="35" t="str">
        <f>IF(E205="","",IFERROR(INDEX(DM_NL!$B$5:$B$304,MATCH(E205,DM_NL!$A$5:$A$304,0)),"(chưa có trong DM_NL)"))</f>
        <v/>
      </c>
      <c r="G205" s="35" t="str">
        <f>IF(E205="","",IFERROR(INDEX(DM_NL!$C$5:$C$304,MATCH(E205,DM_NL!$A$5:$A$304,0)),""))</f>
        <v/>
      </c>
      <c r="H205" s="39" t="str">
        <f>IF(OR(E205="",BOM!G199="KXDDM"),"",BOM!F199)</f>
        <v/>
      </c>
      <c r="I205" s="36" t="str">
        <f>IF(E205="","",BOM!G199&amp;"")</f>
        <v/>
      </c>
    </row>
    <row r="206" spans="1:9" x14ac:dyDescent="0.25">
      <c r="A206" s="36" t="str">
        <f>IF(B206="","",MAX($A$10:A205)+1)</f>
        <v/>
      </c>
      <c r="B206" s="35" t="str">
        <f>IF(BOM!A200="","",IF(BOM!A200=BOM!A199,"",BOM!A200))</f>
        <v/>
      </c>
      <c r="C206" s="35" t="str">
        <f>IF(B206="","",IFERROR(INDEX(DM_SP!$B$5:$B$304,MATCH(B206,DM_SP!$A$5:$A$304,0)),"(chưa có trong DM_SP)"))</f>
        <v/>
      </c>
      <c r="D206" s="35" t="str">
        <f>IF(B206="","",IFERROR(INDEX(DM_SP!$C$5:$C$304,MATCH(B206,DM_SP!$A$5:$A$304,0)),""))</f>
        <v/>
      </c>
      <c r="E206" s="35" t="str">
        <f>IF(BOM!A200="","",BOM!B200)</f>
        <v/>
      </c>
      <c r="F206" s="35" t="str">
        <f>IF(E206="","",IFERROR(INDEX(DM_NL!$B$5:$B$304,MATCH(E206,DM_NL!$A$5:$A$304,0)),"(chưa có trong DM_NL)"))</f>
        <v/>
      </c>
      <c r="G206" s="35" t="str">
        <f>IF(E206="","",IFERROR(INDEX(DM_NL!$C$5:$C$304,MATCH(E206,DM_NL!$A$5:$A$304,0)),""))</f>
        <v/>
      </c>
      <c r="H206" s="39" t="str">
        <f>IF(OR(E206="",BOM!G200="KXDDM"),"",BOM!F200)</f>
        <v/>
      </c>
      <c r="I206" s="36" t="str">
        <f>IF(E206="","",BOM!G200&amp;"")</f>
        <v/>
      </c>
    </row>
    <row r="207" spans="1:9" x14ac:dyDescent="0.25">
      <c r="A207" s="36" t="str">
        <f>IF(B207="","",MAX($A$10:A206)+1)</f>
        <v/>
      </c>
      <c r="B207" s="35" t="str">
        <f>IF(BOM!A201="","",IF(BOM!A201=BOM!A200,"",BOM!A201))</f>
        <v/>
      </c>
      <c r="C207" s="35" t="str">
        <f>IF(B207="","",IFERROR(INDEX(DM_SP!$B$5:$B$304,MATCH(B207,DM_SP!$A$5:$A$304,0)),"(chưa có trong DM_SP)"))</f>
        <v/>
      </c>
      <c r="D207" s="35" t="str">
        <f>IF(B207="","",IFERROR(INDEX(DM_SP!$C$5:$C$304,MATCH(B207,DM_SP!$A$5:$A$304,0)),""))</f>
        <v/>
      </c>
      <c r="E207" s="35" t="str">
        <f>IF(BOM!A201="","",BOM!B201)</f>
        <v/>
      </c>
      <c r="F207" s="35" t="str">
        <f>IF(E207="","",IFERROR(INDEX(DM_NL!$B$5:$B$304,MATCH(E207,DM_NL!$A$5:$A$304,0)),"(chưa có trong DM_NL)"))</f>
        <v/>
      </c>
      <c r="G207" s="35" t="str">
        <f>IF(E207="","",IFERROR(INDEX(DM_NL!$C$5:$C$304,MATCH(E207,DM_NL!$A$5:$A$304,0)),""))</f>
        <v/>
      </c>
      <c r="H207" s="39" t="str">
        <f>IF(OR(E207="",BOM!G201="KXDDM"),"",BOM!F201)</f>
        <v/>
      </c>
      <c r="I207" s="36" t="str">
        <f>IF(E207="","",BOM!G201&amp;"")</f>
        <v/>
      </c>
    </row>
    <row r="208" spans="1:9" x14ac:dyDescent="0.25">
      <c r="A208" s="36" t="str">
        <f>IF(B208="","",MAX($A$10:A207)+1)</f>
        <v/>
      </c>
      <c r="B208" s="35" t="str">
        <f>IF(BOM!A202="","",IF(BOM!A202=BOM!A201,"",BOM!A202))</f>
        <v/>
      </c>
      <c r="C208" s="35" t="str">
        <f>IF(B208="","",IFERROR(INDEX(DM_SP!$B$5:$B$304,MATCH(B208,DM_SP!$A$5:$A$304,0)),"(chưa có trong DM_SP)"))</f>
        <v/>
      </c>
      <c r="D208" s="35" t="str">
        <f>IF(B208="","",IFERROR(INDEX(DM_SP!$C$5:$C$304,MATCH(B208,DM_SP!$A$5:$A$304,0)),""))</f>
        <v/>
      </c>
      <c r="E208" s="35" t="str">
        <f>IF(BOM!A202="","",BOM!B202)</f>
        <v/>
      </c>
      <c r="F208" s="35" t="str">
        <f>IF(E208="","",IFERROR(INDEX(DM_NL!$B$5:$B$304,MATCH(E208,DM_NL!$A$5:$A$304,0)),"(chưa có trong DM_NL)"))</f>
        <v/>
      </c>
      <c r="G208" s="35" t="str">
        <f>IF(E208="","",IFERROR(INDEX(DM_NL!$C$5:$C$304,MATCH(E208,DM_NL!$A$5:$A$304,0)),""))</f>
        <v/>
      </c>
      <c r="H208" s="39" t="str">
        <f>IF(OR(E208="",BOM!G202="KXDDM"),"",BOM!F202)</f>
        <v/>
      </c>
      <c r="I208" s="36" t="str">
        <f>IF(E208="","",BOM!G202&amp;"")</f>
        <v/>
      </c>
    </row>
    <row r="209" spans="1:9" x14ac:dyDescent="0.25">
      <c r="A209" s="36" t="str">
        <f>IF(B209="","",MAX($A$10:A208)+1)</f>
        <v/>
      </c>
      <c r="B209" s="35" t="str">
        <f>IF(BOM!A203="","",IF(BOM!A203=BOM!A202,"",BOM!A203))</f>
        <v/>
      </c>
      <c r="C209" s="35" t="str">
        <f>IF(B209="","",IFERROR(INDEX(DM_SP!$B$5:$B$304,MATCH(B209,DM_SP!$A$5:$A$304,0)),"(chưa có trong DM_SP)"))</f>
        <v/>
      </c>
      <c r="D209" s="35" t="str">
        <f>IF(B209="","",IFERROR(INDEX(DM_SP!$C$5:$C$304,MATCH(B209,DM_SP!$A$5:$A$304,0)),""))</f>
        <v/>
      </c>
      <c r="E209" s="35" t="str">
        <f>IF(BOM!A203="","",BOM!B203)</f>
        <v/>
      </c>
      <c r="F209" s="35" t="str">
        <f>IF(E209="","",IFERROR(INDEX(DM_NL!$B$5:$B$304,MATCH(E209,DM_NL!$A$5:$A$304,0)),"(chưa có trong DM_NL)"))</f>
        <v/>
      </c>
      <c r="G209" s="35" t="str">
        <f>IF(E209="","",IFERROR(INDEX(DM_NL!$C$5:$C$304,MATCH(E209,DM_NL!$A$5:$A$304,0)),""))</f>
        <v/>
      </c>
      <c r="H209" s="39" t="str">
        <f>IF(OR(E209="",BOM!G203="KXDDM"),"",BOM!F203)</f>
        <v/>
      </c>
      <c r="I209" s="36" t="str">
        <f>IF(E209="","",BOM!G203&amp;"")</f>
        <v/>
      </c>
    </row>
    <row r="210" spans="1:9" x14ac:dyDescent="0.25">
      <c r="A210" s="36" t="str">
        <f>IF(B210="","",MAX($A$10:A209)+1)</f>
        <v/>
      </c>
      <c r="B210" s="35" t="str">
        <f>IF(BOM!A204="","",IF(BOM!A204=BOM!A203,"",BOM!A204))</f>
        <v/>
      </c>
      <c r="C210" s="35" t="str">
        <f>IF(B210="","",IFERROR(INDEX(DM_SP!$B$5:$B$304,MATCH(B210,DM_SP!$A$5:$A$304,0)),"(chưa có trong DM_SP)"))</f>
        <v/>
      </c>
      <c r="D210" s="35" t="str">
        <f>IF(B210="","",IFERROR(INDEX(DM_SP!$C$5:$C$304,MATCH(B210,DM_SP!$A$5:$A$304,0)),""))</f>
        <v/>
      </c>
      <c r="E210" s="35" t="str">
        <f>IF(BOM!A204="","",BOM!B204)</f>
        <v/>
      </c>
      <c r="F210" s="35" t="str">
        <f>IF(E210="","",IFERROR(INDEX(DM_NL!$B$5:$B$304,MATCH(E210,DM_NL!$A$5:$A$304,0)),"(chưa có trong DM_NL)"))</f>
        <v/>
      </c>
      <c r="G210" s="35" t="str">
        <f>IF(E210="","",IFERROR(INDEX(DM_NL!$C$5:$C$304,MATCH(E210,DM_NL!$A$5:$A$304,0)),""))</f>
        <v/>
      </c>
      <c r="H210" s="39" t="str">
        <f>IF(OR(E210="",BOM!G204="KXDDM"),"",BOM!F204)</f>
        <v/>
      </c>
      <c r="I210" s="36" t="str">
        <f>IF(E210="","",BOM!G204&amp;"")</f>
        <v/>
      </c>
    </row>
    <row r="211" spans="1:9" x14ac:dyDescent="0.25">
      <c r="A211" s="36" t="str">
        <f>IF(B211="","",MAX($A$10:A210)+1)</f>
        <v/>
      </c>
      <c r="B211" s="35" t="str">
        <f>IF(BOM!A205="","",IF(BOM!A205=BOM!A204,"",BOM!A205))</f>
        <v/>
      </c>
      <c r="C211" s="35" t="str">
        <f>IF(B211="","",IFERROR(INDEX(DM_SP!$B$5:$B$304,MATCH(B211,DM_SP!$A$5:$A$304,0)),"(chưa có trong DM_SP)"))</f>
        <v/>
      </c>
      <c r="D211" s="35" t="str">
        <f>IF(B211="","",IFERROR(INDEX(DM_SP!$C$5:$C$304,MATCH(B211,DM_SP!$A$5:$A$304,0)),""))</f>
        <v/>
      </c>
      <c r="E211" s="35" t="str">
        <f>IF(BOM!A205="","",BOM!B205)</f>
        <v/>
      </c>
      <c r="F211" s="35" t="str">
        <f>IF(E211="","",IFERROR(INDEX(DM_NL!$B$5:$B$304,MATCH(E211,DM_NL!$A$5:$A$304,0)),"(chưa có trong DM_NL)"))</f>
        <v/>
      </c>
      <c r="G211" s="35" t="str">
        <f>IF(E211="","",IFERROR(INDEX(DM_NL!$C$5:$C$304,MATCH(E211,DM_NL!$A$5:$A$304,0)),""))</f>
        <v/>
      </c>
      <c r="H211" s="39" t="str">
        <f>IF(OR(E211="",BOM!G205="KXDDM"),"",BOM!F205)</f>
        <v/>
      </c>
      <c r="I211" s="36" t="str">
        <f>IF(E211="","",BOM!G205&amp;"")</f>
        <v/>
      </c>
    </row>
    <row r="212" spans="1:9" x14ac:dyDescent="0.25">
      <c r="A212" s="36" t="str">
        <f>IF(B212="","",MAX($A$10:A211)+1)</f>
        <v/>
      </c>
      <c r="B212" s="35" t="str">
        <f>IF(BOM!A206="","",IF(BOM!A206=BOM!A205,"",BOM!A206))</f>
        <v/>
      </c>
      <c r="C212" s="35" t="str">
        <f>IF(B212="","",IFERROR(INDEX(DM_SP!$B$5:$B$304,MATCH(B212,DM_SP!$A$5:$A$304,0)),"(chưa có trong DM_SP)"))</f>
        <v/>
      </c>
      <c r="D212" s="35" t="str">
        <f>IF(B212="","",IFERROR(INDEX(DM_SP!$C$5:$C$304,MATCH(B212,DM_SP!$A$5:$A$304,0)),""))</f>
        <v/>
      </c>
      <c r="E212" s="35" t="str">
        <f>IF(BOM!A206="","",BOM!B206)</f>
        <v/>
      </c>
      <c r="F212" s="35" t="str">
        <f>IF(E212="","",IFERROR(INDEX(DM_NL!$B$5:$B$304,MATCH(E212,DM_NL!$A$5:$A$304,0)),"(chưa có trong DM_NL)"))</f>
        <v/>
      </c>
      <c r="G212" s="35" t="str">
        <f>IF(E212="","",IFERROR(INDEX(DM_NL!$C$5:$C$304,MATCH(E212,DM_NL!$A$5:$A$304,0)),""))</f>
        <v/>
      </c>
      <c r="H212" s="39" t="str">
        <f>IF(OR(E212="",BOM!G206="KXDDM"),"",BOM!F206)</f>
        <v/>
      </c>
      <c r="I212" s="36" t="str">
        <f>IF(E212="","",BOM!G206&amp;"")</f>
        <v/>
      </c>
    </row>
    <row r="213" spans="1:9" x14ac:dyDescent="0.25">
      <c r="A213" s="36" t="str">
        <f>IF(B213="","",MAX($A$10:A212)+1)</f>
        <v/>
      </c>
      <c r="B213" s="35" t="str">
        <f>IF(BOM!A207="","",IF(BOM!A207=BOM!A206,"",BOM!A207))</f>
        <v/>
      </c>
      <c r="C213" s="35" t="str">
        <f>IF(B213="","",IFERROR(INDEX(DM_SP!$B$5:$B$304,MATCH(B213,DM_SP!$A$5:$A$304,0)),"(chưa có trong DM_SP)"))</f>
        <v/>
      </c>
      <c r="D213" s="35" t="str">
        <f>IF(B213="","",IFERROR(INDEX(DM_SP!$C$5:$C$304,MATCH(B213,DM_SP!$A$5:$A$304,0)),""))</f>
        <v/>
      </c>
      <c r="E213" s="35" t="str">
        <f>IF(BOM!A207="","",BOM!B207)</f>
        <v/>
      </c>
      <c r="F213" s="35" t="str">
        <f>IF(E213="","",IFERROR(INDEX(DM_NL!$B$5:$B$304,MATCH(E213,DM_NL!$A$5:$A$304,0)),"(chưa có trong DM_NL)"))</f>
        <v/>
      </c>
      <c r="G213" s="35" t="str">
        <f>IF(E213="","",IFERROR(INDEX(DM_NL!$C$5:$C$304,MATCH(E213,DM_NL!$A$5:$A$304,0)),""))</f>
        <v/>
      </c>
      <c r="H213" s="39" t="str">
        <f>IF(OR(E213="",BOM!G207="KXDDM"),"",BOM!F207)</f>
        <v/>
      </c>
      <c r="I213" s="36" t="str">
        <f>IF(E213="","",BOM!G207&amp;"")</f>
        <v/>
      </c>
    </row>
    <row r="214" spans="1:9" x14ac:dyDescent="0.25">
      <c r="A214" s="36" t="str">
        <f>IF(B214="","",MAX($A$10:A213)+1)</f>
        <v/>
      </c>
      <c r="B214" s="35" t="str">
        <f>IF(BOM!A208="","",IF(BOM!A208=BOM!A207,"",BOM!A208))</f>
        <v/>
      </c>
      <c r="C214" s="35" t="str">
        <f>IF(B214="","",IFERROR(INDEX(DM_SP!$B$5:$B$304,MATCH(B214,DM_SP!$A$5:$A$304,0)),"(chưa có trong DM_SP)"))</f>
        <v/>
      </c>
      <c r="D214" s="35" t="str">
        <f>IF(B214="","",IFERROR(INDEX(DM_SP!$C$5:$C$304,MATCH(B214,DM_SP!$A$5:$A$304,0)),""))</f>
        <v/>
      </c>
      <c r="E214" s="35" t="str">
        <f>IF(BOM!A208="","",BOM!B208)</f>
        <v/>
      </c>
      <c r="F214" s="35" t="str">
        <f>IF(E214="","",IFERROR(INDEX(DM_NL!$B$5:$B$304,MATCH(E214,DM_NL!$A$5:$A$304,0)),"(chưa có trong DM_NL)"))</f>
        <v/>
      </c>
      <c r="G214" s="35" t="str">
        <f>IF(E214="","",IFERROR(INDEX(DM_NL!$C$5:$C$304,MATCH(E214,DM_NL!$A$5:$A$304,0)),""))</f>
        <v/>
      </c>
      <c r="H214" s="39" t="str">
        <f>IF(OR(E214="",BOM!G208="KXDDM"),"",BOM!F208)</f>
        <v/>
      </c>
      <c r="I214" s="36" t="str">
        <f>IF(E214="","",BOM!G208&amp;"")</f>
        <v/>
      </c>
    </row>
    <row r="215" spans="1:9" x14ac:dyDescent="0.25">
      <c r="A215" s="36" t="str">
        <f>IF(B215="","",MAX($A$10:A214)+1)</f>
        <v/>
      </c>
      <c r="B215" s="35" t="str">
        <f>IF(BOM!A209="","",IF(BOM!A209=BOM!A208,"",BOM!A209))</f>
        <v/>
      </c>
      <c r="C215" s="35" t="str">
        <f>IF(B215="","",IFERROR(INDEX(DM_SP!$B$5:$B$304,MATCH(B215,DM_SP!$A$5:$A$304,0)),"(chưa có trong DM_SP)"))</f>
        <v/>
      </c>
      <c r="D215" s="35" t="str">
        <f>IF(B215="","",IFERROR(INDEX(DM_SP!$C$5:$C$304,MATCH(B215,DM_SP!$A$5:$A$304,0)),""))</f>
        <v/>
      </c>
      <c r="E215" s="35" t="str">
        <f>IF(BOM!A209="","",BOM!B209)</f>
        <v/>
      </c>
      <c r="F215" s="35" t="str">
        <f>IF(E215="","",IFERROR(INDEX(DM_NL!$B$5:$B$304,MATCH(E215,DM_NL!$A$5:$A$304,0)),"(chưa có trong DM_NL)"))</f>
        <v/>
      </c>
      <c r="G215" s="35" t="str">
        <f>IF(E215="","",IFERROR(INDEX(DM_NL!$C$5:$C$304,MATCH(E215,DM_NL!$A$5:$A$304,0)),""))</f>
        <v/>
      </c>
      <c r="H215" s="39" t="str">
        <f>IF(OR(E215="",BOM!G209="KXDDM"),"",BOM!F209)</f>
        <v/>
      </c>
      <c r="I215" s="36" t="str">
        <f>IF(E215="","",BOM!G209&amp;"")</f>
        <v/>
      </c>
    </row>
    <row r="216" spans="1:9" x14ac:dyDescent="0.25">
      <c r="A216" s="36" t="str">
        <f>IF(B216="","",MAX($A$10:A215)+1)</f>
        <v/>
      </c>
      <c r="B216" s="35" t="str">
        <f>IF(BOM!A210="","",IF(BOM!A210=BOM!A209,"",BOM!A210))</f>
        <v/>
      </c>
      <c r="C216" s="35" t="str">
        <f>IF(B216="","",IFERROR(INDEX(DM_SP!$B$5:$B$304,MATCH(B216,DM_SP!$A$5:$A$304,0)),"(chưa có trong DM_SP)"))</f>
        <v/>
      </c>
      <c r="D216" s="35" t="str">
        <f>IF(B216="","",IFERROR(INDEX(DM_SP!$C$5:$C$304,MATCH(B216,DM_SP!$A$5:$A$304,0)),""))</f>
        <v/>
      </c>
      <c r="E216" s="35" t="str">
        <f>IF(BOM!A210="","",BOM!B210)</f>
        <v/>
      </c>
      <c r="F216" s="35" t="str">
        <f>IF(E216="","",IFERROR(INDEX(DM_NL!$B$5:$B$304,MATCH(E216,DM_NL!$A$5:$A$304,0)),"(chưa có trong DM_NL)"))</f>
        <v/>
      </c>
      <c r="G216" s="35" t="str">
        <f>IF(E216="","",IFERROR(INDEX(DM_NL!$C$5:$C$304,MATCH(E216,DM_NL!$A$5:$A$304,0)),""))</f>
        <v/>
      </c>
      <c r="H216" s="39" t="str">
        <f>IF(OR(E216="",BOM!G210="KXDDM"),"",BOM!F210)</f>
        <v/>
      </c>
      <c r="I216" s="36" t="str">
        <f>IF(E216="","",BOM!G210&amp;"")</f>
        <v/>
      </c>
    </row>
    <row r="217" spans="1:9" x14ac:dyDescent="0.25">
      <c r="A217" s="36" t="str">
        <f>IF(B217="","",MAX($A$10:A216)+1)</f>
        <v/>
      </c>
      <c r="B217" s="35" t="str">
        <f>IF(BOM!A211="","",IF(BOM!A211=BOM!A210,"",BOM!A211))</f>
        <v/>
      </c>
      <c r="C217" s="35" t="str">
        <f>IF(B217="","",IFERROR(INDEX(DM_SP!$B$5:$B$304,MATCH(B217,DM_SP!$A$5:$A$304,0)),"(chưa có trong DM_SP)"))</f>
        <v/>
      </c>
      <c r="D217" s="35" t="str">
        <f>IF(B217="","",IFERROR(INDEX(DM_SP!$C$5:$C$304,MATCH(B217,DM_SP!$A$5:$A$304,0)),""))</f>
        <v/>
      </c>
      <c r="E217" s="35" t="str">
        <f>IF(BOM!A211="","",BOM!B211)</f>
        <v/>
      </c>
      <c r="F217" s="35" t="str">
        <f>IF(E217="","",IFERROR(INDEX(DM_NL!$B$5:$B$304,MATCH(E217,DM_NL!$A$5:$A$304,0)),"(chưa có trong DM_NL)"))</f>
        <v/>
      </c>
      <c r="G217" s="35" t="str">
        <f>IF(E217="","",IFERROR(INDEX(DM_NL!$C$5:$C$304,MATCH(E217,DM_NL!$A$5:$A$304,0)),""))</f>
        <v/>
      </c>
      <c r="H217" s="39" t="str">
        <f>IF(OR(E217="",BOM!G211="KXDDM"),"",BOM!F211)</f>
        <v/>
      </c>
      <c r="I217" s="36" t="str">
        <f>IF(E217="","",BOM!G211&amp;"")</f>
        <v/>
      </c>
    </row>
    <row r="218" spans="1:9" x14ac:dyDescent="0.25">
      <c r="A218" s="36" t="str">
        <f>IF(B218="","",MAX($A$10:A217)+1)</f>
        <v/>
      </c>
      <c r="B218" s="35" t="str">
        <f>IF(BOM!A212="","",IF(BOM!A212=BOM!A211,"",BOM!A212))</f>
        <v/>
      </c>
      <c r="C218" s="35" t="str">
        <f>IF(B218="","",IFERROR(INDEX(DM_SP!$B$5:$B$304,MATCH(B218,DM_SP!$A$5:$A$304,0)),"(chưa có trong DM_SP)"))</f>
        <v/>
      </c>
      <c r="D218" s="35" t="str">
        <f>IF(B218="","",IFERROR(INDEX(DM_SP!$C$5:$C$304,MATCH(B218,DM_SP!$A$5:$A$304,0)),""))</f>
        <v/>
      </c>
      <c r="E218" s="35" t="str">
        <f>IF(BOM!A212="","",BOM!B212)</f>
        <v/>
      </c>
      <c r="F218" s="35" t="str">
        <f>IF(E218="","",IFERROR(INDEX(DM_NL!$B$5:$B$304,MATCH(E218,DM_NL!$A$5:$A$304,0)),"(chưa có trong DM_NL)"))</f>
        <v/>
      </c>
      <c r="G218" s="35" t="str">
        <f>IF(E218="","",IFERROR(INDEX(DM_NL!$C$5:$C$304,MATCH(E218,DM_NL!$A$5:$A$304,0)),""))</f>
        <v/>
      </c>
      <c r="H218" s="39" t="str">
        <f>IF(OR(E218="",BOM!G212="KXDDM"),"",BOM!F212)</f>
        <v/>
      </c>
      <c r="I218" s="36" t="str">
        <f>IF(E218="","",BOM!G212&amp;"")</f>
        <v/>
      </c>
    </row>
    <row r="219" spans="1:9" x14ac:dyDescent="0.25">
      <c r="A219" s="36" t="str">
        <f>IF(B219="","",MAX($A$10:A218)+1)</f>
        <v/>
      </c>
      <c r="B219" s="35" t="str">
        <f>IF(BOM!A213="","",IF(BOM!A213=BOM!A212,"",BOM!A213))</f>
        <v/>
      </c>
      <c r="C219" s="35" t="str">
        <f>IF(B219="","",IFERROR(INDEX(DM_SP!$B$5:$B$304,MATCH(B219,DM_SP!$A$5:$A$304,0)),"(chưa có trong DM_SP)"))</f>
        <v/>
      </c>
      <c r="D219" s="35" t="str">
        <f>IF(B219="","",IFERROR(INDEX(DM_SP!$C$5:$C$304,MATCH(B219,DM_SP!$A$5:$A$304,0)),""))</f>
        <v/>
      </c>
      <c r="E219" s="35" t="str">
        <f>IF(BOM!A213="","",BOM!B213)</f>
        <v/>
      </c>
      <c r="F219" s="35" t="str">
        <f>IF(E219="","",IFERROR(INDEX(DM_NL!$B$5:$B$304,MATCH(E219,DM_NL!$A$5:$A$304,0)),"(chưa có trong DM_NL)"))</f>
        <v/>
      </c>
      <c r="G219" s="35" t="str">
        <f>IF(E219="","",IFERROR(INDEX(DM_NL!$C$5:$C$304,MATCH(E219,DM_NL!$A$5:$A$304,0)),""))</f>
        <v/>
      </c>
      <c r="H219" s="39" t="str">
        <f>IF(OR(E219="",BOM!G213="KXDDM"),"",BOM!F213)</f>
        <v/>
      </c>
      <c r="I219" s="36" t="str">
        <f>IF(E219="","",BOM!G213&amp;"")</f>
        <v/>
      </c>
    </row>
    <row r="220" spans="1:9" x14ac:dyDescent="0.25">
      <c r="A220" s="36" t="str">
        <f>IF(B220="","",MAX($A$10:A219)+1)</f>
        <v/>
      </c>
      <c r="B220" s="35" t="str">
        <f>IF(BOM!A214="","",IF(BOM!A214=BOM!A213,"",BOM!A214))</f>
        <v/>
      </c>
      <c r="C220" s="35" t="str">
        <f>IF(B220="","",IFERROR(INDEX(DM_SP!$B$5:$B$304,MATCH(B220,DM_SP!$A$5:$A$304,0)),"(chưa có trong DM_SP)"))</f>
        <v/>
      </c>
      <c r="D220" s="35" t="str">
        <f>IF(B220="","",IFERROR(INDEX(DM_SP!$C$5:$C$304,MATCH(B220,DM_SP!$A$5:$A$304,0)),""))</f>
        <v/>
      </c>
      <c r="E220" s="35" t="str">
        <f>IF(BOM!A214="","",BOM!B214)</f>
        <v/>
      </c>
      <c r="F220" s="35" t="str">
        <f>IF(E220="","",IFERROR(INDEX(DM_NL!$B$5:$B$304,MATCH(E220,DM_NL!$A$5:$A$304,0)),"(chưa có trong DM_NL)"))</f>
        <v/>
      </c>
      <c r="G220" s="35" t="str">
        <f>IF(E220="","",IFERROR(INDEX(DM_NL!$C$5:$C$304,MATCH(E220,DM_NL!$A$5:$A$304,0)),""))</f>
        <v/>
      </c>
      <c r="H220" s="39" t="str">
        <f>IF(OR(E220="",BOM!G214="KXDDM"),"",BOM!F214)</f>
        <v/>
      </c>
      <c r="I220" s="36" t="str">
        <f>IF(E220="","",BOM!G214&amp;"")</f>
        <v/>
      </c>
    </row>
    <row r="221" spans="1:9" x14ac:dyDescent="0.25">
      <c r="A221" s="36" t="str">
        <f>IF(B221="","",MAX($A$10:A220)+1)</f>
        <v/>
      </c>
      <c r="B221" s="35" t="str">
        <f>IF(BOM!A215="","",IF(BOM!A215=BOM!A214,"",BOM!A215))</f>
        <v/>
      </c>
      <c r="C221" s="35" t="str">
        <f>IF(B221="","",IFERROR(INDEX(DM_SP!$B$5:$B$304,MATCH(B221,DM_SP!$A$5:$A$304,0)),"(chưa có trong DM_SP)"))</f>
        <v/>
      </c>
      <c r="D221" s="35" t="str">
        <f>IF(B221="","",IFERROR(INDEX(DM_SP!$C$5:$C$304,MATCH(B221,DM_SP!$A$5:$A$304,0)),""))</f>
        <v/>
      </c>
      <c r="E221" s="35" t="str">
        <f>IF(BOM!A215="","",BOM!B215)</f>
        <v/>
      </c>
      <c r="F221" s="35" t="str">
        <f>IF(E221="","",IFERROR(INDEX(DM_NL!$B$5:$B$304,MATCH(E221,DM_NL!$A$5:$A$304,0)),"(chưa có trong DM_NL)"))</f>
        <v/>
      </c>
      <c r="G221" s="35" t="str">
        <f>IF(E221="","",IFERROR(INDEX(DM_NL!$C$5:$C$304,MATCH(E221,DM_NL!$A$5:$A$304,0)),""))</f>
        <v/>
      </c>
      <c r="H221" s="39" t="str">
        <f>IF(OR(E221="",BOM!G215="KXDDM"),"",BOM!F215)</f>
        <v/>
      </c>
      <c r="I221" s="36" t="str">
        <f>IF(E221="","",BOM!G215&amp;"")</f>
        <v/>
      </c>
    </row>
    <row r="222" spans="1:9" x14ac:dyDescent="0.25">
      <c r="A222" s="36" t="str">
        <f>IF(B222="","",MAX($A$10:A221)+1)</f>
        <v/>
      </c>
      <c r="B222" s="35" t="str">
        <f>IF(BOM!A216="","",IF(BOM!A216=BOM!A215,"",BOM!A216))</f>
        <v/>
      </c>
      <c r="C222" s="35" t="str">
        <f>IF(B222="","",IFERROR(INDEX(DM_SP!$B$5:$B$304,MATCH(B222,DM_SP!$A$5:$A$304,0)),"(chưa có trong DM_SP)"))</f>
        <v/>
      </c>
      <c r="D222" s="35" t="str">
        <f>IF(B222="","",IFERROR(INDEX(DM_SP!$C$5:$C$304,MATCH(B222,DM_SP!$A$5:$A$304,0)),""))</f>
        <v/>
      </c>
      <c r="E222" s="35" t="str">
        <f>IF(BOM!A216="","",BOM!B216)</f>
        <v/>
      </c>
      <c r="F222" s="35" t="str">
        <f>IF(E222="","",IFERROR(INDEX(DM_NL!$B$5:$B$304,MATCH(E222,DM_NL!$A$5:$A$304,0)),"(chưa có trong DM_NL)"))</f>
        <v/>
      </c>
      <c r="G222" s="35" t="str">
        <f>IF(E222="","",IFERROR(INDEX(DM_NL!$C$5:$C$304,MATCH(E222,DM_NL!$A$5:$A$304,0)),""))</f>
        <v/>
      </c>
      <c r="H222" s="39" t="str">
        <f>IF(OR(E222="",BOM!G216="KXDDM"),"",BOM!F216)</f>
        <v/>
      </c>
      <c r="I222" s="36" t="str">
        <f>IF(E222="","",BOM!G216&amp;"")</f>
        <v/>
      </c>
    </row>
    <row r="223" spans="1:9" x14ac:dyDescent="0.25">
      <c r="A223" s="36" t="str">
        <f>IF(B223="","",MAX($A$10:A222)+1)</f>
        <v/>
      </c>
      <c r="B223" s="35" t="str">
        <f>IF(BOM!A217="","",IF(BOM!A217=BOM!A216,"",BOM!A217))</f>
        <v/>
      </c>
      <c r="C223" s="35" t="str">
        <f>IF(B223="","",IFERROR(INDEX(DM_SP!$B$5:$B$304,MATCH(B223,DM_SP!$A$5:$A$304,0)),"(chưa có trong DM_SP)"))</f>
        <v/>
      </c>
      <c r="D223" s="35" t="str">
        <f>IF(B223="","",IFERROR(INDEX(DM_SP!$C$5:$C$304,MATCH(B223,DM_SP!$A$5:$A$304,0)),""))</f>
        <v/>
      </c>
      <c r="E223" s="35" t="str">
        <f>IF(BOM!A217="","",BOM!B217)</f>
        <v/>
      </c>
      <c r="F223" s="35" t="str">
        <f>IF(E223="","",IFERROR(INDEX(DM_NL!$B$5:$B$304,MATCH(E223,DM_NL!$A$5:$A$304,0)),"(chưa có trong DM_NL)"))</f>
        <v/>
      </c>
      <c r="G223" s="35" t="str">
        <f>IF(E223="","",IFERROR(INDEX(DM_NL!$C$5:$C$304,MATCH(E223,DM_NL!$A$5:$A$304,0)),""))</f>
        <v/>
      </c>
      <c r="H223" s="39" t="str">
        <f>IF(OR(E223="",BOM!G217="KXDDM"),"",BOM!F217)</f>
        <v/>
      </c>
      <c r="I223" s="36" t="str">
        <f>IF(E223="","",BOM!G217&amp;"")</f>
        <v/>
      </c>
    </row>
    <row r="224" spans="1:9" x14ac:dyDescent="0.25">
      <c r="A224" s="36" t="str">
        <f>IF(B224="","",MAX($A$10:A223)+1)</f>
        <v/>
      </c>
      <c r="B224" s="35" t="str">
        <f>IF(BOM!A218="","",IF(BOM!A218=BOM!A217,"",BOM!A218))</f>
        <v/>
      </c>
      <c r="C224" s="35" t="str">
        <f>IF(B224="","",IFERROR(INDEX(DM_SP!$B$5:$B$304,MATCH(B224,DM_SP!$A$5:$A$304,0)),"(chưa có trong DM_SP)"))</f>
        <v/>
      </c>
      <c r="D224" s="35" t="str">
        <f>IF(B224="","",IFERROR(INDEX(DM_SP!$C$5:$C$304,MATCH(B224,DM_SP!$A$5:$A$304,0)),""))</f>
        <v/>
      </c>
      <c r="E224" s="35" t="str">
        <f>IF(BOM!A218="","",BOM!B218)</f>
        <v/>
      </c>
      <c r="F224" s="35" t="str">
        <f>IF(E224="","",IFERROR(INDEX(DM_NL!$B$5:$B$304,MATCH(E224,DM_NL!$A$5:$A$304,0)),"(chưa có trong DM_NL)"))</f>
        <v/>
      </c>
      <c r="G224" s="35" t="str">
        <f>IF(E224="","",IFERROR(INDEX(DM_NL!$C$5:$C$304,MATCH(E224,DM_NL!$A$5:$A$304,0)),""))</f>
        <v/>
      </c>
      <c r="H224" s="39" t="str">
        <f>IF(OR(E224="",BOM!G218="KXDDM"),"",BOM!F218)</f>
        <v/>
      </c>
      <c r="I224" s="36" t="str">
        <f>IF(E224="","",BOM!G218&amp;"")</f>
        <v/>
      </c>
    </row>
    <row r="225" spans="1:9" x14ac:dyDescent="0.25">
      <c r="A225" s="36" t="str">
        <f>IF(B225="","",MAX($A$10:A224)+1)</f>
        <v/>
      </c>
      <c r="B225" s="35" t="str">
        <f>IF(BOM!A219="","",IF(BOM!A219=BOM!A218,"",BOM!A219))</f>
        <v/>
      </c>
      <c r="C225" s="35" t="str">
        <f>IF(B225="","",IFERROR(INDEX(DM_SP!$B$5:$B$304,MATCH(B225,DM_SP!$A$5:$A$304,0)),"(chưa có trong DM_SP)"))</f>
        <v/>
      </c>
      <c r="D225" s="35" t="str">
        <f>IF(B225="","",IFERROR(INDEX(DM_SP!$C$5:$C$304,MATCH(B225,DM_SP!$A$5:$A$304,0)),""))</f>
        <v/>
      </c>
      <c r="E225" s="35" t="str">
        <f>IF(BOM!A219="","",BOM!B219)</f>
        <v/>
      </c>
      <c r="F225" s="35" t="str">
        <f>IF(E225="","",IFERROR(INDEX(DM_NL!$B$5:$B$304,MATCH(E225,DM_NL!$A$5:$A$304,0)),"(chưa có trong DM_NL)"))</f>
        <v/>
      </c>
      <c r="G225" s="35" t="str">
        <f>IF(E225="","",IFERROR(INDEX(DM_NL!$C$5:$C$304,MATCH(E225,DM_NL!$A$5:$A$304,0)),""))</f>
        <v/>
      </c>
      <c r="H225" s="39" t="str">
        <f>IF(OR(E225="",BOM!G219="KXDDM"),"",BOM!F219)</f>
        <v/>
      </c>
      <c r="I225" s="36" t="str">
        <f>IF(E225="","",BOM!G219&amp;"")</f>
        <v/>
      </c>
    </row>
    <row r="226" spans="1:9" x14ac:dyDescent="0.25">
      <c r="A226" s="36" t="str">
        <f>IF(B226="","",MAX($A$10:A225)+1)</f>
        <v/>
      </c>
      <c r="B226" s="35" t="str">
        <f>IF(BOM!A220="","",IF(BOM!A220=BOM!A219,"",BOM!A220))</f>
        <v/>
      </c>
      <c r="C226" s="35" t="str">
        <f>IF(B226="","",IFERROR(INDEX(DM_SP!$B$5:$B$304,MATCH(B226,DM_SP!$A$5:$A$304,0)),"(chưa có trong DM_SP)"))</f>
        <v/>
      </c>
      <c r="D226" s="35" t="str">
        <f>IF(B226="","",IFERROR(INDEX(DM_SP!$C$5:$C$304,MATCH(B226,DM_SP!$A$5:$A$304,0)),""))</f>
        <v/>
      </c>
      <c r="E226" s="35" t="str">
        <f>IF(BOM!A220="","",BOM!B220)</f>
        <v/>
      </c>
      <c r="F226" s="35" t="str">
        <f>IF(E226="","",IFERROR(INDEX(DM_NL!$B$5:$B$304,MATCH(E226,DM_NL!$A$5:$A$304,0)),"(chưa có trong DM_NL)"))</f>
        <v/>
      </c>
      <c r="G226" s="35" t="str">
        <f>IF(E226="","",IFERROR(INDEX(DM_NL!$C$5:$C$304,MATCH(E226,DM_NL!$A$5:$A$304,0)),""))</f>
        <v/>
      </c>
      <c r="H226" s="39" t="str">
        <f>IF(OR(E226="",BOM!G220="KXDDM"),"",BOM!F220)</f>
        <v/>
      </c>
      <c r="I226" s="36" t="str">
        <f>IF(E226="","",BOM!G220&amp;"")</f>
        <v/>
      </c>
    </row>
    <row r="227" spans="1:9" x14ac:dyDescent="0.25">
      <c r="A227" s="36" t="str">
        <f>IF(B227="","",MAX($A$10:A226)+1)</f>
        <v/>
      </c>
      <c r="B227" s="35" t="str">
        <f>IF(BOM!A221="","",IF(BOM!A221=BOM!A220,"",BOM!A221))</f>
        <v/>
      </c>
      <c r="C227" s="35" t="str">
        <f>IF(B227="","",IFERROR(INDEX(DM_SP!$B$5:$B$304,MATCH(B227,DM_SP!$A$5:$A$304,0)),"(chưa có trong DM_SP)"))</f>
        <v/>
      </c>
      <c r="D227" s="35" t="str">
        <f>IF(B227="","",IFERROR(INDEX(DM_SP!$C$5:$C$304,MATCH(B227,DM_SP!$A$5:$A$304,0)),""))</f>
        <v/>
      </c>
      <c r="E227" s="35" t="str">
        <f>IF(BOM!A221="","",BOM!B221)</f>
        <v/>
      </c>
      <c r="F227" s="35" t="str">
        <f>IF(E227="","",IFERROR(INDEX(DM_NL!$B$5:$B$304,MATCH(E227,DM_NL!$A$5:$A$304,0)),"(chưa có trong DM_NL)"))</f>
        <v/>
      </c>
      <c r="G227" s="35" t="str">
        <f>IF(E227="","",IFERROR(INDEX(DM_NL!$C$5:$C$304,MATCH(E227,DM_NL!$A$5:$A$304,0)),""))</f>
        <v/>
      </c>
      <c r="H227" s="39" t="str">
        <f>IF(OR(E227="",BOM!G221="KXDDM"),"",BOM!F221)</f>
        <v/>
      </c>
      <c r="I227" s="36" t="str">
        <f>IF(E227="","",BOM!G221&amp;"")</f>
        <v/>
      </c>
    </row>
    <row r="228" spans="1:9" x14ac:dyDescent="0.25">
      <c r="A228" s="36" t="str">
        <f>IF(B228="","",MAX($A$10:A227)+1)</f>
        <v/>
      </c>
      <c r="B228" s="35" t="str">
        <f>IF(BOM!A222="","",IF(BOM!A222=BOM!A221,"",BOM!A222))</f>
        <v/>
      </c>
      <c r="C228" s="35" t="str">
        <f>IF(B228="","",IFERROR(INDEX(DM_SP!$B$5:$B$304,MATCH(B228,DM_SP!$A$5:$A$304,0)),"(chưa có trong DM_SP)"))</f>
        <v/>
      </c>
      <c r="D228" s="35" t="str">
        <f>IF(B228="","",IFERROR(INDEX(DM_SP!$C$5:$C$304,MATCH(B228,DM_SP!$A$5:$A$304,0)),""))</f>
        <v/>
      </c>
      <c r="E228" s="35" t="str">
        <f>IF(BOM!A222="","",BOM!B222)</f>
        <v/>
      </c>
      <c r="F228" s="35" t="str">
        <f>IF(E228="","",IFERROR(INDEX(DM_NL!$B$5:$B$304,MATCH(E228,DM_NL!$A$5:$A$304,0)),"(chưa có trong DM_NL)"))</f>
        <v/>
      </c>
      <c r="G228" s="35" t="str">
        <f>IF(E228="","",IFERROR(INDEX(DM_NL!$C$5:$C$304,MATCH(E228,DM_NL!$A$5:$A$304,0)),""))</f>
        <v/>
      </c>
      <c r="H228" s="39" t="str">
        <f>IF(OR(E228="",BOM!G222="KXDDM"),"",BOM!F222)</f>
        <v/>
      </c>
      <c r="I228" s="36" t="str">
        <f>IF(E228="","",BOM!G222&amp;"")</f>
        <v/>
      </c>
    </row>
    <row r="229" spans="1:9" x14ac:dyDescent="0.25">
      <c r="A229" s="36" t="str">
        <f>IF(B229="","",MAX($A$10:A228)+1)</f>
        <v/>
      </c>
      <c r="B229" s="35" t="str">
        <f>IF(BOM!A223="","",IF(BOM!A223=BOM!A222,"",BOM!A223))</f>
        <v/>
      </c>
      <c r="C229" s="35" t="str">
        <f>IF(B229="","",IFERROR(INDEX(DM_SP!$B$5:$B$304,MATCH(B229,DM_SP!$A$5:$A$304,0)),"(chưa có trong DM_SP)"))</f>
        <v/>
      </c>
      <c r="D229" s="35" t="str">
        <f>IF(B229="","",IFERROR(INDEX(DM_SP!$C$5:$C$304,MATCH(B229,DM_SP!$A$5:$A$304,0)),""))</f>
        <v/>
      </c>
      <c r="E229" s="35" t="str">
        <f>IF(BOM!A223="","",BOM!B223)</f>
        <v/>
      </c>
      <c r="F229" s="35" t="str">
        <f>IF(E229="","",IFERROR(INDEX(DM_NL!$B$5:$B$304,MATCH(E229,DM_NL!$A$5:$A$304,0)),"(chưa có trong DM_NL)"))</f>
        <v/>
      </c>
      <c r="G229" s="35" t="str">
        <f>IF(E229="","",IFERROR(INDEX(DM_NL!$C$5:$C$304,MATCH(E229,DM_NL!$A$5:$A$304,0)),""))</f>
        <v/>
      </c>
      <c r="H229" s="39" t="str">
        <f>IF(OR(E229="",BOM!G223="KXDDM"),"",BOM!F223)</f>
        <v/>
      </c>
      <c r="I229" s="36" t="str">
        <f>IF(E229="","",BOM!G223&amp;"")</f>
        <v/>
      </c>
    </row>
    <row r="230" spans="1:9" x14ac:dyDescent="0.25">
      <c r="A230" s="36" t="str">
        <f>IF(B230="","",MAX($A$10:A229)+1)</f>
        <v/>
      </c>
      <c r="B230" s="35" t="str">
        <f>IF(BOM!A224="","",IF(BOM!A224=BOM!A223,"",BOM!A224))</f>
        <v/>
      </c>
      <c r="C230" s="35" t="str">
        <f>IF(B230="","",IFERROR(INDEX(DM_SP!$B$5:$B$304,MATCH(B230,DM_SP!$A$5:$A$304,0)),"(chưa có trong DM_SP)"))</f>
        <v/>
      </c>
      <c r="D230" s="35" t="str">
        <f>IF(B230="","",IFERROR(INDEX(DM_SP!$C$5:$C$304,MATCH(B230,DM_SP!$A$5:$A$304,0)),""))</f>
        <v/>
      </c>
      <c r="E230" s="35" t="str">
        <f>IF(BOM!A224="","",BOM!B224)</f>
        <v/>
      </c>
      <c r="F230" s="35" t="str">
        <f>IF(E230="","",IFERROR(INDEX(DM_NL!$B$5:$B$304,MATCH(E230,DM_NL!$A$5:$A$304,0)),"(chưa có trong DM_NL)"))</f>
        <v/>
      </c>
      <c r="G230" s="35" t="str">
        <f>IF(E230="","",IFERROR(INDEX(DM_NL!$C$5:$C$304,MATCH(E230,DM_NL!$A$5:$A$304,0)),""))</f>
        <v/>
      </c>
      <c r="H230" s="39" t="str">
        <f>IF(OR(E230="",BOM!G224="KXDDM"),"",BOM!F224)</f>
        <v/>
      </c>
      <c r="I230" s="36" t="str">
        <f>IF(E230="","",BOM!G224&amp;"")</f>
        <v/>
      </c>
    </row>
    <row r="231" spans="1:9" x14ac:dyDescent="0.25">
      <c r="A231" s="36" t="str">
        <f>IF(B231="","",MAX($A$10:A230)+1)</f>
        <v/>
      </c>
      <c r="B231" s="35" t="str">
        <f>IF(BOM!A225="","",IF(BOM!A225=BOM!A224,"",BOM!A225))</f>
        <v/>
      </c>
      <c r="C231" s="35" t="str">
        <f>IF(B231="","",IFERROR(INDEX(DM_SP!$B$5:$B$304,MATCH(B231,DM_SP!$A$5:$A$304,0)),"(chưa có trong DM_SP)"))</f>
        <v/>
      </c>
      <c r="D231" s="35" t="str">
        <f>IF(B231="","",IFERROR(INDEX(DM_SP!$C$5:$C$304,MATCH(B231,DM_SP!$A$5:$A$304,0)),""))</f>
        <v/>
      </c>
      <c r="E231" s="35" t="str">
        <f>IF(BOM!A225="","",BOM!B225)</f>
        <v/>
      </c>
      <c r="F231" s="35" t="str">
        <f>IF(E231="","",IFERROR(INDEX(DM_NL!$B$5:$B$304,MATCH(E231,DM_NL!$A$5:$A$304,0)),"(chưa có trong DM_NL)"))</f>
        <v/>
      </c>
      <c r="G231" s="35" t="str">
        <f>IF(E231="","",IFERROR(INDEX(DM_NL!$C$5:$C$304,MATCH(E231,DM_NL!$A$5:$A$304,0)),""))</f>
        <v/>
      </c>
      <c r="H231" s="39" t="str">
        <f>IF(OR(E231="",BOM!G225="KXDDM"),"",BOM!F225)</f>
        <v/>
      </c>
      <c r="I231" s="36" t="str">
        <f>IF(E231="","",BOM!G225&amp;"")</f>
        <v/>
      </c>
    </row>
    <row r="232" spans="1:9" x14ac:dyDescent="0.25">
      <c r="A232" s="36" t="str">
        <f>IF(B232="","",MAX($A$10:A231)+1)</f>
        <v/>
      </c>
      <c r="B232" s="35" t="str">
        <f>IF(BOM!A226="","",IF(BOM!A226=BOM!A225,"",BOM!A226))</f>
        <v/>
      </c>
      <c r="C232" s="35" t="str">
        <f>IF(B232="","",IFERROR(INDEX(DM_SP!$B$5:$B$304,MATCH(B232,DM_SP!$A$5:$A$304,0)),"(chưa có trong DM_SP)"))</f>
        <v/>
      </c>
      <c r="D232" s="35" t="str">
        <f>IF(B232="","",IFERROR(INDEX(DM_SP!$C$5:$C$304,MATCH(B232,DM_SP!$A$5:$A$304,0)),""))</f>
        <v/>
      </c>
      <c r="E232" s="35" t="str">
        <f>IF(BOM!A226="","",BOM!B226)</f>
        <v/>
      </c>
      <c r="F232" s="35" t="str">
        <f>IF(E232="","",IFERROR(INDEX(DM_NL!$B$5:$B$304,MATCH(E232,DM_NL!$A$5:$A$304,0)),"(chưa có trong DM_NL)"))</f>
        <v/>
      </c>
      <c r="G232" s="35" t="str">
        <f>IF(E232="","",IFERROR(INDEX(DM_NL!$C$5:$C$304,MATCH(E232,DM_NL!$A$5:$A$304,0)),""))</f>
        <v/>
      </c>
      <c r="H232" s="39" t="str">
        <f>IF(OR(E232="",BOM!G226="KXDDM"),"",BOM!F226)</f>
        <v/>
      </c>
      <c r="I232" s="36" t="str">
        <f>IF(E232="","",BOM!G226&amp;"")</f>
        <v/>
      </c>
    </row>
    <row r="233" spans="1:9" x14ac:dyDescent="0.25">
      <c r="A233" s="36" t="str">
        <f>IF(B233="","",MAX($A$10:A232)+1)</f>
        <v/>
      </c>
      <c r="B233" s="35" t="str">
        <f>IF(BOM!A227="","",IF(BOM!A227=BOM!A226,"",BOM!A227))</f>
        <v/>
      </c>
      <c r="C233" s="35" t="str">
        <f>IF(B233="","",IFERROR(INDEX(DM_SP!$B$5:$B$304,MATCH(B233,DM_SP!$A$5:$A$304,0)),"(chưa có trong DM_SP)"))</f>
        <v/>
      </c>
      <c r="D233" s="35" t="str">
        <f>IF(B233="","",IFERROR(INDEX(DM_SP!$C$5:$C$304,MATCH(B233,DM_SP!$A$5:$A$304,0)),""))</f>
        <v/>
      </c>
      <c r="E233" s="35" t="str">
        <f>IF(BOM!A227="","",BOM!B227)</f>
        <v/>
      </c>
      <c r="F233" s="35" t="str">
        <f>IF(E233="","",IFERROR(INDEX(DM_NL!$B$5:$B$304,MATCH(E233,DM_NL!$A$5:$A$304,0)),"(chưa có trong DM_NL)"))</f>
        <v/>
      </c>
      <c r="G233" s="35" t="str">
        <f>IF(E233="","",IFERROR(INDEX(DM_NL!$C$5:$C$304,MATCH(E233,DM_NL!$A$5:$A$304,0)),""))</f>
        <v/>
      </c>
      <c r="H233" s="39" t="str">
        <f>IF(OR(E233="",BOM!G227="KXDDM"),"",BOM!F227)</f>
        <v/>
      </c>
      <c r="I233" s="36" t="str">
        <f>IF(E233="","",BOM!G227&amp;"")</f>
        <v/>
      </c>
    </row>
    <row r="234" spans="1:9" x14ac:dyDescent="0.25">
      <c r="A234" s="36" t="str">
        <f>IF(B234="","",MAX($A$10:A233)+1)</f>
        <v/>
      </c>
      <c r="B234" s="35" t="str">
        <f>IF(BOM!A228="","",IF(BOM!A228=BOM!A227,"",BOM!A228))</f>
        <v/>
      </c>
      <c r="C234" s="35" t="str">
        <f>IF(B234="","",IFERROR(INDEX(DM_SP!$B$5:$B$304,MATCH(B234,DM_SP!$A$5:$A$304,0)),"(chưa có trong DM_SP)"))</f>
        <v/>
      </c>
      <c r="D234" s="35" t="str">
        <f>IF(B234="","",IFERROR(INDEX(DM_SP!$C$5:$C$304,MATCH(B234,DM_SP!$A$5:$A$304,0)),""))</f>
        <v/>
      </c>
      <c r="E234" s="35" t="str">
        <f>IF(BOM!A228="","",BOM!B228)</f>
        <v/>
      </c>
      <c r="F234" s="35" t="str">
        <f>IF(E234="","",IFERROR(INDEX(DM_NL!$B$5:$B$304,MATCH(E234,DM_NL!$A$5:$A$304,0)),"(chưa có trong DM_NL)"))</f>
        <v/>
      </c>
      <c r="G234" s="35" t="str">
        <f>IF(E234="","",IFERROR(INDEX(DM_NL!$C$5:$C$304,MATCH(E234,DM_NL!$A$5:$A$304,0)),""))</f>
        <v/>
      </c>
      <c r="H234" s="39" t="str">
        <f>IF(OR(E234="",BOM!G228="KXDDM"),"",BOM!F228)</f>
        <v/>
      </c>
      <c r="I234" s="36" t="str">
        <f>IF(E234="","",BOM!G228&amp;"")</f>
        <v/>
      </c>
    </row>
    <row r="235" spans="1:9" x14ac:dyDescent="0.25">
      <c r="A235" s="36" t="str">
        <f>IF(B235="","",MAX($A$10:A234)+1)</f>
        <v/>
      </c>
      <c r="B235" s="35" t="str">
        <f>IF(BOM!A229="","",IF(BOM!A229=BOM!A228,"",BOM!A229))</f>
        <v/>
      </c>
      <c r="C235" s="35" t="str">
        <f>IF(B235="","",IFERROR(INDEX(DM_SP!$B$5:$B$304,MATCH(B235,DM_SP!$A$5:$A$304,0)),"(chưa có trong DM_SP)"))</f>
        <v/>
      </c>
      <c r="D235" s="35" t="str">
        <f>IF(B235="","",IFERROR(INDEX(DM_SP!$C$5:$C$304,MATCH(B235,DM_SP!$A$5:$A$304,0)),""))</f>
        <v/>
      </c>
      <c r="E235" s="35" t="str">
        <f>IF(BOM!A229="","",BOM!B229)</f>
        <v/>
      </c>
      <c r="F235" s="35" t="str">
        <f>IF(E235="","",IFERROR(INDEX(DM_NL!$B$5:$B$304,MATCH(E235,DM_NL!$A$5:$A$304,0)),"(chưa có trong DM_NL)"))</f>
        <v/>
      </c>
      <c r="G235" s="35" t="str">
        <f>IF(E235="","",IFERROR(INDEX(DM_NL!$C$5:$C$304,MATCH(E235,DM_NL!$A$5:$A$304,0)),""))</f>
        <v/>
      </c>
      <c r="H235" s="39" t="str">
        <f>IF(OR(E235="",BOM!G229="KXDDM"),"",BOM!F229)</f>
        <v/>
      </c>
      <c r="I235" s="36" t="str">
        <f>IF(E235="","",BOM!G229&amp;"")</f>
        <v/>
      </c>
    </row>
    <row r="236" spans="1:9" x14ac:dyDescent="0.25">
      <c r="A236" s="36" t="str">
        <f>IF(B236="","",MAX($A$10:A235)+1)</f>
        <v/>
      </c>
      <c r="B236" s="35" t="str">
        <f>IF(BOM!A230="","",IF(BOM!A230=BOM!A229,"",BOM!A230))</f>
        <v/>
      </c>
      <c r="C236" s="35" t="str">
        <f>IF(B236="","",IFERROR(INDEX(DM_SP!$B$5:$B$304,MATCH(B236,DM_SP!$A$5:$A$304,0)),"(chưa có trong DM_SP)"))</f>
        <v/>
      </c>
      <c r="D236" s="35" t="str">
        <f>IF(B236="","",IFERROR(INDEX(DM_SP!$C$5:$C$304,MATCH(B236,DM_SP!$A$5:$A$304,0)),""))</f>
        <v/>
      </c>
      <c r="E236" s="35" t="str">
        <f>IF(BOM!A230="","",BOM!B230)</f>
        <v/>
      </c>
      <c r="F236" s="35" t="str">
        <f>IF(E236="","",IFERROR(INDEX(DM_NL!$B$5:$B$304,MATCH(E236,DM_NL!$A$5:$A$304,0)),"(chưa có trong DM_NL)"))</f>
        <v/>
      </c>
      <c r="G236" s="35" t="str">
        <f>IF(E236="","",IFERROR(INDEX(DM_NL!$C$5:$C$304,MATCH(E236,DM_NL!$A$5:$A$304,0)),""))</f>
        <v/>
      </c>
      <c r="H236" s="39" t="str">
        <f>IF(OR(E236="",BOM!G230="KXDDM"),"",BOM!F230)</f>
        <v/>
      </c>
      <c r="I236" s="36" t="str">
        <f>IF(E236="","",BOM!G230&amp;"")</f>
        <v/>
      </c>
    </row>
    <row r="237" spans="1:9" x14ac:dyDescent="0.25">
      <c r="A237" s="36" t="str">
        <f>IF(B237="","",MAX($A$10:A236)+1)</f>
        <v/>
      </c>
      <c r="B237" s="35" t="str">
        <f>IF(BOM!A231="","",IF(BOM!A231=BOM!A230,"",BOM!A231))</f>
        <v/>
      </c>
      <c r="C237" s="35" t="str">
        <f>IF(B237="","",IFERROR(INDEX(DM_SP!$B$5:$B$304,MATCH(B237,DM_SP!$A$5:$A$304,0)),"(chưa có trong DM_SP)"))</f>
        <v/>
      </c>
      <c r="D237" s="35" t="str">
        <f>IF(B237="","",IFERROR(INDEX(DM_SP!$C$5:$C$304,MATCH(B237,DM_SP!$A$5:$A$304,0)),""))</f>
        <v/>
      </c>
      <c r="E237" s="35" t="str">
        <f>IF(BOM!A231="","",BOM!B231)</f>
        <v/>
      </c>
      <c r="F237" s="35" t="str">
        <f>IF(E237="","",IFERROR(INDEX(DM_NL!$B$5:$B$304,MATCH(E237,DM_NL!$A$5:$A$304,0)),"(chưa có trong DM_NL)"))</f>
        <v/>
      </c>
      <c r="G237" s="35" t="str">
        <f>IF(E237="","",IFERROR(INDEX(DM_NL!$C$5:$C$304,MATCH(E237,DM_NL!$A$5:$A$304,0)),""))</f>
        <v/>
      </c>
      <c r="H237" s="39" t="str">
        <f>IF(OR(E237="",BOM!G231="KXDDM"),"",BOM!F231)</f>
        <v/>
      </c>
      <c r="I237" s="36" t="str">
        <f>IF(E237="","",BOM!G231&amp;"")</f>
        <v/>
      </c>
    </row>
    <row r="238" spans="1:9" x14ac:dyDescent="0.25">
      <c r="A238" s="36" t="str">
        <f>IF(B238="","",MAX($A$10:A237)+1)</f>
        <v/>
      </c>
      <c r="B238" s="35" t="str">
        <f>IF(BOM!A232="","",IF(BOM!A232=BOM!A231,"",BOM!A232))</f>
        <v/>
      </c>
      <c r="C238" s="35" t="str">
        <f>IF(B238="","",IFERROR(INDEX(DM_SP!$B$5:$B$304,MATCH(B238,DM_SP!$A$5:$A$304,0)),"(chưa có trong DM_SP)"))</f>
        <v/>
      </c>
      <c r="D238" s="35" t="str">
        <f>IF(B238="","",IFERROR(INDEX(DM_SP!$C$5:$C$304,MATCH(B238,DM_SP!$A$5:$A$304,0)),""))</f>
        <v/>
      </c>
      <c r="E238" s="35" t="str">
        <f>IF(BOM!A232="","",BOM!B232)</f>
        <v/>
      </c>
      <c r="F238" s="35" t="str">
        <f>IF(E238="","",IFERROR(INDEX(DM_NL!$B$5:$B$304,MATCH(E238,DM_NL!$A$5:$A$304,0)),"(chưa có trong DM_NL)"))</f>
        <v/>
      </c>
      <c r="G238" s="35" t="str">
        <f>IF(E238="","",IFERROR(INDEX(DM_NL!$C$5:$C$304,MATCH(E238,DM_NL!$A$5:$A$304,0)),""))</f>
        <v/>
      </c>
      <c r="H238" s="39" t="str">
        <f>IF(OR(E238="",BOM!G232="KXDDM"),"",BOM!F232)</f>
        <v/>
      </c>
      <c r="I238" s="36" t="str">
        <f>IF(E238="","",BOM!G232&amp;"")</f>
        <v/>
      </c>
    </row>
    <row r="239" spans="1:9" x14ac:dyDescent="0.25">
      <c r="A239" s="36" t="str">
        <f>IF(B239="","",MAX($A$10:A238)+1)</f>
        <v/>
      </c>
      <c r="B239" s="35" t="str">
        <f>IF(BOM!A233="","",IF(BOM!A233=BOM!A232,"",BOM!A233))</f>
        <v/>
      </c>
      <c r="C239" s="35" t="str">
        <f>IF(B239="","",IFERROR(INDEX(DM_SP!$B$5:$B$304,MATCH(B239,DM_SP!$A$5:$A$304,0)),"(chưa có trong DM_SP)"))</f>
        <v/>
      </c>
      <c r="D239" s="35" t="str">
        <f>IF(B239="","",IFERROR(INDEX(DM_SP!$C$5:$C$304,MATCH(B239,DM_SP!$A$5:$A$304,0)),""))</f>
        <v/>
      </c>
      <c r="E239" s="35" t="str">
        <f>IF(BOM!A233="","",BOM!B233)</f>
        <v/>
      </c>
      <c r="F239" s="35" t="str">
        <f>IF(E239="","",IFERROR(INDEX(DM_NL!$B$5:$B$304,MATCH(E239,DM_NL!$A$5:$A$304,0)),"(chưa có trong DM_NL)"))</f>
        <v/>
      </c>
      <c r="G239" s="35" t="str">
        <f>IF(E239="","",IFERROR(INDEX(DM_NL!$C$5:$C$304,MATCH(E239,DM_NL!$A$5:$A$304,0)),""))</f>
        <v/>
      </c>
      <c r="H239" s="39" t="str">
        <f>IF(OR(E239="",BOM!G233="KXDDM"),"",BOM!F233)</f>
        <v/>
      </c>
      <c r="I239" s="36" t="str">
        <f>IF(E239="","",BOM!G233&amp;"")</f>
        <v/>
      </c>
    </row>
    <row r="240" spans="1:9" x14ac:dyDescent="0.25">
      <c r="A240" s="36" t="str">
        <f>IF(B240="","",MAX($A$10:A239)+1)</f>
        <v/>
      </c>
      <c r="B240" s="35" t="str">
        <f>IF(BOM!A234="","",IF(BOM!A234=BOM!A233,"",BOM!A234))</f>
        <v/>
      </c>
      <c r="C240" s="35" t="str">
        <f>IF(B240="","",IFERROR(INDEX(DM_SP!$B$5:$B$304,MATCH(B240,DM_SP!$A$5:$A$304,0)),"(chưa có trong DM_SP)"))</f>
        <v/>
      </c>
      <c r="D240" s="35" t="str">
        <f>IF(B240="","",IFERROR(INDEX(DM_SP!$C$5:$C$304,MATCH(B240,DM_SP!$A$5:$A$304,0)),""))</f>
        <v/>
      </c>
      <c r="E240" s="35" t="str">
        <f>IF(BOM!A234="","",BOM!B234)</f>
        <v/>
      </c>
      <c r="F240" s="35" t="str">
        <f>IF(E240="","",IFERROR(INDEX(DM_NL!$B$5:$B$304,MATCH(E240,DM_NL!$A$5:$A$304,0)),"(chưa có trong DM_NL)"))</f>
        <v/>
      </c>
      <c r="G240" s="35" t="str">
        <f>IF(E240="","",IFERROR(INDEX(DM_NL!$C$5:$C$304,MATCH(E240,DM_NL!$A$5:$A$304,0)),""))</f>
        <v/>
      </c>
      <c r="H240" s="39" t="str">
        <f>IF(OR(E240="",BOM!G234="KXDDM"),"",BOM!F234)</f>
        <v/>
      </c>
      <c r="I240" s="36" t="str">
        <f>IF(E240="","",BOM!G234&amp;"")</f>
        <v/>
      </c>
    </row>
    <row r="241" spans="1:9" x14ac:dyDescent="0.25">
      <c r="A241" s="36" t="str">
        <f>IF(B241="","",MAX($A$10:A240)+1)</f>
        <v/>
      </c>
      <c r="B241" s="35" t="str">
        <f>IF(BOM!A235="","",IF(BOM!A235=BOM!A234,"",BOM!A235))</f>
        <v/>
      </c>
      <c r="C241" s="35" t="str">
        <f>IF(B241="","",IFERROR(INDEX(DM_SP!$B$5:$B$304,MATCH(B241,DM_SP!$A$5:$A$304,0)),"(chưa có trong DM_SP)"))</f>
        <v/>
      </c>
      <c r="D241" s="35" t="str">
        <f>IF(B241="","",IFERROR(INDEX(DM_SP!$C$5:$C$304,MATCH(B241,DM_SP!$A$5:$A$304,0)),""))</f>
        <v/>
      </c>
      <c r="E241" s="35" t="str">
        <f>IF(BOM!A235="","",BOM!B235)</f>
        <v/>
      </c>
      <c r="F241" s="35" t="str">
        <f>IF(E241="","",IFERROR(INDEX(DM_NL!$B$5:$B$304,MATCH(E241,DM_NL!$A$5:$A$304,0)),"(chưa có trong DM_NL)"))</f>
        <v/>
      </c>
      <c r="G241" s="35" t="str">
        <f>IF(E241="","",IFERROR(INDEX(DM_NL!$C$5:$C$304,MATCH(E241,DM_NL!$A$5:$A$304,0)),""))</f>
        <v/>
      </c>
      <c r="H241" s="39" t="str">
        <f>IF(OR(E241="",BOM!G235="KXDDM"),"",BOM!F235)</f>
        <v/>
      </c>
      <c r="I241" s="36" t="str">
        <f>IF(E241="","",BOM!G235&amp;"")</f>
        <v/>
      </c>
    </row>
    <row r="242" spans="1:9" x14ac:dyDescent="0.25">
      <c r="A242" s="36" t="str">
        <f>IF(B242="","",MAX($A$10:A241)+1)</f>
        <v/>
      </c>
      <c r="B242" s="35" t="str">
        <f>IF(BOM!A236="","",IF(BOM!A236=BOM!A235,"",BOM!A236))</f>
        <v/>
      </c>
      <c r="C242" s="35" t="str">
        <f>IF(B242="","",IFERROR(INDEX(DM_SP!$B$5:$B$304,MATCH(B242,DM_SP!$A$5:$A$304,0)),"(chưa có trong DM_SP)"))</f>
        <v/>
      </c>
      <c r="D242" s="35" t="str">
        <f>IF(B242="","",IFERROR(INDEX(DM_SP!$C$5:$C$304,MATCH(B242,DM_SP!$A$5:$A$304,0)),""))</f>
        <v/>
      </c>
      <c r="E242" s="35" t="str">
        <f>IF(BOM!A236="","",BOM!B236)</f>
        <v/>
      </c>
      <c r="F242" s="35" t="str">
        <f>IF(E242="","",IFERROR(INDEX(DM_NL!$B$5:$B$304,MATCH(E242,DM_NL!$A$5:$A$304,0)),"(chưa có trong DM_NL)"))</f>
        <v/>
      </c>
      <c r="G242" s="35" t="str">
        <f>IF(E242="","",IFERROR(INDEX(DM_NL!$C$5:$C$304,MATCH(E242,DM_NL!$A$5:$A$304,0)),""))</f>
        <v/>
      </c>
      <c r="H242" s="39" t="str">
        <f>IF(OR(E242="",BOM!G236="KXDDM"),"",BOM!F236)</f>
        <v/>
      </c>
      <c r="I242" s="36" t="str">
        <f>IF(E242="","",BOM!G236&amp;"")</f>
        <v/>
      </c>
    </row>
    <row r="243" spans="1:9" x14ac:dyDescent="0.25">
      <c r="A243" s="36" t="str">
        <f>IF(B243="","",MAX($A$10:A242)+1)</f>
        <v/>
      </c>
      <c r="B243" s="35" t="str">
        <f>IF(BOM!A237="","",IF(BOM!A237=BOM!A236,"",BOM!A237))</f>
        <v/>
      </c>
      <c r="C243" s="35" t="str">
        <f>IF(B243="","",IFERROR(INDEX(DM_SP!$B$5:$B$304,MATCH(B243,DM_SP!$A$5:$A$304,0)),"(chưa có trong DM_SP)"))</f>
        <v/>
      </c>
      <c r="D243" s="35" t="str">
        <f>IF(B243="","",IFERROR(INDEX(DM_SP!$C$5:$C$304,MATCH(B243,DM_SP!$A$5:$A$304,0)),""))</f>
        <v/>
      </c>
      <c r="E243" s="35" t="str">
        <f>IF(BOM!A237="","",BOM!B237)</f>
        <v/>
      </c>
      <c r="F243" s="35" t="str">
        <f>IF(E243="","",IFERROR(INDEX(DM_NL!$B$5:$B$304,MATCH(E243,DM_NL!$A$5:$A$304,0)),"(chưa có trong DM_NL)"))</f>
        <v/>
      </c>
      <c r="G243" s="35" t="str">
        <f>IF(E243="","",IFERROR(INDEX(DM_NL!$C$5:$C$304,MATCH(E243,DM_NL!$A$5:$A$304,0)),""))</f>
        <v/>
      </c>
      <c r="H243" s="39" t="str">
        <f>IF(OR(E243="",BOM!G237="KXDDM"),"",BOM!F237)</f>
        <v/>
      </c>
      <c r="I243" s="36" t="str">
        <f>IF(E243="","",BOM!G237&amp;"")</f>
        <v/>
      </c>
    </row>
    <row r="244" spans="1:9" x14ac:dyDescent="0.25">
      <c r="A244" s="36" t="str">
        <f>IF(B244="","",MAX($A$10:A243)+1)</f>
        <v/>
      </c>
      <c r="B244" s="35" t="str">
        <f>IF(BOM!A238="","",IF(BOM!A238=BOM!A237,"",BOM!A238))</f>
        <v/>
      </c>
      <c r="C244" s="35" t="str">
        <f>IF(B244="","",IFERROR(INDEX(DM_SP!$B$5:$B$304,MATCH(B244,DM_SP!$A$5:$A$304,0)),"(chưa có trong DM_SP)"))</f>
        <v/>
      </c>
      <c r="D244" s="35" t="str">
        <f>IF(B244="","",IFERROR(INDEX(DM_SP!$C$5:$C$304,MATCH(B244,DM_SP!$A$5:$A$304,0)),""))</f>
        <v/>
      </c>
      <c r="E244" s="35" t="str">
        <f>IF(BOM!A238="","",BOM!B238)</f>
        <v/>
      </c>
      <c r="F244" s="35" t="str">
        <f>IF(E244="","",IFERROR(INDEX(DM_NL!$B$5:$B$304,MATCH(E244,DM_NL!$A$5:$A$304,0)),"(chưa có trong DM_NL)"))</f>
        <v/>
      </c>
      <c r="G244" s="35" t="str">
        <f>IF(E244="","",IFERROR(INDEX(DM_NL!$C$5:$C$304,MATCH(E244,DM_NL!$A$5:$A$304,0)),""))</f>
        <v/>
      </c>
      <c r="H244" s="39" t="str">
        <f>IF(OR(E244="",BOM!G238="KXDDM"),"",BOM!F238)</f>
        <v/>
      </c>
      <c r="I244" s="36" t="str">
        <f>IF(E244="","",BOM!G238&amp;"")</f>
        <v/>
      </c>
    </row>
    <row r="245" spans="1:9" x14ac:dyDescent="0.25">
      <c r="A245" s="36" t="str">
        <f>IF(B245="","",MAX($A$10:A244)+1)</f>
        <v/>
      </c>
      <c r="B245" s="35" t="str">
        <f>IF(BOM!A239="","",IF(BOM!A239=BOM!A238,"",BOM!A239))</f>
        <v/>
      </c>
      <c r="C245" s="35" t="str">
        <f>IF(B245="","",IFERROR(INDEX(DM_SP!$B$5:$B$304,MATCH(B245,DM_SP!$A$5:$A$304,0)),"(chưa có trong DM_SP)"))</f>
        <v/>
      </c>
      <c r="D245" s="35" t="str">
        <f>IF(B245="","",IFERROR(INDEX(DM_SP!$C$5:$C$304,MATCH(B245,DM_SP!$A$5:$A$304,0)),""))</f>
        <v/>
      </c>
      <c r="E245" s="35" t="str">
        <f>IF(BOM!A239="","",BOM!B239)</f>
        <v/>
      </c>
      <c r="F245" s="35" t="str">
        <f>IF(E245="","",IFERROR(INDEX(DM_NL!$B$5:$B$304,MATCH(E245,DM_NL!$A$5:$A$304,0)),"(chưa có trong DM_NL)"))</f>
        <v/>
      </c>
      <c r="G245" s="35" t="str">
        <f>IF(E245="","",IFERROR(INDEX(DM_NL!$C$5:$C$304,MATCH(E245,DM_NL!$A$5:$A$304,0)),""))</f>
        <v/>
      </c>
      <c r="H245" s="39" t="str">
        <f>IF(OR(E245="",BOM!G239="KXDDM"),"",BOM!F239)</f>
        <v/>
      </c>
      <c r="I245" s="36" t="str">
        <f>IF(E245="","",BOM!G239&amp;"")</f>
        <v/>
      </c>
    </row>
    <row r="246" spans="1:9" x14ac:dyDescent="0.25">
      <c r="A246" s="36" t="str">
        <f>IF(B246="","",MAX($A$10:A245)+1)</f>
        <v/>
      </c>
      <c r="B246" s="35" t="str">
        <f>IF(BOM!A240="","",IF(BOM!A240=BOM!A239,"",BOM!A240))</f>
        <v/>
      </c>
      <c r="C246" s="35" t="str">
        <f>IF(B246="","",IFERROR(INDEX(DM_SP!$B$5:$B$304,MATCH(B246,DM_SP!$A$5:$A$304,0)),"(chưa có trong DM_SP)"))</f>
        <v/>
      </c>
      <c r="D246" s="35" t="str">
        <f>IF(B246="","",IFERROR(INDEX(DM_SP!$C$5:$C$304,MATCH(B246,DM_SP!$A$5:$A$304,0)),""))</f>
        <v/>
      </c>
      <c r="E246" s="35" t="str">
        <f>IF(BOM!A240="","",BOM!B240)</f>
        <v/>
      </c>
      <c r="F246" s="35" t="str">
        <f>IF(E246="","",IFERROR(INDEX(DM_NL!$B$5:$B$304,MATCH(E246,DM_NL!$A$5:$A$304,0)),"(chưa có trong DM_NL)"))</f>
        <v/>
      </c>
      <c r="G246" s="35" t="str">
        <f>IF(E246="","",IFERROR(INDEX(DM_NL!$C$5:$C$304,MATCH(E246,DM_NL!$A$5:$A$304,0)),""))</f>
        <v/>
      </c>
      <c r="H246" s="39" t="str">
        <f>IF(OR(E246="",BOM!G240="KXDDM"),"",BOM!F240)</f>
        <v/>
      </c>
      <c r="I246" s="36" t="str">
        <f>IF(E246="","",BOM!G240&amp;"")</f>
        <v/>
      </c>
    </row>
    <row r="247" spans="1:9" x14ac:dyDescent="0.25">
      <c r="A247" s="36" t="str">
        <f>IF(B247="","",MAX($A$10:A246)+1)</f>
        <v/>
      </c>
      <c r="B247" s="35" t="str">
        <f>IF(BOM!A241="","",IF(BOM!A241=BOM!A240,"",BOM!A241))</f>
        <v/>
      </c>
      <c r="C247" s="35" t="str">
        <f>IF(B247="","",IFERROR(INDEX(DM_SP!$B$5:$B$304,MATCH(B247,DM_SP!$A$5:$A$304,0)),"(chưa có trong DM_SP)"))</f>
        <v/>
      </c>
      <c r="D247" s="35" t="str">
        <f>IF(B247="","",IFERROR(INDEX(DM_SP!$C$5:$C$304,MATCH(B247,DM_SP!$A$5:$A$304,0)),""))</f>
        <v/>
      </c>
      <c r="E247" s="35" t="str">
        <f>IF(BOM!A241="","",BOM!B241)</f>
        <v/>
      </c>
      <c r="F247" s="35" t="str">
        <f>IF(E247="","",IFERROR(INDEX(DM_NL!$B$5:$B$304,MATCH(E247,DM_NL!$A$5:$A$304,0)),"(chưa có trong DM_NL)"))</f>
        <v/>
      </c>
      <c r="G247" s="35" t="str">
        <f>IF(E247="","",IFERROR(INDEX(DM_NL!$C$5:$C$304,MATCH(E247,DM_NL!$A$5:$A$304,0)),""))</f>
        <v/>
      </c>
      <c r="H247" s="39" t="str">
        <f>IF(OR(E247="",BOM!G241="KXDDM"),"",BOM!F241)</f>
        <v/>
      </c>
      <c r="I247" s="36" t="str">
        <f>IF(E247="","",BOM!G241&amp;"")</f>
        <v/>
      </c>
    </row>
    <row r="248" spans="1:9" x14ac:dyDescent="0.25">
      <c r="A248" s="36" t="str">
        <f>IF(B248="","",MAX($A$10:A247)+1)</f>
        <v/>
      </c>
      <c r="B248" s="35" t="str">
        <f>IF(BOM!A242="","",IF(BOM!A242=BOM!A241,"",BOM!A242))</f>
        <v/>
      </c>
      <c r="C248" s="35" t="str">
        <f>IF(B248="","",IFERROR(INDEX(DM_SP!$B$5:$B$304,MATCH(B248,DM_SP!$A$5:$A$304,0)),"(chưa có trong DM_SP)"))</f>
        <v/>
      </c>
      <c r="D248" s="35" t="str">
        <f>IF(B248="","",IFERROR(INDEX(DM_SP!$C$5:$C$304,MATCH(B248,DM_SP!$A$5:$A$304,0)),""))</f>
        <v/>
      </c>
      <c r="E248" s="35" t="str">
        <f>IF(BOM!A242="","",BOM!B242)</f>
        <v/>
      </c>
      <c r="F248" s="35" t="str">
        <f>IF(E248="","",IFERROR(INDEX(DM_NL!$B$5:$B$304,MATCH(E248,DM_NL!$A$5:$A$304,0)),"(chưa có trong DM_NL)"))</f>
        <v/>
      </c>
      <c r="G248" s="35" t="str">
        <f>IF(E248="","",IFERROR(INDEX(DM_NL!$C$5:$C$304,MATCH(E248,DM_NL!$A$5:$A$304,0)),""))</f>
        <v/>
      </c>
      <c r="H248" s="39" t="str">
        <f>IF(OR(E248="",BOM!G242="KXDDM"),"",BOM!F242)</f>
        <v/>
      </c>
      <c r="I248" s="36" t="str">
        <f>IF(E248="","",BOM!G242&amp;"")</f>
        <v/>
      </c>
    </row>
    <row r="249" spans="1:9" x14ac:dyDescent="0.25">
      <c r="A249" s="36" t="str">
        <f>IF(B249="","",MAX($A$10:A248)+1)</f>
        <v/>
      </c>
      <c r="B249" s="35" t="str">
        <f>IF(BOM!A243="","",IF(BOM!A243=BOM!A242,"",BOM!A243))</f>
        <v/>
      </c>
      <c r="C249" s="35" t="str">
        <f>IF(B249="","",IFERROR(INDEX(DM_SP!$B$5:$B$304,MATCH(B249,DM_SP!$A$5:$A$304,0)),"(chưa có trong DM_SP)"))</f>
        <v/>
      </c>
      <c r="D249" s="35" t="str">
        <f>IF(B249="","",IFERROR(INDEX(DM_SP!$C$5:$C$304,MATCH(B249,DM_SP!$A$5:$A$304,0)),""))</f>
        <v/>
      </c>
      <c r="E249" s="35" t="str">
        <f>IF(BOM!A243="","",BOM!B243)</f>
        <v/>
      </c>
      <c r="F249" s="35" t="str">
        <f>IF(E249="","",IFERROR(INDEX(DM_NL!$B$5:$B$304,MATCH(E249,DM_NL!$A$5:$A$304,0)),"(chưa có trong DM_NL)"))</f>
        <v/>
      </c>
      <c r="G249" s="35" t="str">
        <f>IF(E249="","",IFERROR(INDEX(DM_NL!$C$5:$C$304,MATCH(E249,DM_NL!$A$5:$A$304,0)),""))</f>
        <v/>
      </c>
      <c r="H249" s="39" t="str">
        <f>IF(OR(E249="",BOM!G243="KXDDM"),"",BOM!F243)</f>
        <v/>
      </c>
      <c r="I249" s="36" t="str">
        <f>IF(E249="","",BOM!G243&amp;"")</f>
        <v/>
      </c>
    </row>
    <row r="250" spans="1:9" x14ac:dyDescent="0.25">
      <c r="A250" s="36" t="str">
        <f>IF(B250="","",MAX($A$10:A249)+1)</f>
        <v/>
      </c>
      <c r="B250" s="35" t="str">
        <f>IF(BOM!A244="","",IF(BOM!A244=BOM!A243,"",BOM!A244))</f>
        <v/>
      </c>
      <c r="C250" s="35" t="str">
        <f>IF(B250="","",IFERROR(INDEX(DM_SP!$B$5:$B$304,MATCH(B250,DM_SP!$A$5:$A$304,0)),"(chưa có trong DM_SP)"))</f>
        <v/>
      </c>
      <c r="D250" s="35" t="str">
        <f>IF(B250="","",IFERROR(INDEX(DM_SP!$C$5:$C$304,MATCH(B250,DM_SP!$A$5:$A$304,0)),""))</f>
        <v/>
      </c>
      <c r="E250" s="35" t="str">
        <f>IF(BOM!A244="","",BOM!B244)</f>
        <v/>
      </c>
      <c r="F250" s="35" t="str">
        <f>IF(E250="","",IFERROR(INDEX(DM_NL!$B$5:$B$304,MATCH(E250,DM_NL!$A$5:$A$304,0)),"(chưa có trong DM_NL)"))</f>
        <v/>
      </c>
      <c r="G250" s="35" t="str">
        <f>IF(E250="","",IFERROR(INDEX(DM_NL!$C$5:$C$304,MATCH(E250,DM_NL!$A$5:$A$304,0)),""))</f>
        <v/>
      </c>
      <c r="H250" s="39" t="str">
        <f>IF(OR(E250="",BOM!G244="KXDDM"),"",BOM!F244)</f>
        <v/>
      </c>
      <c r="I250" s="36" t="str">
        <f>IF(E250="","",BOM!G244&amp;"")</f>
        <v/>
      </c>
    </row>
    <row r="251" spans="1:9" x14ac:dyDescent="0.25">
      <c r="A251" s="36" t="str">
        <f>IF(B251="","",MAX($A$10:A250)+1)</f>
        <v/>
      </c>
      <c r="B251" s="35" t="str">
        <f>IF(BOM!A245="","",IF(BOM!A245=BOM!A244,"",BOM!A245))</f>
        <v/>
      </c>
      <c r="C251" s="35" t="str">
        <f>IF(B251="","",IFERROR(INDEX(DM_SP!$B$5:$B$304,MATCH(B251,DM_SP!$A$5:$A$304,0)),"(chưa có trong DM_SP)"))</f>
        <v/>
      </c>
      <c r="D251" s="35" t="str">
        <f>IF(B251="","",IFERROR(INDEX(DM_SP!$C$5:$C$304,MATCH(B251,DM_SP!$A$5:$A$304,0)),""))</f>
        <v/>
      </c>
      <c r="E251" s="35" t="str">
        <f>IF(BOM!A245="","",BOM!B245)</f>
        <v/>
      </c>
      <c r="F251" s="35" t="str">
        <f>IF(E251="","",IFERROR(INDEX(DM_NL!$B$5:$B$304,MATCH(E251,DM_NL!$A$5:$A$304,0)),"(chưa có trong DM_NL)"))</f>
        <v/>
      </c>
      <c r="G251" s="35" t="str">
        <f>IF(E251="","",IFERROR(INDEX(DM_NL!$C$5:$C$304,MATCH(E251,DM_NL!$A$5:$A$304,0)),""))</f>
        <v/>
      </c>
      <c r="H251" s="39" t="str">
        <f>IF(OR(E251="",BOM!G245="KXDDM"),"",BOM!F245)</f>
        <v/>
      </c>
      <c r="I251" s="36" t="str">
        <f>IF(E251="","",BOM!G245&amp;"")</f>
        <v/>
      </c>
    </row>
    <row r="252" spans="1:9" x14ac:dyDescent="0.25">
      <c r="A252" s="36" t="str">
        <f>IF(B252="","",MAX($A$10:A251)+1)</f>
        <v/>
      </c>
      <c r="B252" s="35" t="str">
        <f>IF(BOM!A246="","",IF(BOM!A246=BOM!A245,"",BOM!A246))</f>
        <v/>
      </c>
      <c r="C252" s="35" t="str">
        <f>IF(B252="","",IFERROR(INDEX(DM_SP!$B$5:$B$304,MATCH(B252,DM_SP!$A$5:$A$304,0)),"(chưa có trong DM_SP)"))</f>
        <v/>
      </c>
      <c r="D252" s="35" t="str">
        <f>IF(B252="","",IFERROR(INDEX(DM_SP!$C$5:$C$304,MATCH(B252,DM_SP!$A$5:$A$304,0)),""))</f>
        <v/>
      </c>
      <c r="E252" s="35" t="str">
        <f>IF(BOM!A246="","",BOM!B246)</f>
        <v/>
      </c>
      <c r="F252" s="35" t="str">
        <f>IF(E252="","",IFERROR(INDEX(DM_NL!$B$5:$B$304,MATCH(E252,DM_NL!$A$5:$A$304,0)),"(chưa có trong DM_NL)"))</f>
        <v/>
      </c>
      <c r="G252" s="35" t="str">
        <f>IF(E252="","",IFERROR(INDEX(DM_NL!$C$5:$C$304,MATCH(E252,DM_NL!$A$5:$A$304,0)),""))</f>
        <v/>
      </c>
      <c r="H252" s="39" t="str">
        <f>IF(OR(E252="",BOM!G246="KXDDM"),"",BOM!F246)</f>
        <v/>
      </c>
      <c r="I252" s="36" t="str">
        <f>IF(E252="","",BOM!G246&amp;"")</f>
        <v/>
      </c>
    </row>
    <row r="253" spans="1:9" x14ac:dyDescent="0.25">
      <c r="A253" s="36" t="str">
        <f>IF(B253="","",MAX($A$10:A252)+1)</f>
        <v/>
      </c>
      <c r="B253" s="35" t="str">
        <f>IF(BOM!A247="","",IF(BOM!A247=BOM!A246,"",BOM!A247))</f>
        <v/>
      </c>
      <c r="C253" s="35" t="str">
        <f>IF(B253="","",IFERROR(INDEX(DM_SP!$B$5:$B$304,MATCH(B253,DM_SP!$A$5:$A$304,0)),"(chưa có trong DM_SP)"))</f>
        <v/>
      </c>
      <c r="D253" s="35" t="str">
        <f>IF(B253="","",IFERROR(INDEX(DM_SP!$C$5:$C$304,MATCH(B253,DM_SP!$A$5:$A$304,0)),""))</f>
        <v/>
      </c>
      <c r="E253" s="35" t="str">
        <f>IF(BOM!A247="","",BOM!B247)</f>
        <v/>
      </c>
      <c r="F253" s="35" t="str">
        <f>IF(E253="","",IFERROR(INDEX(DM_NL!$B$5:$B$304,MATCH(E253,DM_NL!$A$5:$A$304,0)),"(chưa có trong DM_NL)"))</f>
        <v/>
      </c>
      <c r="G253" s="35" t="str">
        <f>IF(E253="","",IFERROR(INDEX(DM_NL!$C$5:$C$304,MATCH(E253,DM_NL!$A$5:$A$304,0)),""))</f>
        <v/>
      </c>
      <c r="H253" s="39" t="str">
        <f>IF(OR(E253="",BOM!G247="KXDDM"),"",BOM!F247)</f>
        <v/>
      </c>
      <c r="I253" s="36" t="str">
        <f>IF(E253="","",BOM!G247&amp;"")</f>
        <v/>
      </c>
    </row>
    <row r="254" spans="1:9" x14ac:dyDescent="0.25">
      <c r="A254" s="36" t="str">
        <f>IF(B254="","",MAX($A$10:A253)+1)</f>
        <v/>
      </c>
      <c r="B254" s="35" t="str">
        <f>IF(BOM!A248="","",IF(BOM!A248=BOM!A247,"",BOM!A248))</f>
        <v/>
      </c>
      <c r="C254" s="35" t="str">
        <f>IF(B254="","",IFERROR(INDEX(DM_SP!$B$5:$B$304,MATCH(B254,DM_SP!$A$5:$A$304,0)),"(chưa có trong DM_SP)"))</f>
        <v/>
      </c>
      <c r="D254" s="35" t="str">
        <f>IF(B254="","",IFERROR(INDEX(DM_SP!$C$5:$C$304,MATCH(B254,DM_SP!$A$5:$A$304,0)),""))</f>
        <v/>
      </c>
      <c r="E254" s="35" t="str">
        <f>IF(BOM!A248="","",BOM!B248)</f>
        <v/>
      </c>
      <c r="F254" s="35" t="str">
        <f>IF(E254="","",IFERROR(INDEX(DM_NL!$B$5:$B$304,MATCH(E254,DM_NL!$A$5:$A$304,0)),"(chưa có trong DM_NL)"))</f>
        <v/>
      </c>
      <c r="G254" s="35" t="str">
        <f>IF(E254="","",IFERROR(INDEX(DM_NL!$C$5:$C$304,MATCH(E254,DM_NL!$A$5:$A$304,0)),""))</f>
        <v/>
      </c>
      <c r="H254" s="39" t="str">
        <f>IF(OR(E254="",BOM!G248="KXDDM"),"",BOM!F248)</f>
        <v/>
      </c>
      <c r="I254" s="36" t="str">
        <f>IF(E254="","",BOM!G248&amp;"")</f>
        <v/>
      </c>
    </row>
    <row r="255" spans="1:9" x14ac:dyDescent="0.25">
      <c r="A255" s="36" t="str">
        <f>IF(B255="","",MAX($A$10:A254)+1)</f>
        <v/>
      </c>
      <c r="B255" s="35" t="str">
        <f>IF(BOM!A249="","",IF(BOM!A249=BOM!A248,"",BOM!A249))</f>
        <v/>
      </c>
      <c r="C255" s="35" t="str">
        <f>IF(B255="","",IFERROR(INDEX(DM_SP!$B$5:$B$304,MATCH(B255,DM_SP!$A$5:$A$304,0)),"(chưa có trong DM_SP)"))</f>
        <v/>
      </c>
      <c r="D255" s="35" t="str">
        <f>IF(B255="","",IFERROR(INDEX(DM_SP!$C$5:$C$304,MATCH(B255,DM_SP!$A$5:$A$304,0)),""))</f>
        <v/>
      </c>
      <c r="E255" s="35" t="str">
        <f>IF(BOM!A249="","",BOM!B249)</f>
        <v/>
      </c>
      <c r="F255" s="35" t="str">
        <f>IF(E255="","",IFERROR(INDEX(DM_NL!$B$5:$B$304,MATCH(E255,DM_NL!$A$5:$A$304,0)),"(chưa có trong DM_NL)"))</f>
        <v/>
      </c>
      <c r="G255" s="35" t="str">
        <f>IF(E255="","",IFERROR(INDEX(DM_NL!$C$5:$C$304,MATCH(E255,DM_NL!$A$5:$A$304,0)),""))</f>
        <v/>
      </c>
      <c r="H255" s="39" t="str">
        <f>IF(OR(E255="",BOM!G249="KXDDM"),"",BOM!F249)</f>
        <v/>
      </c>
      <c r="I255" s="36" t="str">
        <f>IF(E255="","",BOM!G249&amp;"")</f>
        <v/>
      </c>
    </row>
    <row r="256" spans="1:9" x14ac:dyDescent="0.25">
      <c r="A256" s="36" t="str">
        <f>IF(B256="","",MAX($A$10:A255)+1)</f>
        <v/>
      </c>
      <c r="B256" s="35" t="str">
        <f>IF(BOM!A250="","",IF(BOM!A250=BOM!A249,"",BOM!A250))</f>
        <v/>
      </c>
      <c r="C256" s="35" t="str">
        <f>IF(B256="","",IFERROR(INDEX(DM_SP!$B$5:$B$304,MATCH(B256,DM_SP!$A$5:$A$304,0)),"(chưa có trong DM_SP)"))</f>
        <v/>
      </c>
      <c r="D256" s="35" t="str">
        <f>IF(B256="","",IFERROR(INDEX(DM_SP!$C$5:$C$304,MATCH(B256,DM_SP!$A$5:$A$304,0)),""))</f>
        <v/>
      </c>
      <c r="E256" s="35" t="str">
        <f>IF(BOM!A250="","",BOM!B250)</f>
        <v/>
      </c>
      <c r="F256" s="35" t="str">
        <f>IF(E256="","",IFERROR(INDEX(DM_NL!$B$5:$B$304,MATCH(E256,DM_NL!$A$5:$A$304,0)),"(chưa có trong DM_NL)"))</f>
        <v/>
      </c>
      <c r="G256" s="35" t="str">
        <f>IF(E256="","",IFERROR(INDEX(DM_NL!$C$5:$C$304,MATCH(E256,DM_NL!$A$5:$A$304,0)),""))</f>
        <v/>
      </c>
      <c r="H256" s="39" t="str">
        <f>IF(OR(E256="",BOM!G250="KXDDM"),"",BOM!F250)</f>
        <v/>
      </c>
      <c r="I256" s="36" t="str">
        <f>IF(E256="","",BOM!G250&amp;"")</f>
        <v/>
      </c>
    </row>
    <row r="257" spans="1:9" x14ac:dyDescent="0.25">
      <c r="A257" s="36" t="str">
        <f>IF(B257="","",MAX($A$10:A256)+1)</f>
        <v/>
      </c>
      <c r="B257" s="35" t="str">
        <f>IF(BOM!A251="","",IF(BOM!A251=BOM!A250,"",BOM!A251))</f>
        <v/>
      </c>
      <c r="C257" s="35" t="str">
        <f>IF(B257="","",IFERROR(INDEX(DM_SP!$B$5:$B$304,MATCH(B257,DM_SP!$A$5:$A$304,0)),"(chưa có trong DM_SP)"))</f>
        <v/>
      </c>
      <c r="D257" s="35" t="str">
        <f>IF(B257="","",IFERROR(INDEX(DM_SP!$C$5:$C$304,MATCH(B257,DM_SP!$A$5:$A$304,0)),""))</f>
        <v/>
      </c>
      <c r="E257" s="35" t="str">
        <f>IF(BOM!A251="","",BOM!B251)</f>
        <v/>
      </c>
      <c r="F257" s="35" t="str">
        <f>IF(E257="","",IFERROR(INDEX(DM_NL!$B$5:$B$304,MATCH(E257,DM_NL!$A$5:$A$304,0)),"(chưa có trong DM_NL)"))</f>
        <v/>
      </c>
      <c r="G257" s="35" t="str">
        <f>IF(E257="","",IFERROR(INDEX(DM_NL!$C$5:$C$304,MATCH(E257,DM_NL!$A$5:$A$304,0)),""))</f>
        <v/>
      </c>
      <c r="H257" s="39" t="str">
        <f>IF(OR(E257="",BOM!G251="KXDDM"),"",BOM!F251)</f>
        <v/>
      </c>
      <c r="I257" s="36" t="str">
        <f>IF(E257="","",BOM!G251&amp;"")</f>
        <v/>
      </c>
    </row>
    <row r="258" spans="1:9" x14ac:dyDescent="0.25">
      <c r="A258" s="36" t="str">
        <f>IF(B258="","",MAX($A$10:A257)+1)</f>
        <v/>
      </c>
      <c r="B258" s="35" t="str">
        <f>IF(BOM!A252="","",IF(BOM!A252=BOM!A251,"",BOM!A252))</f>
        <v/>
      </c>
      <c r="C258" s="35" t="str">
        <f>IF(B258="","",IFERROR(INDEX(DM_SP!$B$5:$B$304,MATCH(B258,DM_SP!$A$5:$A$304,0)),"(chưa có trong DM_SP)"))</f>
        <v/>
      </c>
      <c r="D258" s="35" t="str">
        <f>IF(B258="","",IFERROR(INDEX(DM_SP!$C$5:$C$304,MATCH(B258,DM_SP!$A$5:$A$304,0)),""))</f>
        <v/>
      </c>
      <c r="E258" s="35" t="str">
        <f>IF(BOM!A252="","",BOM!B252)</f>
        <v/>
      </c>
      <c r="F258" s="35" t="str">
        <f>IF(E258="","",IFERROR(INDEX(DM_NL!$B$5:$B$304,MATCH(E258,DM_NL!$A$5:$A$304,0)),"(chưa có trong DM_NL)"))</f>
        <v/>
      </c>
      <c r="G258" s="35" t="str">
        <f>IF(E258="","",IFERROR(INDEX(DM_NL!$C$5:$C$304,MATCH(E258,DM_NL!$A$5:$A$304,0)),""))</f>
        <v/>
      </c>
      <c r="H258" s="39" t="str">
        <f>IF(OR(E258="",BOM!G252="KXDDM"),"",BOM!F252)</f>
        <v/>
      </c>
      <c r="I258" s="36" t="str">
        <f>IF(E258="","",BOM!G252&amp;"")</f>
        <v/>
      </c>
    </row>
    <row r="259" spans="1:9" x14ac:dyDescent="0.25">
      <c r="A259" s="36" t="str">
        <f>IF(B259="","",MAX($A$10:A258)+1)</f>
        <v/>
      </c>
      <c r="B259" s="35" t="str">
        <f>IF(BOM!A253="","",IF(BOM!A253=BOM!A252,"",BOM!A253))</f>
        <v/>
      </c>
      <c r="C259" s="35" t="str">
        <f>IF(B259="","",IFERROR(INDEX(DM_SP!$B$5:$B$304,MATCH(B259,DM_SP!$A$5:$A$304,0)),"(chưa có trong DM_SP)"))</f>
        <v/>
      </c>
      <c r="D259" s="35" t="str">
        <f>IF(B259="","",IFERROR(INDEX(DM_SP!$C$5:$C$304,MATCH(B259,DM_SP!$A$5:$A$304,0)),""))</f>
        <v/>
      </c>
      <c r="E259" s="35" t="str">
        <f>IF(BOM!A253="","",BOM!B253)</f>
        <v/>
      </c>
      <c r="F259" s="35" t="str">
        <f>IF(E259="","",IFERROR(INDEX(DM_NL!$B$5:$B$304,MATCH(E259,DM_NL!$A$5:$A$304,0)),"(chưa có trong DM_NL)"))</f>
        <v/>
      </c>
      <c r="G259" s="35" t="str">
        <f>IF(E259="","",IFERROR(INDEX(DM_NL!$C$5:$C$304,MATCH(E259,DM_NL!$A$5:$A$304,0)),""))</f>
        <v/>
      </c>
      <c r="H259" s="39" t="str">
        <f>IF(OR(E259="",BOM!G253="KXDDM"),"",BOM!F253)</f>
        <v/>
      </c>
      <c r="I259" s="36" t="str">
        <f>IF(E259="","",BOM!G253&amp;"")</f>
        <v/>
      </c>
    </row>
    <row r="260" spans="1:9" x14ac:dyDescent="0.25">
      <c r="A260" s="36" t="str">
        <f>IF(B260="","",MAX($A$10:A259)+1)</f>
        <v/>
      </c>
      <c r="B260" s="35" t="str">
        <f>IF(BOM!A254="","",IF(BOM!A254=BOM!A253,"",BOM!A254))</f>
        <v/>
      </c>
      <c r="C260" s="35" t="str">
        <f>IF(B260="","",IFERROR(INDEX(DM_SP!$B$5:$B$304,MATCH(B260,DM_SP!$A$5:$A$304,0)),"(chưa có trong DM_SP)"))</f>
        <v/>
      </c>
      <c r="D260" s="35" t="str">
        <f>IF(B260="","",IFERROR(INDEX(DM_SP!$C$5:$C$304,MATCH(B260,DM_SP!$A$5:$A$304,0)),""))</f>
        <v/>
      </c>
      <c r="E260" s="35" t="str">
        <f>IF(BOM!A254="","",BOM!B254)</f>
        <v/>
      </c>
      <c r="F260" s="35" t="str">
        <f>IF(E260="","",IFERROR(INDEX(DM_NL!$B$5:$B$304,MATCH(E260,DM_NL!$A$5:$A$304,0)),"(chưa có trong DM_NL)"))</f>
        <v/>
      </c>
      <c r="G260" s="35" t="str">
        <f>IF(E260="","",IFERROR(INDEX(DM_NL!$C$5:$C$304,MATCH(E260,DM_NL!$A$5:$A$304,0)),""))</f>
        <v/>
      </c>
      <c r="H260" s="39" t="str">
        <f>IF(OR(E260="",BOM!G254="KXDDM"),"",BOM!F254)</f>
        <v/>
      </c>
      <c r="I260" s="36" t="str">
        <f>IF(E260="","",BOM!G254&amp;"")</f>
        <v/>
      </c>
    </row>
    <row r="261" spans="1:9" x14ac:dyDescent="0.25">
      <c r="A261" s="36" t="str">
        <f>IF(B261="","",MAX($A$10:A260)+1)</f>
        <v/>
      </c>
      <c r="B261" s="35" t="str">
        <f>IF(BOM!A255="","",IF(BOM!A255=BOM!A254,"",BOM!A255))</f>
        <v/>
      </c>
      <c r="C261" s="35" t="str">
        <f>IF(B261="","",IFERROR(INDEX(DM_SP!$B$5:$B$304,MATCH(B261,DM_SP!$A$5:$A$304,0)),"(chưa có trong DM_SP)"))</f>
        <v/>
      </c>
      <c r="D261" s="35" t="str">
        <f>IF(B261="","",IFERROR(INDEX(DM_SP!$C$5:$C$304,MATCH(B261,DM_SP!$A$5:$A$304,0)),""))</f>
        <v/>
      </c>
      <c r="E261" s="35" t="str">
        <f>IF(BOM!A255="","",BOM!B255)</f>
        <v/>
      </c>
      <c r="F261" s="35" t="str">
        <f>IF(E261="","",IFERROR(INDEX(DM_NL!$B$5:$B$304,MATCH(E261,DM_NL!$A$5:$A$304,0)),"(chưa có trong DM_NL)"))</f>
        <v/>
      </c>
      <c r="G261" s="35" t="str">
        <f>IF(E261="","",IFERROR(INDEX(DM_NL!$C$5:$C$304,MATCH(E261,DM_NL!$A$5:$A$304,0)),""))</f>
        <v/>
      </c>
      <c r="H261" s="39" t="str">
        <f>IF(OR(E261="",BOM!G255="KXDDM"),"",BOM!F255)</f>
        <v/>
      </c>
      <c r="I261" s="36" t="str">
        <f>IF(E261="","",BOM!G255&amp;"")</f>
        <v/>
      </c>
    </row>
    <row r="262" spans="1:9" x14ac:dyDescent="0.25">
      <c r="A262" s="36" t="str">
        <f>IF(B262="","",MAX($A$10:A261)+1)</f>
        <v/>
      </c>
      <c r="B262" s="35" t="str">
        <f>IF(BOM!A256="","",IF(BOM!A256=BOM!A255,"",BOM!A256))</f>
        <v/>
      </c>
      <c r="C262" s="35" t="str">
        <f>IF(B262="","",IFERROR(INDEX(DM_SP!$B$5:$B$304,MATCH(B262,DM_SP!$A$5:$A$304,0)),"(chưa có trong DM_SP)"))</f>
        <v/>
      </c>
      <c r="D262" s="35" t="str">
        <f>IF(B262="","",IFERROR(INDEX(DM_SP!$C$5:$C$304,MATCH(B262,DM_SP!$A$5:$A$304,0)),""))</f>
        <v/>
      </c>
      <c r="E262" s="35" t="str">
        <f>IF(BOM!A256="","",BOM!B256)</f>
        <v/>
      </c>
      <c r="F262" s="35" t="str">
        <f>IF(E262="","",IFERROR(INDEX(DM_NL!$B$5:$B$304,MATCH(E262,DM_NL!$A$5:$A$304,0)),"(chưa có trong DM_NL)"))</f>
        <v/>
      </c>
      <c r="G262" s="35" t="str">
        <f>IF(E262="","",IFERROR(INDEX(DM_NL!$C$5:$C$304,MATCH(E262,DM_NL!$A$5:$A$304,0)),""))</f>
        <v/>
      </c>
      <c r="H262" s="39" t="str">
        <f>IF(OR(E262="",BOM!G256="KXDDM"),"",BOM!F256)</f>
        <v/>
      </c>
      <c r="I262" s="36" t="str">
        <f>IF(E262="","",BOM!G256&amp;"")</f>
        <v/>
      </c>
    </row>
    <row r="263" spans="1:9" x14ac:dyDescent="0.25">
      <c r="A263" s="36" t="str">
        <f>IF(B263="","",MAX($A$10:A262)+1)</f>
        <v/>
      </c>
      <c r="B263" s="35" t="str">
        <f>IF(BOM!A257="","",IF(BOM!A257=BOM!A256,"",BOM!A257))</f>
        <v/>
      </c>
      <c r="C263" s="35" t="str">
        <f>IF(B263="","",IFERROR(INDEX(DM_SP!$B$5:$B$304,MATCH(B263,DM_SP!$A$5:$A$304,0)),"(chưa có trong DM_SP)"))</f>
        <v/>
      </c>
      <c r="D263" s="35" t="str">
        <f>IF(B263="","",IFERROR(INDEX(DM_SP!$C$5:$C$304,MATCH(B263,DM_SP!$A$5:$A$304,0)),""))</f>
        <v/>
      </c>
      <c r="E263" s="35" t="str">
        <f>IF(BOM!A257="","",BOM!B257)</f>
        <v/>
      </c>
      <c r="F263" s="35" t="str">
        <f>IF(E263="","",IFERROR(INDEX(DM_NL!$B$5:$B$304,MATCH(E263,DM_NL!$A$5:$A$304,0)),"(chưa có trong DM_NL)"))</f>
        <v/>
      </c>
      <c r="G263" s="35" t="str">
        <f>IF(E263="","",IFERROR(INDEX(DM_NL!$C$5:$C$304,MATCH(E263,DM_NL!$A$5:$A$304,0)),""))</f>
        <v/>
      </c>
      <c r="H263" s="39" t="str">
        <f>IF(OR(E263="",BOM!G257="KXDDM"),"",BOM!F257)</f>
        <v/>
      </c>
      <c r="I263" s="36" t="str">
        <f>IF(E263="","",BOM!G257&amp;"")</f>
        <v/>
      </c>
    </row>
    <row r="264" spans="1:9" x14ac:dyDescent="0.25">
      <c r="A264" s="36" t="str">
        <f>IF(B264="","",MAX($A$10:A263)+1)</f>
        <v/>
      </c>
      <c r="B264" s="35" t="str">
        <f>IF(BOM!A258="","",IF(BOM!A258=BOM!A257,"",BOM!A258))</f>
        <v/>
      </c>
      <c r="C264" s="35" t="str">
        <f>IF(B264="","",IFERROR(INDEX(DM_SP!$B$5:$B$304,MATCH(B264,DM_SP!$A$5:$A$304,0)),"(chưa có trong DM_SP)"))</f>
        <v/>
      </c>
      <c r="D264" s="35" t="str">
        <f>IF(B264="","",IFERROR(INDEX(DM_SP!$C$5:$C$304,MATCH(B264,DM_SP!$A$5:$A$304,0)),""))</f>
        <v/>
      </c>
      <c r="E264" s="35" t="str">
        <f>IF(BOM!A258="","",BOM!B258)</f>
        <v/>
      </c>
      <c r="F264" s="35" t="str">
        <f>IF(E264="","",IFERROR(INDEX(DM_NL!$B$5:$B$304,MATCH(E264,DM_NL!$A$5:$A$304,0)),"(chưa có trong DM_NL)"))</f>
        <v/>
      </c>
      <c r="G264" s="35" t="str">
        <f>IF(E264="","",IFERROR(INDEX(DM_NL!$C$5:$C$304,MATCH(E264,DM_NL!$A$5:$A$304,0)),""))</f>
        <v/>
      </c>
      <c r="H264" s="39" t="str">
        <f>IF(OR(E264="",BOM!G258="KXDDM"),"",BOM!F258)</f>
        <v/>
      </c>
      <c r="I264" s="36" t="str">
        <f>IF(E264="","",BOM!G258&amp;"")</f>
        <v/>
      </c>
    </row>
    <row r="265" spans="1:9" x14ac:dyDescent="0.25">
      <c r="A265" s="36" t="str">
        <f>IF(B265="","",MAX($A$10:A264)+1)</f>
        <v/>
      </c>
      <c r="B265" s="35" t="str">
        <f>IF(BOM!A259="","",IF(BOM!A259=BOM!A258,"",BOM!A259))</f>
        <v/>
      </c>
      <c r="C265" s="35" t="str">
        <f>IF(B265="","",IFERROR(INDEX(DM_SP!$B$5:$B$304,MATCH(B265,DM_SP!$A$5:$A$304,0)),"(chưa có trong DM_SP)"))</f>
        <v/>
      </c>
      <c r="D265" s="35" t="str">
        <f>IF(B265="","",IFERROR(INDEX(DM_SP!$C$5:$C$304,MATCH(B265,DM_SP!$A$5:$A$304,0)),""))</f>
        <v/>
      </c>
      <c r="E265" s="35" t="str">
        <f>IF(BOM!A259="","",BOM!B259)</f>
        <v/>
      </c>
      <c r="F265" s="35" t="str">
        <f>IF(E265="","",IFERROR(INDEX(DM_NL!$B$5:$B$304,MATCH(E265,DM_NL!$A$5:$A$304,0)),"(chưa có trong DM_NL)"))</f>
        <v/>
      </c>
      <c r="G265" s="35" t="str">
        <f>IF(E265="","",IFERROR(INDEX(DM_NL!$C$5:$C$304,MATCH(E265,DM_NL!$A$5:$A$304,0)),""))</f>
        <v/>
      </c>
      <c r="H265" s="39" t="str">
        <f>IF(OR(E265="",BOM!G259="KXDDM"),"",BOM!F259)</f>
        <v/>
      </c>
      <c r="I265" s="36" t="str">
        <f>IF(E265="","",BOM!G259&amp;"")</f>
        <v/>
      </c>
    </row>
    <row r="266" spans="1:9" x14ac:dyDescent="0.25">
      <c r="A266" s="36" t="str">
        <f>IF(B266="","",MAX($A$10:A265)+1)</f>
        <v/>
      </c>
      <c r="B266" s="35" t="str">
        <f>IF(BOM!A260="","",IF(BOM!A260=BOM!A259,"",BOM!A260))</f>
        <v/>
      </c>
      <c r="C266" s="35" t="str">
        <f>IF(B266="","",IFERROR(INDEX(DM_SP!$B$5:$B$304,MATCH(B266,DM_SP!$A$5:$A$304,0)),"(chưa có trong DM_SP)"))</f>
        <v/>
      </c>
      <c r="D266" s="35" t="str">
        <f>IF(B266="","",IFERROR(INDEX(DM_SP!$C$5:$C$304,MATCH(B266,DM_SP!$A$5:$A$304,0)),""))</f>
        <v/>
      </c>
      <c r="E266" s="35" t="str">
        <f>IF(BOM!A260="","",BOM!B260)</f>
        <v/>
      </c>
      <c r="F266" s="35" t="str">
        <f>IF(E266="","",IFERROR(INDEX(DM_NL!$B$5:$B$304,MATCH(E266,DM_NL!$A$5:$A$304,0)),"(chưa có trong DM_NL)"))</f>
        <v/>
      </c>
      <c r="G266" s="35" t="str">
        <f>IF(E266="","",IFERROR(INDEX(DM_NL!$C$5:$C$304,MATCH(E266,DM_NL!$A$5:$A$304,0)),""))</f>
        <v/>
      </c>
      <c r="H266" s="39" t="str">
        <f>IF(OR(E266="",BOM!G260="KXDDM"),"",BOM!F260)</f>
        <v/>
      </c>
      <c r="I266" s="36" t="str">
        <f>IF(E266="","",BOM!G260&amp;"")</f>
        <v/>
      </c>
    </row>
    <row r="267" spans="1:9" x14ac:dyDescent="0.25">
      <c r="A267" s="36" t="str">
        <f>IF(B267="","",MAX($A$10:A266)+1)</f>
        <v/>
      </c>
      <c r="B267" s="35" t="str">
        <f>IF(BOM!A261="","",IF(BOM!A261=BOM!A260,"",BOM!A261))</f>
        <v/>
      </c>
      <c r="C267" s="35" t="str">
        <f>IF(B267="","",IFERROR(INDEX(DM_SP!$B$5:$B$304,MATCH(B267,DM_SP!$A$5:$A$304,0)),"(chưa có trong DM_SP)"))</f>
        <v/>
      </c>
      <c r="D267" s="35" t="str">
        <f>IF(B267="","",IFERROR(INDEX(DM_SP!$C$5:$C$304,MATCH(B267,DM_SP!$A$5:$A$304,0)),""))</f>
        <v/>
      </c>
      <c r="E267" s="35" t="str">
        <f>IF(BOM!A261="","",BOM!B261)</f>
        <v/>
      </c>
      <c r="F267" s="35" t="str">
        <f>IF(E267="","",IFERROR(INDEX(DM_NL!$B$5:$B$304,MATCH(E267,DM_NL!$A$5:$A$304,0)),"(chưa có trong DM_NL)"))</f>
        <v/>
      </c>
      <c r="G267" s="35" t="str">
        <f>IF(E267="","",IFERROR(INDEX(DM_NL!$C$5:$C$304,MATCH(E267,DM_NL!$A$5:$A$304,0)),""))</f>
        <v/>
      </c>
      <c r="H267" s="39" t="str">
        <f>IF(OR(E267="",BOM!G261="KXDDM"),"",BOM!F261)</f>
        <v/>
      </c>
      <c r="I267" s="36" t="str">
        <f>IF(E267="","",BOM!G261&amp;"")</f>
        <v/>
      </c>
    </row>
    <row r="268" spans="1:9" x14ac:dyDescent="0.25">
      <c r="A268" s="36" t="str">
        <f>IF(B268="","",MAX($A$10:A267)+1)</f>
        <v/>
      </c>
      <c r="B268" s="35" t="str">
        <f>IF(BOM!A262="","",IF(BOM!A262=BOM!A261,"",BOM!A262))</f>
        <v/>
      </c>
      <c r="C268" s="35" t="str">
        <f>IF(B268="","",IFERROR(INDEX(DM_SP!$B$5:$B$304,MATCH(B268,DM_SP!$A$5:$A$304,0)),"(chưa có trong DM_SP)"))</f>
        <v/>
      </c>
      <c r="D268" s="35" t="str">
        <f>IF(B268="","",IFERROR(INDEX(DM_SP!$C$5:$C$304,MATCH(B268,DM_SP!$A$5:$A$304,0)),""))</f>
        <v/>
      </c>
      <c r="E268" s="35" t="str">
        <f>IF(BOM!A262="","",BOM!B262)</f>
        <v/>
      </c>
      <c r="F268" s="35" t="str">
        <f>IF(E268="","",IFERROR(INDEX(DM_NL!$B$5:$B$304,MATCH(E268,DM_NL!$A$5:$A$304,0)),"(chưa có trong DM_NL)"))</f>
        <v/>
      </c>
      <c r="G268" s="35" t="str">
        <f>IF(E268="","",IFERROR(INDEX(DM_NL!$C$5:$C$304,MATCH(E268,DM_NL!$A$5:$A$304,0)),""))</f>
        <v/>
      </c>
      <c r="H268" s="39" t="str">
        <f>IF(OR(E268="",BOM!G262="KXDDM"),"",BOM!F262)</f>
        <v/>
      </c>
      <c r="I268" s="36" t="str">
        <f>IF(E268="","",BOM!G262&amp;"")</f>
        <v/>
      </c>
    </row>
    <row r="269" spans="1:9" x14ac:dyDescent="0.25">
      <c r="A269" s="36" t="str">
        <f>IF(B269="","",MAX($A$10:A268)+1)</f>
        <v/>
      </c>
      <c r="B269" s="35" t="str">
        <f>IF(BOM!A263="","",IF(BOM!A263=BOM!A262,"",BOM!A263))</f>
        <v/>
      </c>
      <c r="C269" s="35" t="str">
        <f>IF(B269="","",IFERROR(INDEX(DM_SP!$B$5:$B$304,MATCH(B269,DM_SP!$A$5:$A$304,0)),"(chưa có trong DM_SP)"))</f>
        <v/>
      </c>
      <c r="D269" s="35" t="str">
        <f>IF(B269="","",IFERROR(INDEX(DM_SP!$C$5:$C$304,MATCH(B269,DM_SP!$A$5:$A$304,0)),""))</f>
        <v/>
      </c>
      <c r="E269" s="35" t="str">
        <f>IF(BOM!A263="","",BOM!B263)</f>
        <v/>
      </c>
      <c r="F269" s="35" t="str">
        <f>IF(E269="","",IFERROR(INDEX(DM_NL!$B$5:$B$304,MATCH(E269,DM_NL!$A$5:$A$304,0)),"(chưa có trong DM_NL)"))</f>
        <v/>
      </c>
      <c r="G269" s="35" t="str">
        <f>IF(E269="","",IFERROR(INDEX(DM_NL!$C$5:$C$304,MATCH(E269,DM_NL!$A$5:$A$304,0)),""))</f>
        <v/>
      </c>
      <c r="H269" s="39" t="str">
        <f>IF(OR(E269="",BOM!G263="KXDDM"),"",BOM!F263)</f>
        <v/>
      </c>
      <c r="I269" s="36" t="str">
        <f>IF(E269="","",BOM!G263&amp;"")</f>
        <v/>
      </c>
    </row>
    <row r="270" spans="1:9" x14ac:dyDescent="0.25">
      <c r="A270" s="36" t="str">
        <f>IF(B270="","",MAX($A$10:A269)+1)</f>
        <v/>
      </c>
      <c r="B270" s="35" t="str">
        <f>IF(BOM!A264="","",IF(BOM!A264=BOM!A263,"",BOM!A264))</f>
        <v/>
      </c>
      <c r="C270" s="35" t="str">
        <f>IF(B270="","",IFERROR(INDEX(DM_SP!$B$5:$B$304,MATCH(B270,DM_SP!$A$5:$A$304,0)),"(chưa có trong DM_SP)"))</f>
        <v/>
      </c>
      <c r="D270" s="35" t="str">
        <f>IF(B270="","",IFERROR(INDEX(DM_SP!$C$5:$C$304,MATCH(B270,DM_SP!$A$5:$A$304,0)),""))</f>
        <v/>
      </c>
      <c r="E270" s="35" t="str">
        <f>IF(BOM!A264="","",BOM!B264)</f>
        <v/>
      </c>
      <c r="F270" s="35" t="str">
        <f>IF(E270="","",IFERROR(INDEX(DM_NL!$B$5:$B$304,MATCH(E270,DM_NL!$A$5:$A$304,0)),"(chưa có trong DM_NL)"))</f>
        <v/>
      </c>
      <c r="G270" s="35" t="str">
        <f>IF(E270="","",IFERROR(INDEX(DM_NL!$C$5:$C$304,MATCH(E270,DM_NL!$A$5:$A$304,0)),""))</f>
        <v/>
      </c>
      <c r="H270" s="39" t="str">
        <f>IF(OR(E270="",BOM!G264="KXDDM"),"",BOM!F264)</f>
        <v/>
      </c>
      <c r="I270" s="36" t="str">
        <f>IF(E270="","",BOM!G264&amp;"")</f>
        <v/>
      </c>
    </row>
    <row r="271" spans="1:9" x14ac:dyDescent="0.25">
      <c r="A271" s="36" t="str">
        <f>IF(B271="","",MAX($A$10:A270)+1)</f>
        <v/>
      </c>
      <c r="B271" s="35" t="str">
        <f>IF(BOM!A265="","",IF(BOM!A265=BOM!A264,"",BOM!A265))</f>
        <v/>
      </c>
      <c r="C271" s="35" t="str">
        <f>IF(B271="","",IFERROR(INDEX(DM_SP!$B$5:$B$304,MATCH(B271,DM_SP!$A$5:$A$304,0)),"(chưa có trong DM_SP)"))</f>
        <v/>
      </c>
      <c r="D271" s="35" t="str">
        <f>IF(B271="","",IFERROR(INDEX(DM_SP!$C$5:$C$304,MATCH(B271,DM_SP!$A$5:$A$304,0)),""))</f>
        <v/>
      </c>
      <c r="E271" s="35" t="str">
        <f>IF(BOM!A265="","",BOM!B265)</f>
        <v/>
      </c>
      <c r="F271" s="35" t="str">
        <f>IF(E271="","",IFERROR(INDEX(DM_NL!$B$5:$B$304,MATCH(E271,DM_NL!$A$5:$A$304,0)),"(chưa có trong DM_NL)"))</f>
        <v/>
      </c>
      <c r="G271" s="35" t="str">
        <f>IF(E271="","",IFERROR(INDEX(DM_NL!$C$5:$C$304,MATCH(E271,DM_NL!$A$5:$A$304,0)),""))</f>
        <v/>
      </c>
      <c r="H271" s="39" t="str">
        <f>IF(OR(E271="",BOM!G265="KXDDM"),"",BOM!F265)</f>
        <v/>
      </c>
      <c r="I271" s="36" t="str">
        <f>IF(E271="","",BOM!G265&amp;"")</f>
        <v/>
      </c>
    </row>
    <row r="272" spans="1:9" x14ac:dyDescent="0.25">
      <c r="A272" s="36" t="str">
        <f>IF(B272="","",MAX($A$10:A271)+1)</f>
        <v/>
      </c>
      <c r="B272" s="35" t="str">
        <f>IF(BOM!A266="","",IF(BOM!A266=BOM!A265,"",BOM!A266))</f>
        <v/>
      </c>
      <c r="C272" s="35" t="str">
        <f>IF(B272="","",IFERROR(INDEX(DM_SP!$B$5:$B$304,MATCH(B272,DM_SP!$A$5:$A$304,0)),"(chưa có trong DM_SP)"))</f>
        <v/>
      </c>
      <c r="D272" s="35" t="str">
        <f>IF(B272="","",IFERROR(INDEX(DM_SP!$C$5:$C$304,MATCH(B272,DM_SP!$A$5:$A$304,0)),""))</f>
        <v/>
      </c>
      <c r="E272" s="35" t="str">
        <f>IF(BOM!A266="","",BOM!B266)</f>
        <v/>
      </c>
      <c r="F272" s="35" t="str">
        <f>IF(E272="","",IFERROR(INDEX(DM_NL!$B$5:$B$304,MATCH(E272,DM_NL!$A$5:$A$304,0)),"(chưa có trong DM_NL)"))</f>
        <v/>
      </c>
      <c r="G272" s="35" t="str">
        <f>IF(E272="","",IFERROR(INDEX(DM_NL!$C$5:$C$304,MATCH(E272,DM_NL!$A$5:$A$304,0)),""))</f>
        <v/>
      </c>
      <c r="H272" s="39" t="str">
        <f>IF(OR(E272="",BOM!G266="KXDDM"),"",BOM!F266)</f>
        <v/>
      </c>
      <c r="I272" s="36" t="str">
        <f>IF(E272="","",BOM!G266&amp;"")</f>
        <v/>
      </c>
    </row>
    <row r="273" spans="1:9" x14ac:dyDescent="0.25">
      <c r="A273" s="36" t="str">
        <f>IF(B273="","",MAX($A$10:A272)+1)</f>
        <v/>
      </c>
      <c r="B273" s="35" t="str">
        <f>IF(BOM!A267="","",IF(BOM!A267=BOM!A266,"",BOM!A267))</f>
        <v/>
      </c>
      <c r="C273" s="35" t="str">
        <f>IF(B273="","",IFERROR(INDEX(DM_SP!$B$5:$B$304,MATCH(B273,DM_SP!$A$5:$A$304,0)),"(chưa có trong DM_SP)"))</f>
        <v/>
      </c>
      <c r="D273" s="35" t="str">
        <f>IF(B273="","",IFERROR(INDEX(DM_SP!$C$5:$C$304,MATCH(B273,DM_SP!$A$5:$A$304,0)),""))</f>
        <v/>
      </c>
      <c r="E273" s="35" t="str">
        <f>IF(BOM!A267="","",BOM!B267)</f>
        <v/>
      </c>
      <c r="F273" s="35" t="str">
        <f>IF(E273="","",IFERROR(INDEX(DM_NL!$B$5:$B$304,MATCH(E273,DM_NL!$A$5:$A$304,0)),"(chưa có trong DM_NL)"))</f>
        <v/>
      </c>
      <c r="G273" s="35" t="str">
        <f>IF(E273="","",IFERROR(INDEX(DM_NL!$C$5:$C$304,MATCH(E273,DM_NL!$A$5:$A$304,0)),""))</f>
        <v/>
      </c>
      <c r="H273" s="39" t="str">
        <f>IF(OR(E273="",BOM!G267="KXDDM"),"",BOM!F267)</f>
        <v/>
      </c>
      <c r="I273" s="36" t="str">
        <f>IF(E273="","",BOM!G267&amp;"")</f>
        <v/>
      </c>
    </row>
    <row r="274" spans="1:9" x14ac:dyDescent="0.25">
      <c r="A274" s="36" t="str">
        <f>IF(B274="","",MAX($A$10:A273)+1)</f>
        <v/>
      </c>
      <c r="B274" s="35" t="str">
        <f>IF(BOM!A268="","",IF(BOM!A268=BOM!A267,"",BOM!A268))</f>
        <v/>
      </c>
      <c r="C274" s="35" t="str">
        <f>IF(B274="","",IFERROR(INDEX(DM_SP!$B$5:$B$304,MATCH(B274,DM_SP!$A$5:$A$304,0)),"(chưa có trong DM_SP)"))</f>
        <v/>
      </c>
      <c r="D274" s="35" t="str">
        <f>IF(B274="","",IFERROR(INDEX(DM_SP!$C$5:$C$304,MATCH(B274,DM_SP!$A$5:$A$304,0)),""))</f>
        <v/>
      </c>
      <c r="E274" s="35" t="str">
        <f>IF(BOM!A268="","",BOM!B268)</f>
        <v/>
      </c>
      <c r="F274" s="35" t="str">
        <f>IF(E274="","",IFERROR(INDEX(DM_NL!$B$5:$B$304,MATCH(E274,DM_NL!$A$5:$A$304,0)),"(chưa có trong DM_NL)"))</f>
        <v/>
      </c>
      <c r="G274" s="35" t="str">
        <f>IF(E274="","",IFERROR(INDEX(DM_NL!$C$5:$C$304,MATCH(E274,DM_NL!$A$5:$A$304,0)),""))</f>
        <v/>
      </c>
      <c r="H274" s="39" t="str">
        <f>IF(OR(E274="",BOM!G268="KXDDM"),"",BOM!F268)</f>
        <v/>
      </c>
      <c r="I274" s="36" t="str">
        <f>IF(E274="","",BOM!G268&amp;"")</f>
        <v/>
      </c>
    </row>
    <row r="275" spans="1:9" x14ac:dyDescent="0.25">
      <c r="A275" s="36" t="str">
        <f>IF(B275="","",MAX($A$10:A274)+1)</f>
        <v/>
      </c>
      <c r="B275" s="35" t="str">
        <f>IF(BOM!A269="","",IF(BOM!A269=BOM!A268,"",BOM!A269))</f>
        <v/>
      </c>
      <c r="C275" s="35" t="str">
        <f>IF(B275="","",IFERROR(INDEX(DM_SP!$B$5:$B$304,MATCH(B275,DM_SP!$A$5:$A$304,0)),"(chưa có trong DM_SP)"))</f>
        <v/>
      </c>
      <c r="D275" s="35" t="str">
        <f>IF(B275="","",IFERROR(INDEX(DM_SP!$C$5:$C$304,MATCH(B275,DM_SP!$A$5:$A$304,0)),""))</f>
        <v/>
      </c>
      <c r="E275" s="35" t="str">
        <f>IF(BOM!A269="","",BOM!B269)</f>
        <v/>
      </c>
      <c r="F275" s="35" t="str">
        <f>IF(E275="","",IFERROR(INDEX(DM_NL!$B$5:$B$304,MATCH(E275,DM_NL!$A$5:$A$304,0)),"(chưa có trong DM_NL)"))</f>
        <v/>
      </c>
      <c r="G275" s="35" t="str">
        <f>IF(E275="","",IFERROR(INDEX(DM_NL!$C$5:$C$304,MATCH(E275,DM_NL!$A$5:$A$304,0)),""))</f>
        <v/>
      </c>
      <c r="H275" s="39" t="str">
        <f>IF(OR(E275="",BOM!G269="KXDDM"),"",BOM!F269)</f>
        <v/>
      </c>
      <c r="I275" s="36" t="str">
        <f>IF(E275="","",BOM!G269&amp;"")</f>
        <v/>
      </c>
    </row>
    <row r="276" spans="1:9" x14ac:dyDescent="0.25">
      <c r="A276" s="36" t="str">
        <f>IF(B276="","",MAX($A$10:A275)+1)</f>
        <v/>
      </c>
      <c r="B276" s="35" t="str">
        <f>IF(BOM!A270="","",IF(BOM!A270=BOM!A269,"",BOM!A270))</f>
        <v/>
      </c>
      <c r="C276" s="35" t="str">
        <f>IF(B276="","",IFERROR(INDEX(DM_SP!$B$5:$B$304,MATCH(B276,DM_SP!$A$5:$A$304,0)),"(chưa có trong DM_SP)"))</f>
        <v/>
      </c>
      <c r="D276" s="35" t="str">
        <f>IF(B276="","",IFERROR(INDEX(DM_SP!$C$5:$C$304,MATCH(B276,DM_SP!$A$5:$A$304,0)),""))</f>
        <v/>
      </c>
      <c r="E276" s="35" t="str">
        <f>IF(BOM!A270="","",BOM!B270)</f>
        <v/>
      </c>
      <c r="F276" s="35" t="str">
        <f>IF(E276="","",IFERROR(INDEX(DM_NL!$B$5:$B$304,MATCH(E276,DM_NL!$A$5:$A$304,0)),"(chưa có trong DM_NL)"))</f>
        <v/>
      </c>
      <c r="G276" s="35" t="str">
        <f>IF(E276="","",IFERROR(INDEX(DM_NL!$C$5:$C$304,MATCH(E276,DM_NL!$A$5:$A$304,0)),""))</f>
        <v/>
      </c>
      <c r="H276" s="39" t="str">
        <f>IF(OR(E276="",BOM!G270="KXDDM"),"",BOM!F270)</f>
        <v/>
      </c>
      <c r="I276" s="36" t="str">
        <f>IF(E276="","",BOM!G270&amp;"")</f>
        <v/>
      </c>
    </row>
    <row r="277" spans="1:9" x14ac:dyDescent="0.25">
      <c r="A277" s="36" t="str">
        <f>IF(B277="","",MAX($A$10:A276)+1)</f>
        <v/>
      </c>
      <c r="B277" s="35" t="str">
        <f>IF(BOM!A271="","",IF(BOM!A271=BOM!A270,"",BOM!A271))</f>
        <v/>
      </c>
      <c r="C277" s="35" t="str">
        <f>IF(B277="","",IFERROR(INDEX(DM_SP!$B$5:$B$304,MATCH(B277,DM_SP!$A$5:$A$304,0)),"(chưa có trong DM_SP)"))</f>
        <v/>
      </c>
      <c r="D277" s="35" t="str">
        <f>IF(B277="","",IFERROR(INDEX(DM_SP!$C$5:$C$304,MATCH(B277,DM_SP!$A$5:$A$304,0)),""))</f>
        <v/>
      </c>
      <c r="E277" s="35" t="str">
        <f>IF(BOM!A271="","",BOM!B271)</f>
        <v/>
      </c>
      <c r="F277" s="35" t="str">
        <f>IF(E277="","",IFERROR(INDEX(DM_NL!$B$5:$B$304,MATCH(E277,DM_NL!$A$5:$A$304,0)),"(chưa có trong DM_NL)"))</f>
        <v/>
      </c>
      <c r="G277" s="35" t="str">
        <f>IF(E277="","",IFERROR(INDEX(DM_NL!$C$5:$C$304,MATCH(E277,DM_NL!$A$5:$A$304,0)),""))</f>
        <v/>
      </c>
      <c r="H277" s="39" t="str">
        <f>IF(OR(E277="",BOM!G271="KXDDM"),"",BOM!F271)</f>
        <v/>
      </c>
      <c r="I277" s="36" t="str">
        <f>IF(E277="","",BOM!G271&amp;"")</f>
        <v/>
      </c>
    </row>
    <row r="278" spans="1:9" x14ac:dyDescent="0.25">
      <c r="A278" s="36" t="str">
        <f>IF(B278="","",MAX($A$10:A277)+1)</f>
        <v/>
      </c>
      <c r="B278" s="35" t="str">
        <f>IF(BOM!A272="","",IF(BOM!A272=BOM!A271,"",BOM!A272))</f>
        <v/>
      </c>
      <c r="C278" s="35" t="str">
        <f>IF(B278="","",IFERROR(INDEX(DM_SP!$B$5:$B$304,MATCH(B278,DM_SP!$A$5:$A$304,0)),"(chưa có trong DM_SP)"))</f>
        <v/>
      </c>
      <c r="D278" s="35" t="str">
        <f>IF(B278="","",IFERROR(INDEX(DM_SP!$C$5:$C$304,MATCH(B278,DM_SP!$A$5:$A$304,0)),""))</f>
        <v/>
      </c>
      <c r="E278" s="35" t="str">
        <f>IF(BOM!A272="","",BOM!B272)</f>
        <v/>
      </c>
      <c r="F278" s="35" t="str">
        <f>IF(E278="","",IFERROR(INDEX(DM_NL!$B$5:$B$304,MATCH(E278,DM_NL!$A$5:$A$304,0)),"(chưa có trong DM_NL)"))</f>
        <v/>
      </c>
      <c r="G278" s="35" t="str">
        <f>IF(E278="","",IFERROR(INDEX(DM_NL!$C$5:$C$304,MATCH(E278,DM_NL!$A$5:$A$304,0)),""))</f>
        <v/>
      </c>
      <c r="H278" s="39" t="str">
        <f>IF(OR(E278="",BOM!G272="KXDDM"),"",BOM!F272)</f>
        <v/>
      </c>
      <c r="I278" s="36" t="str">
        <f>IF(E278="","",BOM!G272&amp;"")</f>
        <v/>
      </c>
    </row>
    <row r="279" spans="1:9" x14ac:dyDescent="0.25">
      <c r="A279" s="36" t="str">
        <f>IF(B279="","",MAX($A$10:A278)+1)</f>
        <v/>
      </c>
      <c r="B279" s="35" t="str">
        <f>IF(BOM!A273="","",IF(BOM!A273=BOM!A272,"",BOM!A273))</f>
        <v/>
      </c>
      <c r="C279" s="35" t="str">
        <f>IF(B279="","",IFERROR(INDEX(DM_SP!$B$5:$B$304,MATCH(B279,DM_SP!$A$5:$A$304,0)),"(chưa có trong DM_SP)"))</f>
        <v/>
      </c>
      <c r="D279" s="35" t="str">
        <f>IF(B279="","",IFERROR(INDEX(DM_SP!$C$5:$C$304,MATCH(B279,DM_SP!$A$5:$A$304,0)),""))</f>
        <v/>
      </c>
      <c r="E279" s="35" t="str">
        <f>IF(BOM!A273="","",BOM!B273)</f>
        <v/>
      </c>
      <c r="F279" s="35" t="str">
        <f>IF(E279="","",IFERROR(INDEX(DM_NL!$B$5:$B$304,MATCH(E279,DM_NL!$A$5:$A$304,0)),"(chưa có trong DM_NL)"))</f>
        <v/>
      </c>
      <c r="G279" s="35" t="str">
        <f>IF(E279="","",IFERROR(INDEX(DM_NL!$C$5:$C$304,MATCH(E279,DM_NL!$A$5:$A$304,0)),""))</f>
        <v/>
      </c>
      <c r="H279" s="39" t="str">
        <f>IF(OR(E279="",BOM!G273="KXDDM"),"",BOM!F273)</f>
        <v/>
      </c>
      <c r="I279" s="36" t="str">
        <f>IF(E279="","",BOM!G273&amp;"")</f>
        <v/>
      </c>
    </row>
    <row r="280" spans="1:9" x14ac:dyDescent="0.25">
      <c r="A280" s="36" t="str">
        <f>IF(B280="","",MAX($A$10:A279)+1)</f>
        <v/>
      </c>
      <c r="B280" s="35" t="str">
        <f>IF(BOM!A274="","",IF(BOM!A274=BOM!A273,"",BOM!A274))</f>
        <v/>
      </c>
      <c r="C280" s="35" t="str">
        <f>IF(B280="","",IFERROR(INDEX(DM_SP!$B$5:$B$304,MATCH(B280,DM_SP!$A$5:$A$304,0)),"(chưa có trong DM_SP)"))</f>
        <v/>
      </c>
      <c r="D280" s="35" t="str">
        <f>IF(B280="","",IFERROR(INDEX(DM_SP!$C$5:$C$304,MATCH(B280,DM_SP!$A$5:$A$304,0)),""))</f>
        <v/>
      </c>
      <c r="E280" s="35" t="str">
        <f>IF(BOM!A274="","",BOM!B274)</f>
        <v/>
      </c>
      <c r="F280" s="35" t="str">
        <f>IF(E280="","",IFERROR(INDEX(DM_NL!$B$5:$B$304,MATCH(E280,DM_NL!$A$5:$A$304,0)),"(chưa có trong DM_NL)"))</f>
        <v/>
      </c>
      <c r="G280" s="35" t="str">
        <f>IF(E280="","",IFERROR(INDEX(DM_NL!$C$5:$C$304,MATCH(E280,DM_NL!$A$5:$A$304,0)),""))</f>
        <v/>
      </c>
      <c r="H280" s="39" t="str">
        <f>IF(OR(E280="",BOM!G274="KXDDM"),"",BOM!F274)</f>
        <v/>
      </c>
      <c r="I280" s="36" t="str">
        <f>IF(E280="","",BOM!G274&amp;"")</f>
        <v/>
      </c>
    </row>
    <row r="281" spans="1:9" x14ac:dyDescent="0.25">
      <c r="A281" s="36" t="str">
        <f>IF(B281="","",MAX($A$10:A280)+1)</f>
        <v/>
      </c>
      <c r="B281" s="35" t="str">
        <f>IF(BOM!A275="","",IF(BOM!A275=BOM!A274,"",BOM!A275))</f>
        <v/>
      </c>
      <c r="C281" s="35" t="str">
        <f>IF(B281="","",IFERROR(INDEX(DM_SP!$B$5:$B$304,MATCH(B281,DM_SP!$A$5:$A$304,0)),"(chưa có trong DM_SP)"))</f>
        <v/>
      </c>
      <c r="D281" s="35" t="str">
        <f>IF(B281="","",IFERROR(INDEX(DM_SP!$C$5:$C$304,MATCH(B281,DM_SP!$A$5:$A$304,0)),""))</f>
        <v/>
      </c>
      <c r="E281" s="35" t="str">
        <f>IF(BOM!A275="","",BOM!B275)</f>
        <v/>
      </c>
      <c r="F281" s="35" t="str">
        <f>IF(E281="","",IFERROR(INDEX(DM_NL!$B$5:$B$304,MATCH(E281,DM_NL!$A$5:$A$304,0)),"(chưa có trong DM_NL)"))</f>
        <v/>
      </c>
      <c r="G281" s="35" t="str">
        <f>IF(E281="","",IFERROR(INDEX(DM_NL!$C$5:$C$304,MATCH(E281,DM_NL!$A$5:$A$304,0)),""))</f>
        <v/>
      </c>
      <c r="H281" s="39" t="str">
        <f>IF(OR(E281="",BOM!G275="KXDDM"),"",BOM!F275)</f>
        <v/>
      </c>
      <c r="I281" s="36" t="str">
        <f>IF(E281="","",BOM!G275&amp;"")</f>
        <v/>
      </c>
    </row>
    <row r="282" spans="1:9" x14ac:dyDescent="0.25">
      <c r="A282" s="36" t="str">
        <f>IF(B282="","",MAX($A$10:A281)+1)</f>
        <v/>
      </c>
      <c r="B282" s="35" t="str">
        <f>IF(BOM!A276="","",IF(BOM!A276=BOM!A275,"",BOM!A276))</f>
        <v/>
      </c>
      <c r="C282" s="35" t="str">
        <f>IF(B282="","",IFERROR(INDEX(DM_SP!$B$5:$B$304,MATCH(B282,DM_SP!$A$5:$A$304,0)),"(chưa có trong DM_SP)"))</f>
        <v/>
      </c>
      <c r="D282" s="35" t="str">
        <f>IF(B282="","",IFERROR(INDEX(DM_SP!$C$5:$C$304,MATCH(B282,DM_SP!$A$5:$A$304,0)),""))</f>
        <v/>
      </c>
      <c r="E282" s="35" t="str">
        <f>IF(BOM!A276="","",BOM!B276)</f>
        <v/>
      </c>
      <c r="F282" s="35" t="str">
        <f>IF(E282="","",IFERROR(INDEX(DM_NL!$B$5:$B$304,MATCH(E282,DM_NL!$A$5:$A$304,0)),"(chưa có trong DM_NL)"))</f>
        <v/>
      </c>
      <c r="G282" s="35" t="str">
        <f>IF(E282="","",IFERROR(INDEX(DM_NL!$C$5:$C$304,MATCH(E282,DM_NL!$A$5:$A$304,0)),""))</f>
        <v/>
      </c>
      <c r="H282" s="39" t="str">
        <f>IF(OR(E282="",BOM!G276="KXDDM"),"",BOM!F276)</f>
        <v/>
      </c>
      <c r="I282" s="36" t="str">
        <f>IF(E282="","",BOM!G276&amp;"")</f>
        <v/>
      </c>
    </row>
    <row r="283" spans="1:9" x14ac:dyDescent="0.25">
      <c r="A283" s="36" t="str">
        <f>IF(B283="","",MAX($A$10:A282)+1)</f>
        <v/>
      </c>
      <c r="B283" s="35" t="str">
        <f>IF(BOM!A277="","",IF(BOM!A277=BOM!A276,"",BOM!A277))</f>
        <v/>
      </c>
      <c r="C283" s="35" t="str">
        <f>IF(B283="","",IFERROR(INDEX(DM_SP!$B$5:$B$304,MATCH(B283,DM_SP!$A$5:$A$304,0)),"(chưa có trong DM_SP)"))</f>
        <v/>
      </c>
      <c r="D283" s="35" t="str">
        <f>IF(B283="","",IFERROR(INDEX(DM_SP!$C$5:$C$304,MATCH(B283,DM_SP!$A$5:$A$304,0)),""))</f>
        <v/>
      </c>
      <c r="E283" s="35" t="str">
        <f>IF(BOM!A277="","",BOM!B277)</f>
        <v/>
      </c>
      <c r="F283" s="35" t="str">
        <f>IF(E283="","",IFERROR(INDEX(DM_NL!$B$5:$B$304,MATCH(E283,DM_NL!$A$5:$A$304,0)),"(chưa có trong DM_NL)"))</f>
        <v/>
      </c>
      <c r="G283" s="35" t="str">
        <f>IF(E283="","",IFERROR(INDEX(DM_NL!$C$5:$C$304,MATCH(E283,DM_NL!$A$5:$A$304,0)),""))</f>
        <v/>
      </c>
      <c r="H283" s="39" t="str">
        <f>IF(OR(E283="",BOM!G277="KXDDM"),"",BOM!F277)</f>
        <v/>
      </c>
      <c r="I283" s="36" t="str">
        <f>IF(E283="","",BOM!G277&amp;"")</f>
        <v/>
      </c>
    </row>
    <row r="284" spans="1:9" x14ac:dyDescent="0.25">
      <c r="A284" s="36" t="str">
        <f>IF(B284="","",MAX($A$10:A283)+1)</f>
        <v/>
      </c>
      <c r="B284" s="35" t="str">
        <f>IF(BOM!A278="","",IF(BOM!A278=BOM!A277,"",BOM!A278))</f>
        <v/>
      </c>
      <c r="C284" s="35" t="str">
        <f>IF(B284="","",IFERROR(INDEX(DM_SP!$B$5:$B$304,MATCH(B284,DM_SP!$A$5:$A$304,0)),"(chưa có trong DM_SP)"))</f>
        <v/>
      </c>
      <c r="D284" s="35" t="str">
        <f>IF(B284="","",IFERROR(INDEX(DM_SP!$C$5:$C$304,MATCH(B284,DM_SP!$A$5:$A$304,0)),""))</f>
        <v/>
      </c>
      <c r="E284" s="35" t="str">
        <f>IF(BOM!A278="","",BOM!B278)</f>
        <v/>
      </c>
      <c r="F284" s="35" t="str">
        <f>IF(E284="","",IFERROR(INDEX(DM_NL!$B$5:$B$304,MATCH(E284,DM_NL!$A$5:$A$304,0)),"(chưa có trong DM_NL)"))</f>
        <v/>
      </c>
      <c r="G284" s="35" t="str">
        <f>IF(E284="","",IFERROR(INDEX(DM_NL!$C$5:$C$304,MATCH(E284,DM_NL!$A$5:$A$304,0)),""))</f>
        <v/>
      </c>
      <c r="H284" s="39" t="str">
        <f>IF(OR(E284="",BOM!G278="KXDDM"),"",BOM!F278)</f>
        <v/>
      </c>
      <c r="I284" s="36" t="str">
        <f>IF(E284="","",BOM!G278&amp;"")</f>
        <v/>
      </c>
    </row>
    <row r="285" spans="1:9" x14ac:dyDescent="0.25">
      <c r="A285" s="36" t="str">
        <f>IF(B285="","",MAX($A$10:A284)+1)</f>
        <v/>
      </c>
      <c r="B285" s="35" t="str">
        <f>IF(BOM!A279="","",IF(BOM!A279=BOM!A278,"",BOM!A279))</f>
        <v/>
      </c>
      <c r="C285" s="35" t="str">
        <f>IF(B285="","",IFERROR(INDEX(DM_SP!$B$5:$B$304,MATCH(B285,DM_SP!$A$5:$A$304,0)),"(chưa có trong DM_SP)"))</f>
        <v/>
      </c>
      <c r="D285" s="35" t="str">
        <f>IF(B285="","",IFERROR(INDEX(DM_SP!$C$5:$C$304,MATCH(B285,DM_SP!$A$5:$A$304,0)),""))</f>
        <v/>
      </c>
      <c r="E285" s="35" t="str">
        <f>IF(BOM!A279="","",BOM!B279)</f>
        <v/>
      </c>
      <c r="F285" s="35" t="str">
        <f>IF(E285="","",IFERROR(INDEX(DM_NL!$B$5:$B$304,MATCH(E285,DM_NL!$A$5:$A$304,0)),"(chưa có trong DM_NL)"))</f>
        <v/>
      </c>
      <c r="G285" s="35" t="str">
        <f>IF(E285="","",IFERROR(INDEX(DM_NL!$C$5:$C$304,MATCH(E285,DM_NL!$A$5:$A$304,0)),""))</f>
        <v/>
      </c>
      <c r="H285" s="39" t="str">
        <f>IF(OR(E285="",BOM!G279="KXDDM"),"",BOM!F279)</f>
        <v/>
      </c>
      <c r="I285" s="36" t="str">
        <f>IF(E285="","",BOM!G279&amp;"")</f>
        <v/>
      </c>
    </row>
    <row r="286" spans="1:9" x14ac:dyDescent="0.25">
      <c r="A286" s="36" t="str">
        <f>IF(B286="","",MAX($A$10:A285)+1)</f>
        <v/>
      </c>
      <c r="B286" s="35" t="str">
        <f>IF(BOM!A280="","",IF(BOM!A280=BOM!A279,"",BOM!A280))</f>
        <v/>
      </c>
      <c r="C286" s="35" t="str">
        <f>IF(B286="","",IFERROR(INDEX(DM_SP!$B$5:$B$304,MATCH(B286,DM_SP!$A$5:$A$304,0)),"(chưa có trong DM_SP)"))</f>
        <v/>
      </c>
      <c r="D286" s="35" t="str">
        <f>IF(B286="","",IFERROR(INDEX(DM_SP!$C$5:$C$304,MATCH(B286,DM_SP!$A$5:$A$304,0)),""))</f>
        <v/>
      </c>
      <c r="E286" s="35" t="str">
        <f>IF(BOM!A280="","",BOM!B280)</f>
        <v/>
      </c>
      <c r="F286" s="35" t="str">
        <f>IF(E286="","",IFERROR(INDEX(DM_NL!$B$5:$B$304,MATCH(E286,DM_NL!$A$5:$A$304,0)),"(chưa có trong DM_NL)"))</f>
        <v/>
      </c>
      <c r="G286" s="35" t="str">
        <f>IF(E286="","",IFERROR(INDEX(DM_NL!$C$5:$C$304,MATCH(E286,DM_NL!$A$5:$A$304,0)),""))</f>
        <v/>
      </c>
      <c r="H286" s="39" t="str">
        <f>IF(OR(E286="",BOM!G280="KXDDM"),"",BOM!F280)</f>
        <v/>
      </c>
      <c r="I286" s="36" t="str">
        <f>IF(E286="","",BOM!G280&amp;"")</f>
        <v/>
      </c>
    </row>
    <row r="287" spans="1:9" x14ac:dyDescent="0.25">
      <c r="A287" s="36" t="str">
        <f>IF(B287="","",MAX($A$10:A286)+1)</f>
        <v/>
      </c>
      <c r="B287" s="35" t="str">
        <f>IF(BOM!A281="","",IF(BOM!A281=BOM!A280,"",BOM!A281))</f>
        <v/>
      </c>
      <c r="C287" s="35" t="str">
        <f>IF(B287="","",IFERROR(INDEX(DM_SP!$B$5:$B$304,MATCH(B287,DM_SP!$A$5:$A$304,0)),"(chưa có trong DM_SP)"))</f>
        <v/>
      </c>
      <c r="D287" s="35" t="str">
        <f>IF(B287="","",IFERROR(INDEX(DM_SP!$C$5:$C$304,MATCH(B287,DM_SP!$A$5:$A$304,0)),""))</f>
        <v/>
      </c>
      <c r="E287" s="35" t="str">
        <f>IF(BOM!A281="","",BOM!B281)</f>
        <v/>
      </c>
      <c r="F287" s="35" t="str">
        <f>IF(E287="","",IFERROR(INDEX(DM_NL!$B$5:$B$304,MATCH(E287,DM_NL!$A$5:$A$304,0)),"(chưa có trong DM_NL)"))</f>
        <v/>
      </c>
      <c r="G287" s="35" t="str">
        <f>IF(E287="","",IFERROR(INDEX(DM_NL!$C$5:$C$304,MATCH(E287,DM_NL!$A$5:$A$304,0)),""))</f>
        <v/>
      </c>
      <c r="H287" s="39" t="str">
        <f>IF(OR(E287="",BOM!G281="KXDDM"),"",BOM!F281)</f>
        <v/>
      </c>
      <c r="I287" s="36" t="str">
        <f>IF(E287="","",BOM!G281&amp;"")</f>
        <v/>
      </c>
    </row>
    <row r="288" spans="1:9" x14ac:dyDescent="0.25">
      <c r="A288" s="36" t="str">
        <f>IF(B288="","",MAX($A$10:A287)+1)</f>
        <v/>
      </c>
      <c r="B288" s="35" t="str">
        <f>IF(BOM!A282="","",IF(BOM!A282=BOM!A281,"",BOM!A282))</f>
        <v/>
      </c>
      <c r="C288" s="35" t="str">
        <f>IF(B288="","",IFERROR(INDEX(DM_SP!$B$5:$B$304,MATCH(B288,DM_SP!$A$5:$A$304,0)),"(chưa có trong DM_SP)"))</f>
        <v/>
      </c>
      <c r="D288" s="35" t="str">
        <f>IF(B288="","",IFERROR(INDEX(DM_SP!$C$5:$C$304,MATCH(B288,DM_SP!$A$5:$A$304,0)),""))</f>
        <v/>
      </c>
      <c r="E288" s="35" t="str">
        <f>IF(BOM!A282="","",BOM!B282)</f>
        <v/>
      </c>
      <c r="F288" s="35" t="str">
        <f>IF(E288="","",IFERROR(INDEX(DM_NL!$B$5:$B$304,MATCH(E288,DM_NL!$A$5:$A$304,0)),"(chưa có trong DM_NL)"))</f>
        <v/>
      </c>
      <c r="G288" s="35" t="str">
        <f>IF(E288="","",IFERROR(INDEX(DM_NL!$C$5:$C$304,MATCH(E288,DM_NL!$A$5:$A$304,0)),""))</f>
        <v/>
      </c>
      <c r="H288" s="39" t="str">
        <f>IF(OR(E288="",BOM!G282="KXDDM"),"",BOM!F282)</f>
        <v/>
      </c>
      <c r="I288" s="36" t="str">
        <f>IF(E288="","",BOM!G282&amp;"")</f>
        <v/>
      </c>
    </row>
    <row r="289" spans="1:9" x14ac:dyDescent="0.25">
      <c r="A289" s="36" t="str">
        <f>IF(B289="","",MAX($A$10:A288)+1)</f>
        <v/>
      </c>
      <c r="B289" s="35" t="str">
        <f>IF(BOM!A283="","",IF(BOM!A283=BOM!A282,"",BOM!A283))</f>
        <v/>
      </c>
      <c r="C289" s="35" t="str">
        <f>IF(B289="","",IFERROR(INDEX(DM_SP!$B$5:$B$304,MATCH(B289,DM_SP!$A$5:$A$304,0)),"(chưa có trong DM_SP)"))</f>
        <v/>
      </c>
      <c r="D289" s="35" t="str">
        <f>IF(B289="","",IFERROR(INDEX(DM_SP!$C$5:$C$304,MATCH(B289,DM_SP!$A$5:$A$304,0)),""))</f>
        <v/>
      </c>
      <c r="E289" s="35" t="str">
        <f>IF(BOM!A283="","",BOM!B283)</f>
        <v/>
      </c>
      <c r="F289" s="35" t="str">
        <f>IF(E289="","",IFERROR(INDEX(DM_NL!$B$5:$B$304,MATCH(E289,DM_NL!$A$5:$A$304,0)),"(chưa có trong DM_NL)"))</f>
        <v/>
      </c>
      <c r="G289" s="35" t="str">
        <f>IF(E289="","",IFERROR(INDEX(DM_NL!$C$5:$C$304,MATCH(E289,DM_NL!$A$5:$A$304,0)),""))</f>
        <v/>
      </c>
      <c r="H289" s="39" t="str">
        <f>IF(OR(E289="",BOM!G283="KXDDM"),"",BOM!F283)</f>
        <v/>
      </c>
      <c r="I289" s="36" t="str">
        <f>IF(E289="","",BOM!G283&amp;"")</f>
        <v/>
      </c>
    </row>
    <row r="290" spans="1:9" x14ac:dyDescent="0.25">
      <c r="A290" s="36" t="str">
        <f>IF(B290="","",MAX($A$10:A289)+1)</f>
        <v/>
      </c>
      <c r="B290" s="35" t="str">
        <f>IF(BOM!A284="","",IF(BOM!A284=BOM!A283,"",BOM!A284))</f>
        <v/>
      </c>
      <c r="C290" s="35" t="str">
        <f>IF(B290="","",IFERROR(INDEX(DM_SP!$B$5:$B$304,MATCH(B290,DM_SP!$A$5:$A$304,0)),"(chưa có trong DM_SP)"))</f>
        <v/>
      </c>
      <c r="D290" s="35" t="str">
        <f>IF(B290="","",IFERROR(INDEX(DM_SP!$C$5:$C$304,MATCH(B290,DM_SP!$A$5:$A$304,0)),""))</f>
        <v/>
      </c>
      <c r="E290" s="35" t="str">
        <f>IF(BOM!A284="","",BOM!B284)</f>
        <v/>
      </c>
      <c r="F290" s="35" t="str">
        <f>IF(E290="","",IFERROR(INDEX(DM_NL!$B$5:$B$304,MATCH(E290,DM_NL!$A$5:$A$304,0)),"(chưa có trong DM_NL)"))</f>
        <v/>
      </c>
      <c r="G290" s="35" t="str">
        <f>IF(E290="","",IFERROR(INDEX(DM_NL!$C$5:$C$304,MATCH(E290,DM_NL!$A$5:$A$304,0)),""))</f>
        <v/>
      </c>
      <c r="H290" s="39" t="str">
        <f>IF(OR(E290="",BOM!G284="KXDDM"),"",BOM!F284)</f>
        <v/>
      </c>
      <c r="I290" s="36" t="str">
        <f>IF(E290="","",BOM!G284&amp;"")</f>
        <v/>
      </c>
    </row>
    <row r="291" spans="1:9" x14ac:dyDescent="0.25">
      <c r="A291" s="36" t="str">
        <f>IF(B291="","",MAX($A$10:A290)+1)</f>
        <v/>
      </c>
      <c r="B291" s="35" t="str">
        <f>IF(BOM!A285="","",IF(BOM!A285=BOM!A284,"",BOM!A285))</f>
        <v/>
      </c>
      <c r="C291" s="35" t="str">
        <f>IF(B291="","",IFERROR(INDEX(DM_SP!$B$5:$B$304,MATCH(B291,DM_SP!$A$5:$A$304,0)),"(chưa có trong DM_SP)"))</f>
        <v/>
      </c>
      <c r="D291" s="35" t="str">
        <f>IF(B291="","",IFERROR(INDEX(DM_SP!$C$5:$C$304,MATCH(B291,DM_SP!$A$5:$A$304,0)),""))</f>
        <v/>
      </c>
      <c r="E291" s="35" t="str">
        <f>IF(BOM!A285="","",BOM!B285)</f>
        <v/>
      </c>
      <c r="F291" s="35" t="str">
        <f>IF(E291="","",IFERROR(INDEX(DM_NL!$B$5:$B$304,MATCH(E291,DM_NL!$A$5:$A$304,0)),"(chưa có trong DM_NL)"))</f>
        <v/>
      </c>
      <c r="G291" s="35" t="str">
        <f>IF(E291="","",IFERROR(INDEX(DM_NL!$C$5:$C$304,MATCH(E291,DM_NL!$A$5:$A$304,0)),""))</f>
        <v/>
      </c>
      <c r="H291" s="39" t="str">
        <f>IF(OR(E291="",BOM!G285="KXDDM"),"",BOM!F285)</f>
        <v/>
      </c>
      <c r="I291" s="36" t="str">
        <f>IF(E291="","",BOM!G285&amp;"")</f>
        <v/>
      </c>
    </row>
    <row r="292" spans="1:9" x14ac:dyDescent="0.25">
      <c r="A292" s="36" t="str">
        <f>IF(B292="","",MAX($A$10:A291)+1)</f>
        <v/>
      </c>
      <c r="B292" s="35" t="str">
        <f>IF(BOM!A286="","",IF(BOM!A286=BOM!A285,"",BOM!A286))</f>
        <v/>
      </c>
      <c r="C292" s="35" t="str">
        <f>IF(B292="","",IFERROR(INDEX(DM_SP!$B$5:$B$304,MATCH(B292,DM_SP!$A$5:$A$304,0)),"(chưa có trong DM_SP)"))</f>
        <v/>
      </c>
      <c r="D292" s="35" t="str">
        <f>IF(B292="","",IFERROR(INDEX(DM_SP!$C$5:$C$304,MATCH(B292,DM_SP!$A$5:$A$304,0)),""))</f>
        <v/>
      </c>
      <c r="E292" s="35" t="str">
        <f>IF(BOM!A286="","",BOM!B286)</f>
        <v/>
      </c>
      <c r="F292" s="35" t="str">
        <f>IF(E292="","",IFERROR(INDEX(DM_NL!$B$5:$B$304,MATCH(E292,DM_NL!$A$5:$A$304,0)),"(chưa có trong DM_NL)"))</f>
        <v/>
      </c>
      <c r="G292" s="35" t="str">
        <f>IF(E292="","",IFERROR(INDEX(DM_NL!$C$5:$C$304,MATCH(E292,DM_NL!$A$5:$A$304,0)),""))</f>
        <v/>
      </c>
      <c r="H292" s="39" t="str">
        <f>IF(OR(E292="",BOM!G286="KXDDM"),"",BOM!F286)</f>
        <v/>
      </c>
      <c r="I292" s="36" t="str">
        <f>IF(E292="","",BOM!G286&amp;"")</f>
        <v/>
      </c>
    </row>
    <row r="293" spans="1:9" x14ac:dyDescent="0.25">
      <c r="A293" s="36" t="str">
        <f>IF(B293="","",MAX($A$10:A292)+1)</f>
        <v/>
      </c>
      <c r="B293" s="35" t="str">
        <f>IF(BOM!A287="","",IF(BOM!A287=BOM!A286,"",BOM!A287))</f>
        <v/>
      </c>
      <c r="C293" s="35" t="str">
        <f>IF(B293="","",IFERROR(INDEX(DM_SP!$B$5:$B$304,MATCH(B293,DM_SP!$A$5:$A$304,0)),"(chưa có trong DM_SP)"))</f>
        <v/>
      </c>
      <c r="D293" s="35" t="str">
        <f>IF(B293="","",IFERROR(INDEX(DM_SP!$C$5:$C$304,MATCH(B293,DM_SP!$A$5:$A$304,0)),""))</f>
        <v/>
      </c>
      <c r="E293" s="35" t="str">
        <f>IF(BOM!A287="","",BOM!B287)</f>
        <v/>
      </c>
      <c r="F293" s="35" t="str">
        <f>IF(E293="","",IFERROR(INDEX(DM_NL!$B$5:$B$304,MATCH(E293,DM_NL!$A$5:$A$304,0)),"(chưa có trong DM_NL)"))</f>
        <v/>
      </c>
      <c r="G293" s="35" t="str">
        <f>IF(E293="","",IFERROR(INDEX(DM_NL!$C$5:$C$304,MATCH(E293,DM_NL!$A$5:$A$304,0)),""))</f>
        <v/>
      </c>
      <c r="H293" s="39" t="str">
        <f>IF(OR(E293="",BOM!G287="KXDDM"),"",BOM!F287)</f>
        <v/>
      </c>
      <c r="I293" s="36" t="str">
        <f>IF(E293="","",BOM!G287&amp;"")</f>
        <v/>
      </c>
    </row>
    <row r="294" spans="1:9" x14ac:dyDescent="0.25">
      <c r="A294" s="36" t="str">
        <f>IF(B294="","",MAX($A$10:A293)+1)</f>
        <v/>
      </c>
      <c r="B294" s="35" t="str">
        <f>IF(BOM!A288="","",IF(BOM!A288=BOM!A287,"",BOM!A288))</f>
        <v/>
      </c>
      <c r="C294" s="35" t="str">
        <f>IF(B294="","",IFERROR(INDEX(DM_SP!$B$5:$B$304,MATCH(B294,DM_SP!$A$5:$A$304,0)),"(chưa có trong DM_SP)"))</f>
        <v/>
      </c>
      <c r="D294" s="35" t="str">
        <f>IF(B294="","",IFERROR(INDEX(DM_SP!$C$5:$C$304,MATCH(B294,DM_SP!$A$5:$A$304,0)),""))</f>
        <v/>
      </c>
      <c r="E294" s="35" t="str">
        <f>IF(BOM!A288="","",BOM!B288)</f>
        <v/>
      </c>
      <c r="F294" s="35" t="str">
        <f>IF(E294="","",IFERROR(INDEX(DM_NL!$B$5:$B$304,MATCH(E294,DM_NL!$A$5:$A$304,0)),"(chưa có trong DM_NL)"))</f>
        <v/>
      </c>
      <c r="G294" s="35" t="str">
        <f>IF(E294="","",IFERROR(INDEX(DM_NL!$C$5:$C$304,MATCH(E294,DM_NL!$A$5:$A$304,0)),""))</f>
        <v/>
      </c>
      <c r="H294" s="39" t="str">
        <f>IF(OR(E294="",BOM!G288="KXDDM"),"",BOM!F288)</f>
        <v/>
      </c>
      <c r="I294" s="36" t="str">
        <f>IF(E294="","",BOM!G288&amp;"")</f>
        <v/>
      </c>
    </row>
    <row r="295" spans="1:9" x14ac:dyDescent="0.25">
      <c r="A295" s="36" t="str">
        <f>IF(B295="","",MAX($A$10:A294)+1)</f>
        <v/>
      </c>
      <c r="B295" s="35" t="str">
        <f>IF(BOM!A289="","",IF(BOM!A289=BOM!A288,"",BOM!A289))</f>
        <v/>
      </c>
      <c r="C295" s="35" t="str">
        <f>IF(B295="","",IFERROR(INDEX(DM_SP!$B$5:$B$304,MATCH(B295,DM_SP!$A$5:$A$304,0)),"(chưa có trong DM_SP)"))</f>
        <v/>
      </c>
      <c r="D295" s="35" t="str">
        <f>IF(B295="","",IFERROR(INDEX(DM_SP!$C$5:$C$304,MATCH(B295,DM_SP!$A$5:$A$304,0)),""))</f>
        <v/>
      </c>
      <c r="E295" s="35" t="str">
        <f>IF(BOM!A289="","",BOM!B289)</f>
        <v/>
      </c>
      <c r="F295" s="35" t="str">
        <f>IF(E295="","",IFERROR(INDEX(DM_NL!$B$5:$B$304,MATCH(E295,DM_NL!$A$5:$A$304,0)),"(chưa có trong DM_NL)"))</f>
        <v/>
      </c>
      <c r="G295" s="35" t="str">
        <f>IF(E295="","",IFERROR(INDEX(DM_NL!$C$5:$C$304,MATCH(E295,DM_NL!$A$5:$A$304,0)),""))</f>
        <v/>
      </c>
      <c r="H295" s="39" t="str">
        <f>IF(OR(E295="",BOM!G289="KXDDM"),"",BOM!F289)</f>
        <v/>
      </c>
      <c r="I295" s="36" t="str">
        <f>IF(E295="","",BOM!G289&amp;"")</f>
        <v/>
      </c>
    </row>
    <row r="296" spans="1:9" x14ac:dyDescent="0.25">
      <c r="A296" s="36" t="str">
        <f>IF(B296="","",MAX($A$10:A295)+1)</f>
        <v/>
      </c>
      <c r="B296" s="35" t="str">
        <f>IF(BOM!A290="","",IF(BOM!A290=BOM!A289,"",BOM!A290))</f>
        <v/>
      </c>
      <c r="C296" s="35" t="str">
        <f>IF(B296="","",IFERROR(INDEX(DM_SP!$B$5:$B$304,MATCH(B296,DM_SP!$A$5:$A$304,0)),"(chưa có trong DM_SP)"))</f>
        <v/>
      </c>
      <c r="D296" s="35" t="str">
        <f>IF(B296="","",IFERROR(INDEX(DM_SP!$C$5:$C$304,MATCH(B296,DM_SP!$A$5:$A$304,0)),""))</f>
        <v/>
      </c>
      <c r="E296" s="35" t="str">
        <f>IF(BOM!A290="","",BOM!B290)</f>
        <v/>
      </c>
      <c r="F296" s="35" t="str">
        <f>IF(E296="","",IFERROR(INDEX(DM_NL!$B$5:$B$304,MATCH(E296,DM_NL!$A$5:$A$304,0)),"(chưa có trong DM_NL)"))</f>
        <v/>
      </c>
      <c r="G296" s="35" t="str">
        <f>IF(E296="","",IFERROR(INDEX(DM_NL!$C$5:$C$304,MATCH(E296,DM_NL!$A$5:$A$304,0)),""))</f>
        <v/>
      </c>
      <c r="H296" s="39" t="str">
        <f>IF(OR(E296="",BOM!G290="KXDDM"),"",BOM!F290)</f>
        <v/>
      </c>
      <c r="I296" s="36" t="str">
        <f>IF(E296="","",BOM!G290&amp;"")</f>
        <v/>
      </c>
    </row>
    <row r="297" spans="1:9" x14ac:dyDescent="0.25">
      <c r="A297" s="36" t="str">
        <f>IF(B297="","",MAX($A$10:A296)+1)</f>
        <v/>
      </c>
      <c r="B297" s="35" t="str">
        <f>IF(BOM!A291="","",IF(BOM!A291=BOM!A290,"",BOM!A291))</f>
        <v/>
      </c>
      <c r="C297" s="35" t="str">
        <f>IF(B297="","",IFERROR(INDEX(DM_SP!$B$5:$B$304,MATCH(B297,DM_SP!$A$5:$A$304,0)),"(chưa có trong DM_SP)"))</f>
        <v/>
      </c>
      <c r="D297" s="35" t="str">
        <f>IF(B297="","",IFERROR(INDEX(DM_SP!$C$5:$C$304,MATCH(B297,DM_SP!$A$5:$A$304,0)),""))</f>
        <v/>
      </c>
      <c r="E297" s="35" t="str">
        <f>IF(BOM!A291="","",BOM!B291)</f>
        <v/>
      </c>
      <c r="F297" s="35" t="str">
        <f>IF(E297="","",IFERROR(INDEX(DM_NL!$B$5:$B$304,MATCH(E297,DM_NL!$A$5:$A$304,0)),"(chưa có trong DM_NL)"))</f>
        <v/>
      </c>
      <c r="G297" s="35" t="str">
        <f>IF(E297="","",IFERROR(INDEX(DM_NL!$C$5:$C$304,MATCH(E297,DM_NL!$A$5:$A$304,0)),""))</f>
        <v/>
      </c>
      <c r="H297" s="39" t="str">
        <f>IF(OR(E297="",BOM!G291="KXDDM"),"",BOM!F291)</f>
        <v/>
      </c>
      <c r="I297" s="36" t="str">
        <f>IF(E297="","",BOM!G291&amp;"")</f>
        <v/>
      </c>
    </row>
    <row r="298" spans="1:9" x14ac:dyDescent="0.25">
      <c r="A298" s="36" t="str">
        <f>IF(B298="","",MAX($A$10:A297)+1)</f>
        <v/>
      </c>
      <c r="B298" s="35" t="str">
        <f>IF(BOM!A292="","",IF(BOM!A292=BOM!A291,"",BOM!A292))</f>
        <v/>
      </c>
      <c r="C298" s="35" t="str">
        <f>IF(B298="","",IFERROR(INDEX(DM_SP!$B$5:$B$304,MATCH(B298,DM_SP!$A$5:$A$304,0)),"(chưa có trong DM_SP)"))</f>
        <v/>
      </c>
      <c r="D298" s="35" t="str">
        <f>IF(B298="","",IFERROR(INDEX(DM_SP!$C$5:$C$304,MATCH(B298,DM_SP!$A$5:$A$304,0)),""))</f>
        <v/>
      </c>
      <c r="E298" s="35" t="str">
        <f>IF(BOM!A292="","",BOM!B292)</f>
        <v/>
      </c>
      <c r="F298" s="35" t="str">
        <f>IF(E298="","",IFERROR(INDEX(DM_NL!$B$5:$B$304,MATCH(E298,DM_NL!$A$5:$A$304,0)),"(chưa có trong DM_NL)"))</f>
        <v/>
      </c>
      <c r="G298" s="35" t="str">
        <f>IF(E298="","",IFERROR(INDEX(DM_NL!$C$5:$C$304,MATCH(E298,DM_NL!$A$5:$A$304,0)),""))</f>
        <v/>
      </c>
      <c r="H298" s="39" t="str">
        <f>IF(OR(E298="",BOM!G292="KXDDM"),"",BOM!F292)</f>
        <v/>
      </c>
      <c r="I298" s="36" t="str">
        <f>IF(E298="","",BOM!G292&amp;"")</f>
        <v/>
      </c>
    </row>
    <row r="299" spans="1:9" x14ac:dyDescent="0.25">
      <c r="A299" s="36" t="str">
        <f>IF(B299="","",MAX($A$10:A298)+1)</f>
        <v/>
      </c>
      <c r="B299" s="35" t="str">
        <f>IF(BOM!A293="","",IF(BOM!A293=BOM!A292,"",BOM!A293))</f>
        <v/>
      </c>
      <c r="C299" s="35" t="str">
        <f>IF(B299="","",IFERROR(INDEX(DM_SP!$B$5:$B$304,MATCH(B299,DM_SP!$A$5:$A$304,0)),"(chưa có trong DM_SP)"))</f>
        <v/>
      </c>
      <c r="D299" s="35" t="str">
        <f>IF(B299="","",IFERROR(INDEX(DM_SP!$C$5:$C$304,MATCH(B299,DM_SP!$A$5:$A$304,0)),""))</f>
        <v/>
      </c>
      <c r="E299" s="35" t="str">
        <f>IF(BOM!A293="","",BOM!B293)</f>
        <v/>
      </c>
      <c r="F299" s="35" t="str">
        <f>IF(E299="","",IFERROR(INDEX(DM_NL!$B$5:$B$304,MATCH(E299,DM_NL!$A$5:$A$304,0)),"(chưa có trong DM_NL)"))</f>
        <v/>
      </c>
      <c r="G299" s="35" t="str">
        <f>IF(E299="","",IFERROR(INDEX(DM_NL!$C$5:$C$304,MATCH(E299,DM_NL!$A$5:$A$304,0)),""))</f>
        <v/>
      </c>
      <c r="H299" s="39" t="str">
        <f>IF(OR(E299="",BOM!G293="KXDDM"),"",BOM!F293)</f>
        <v/>
      </c>
      <c r="I299" s="36" t="str">
        <f>IF(E299="","",BOM!G293&amp;"")</f>
        <v/>
      </c>
    </row>
    <row r="300" spans="1:9" x14ac:dyDescent="0.25">
      <c r="A300" s="36" t="str">
        <f>IF(B300="","",MAX($A$10:A299)+1)</f>
        <v/>
      </c>
      <c r="B300" s="35" t="str">
        <f>IF(BOM!A294="","",IF(BOM!A294=BOM!A293,"",BOM!A294))</f>
        <v/>
      </c>
      <c r="C300" s="35" t="str">
        <f>IF(B300="","",IFERROR(INDEX(DM_SP!$B$5:$B$304,MATCH(B300,DM_SP!$A$5:$A$304,0)),"(chưa có trong DM_SP)"))</f>
        <v/>
      </c>
      <c r="D300" s="35" t="str">
        <f>IF(B300="","",IFERROR(INDEX(DM_SP!$C$5:$C$304,MATCH(B300,DM_SP!$A$5:$A$304,0)),""))</f>
        <v/>
      </c>
      <c r="E300" s="35" t="str">
        <f>IF(BOM!A294="","",BOM!B294)</f>
        <v/>
      </c>
      <c r="F300" s="35" t="str">
        <f>IF(E300="","",IFERROR(INDEX(DM_NL!$B$5:$B$304,MATCH(E300,DM_NL!$A$5:$A$304,0)),"(chưa có trong DM_NL)"))</f>
        <v/>
      </c>
      <c r="G300" s="35" t="str">
        <f>IF(E300="","",IFERROR(INDEX(DM_NL!$C$5:$C$304,MATCH(E300,DM_NL!$A$5:$A$304,0)),""))</f>
        <v/>
      </c>
      <c r="H300" s="39" t="str">
        <f>IF(OR(E300="",BOM!G294="KXDDM"),"",BOM!F294)</f>
        <v/>
      </c>
      <c r="I300" s="36" t="str">
        <f>IF(E300="","",BOM!G294&amp;"")</f>
        <v/>
      </c>
    </row>
    <row r="301" spans="1:9" x14ac:dyDescent="0.25">
      <c r="A301" s="36" t="str">
        <f>IF(B301="","",MAX($A$10:A300)+1)</f>
        <v/>
      </c>
      <c r="B301" s="35" t="str">
        <f>IF(BOM!A295="","",IF(BOM!A295=BOM!A294,"",BOM!A295))</f>
        <v/>
      </c>
      <c r="C301" s="35" t="str">
        <f>IF(B301="","",IFERROR(INDEX(DM_SP!$B$5:$B$304,MATCH(B301,DM_SP!$A$5:$A$304,0)),"(chưa có trong DM_SP)"))</f>
        <v/>
      </c>
      <c r="D301" s="35" t="str">
        <f>IF(B301="","",IFERROR(INDEX(DM_SP!$C$5:$C$304,MATCH(B301,DM_SP!$A$5:$A$304,0)),""))</f>
        <v/>
      </c>
      <c r="E301" s="35" t="str">
        <f>IF(BOM!A295="","",BOM!B295)</f>
        <v/>
      </c>
      <c r="F301" s="35" t="str">
        <f>IF(E301="","",IFERROR(INDEX(DM_NL!$B$5:$B$304,MATCH(E301,DM_NL!$A$5:$A$304,0)),"(chưa có trong DM_NL)"))</f>
        <v/>
      </c>
      <c r="G301" s="35" t="str">
        <f>IF(E301="","",IFERROR(INDEX(DM_NL!$C$5:$C$304,MATCH(E301,DM_NL!$A$5:$A$304,0)),""))</f>
        <v/>
      </c>
      <c r="H301" s="39" t="str">
        <f>IF(OR(E301="",BOM!G295="KXDDM"),"",BOM!F295)</f>
        <v/>
      </c>
      <c r="I301" s="36" t="str">
        <f>IF(E301="","",BOM!G295&amp;"")</f>
        <v/>
      </c>
    </row>
    <row r="302" spans="1:9" x14ac:dyDescent="0.25">
      <c r="A302" s="36" t="str">
        <f>IF(B302="","",MAX($A$10:A301)+1)</f>
        <v/>
      </c>
      <c r="B302" s="35" t="str">
        <f>IF(BOM!A296="","",IF(BOM!A296=BOM!A295,"",BOM!A296))</f>
        <v/>
      </c>
      <c r="C302" s="35" t="str">
        <f>IF(B302="","",IFERROR(INDEX(DM_SP!$B$5:$B$304,MATCH(B302,DM_SP!$A$5:$A$304,0)),"(chưa có trong DM_SP)"))</f>
        <v/>
      </c>
      <c r="D302" s="35" t="str">
        <f>IF(B302="","",IFERROR(INDEX(DM_SP!$C$5:$C$304,MATCH(B302,DM_SP!$A$5:$A$304,0)),""))</f>
        <v/>
      </c>
      <c r="E302" s="35" t="str">
        <f>IF(BOM!A296="","",BOM!B296)</f>
        <v/>
      </c>
      <c r="F302" s="35" t="str">
        <f>IF(E302="","",IFERROR(INDEX(DM_NL!$B$5:$B$304,MATCH(E302,DM_NL!$A$5:$A$304,0)),"(chưa có trong DM_NL)"))</f>
        <v/>
      </c>
      <c r="G302" s="35" t="str">
        <f>IF(E302="","",IFERROR(INDEX(DM_NL!$C$5:$C$304,MATCH(E302,DM_NL!$A$5:$A$304,0)),""))</f>
        <v/>
      </c>
      <c r="H302" s="39" t="str">
        <f>IF(OR(E302="",BOM!G296="KXDDM"),"",BOM!F296)</f>
        <v/>
      </c>
      <c r="I302" s="36" t="str">
        <f>IF(E302="","",BOM!G296&amp;"")</f>
        <v/>
      </c>
    </row>
    <row r="303" spans="1:9" x14ac:dyDescent="0.25">
      <c r="A303" s="36" t="str">
        <f>IF(B303="","",MAX($A$10:A302)+1)</f>
        <v/>
      </c>
      <c r="B303" s="35" t="str">
        <f>IF(BOM!A297="","",IF(BOM!A297=BOM!A296,"",BOM!A297))</f>
        <v/>
      </c>
      <c r="C303" s="35" t="str">
        <f>IF(B303="","",IFERROR(INDEX(DM_SP!$B$5:$B$304,MATCH(B303,DM_SP!$A$5:$A$304,0)),"(chưa có trong DM_SP)"))</f>
        <v/>
      </c>
      <c r="D303" s="35" t="str">
        <f>IF(B303="","",IFERROR(INDEX(DM_SP!$C$5:$C$304,MATCH(B303,DM_SP!$A$5:$A$304,0)),""))</f>
        <v/>
      </c>
      <c r="E303" s="35" t="str">
        <f>IF(BOM!A297="","",BOM!B297)</f>
        <v/>
      </c>
      <c r="F303" s="35" t="str">
        <f>IF(E303="","",IFERROR(INDEX(DM_NL!$B$5:$B$304,MATCH(E303,DM_NL!$A$5:$A$304,0)),"(chưa có trong DM_NL)"))</f>
        <v/>
      </c>
      <c r="G303" s="35" t="str">
        <f>IF(E303="","",IFERROR(INDEX(DM_NL!$C$5:$C$304,MATCH(E303,DM_NL!$A$5:$A$304,0)),""))</f>
        <v/>
      </c>
      <c r="H303" s="39" t="str">
        <f>IF(OR(E303="",BOM!G297="KXDDM"),"",BOM!F297)</f>
        <v/>
      </c>
      <c r="I303" s="36" t="str">
        <f>IF(E303="","",BOM!G297&amp;"")</f>
        <v/>
      </c>
    </row>
    <row r="304" spans="1:9" x14ac:dyDescent="0.25">
      <c r="A304" s="36" t="str">
        <f>IF(B304="","",MAX($A$10:A303)+1)</f>
        <v/>
      </c>
      <c r="B304" s="35" t="str">
        <f>IF(BOM!A298="","",IF(BOM!A298=BOM!A297,"",BOM!A298))</f>
        <v/>
      </c>
      <c r="C304" s="35" t="str">
        <f>IF(B304="","",IFERROR(INDEX(DM_SP!$B$5:$B$304,MATCH(B304,DM_SP!$A$5:$A$304,0)),"(chưa có trong DM_SP)"))</f>
        <v/>
      </c>
      <c r="D304" s="35" t="str">
        <f>IF(B304="","",IFERROR(INDEX(DM_SP!$C$5:$C$304,MATCH(B304,DM_SP!$A$5:$A$304,0)),""))</f>
        <v/>
      </c>
      <c r="E304" s="35" t="str">
        <f>IF(BOM!A298="","",BOM!B298)</f>
        <v/>
      </c>
      <c r="F304" s="35" t="str">
        <f>IF(E304="","",IFERROR(INDEX(DM_NL!$B$5:$B$304,MATCH(E304,DM_NL!$A$5:$A$304,0)),"(chưa có trong DM_NL)"))</f>
        <v/>
      </c>
      <c r="G304" s="35" t="str">
        <f>IF(E304="","",IFERROR(INDEX(DM_NL!$C$5:$C$304,MATCH(E304,DM_NL!$A$5:$A$304,0)),""))</f>
        <v/>
      </c>
      <c r="H304" s="39" t="str">
        <f>IF(OR(E304="",BOM!G298="KXDDM"),"",BOM!F298)</f>
        <v/>
      </c>
      <c r="I304" s="36" t="str">
        <f>IF(E304="","",BOM!G298&amp;"")</f>
        <v/>
      </c>
    </row>
    <row r="305" spans="1:9" x14ac:dyDescent="0.25">
      <c r="A305" s="36" t="str">
        <f>IF(B305="","",MAX($A$10:A304)+1)</f>
        <v/>
      </c>
      <c r="B305" s="35" t="str">
        <f>IF(BOM!A299="","",IF(BOM!A299=BOM!A298,"",BOM!A299))</f>
        <v/>
      </c>
      <c r="C305" s="35" t="str">
        <f>IF(B305="","",IFERROR(INDEX(DM_SP!$B$5:$B$304,MATCH(B305,DM_SP!$A$5:$A$304,0)),"(chưa có trong DM_SP)"))</f>
        <v/>
      </c>
      <c r="D305" s="35" t="str">
        <f>IF(B305="","",IFERROR(INDEX(DM_SP!$C$5:$C$304,MATCH(B305,DM_SP!$A$5:$A$304,0)),""))</f>
        <v/>
      </c>
      <c r="E305" s="35" t="str">
        <f>IF(BOM!A299="","",BOM!B299)</f>
        <v/>
      </c>
      <c r="F305" s="35" t="str">
        <f>IF(E305="","",IFERROR(INDEX(DM_NL!$B$5:$B$304,MATCH(E305,DM_NL!$A$5:$A$304,0)),"(chưa có trong DM_NL)"))</f>
        <v/>
      </c>
      <c r="G305" s="35" t="str">
        <f>IF(E305="","",IFERROR(INDEX(DM_NL!$C$5:$C$304,MATCH(E305,DM_NL!$A$5:$A$304,0)),""))</f>
        <v/>
      </c>
      <c r="H305" s="39" t="str">
        <f>IF(OR(E305="",BOM!G299="KXDDM"),"",BOM!F299)</f>
        <v/>
      </c>
      <c r="I305" s="36" t="str">
        <f>IF(E305="","",BOM!G299&amp;"")</f>
        <v/>
      </c>
    </row>
    <row r="306" spans="1:9" x14ac:dyDescent="0.25">
      <c r="A306" s="36" t="str">
        <f>IF(B306="","",MAX($A$10:A305)+1)</f>
        <v/>
      </c>
      <c r="B306" s="35" t="str">
        <f>IF(BOM!A300="","",IF(BOM!A300=BOM!A299,"",BOM!A300))</f>
        <v/>
      </c>
      <c r="C306" s="35" t="str">
        <f>IF(B306="","",IFERROR(INDEX(DM_SP!$B$5:$B$304,MATCH(B306,DM_SP!$A$5:$A$304,0)),"(chưa có trong DM_SP)"))</f>
        <v/>
      </c>
      <c r="D306" s="35" t="str">
        <f>IF(B306="","",IFERROR(INDEX(DM_SP!$C$5:$C$304,MATCH(B306,DM_SP!$A$5:$A$304,0)),""))</f>
        <v/>
      </c>
      <c r="E306" s="35" t="str">
        <f>IF(BOM!A300="","",BOM!B300)</f>
        <v/>
      </c>
      <c r="F306" s="35" t="str">
        <f>IF(E306="","",IFERROR(INDEX(DM_NL!$B$5:$B$304,MATCH(E306,DM_NL!$A$5:$A$304,0)),"(chưa có trong DM_NL)"))</f>
        <v/>
      </c>
      <c r="G306" s="35" t="str">
        <f>IF(E306="","",IFERROR(INDEX(DM_NL!$C$5:$C$304,MATCH(E306,DM_NL!$A$5:$A$304,0)),""))</f>
        <v/>
      </c>
      <c r="H306" s="39" t="str">
        <f>IF(OR(E306="",BOM!G300="KXDDM"),"",BOM!F300)</f>
        <v/>
      </c>
      <c r="I306" s="36" t="str">
        <f>IF(E306="","",BOM!G300&amp;"")</f>
        <v/>
      </c>
    </row>
    <row r="307" spans="1:9" x14ac:dyDescent="0.25">
      <c r="A307" s="36" t="str">
        <f>IF(B307="","",MAX($A$10:A306)+1)</f>
        <v/>
      </c>
      <c r="B307" s="35" t="str">
        <f>IF(BOM!A301="","",IF(BOM!A301=BOM!A300,"",BOM!A301))</f>
        <v/>
      </c>
      <c r="C307" s="35" t="str">
        <f>IF(B307="","",IFERROR(INDEX(DM_SP!$B$5:$B$304,MATCH(B307,DM_SP!$A$5:$A$304,0)),"(chưa có trong DM_SP)"))</f>
        <v/>
      </c>
      <c r="D307" s="35" t="str">
        <f>IF(B307="","",IFERROR(INDEX(DM_SP!$C$5:$C$304,MATCH(B307,DM_SP!$A$5:$A$304,0)),""))</f>
        <v/>
      </c>
      <c r="E307" s="35" t="str">
        <f>IF(BOM!A301="","",BOM!B301)</f>
        <v/>
      </c>
      <c r="F307" s="35" t="str">
        <f>IF(E307="","",IFERROR(INDEX(DM_NL!$B$5:$B$304,MATCH(E307,DM_NL!$A$5:$A$304,0)),"(chưa có trong DM_NL)"))</f>
        <v/>
      </c>
      <c r="G307" s="35" t="str">
        <f>IF(E307="","",IFERROR(INDEX(DM_NL!$C$5:$C$304,MATCH(E307,DM_NL!$A$5:$A$304,0)),""))</f>
        <v/>
      </c>
      <c r="H307" s="39" t="str">
        <f>IF(OR(E307="",BOM!G301="KXDDM"),"",BOM!F301)</f>
        <v/>
      </c>
      <c r="I307" s="36" t="str">
        <f>IF(E307="","",BOM!G301&amp;"")</f>
        <v/>
      </c>
    </row>
    <row r="308" spans="1:9" x14ac:dyDescent="0.25">
      <c r="A308" s="36" t="str">
        <f>IF(B308="","",MAX($A$10:A307)+1)</f>
        <v/>
      </c>
      <c r="B308" s="35" t="str">
        <f>IF(BOM!A302="","",IF(BOM!A302=BOM!A301,"",BOM!A302))</f>
        <v/>
      </c>
      <c r="C308" s="35" t="str">
        <f>IF(B308="","",IFERROR(INDEX(DM_SP!$B$5:$B$304,MATCH(B308,DM_SP!$A$5:$A$304,0)),"(chưa có trong DM_SP)"))</f>
        <v/>
      </c>
      <c r="D308" s="35" t="str">
        <f>IF(B308="","",IFERROR(INDEX(DM_SP!$C$5:$C$304,MATCH(B308,DM_SP!$A$5:$A$304,0)),""))</f>
        <v/>
      </c>
      <c r="E308" s="35" t="str">
        <f>IF(BOM!A302="","",BOM!B302)</f>
        <v/>
      </c>
      <c r="F308" s="35" t="str">
        <f>IF(E308="","",IFERROR(INDEX(DM_NL!$B$5:$B$304,MATCH(E308,DM_NL!$A$5:$A$304,0)),"(chưa có trong DM_NL)"))</f>
        <v/>
      </c>
      <c r="G308" s="35" t="str">
        <f>IF(E308="","",IFERROR(INDEX(DM_NL!$C$5:$C$304,MATCH(E308,DM_NL!$A$5:$A$304,0)),""))</f>
        <v/>
      </c>
      <c r="H308" s="39" t="str">
        <f>IF(OR(E308="",BOM!G302="KXDDM"),"",BOM!F302)</f>
        <v/>
      </c>
      <c r="I308" s="36" t="str">
        <f>IF(E308="","",BOM!G302&amp;"")</f>
        <v/>
      </c>
    </row>
    <row r="309" spans="1:9" x14ac:dyDescent="0.25">
      <c r="A309" s="36" t="str">
        <f>IF(B309="","",MAX($A$10:A308)+1)</f>
        <v/>
      </c>
      <c r="B309" s="35" t="str">
        <f>IF(BOM!A303="","",IF(BOM!A303=BOM!A302,"",BOM!A303))</f>
        <v/>
      </c>
      <c r="C309" s="35" t="str">
        <f>IF(B309="","",IFERROR(INDEX(DM_SP!$B$5:$B$304,MATCH(B309,DM_SP!$A$5:$A$304,0)),"(chưa có trong DM_SP)"))</f>
        <v/>
      </c>
      <c r="D309" s="35" t="str">
        <f>IF(B309="","",IFERROR(INDEX(DM_SP!$C$5:$C$304,MATCH(B309,DM_SP!$A$5:$A$304,0)),""))</f>
        <v/>
      </c>
      <c r="E309" s="35" t="str">
        <f>IF(BOM!A303="","",BOM!B303)</f>
        <v/>
      </c>
      <c r="F309" s="35" t="str">
        <f>IF(E309="","",IFERROR(INDEX(DM_NL!$B$5:$B$304,MATCH(E309,DM_NL!$A$5:$A$304,0)),"(chưa có trong DM_NL)"))</f>
        <v/>
      </c>
      <c r="G309" s="35" t="str">
        <f>IF(E309="","",IFERROR(INDEX(DM_NL!$C$5:$C$304,MATCH(E309,DM_NL!$A$5:$A$304,0)),""))</f>
        <v/>
      </c>
      <c r="H309" s="39" t="str">
        <f>IF(OR(E309="",BOM!G303="KXDDM"),"",BOM!F303)</f>
        <v/>
      </c>
      <c r="I309" s="36" t="str">
        <f>IF(E309="","",BOM!G303&amp;"")</f>
        <v/>
      </c>
    </row>
    <row r="310" spans="1:9" x14ac:dyDescent="0.25">
      <c r="A310" s="36" t="str">
        <f>IF(B310="","",MAX($A$10:A309)+1)</f>
        <v/>
      </c>
      <c r="B310" s="35" t="str">
        <f>IF(BOM!A304="","",IF(BOM!A304=BOM!A303,"",BOM!A304))</f>
        <v/>
      </c>
      <c r="C310" s="35" t="str">
        <f>IF(B310="","",IFERROR(INDEX(DM_SP!$B$5:$B$304,MATCH(B310,DM_SP!$A$5:$A$304,0)),"(chưa có trong DM_SP)"))</f>
        <v/>
      </c>
      <c r="D310" s="35" t="str">
        <f>IF(B310="","",IFERROR(INDEX(DM_SP!$C$5:$C$304,MATCH(B310,DM_SP!$A$5:$A$304,0)),""))</f>
        <v/>
      </c>
      <c r="E310" s="35" t="str">
        <f>IF(BOM!A304="","",BOM!B304)</f>
        <v/>
      </c>
      <c r="F310" s="35" t="str">
        <f>IF(E310="","",IFERROR(INDEX(DM_NL!$B$5:$B$304,MATCH(E310,DM_NL!$A$5:$A$304,0)),"(chưa có trong DM_NL)"))</f>
        <v/>
      </c>
      <c r="G310" s="35" t="str">
        <f>IF(E310="","",IFERROR(INDEX(DM_NL!$C$5:$C$304,MATCH(E310,DM_NL!$A$5:$A$304,0)),""))</f>
        <v/>
      </c>
      <c r="H310" s="39" t="str">
        <f>IF(OR(E310="",BOM!G304="KXDDM"),"",BOM!F304)</f>
        <v/>
      </c>
      <c r="I310" s="36" t="str">
        <f>IF(E310="","",BOM!G304&amp;"")</f>
        <v/>
      </c>
    </row>
    <row r="311" spans="1:9" x14ac:dyDescent="0.25">
      <c r="A311" s="36" t="str">
        <f>IF(B311="","",MAX($A$10:A310)+1)</f>
        <v/>
      </c>
      <c r="B311" s="35" t="str">
        <f>IF(BOM!A305="","",IF(BOM!A305=BOM!A304,"",BOM!A305))</f>
        <v/>
      </c>
      <c r="C311" s="35" t="str">
        <f>IF(B311="","",IFERROR(INDEX(DM_SP!$B$5:$B$304,MATCH(B311,DM_SP!$A$5:$A$304,0)),"(chưa có trong DM_SP)"))</f>
        <v/>
      </c>
      <c r="D311" s="35" t="str">
        <f>IF(B311="","",IFERROR(INDEX(DM_SP!$C$5:$C$304,MATCH(B311,DM_SP!$A$5:$A$304,0)),""))</f>
        <v/>
      </c>
      <c r="E311" s="35" t="str">
        <f>IF(BOM!A305="","",BOM!B305)</f>
        <v/>
      </c>
      <c r="F311" s="35" t="str">
        <f>IF(E311="","",IFERROR(INDEX(DM_NL!$B$5:$B$304,MATCH(E311,DM_NL!$A$5:$A$304,0)),"(chưa có trong DM_NL)"))</f>
        <v/>
      </c>
      <c r="G311" s="35" t="str">
        <f>IF(E311="","",IFERROR(INDEX(DM_NL!$C$5:$C$304,MATCH(E311,DM_NL!$A$5:$A$304,0)),""))</f>
        <v/>
      </c>
      <c r="H311" s="39" t="str">
        <f>IF(OR(E311="",BOM!G305="KXDDM"),"",BOM!F305)</f>
        <v/>
      </c>
      <c r="I311" s="36" t="str">
        <f>IF(E311="","",BOM!G305&amp;"")</f>
        <v/>
      </c>
    </row>
    <row r="312" spans="1:9" x14ac:dyDescent="0.25">
      <c r="A312" s="36" t="str">
        <f>IF(B312="","",MAX($A$10:A311)+1)</f>
        <v/>
      </c>
      <c r="B312" s="35" t="str">
        <f>IF(BOM!A306="","",IF(BOM!A306=BOM!A305,"",BOM!A306))</f>
        <v/>
      </c>
      <c r="C312" s="35" t="str">
        <f>IF(B312="","",IFERROR(INDEX(DM_SP!$B$5:$B$304,MATCH(B312,DM_SP!$A$5:$A$304,0)),"(chưa có trong DM_SP)"))</f>
        <v/>
      </c>
      <c r="D312" s="35" t="str">
        <f>IF(B312="","",IFERROR(INDEX(DM_SP!$C$5:$C$304,MATCH(B312,DM_SP!$A$5:$A$304,0)),""))</f>
        <v/>
      </c>
      <c r="E312" s="35" t="str">
        <f>IF(BOM!A306="","",BOM!B306)</f>
        <v/>
      </c>
      <c r="F312" s="35" t="str">
        <f>IF(E312="","",IFERROR(INDEX(DM_NL!$B$5:$B$304,MATCH(E312,DM_NL!$A$5:$A$304,0)),"(chưa có trong DM_NL)"))</f>
        <v/>
      </c>
      <c r="G312" s="35" t="str">
        <f>IF(E312="","",IFERROR(INDEX(DM_NL!$C$5:$C$304,MATCH(E312,DM_NL!$A$5:$A$304,0)),""))</f>
        <v/>
      </c>
      <c r="H312" s="39" t="str">
        <f>IF(OR(E312="",BOM!G306="KXDDM"),"",BOM!F306)</f>
        <v/>
      </c>
      <c r="I312" s="36" t="str">
        <f>IF(E312="","",BOM!G306&amp;"")</f>
        <v/>
      </c>
    </row>
    <row r="313" spans="1:9" x14ac:dyDescent="0.25">
      <c r="A313" s="36" t="str">
        <f>IF(B313="","",MAX($A$10:A312)+1)</f>
        <v/>
      </c>
      <c r="B313" s="35" t="str">
        <f>IF(BOM!A307="","",IF(BOM!A307=BOM!A306,"",BOM!A307))</f>
        <v/>
      </c>
      <c r="C313" s="35" t="str">
        <f>IF(B313="","",IFERROR(INDEX(DM_SP!$B$5:$B$304,MATCH(B313,DM_SP!$A$5:$A$304,0)),"(chưa có trong DM_SP)"))</f>
        <v/>
      </c>
      <c r="D313" s="35" t="str">
        <f>IF(B313="","",IFERROR(INDEX(DM_SP!$C$5:$C$304,MATCH(B313,DM_SP!$A$5:$A$304,0)),""))</f>
        <v/>
      </c>
      <c r="E313" s="35" t="str">
        <f>IF(BOM!A307="","",BOM!B307)</f>
        <v/>
      </c>
      <c r="F313" s="35" t="str">
        <f>IF(E313="","",IFERROR(INDEX(DM_NL!$B$5:$B$304,MATCH(E313,DM_NL!$A$5:$A$304,0)),"(chưa có trong DM_NL)"))</f>
        <v/>
      </c>
      <c r="G313" s="35" t="str">
        <f>IF(E313="","",IFERROR(INDEX(DM_NL!$C$5:$C$304,MATCH(E313,DM_NL!$A$5:$A$304,0)),""))</f>
        <v/>
      </c>
      <c r="H313" s="39" t="str">
        <f>IF(OR(E313="",BOM!G307="KXDDM"),"",BOM!F307)</f>
        <v/>
      </c>
      <c r="I313" s="36" t="str">
        <f>IF(E313="","",BOM!G307&amp;"")</f>
        <v/>
      </c>
    </row>
    <row r="314" spans="1:9" x14ac:dyDescent="0.25">
      <c r="A314" s="36" t="str">
        <f>IF(B314="","",MAX($A$10:A313)+1)</f>
        <v/>
      </c>
      <c r="B314" s="35" t="str">
        <f>IF(BOM!A308="","",IF(BOM!A308=BOM!A307,"",BOM!A308))</f>
        <v/>
      </c>
      <c r="C314" s="35" t="str">
        <f>IF(B314="","",IFERROR(INDEX(DM_SP!$B$5:$B$304,MATCH(B314,DM_SP!$A$5:$A$304,0)),"(chưa có trong DM_SP)"))</f>
        <v/>
      </c>
      <c r="D314" s="35" t="str">
        <f>IF(B314="","",IFERROR(INDEX(DM_SP!$C$5:$C$304,MATCH(B314,DM_SP!$A$5:$A$304,0)),""))</f>
        <v/>
      </c>
      <c r="E314" s="35" t="str">
        <f>IF(BOM!A308="","",BOM!B308)</f>
        <v/>
      </c>
      <c r="F314" s="35" t="str">
        <f>IF(E314="","",IFERROR(INDEX(DM_NL!$B$5:$B$304,MATCH(E314,DM_NL!$A$5:$A$304,0)),"(chưa có trong DM_NL)"))</f>
        <v/>
      </c>
      <c r="G314" s="35" t="str">
        <f>IF(E314="","",IFERROR(INDEX(DM_NL!$C$5:$C$304,MATCH(E314,DM_NL!$A$5:$A$304,0)),""))</f>
        <v/>
      </c>
      <c r="H314" s="39" t="str">
        <f>IF(OR(E314="",BOM!G308="KXDDM"),"",BOM!F308)</f>
        <v/>
      </c>
      <c r="I314" s="36" t="str">
        <f>IF(E314="","",BOM!G308&amp;"")</f>
        <v/>
      </c>
    </row>
    <row r="315" spans="1:9" x14ac:dyDescent="0.25">
      <c r="A315" s="36" t="str">
        <f>IF(B315="","",MAX($A$10:A314)+1)</f>
        <v/>
      </c>
      <c r="B315" s="35" t="str">
        <f>IF(BOM!A309="","",IF(BOM!A309=BOM!A308,"",BOM!A309))</f>
        <v/>
      </c>
      <c r="C315" s="35" t="str">
        <f>IF(B315="","",IFERROR(INDEX(DM_SP!$B$5:$B$304,MATCH(B315,DM_SP!$A$5:$A$304,0)),"(chưa có trong DM_SP)"))</f>
        <v/>
      </c>
      <c r="D315" s="35" t="str">
        <f>IF(B315="","",IFERROR(INDEX(DM_SP!$C$5:$C$304,MATCH(B315,DM_SP!$A$5:$A$304,0)),""))</f>
        <v/>
      </c>
      <c r="E315" s="35" t="str">
        <f>IF(BOM!A309="","",BOM!B309)</f>
        <v/>
      </c>
      <c r="F315" s="35" t="str">
        <f>IF(E315="","",IFERROR(INDEX(DM_NL!$B$5:$B$304,MATCH(E315,DM_NL!$A$5:$A$304,0)),"(chưa có trong DM_NL)"))</f>
        <v/>
      </c>
      <c r="G315" s="35" t="str">
        <f>IF(E315="","",IFERROR(INDEX(DM_NL!$C$5:$C$304,MATCH(E315,DM_NL!$A$5:$A$304,0)),""))</f>
        <v/>
      </c>
      <c r="H315" s="39" t="str">
        <f>IF(OR(E315="",BOM!G309="KXDDM"),"",BOM!F309)</f>
        <v/>
      </c>
      <c r="I315" s="36" t="str">
        <f>IF(E315="","",BOM!G309&amp;"")</f>
        <v/>
      </c>
    </row>
    <row r="316" spans="1:9" x14ac:dyDescent="0.25">
      <c r="A316" s="36" t="str">
        <f>IF(B316="","",MAX($A$10:A315)+1)</f>
        <v/>
      </c>
      <c r="B316" s="35" t="str">
        <f>IF(BOM!A310="","",IF(BOM!A310=BOM!A309,"",BOM!A310))</f>
        <v/>
      </c>
      <c r="C316" s="35" t="str">
        <f>IF(B316="","",IFERROR(INDEX(DM_SP!$B$5:$B$304,MATCH(B316,DM_SP!$A$5:$A$304,0)),"(chưa có trong DM_SP)"))</f>
        <v/>
      </c>
      <c r="D316" s="35" t="str">
        <f>IF(B316="","",IFERROR(INDEX(DM_SP!$C$5:$C$304,MATCH(B316,DM_SP!$A$5:$A$304,0)),""))</f>
        <v/>
      </c>
      <c r="E316" s="35" t="str">
        <f>IF(BOM!A310="","",BOM!B310)</f>
        <v/>
      </c>
      <c r="F316" s="35" t="str">
        <f>IF(E316="","",IFERROR(INDEX(DM_NL!$B$5:$B$304,MATCH(E316,DM_NL!$A$5:$A$304,0)),"(chưa có trong DM_NL)"))</f>
        <v/>
      </c>
      <c r="G316" s="35" t="str">
        <f>IF(E316="","",IFERROR(INDEX(DM_NL!$C$5:$C$304,MATCH(E316,DM_NL!$A$5:$A$304,0)),""))</f>
        <v/>
      </c>
      <c r="H316" s="39" t="str">
        <f>IF(OR(E316="",BOM!G310="KXDDM"),"",BOM!F310)</f>
        <v/>
      </c>
      <c r="I316" s="36" t="str">
        <f>IF(E316="","",BOM!G310&amp;"")</f>
        <v/>
      </c>
    </row>
    <row r="317" spans="1:9" x14ac:dyDescent="0.25">
      <c r="A317" s="36" t="str">
        <f>IF(B317="","",MAX($A$10:A316)+1)</f>
        <v/>
      </c>
      <c r="B317" s="35" t="str">
        <f>IF(BOM!A311="","",IF(BOM!A311=BOM!A310,"",BOM!A311))</f>
        <v/>
      </c>
      <c r="C317" s="35" t="str">
        <f>IF(B317="","",IFERROR(INDEX(DM_SP!$B$5:$B$304,MATCH(B317,DM_SP!$A$5:$A$304,0)),"(chưa có trong DM_SP)"))</f>
        <v/>
      </c>
      <c r="D317" s="35" t="str">
        <f>IF(B317="","",IFERROR(INDEX(DM_SP!$C$5:$C$304,MATCH(B317,DM_SP!$A$5:$A$304,0)),""))</f>
        <v/>
      </c>
      <c r="E317" s="35" t="str">
        <f>IF(BOM!A311="","",BOM!B311)</f>
        <v/>
      </c>
      <c r="F317" s="35" t="str">
        <f>IF(E317="","",IFERROR(INDEX(DM_NL!$B$5:$B$304,MATCH(E317,DM_NL!$A$5:$A$304,0)),"(chưa có trong DM_NL)"))</f>
        <v/>
      </c>
      <c r="G317" s="35" t="str">
        <f>IF(E317="","",IFERROR(INDEX(DM_NL!$C$5:$C$304,MATCH(E317,DM_NL!$A$5:$A$304,0)),""))</f>
        <v/>
      </c>
      <c r="H317" s="39" t="str">
        <f>IF(OR(E317="",BOM!G311="KXDDM"),"",BOM!F311)</f>
        <v/>
      </c>
      <c r="I317" s="36" t="str">
        <f>IF(E317="","",BOM!G311&amp;"")</f>
        <v/>
      </c>
    </row>
    <row r="318" spans="1:9" x14ac:dyDescent="0.25">
      <c r="A318" s="36" t="str">
        <f>IF(B318="","",MAX($A$10:A317)+1)</f>
        <v/>
      </c>
      <c r="B318" s="35" t="str">
        <f>IF(BOM!A312="","",IF(BOM!A312=BOM!A311,"",BOM!A312))</f>
        <v/>
      </c>
      <c r="C318" s="35" t="str">
        <f>IF(B318="","",IFERROR(INDEX(DM_SP!$B$5:$B$304,MATCH(B318,DM_SP!$A$5:$A$304,0)),"(chưa có trong DM_SP)"))</f>
        <v/>
      </c>
      <c r="D318" s="35" t="str">
        <f>IF(B318="","",IFERROR(INDEX(DM_SP!$C$5:$C$304,MATCH(B318,DM_SP!$A$5:$A$304,0)),""))</f>
        <v/>
      </c>
      <c r="E318" s="35" t="str">
        <f>IF(BOM!A312="","",BOM!B312)</f>
        <v/>
      </c>
      <c r="F318" s="35" t="str">
        <f>IF(E318="","",IFERROR(INDEX(DM_NL!$B$5:$B$304,MATCH(E318,DM_NL!$A$5:$A$304,0)),"(chưa có trong DM_NL)"))</f>
        <v/>
      </c>
      <c r="G318" s="35" t="str">
        <f>IF(E318="","",IFERROR(INDEX(DM_NL!$C$5:$C$304,MATCH(E318,DM_NL!$A$5:$A$304,0)),""))</f>
        <v/>
      </c>
      <c r="H318" s="39" t="str">
        <f>IF(OR(E318="",BOM!G312="KXDDM"),"",BOM!F312)</f>
        <v/>
      </c>
      <c r="I318" s="36" t="str">
        <f>IF(E318="","",BOM!G312&amp;"")</f>
        <v/>
      </c>
    </row>
    <row r="319" spans="1:9" x14ac:dyDescent="0.25">
      <c r="A319" s="36" t="str">
        <f>IF(B319="","",MAX($A$10:A318)+1)</f>
        <v/>
      </c>
      <c r="B319" s="35" t="str">
        <f>IF(BOM!A313="","",IF(BOM!A313=BOM!A312,"",BOM!A313))</f>
        <v/>
      </c>
      <c r="C319" s="35" t="str">
        <f>IF(B319="","",IFERROR(INDEX(DM_SP!$B$5:$B$304,MATCH(B319,DM_SP!$A$5:$A$304,0)),"(chưa có trong DM_SP)"))</f>
        <v/>
      </c>
      <c r="D319" s="35" t="str">
        <f>IF(B319="","",IFERROR(INDEX(DM_SP!$C$5:$C$304,MATCH(B319,DM_SP!$A$5:$A$304,0)),""))</f>
        <v/>
      </c>
      <c r="E319" s="35" t="str">
        <f>IF(BOM!A313="","",BOM!B313)</f>
        <v/>
      </c>
      <c r="F319" s="35" t="str">
        <f>IF(E319="","",IFERROR(INDEX(DM_NL!$B$5:$B$304,MATCH(E319,DM_NL!$A$5:$A$304,0)),"(chưa có trong DM_NL)"))</f>
        <v/>
      </c>
      <c r="G319" s="35" t="str">
        <f>IF(E319="","",IFERROR(INDEX(DM_NL!$C$5:$C$304,MATCH(E319,DM_NL!$A$5:$A$304,0)),""))</f>
        <v/>
      </c>
      <c r="H319" s="39" t="str">
        <f>IF(OR(E319="",BOM!G313="KXDDM"),"",BOM!F313)</f>
        <v/>
      </c>
      <c r="I319" s="36" t="str">
        <f>IF(E319="","",BOM!G313&amp;"")</f>
        <v/>
      </c>
    </row>
    <row r="320" spans="1:9" x14ac:dyDescent="0.25">
      <c r="A320" s="36" t="str">
        <f>IF(B320="","",MAX($A$10:A319)+1)</f>
        <v/>
      </c>
      <c r="B320" s="35" t="str">
        <f>IF(BOM!A314="","",IF(BOM!A314=BOM!A313,"",BOM!A314))</f>
        <v/>
      </c>
      <c r="C320" s="35" t="str">
        <f>IF(B320="","",IFERROR(INDEX(DM_SP!$B$5:$B$304,MATCH(B320,DM_SP!$A$5:$A$304,0)),"(chưa có trong DM_SP)"))</f>
        <v/>
      </c>
      <c r="D320" s="35" t="str">
        <f>IF(B320="","",IFERROR(INDEX(DM_SP!$C$5:$C$304,MATCH(B320,DM_SP!$A$5:$A$304,0)),""))</f>
        <v/>
      </c>
      <c r="E320" s="35" t="str">
        <f>IF(BOM!A314="","",BOM!B314)</f>
        <v/>
      </c>
      <c r="F320" s="35" t="str">
        <f>IF(E320="","",IFERROR(INDEX(DM_NL!$B$5:$B$304,MATCH(E320,DM_NL!$A$5:$A$304,0)),"(chưa có trong DM_NL)"))</f>
        <v/>
      </c>
      <c r="G320" s="35" t="str">
        <f>IF(E320="","",IFERROR(INDEX(DM_NL!$C$5:$C$304,MATCH(E320,DM_NL!$A$5:$A$304,0)),""))</f>
        <v/>
      </c>
      <c r="H320" s="39" t="str">
        <f>IF(OR(E320="",BOM!G314="KXDDM"),"",BOM!F314)</f>
        <v/>
      </c>
      <c r="I320" s="36" t="str">
        <f>IF(E320="","",BOM!G314&amp;"")</f>
        <v/>
      </c>
    </row>
    <row r="321" spans="1:9" x14ac:dyDescent="0.25">
      <c r="A321" s="36" t="str">
        <f>IF(B321="","",MAX($A$10:A320)+1)</f>
        <v/>
      </c>
      <c r="B321" s="35" t="str">
        <f>IF(BOM!A315="","",IF(BOM!A315=BOM!A314,"",BOM!A315))</f>
        <v/>
      </c>
      <c r="C321" s="35" t="str">
        <f>IF(B321="","",IFERROR(INDEX(DM_SP!$B$5:$B$304,MATCH(B321,DM_SP!$A$5:$A$304,0)),"(chưa có trong DM_SP)"))</f>
        <v/>
      </c>
      <c r="D321" s="35" t="str">
        <f>IF(B321="","",IFERROR(INDEX(DM_SP!$C$5:$C$304,MATCH(B321,DM_SP!$A$5:$A$304,0)),""))</f>
        <v/>
      </c>
      <c r="E321" s="35" t="str">
        <f>IF(BOM!A315="","",BOM!B315)</f>
        <v/>
      </c>
      <c r="F321" s="35" t="str">
        <f>IF(E321="","",IFERROR(INDEX(DM_NL!$B$5:$B$304,MATCH(E321,DM_NL!$A$5:$A$304,0)),"(chưa có trong DM_NL)"))</f>
        <v/>
      </c>
      <c r="G321" s="35" t="str">
        <f>IF(E321="","",IFERROR(INDEX(DM_NL!$C$5:$C$304,MATCH(E321,DM_NL!$A$5:$A$304,0)),""))</f>
        <v/>
      </c>
      <c r="H321" s="39" t="str">
        <f>IF(OR(E321="",BOM!G315="KXDDM"),"",BOM!F315)</f>
        <v/>
      </c>
      <c r="I321" s="36" t="str">
        <f>IF(E321="","",BOM!G315&amp;"")</f>
        <v/>
      </c>
    </row>
    <row r="322" spans="1:9" x14ac:dyDescent="0.25">
      <c r="A322" s="36" t="str">
        <f>IF(B322="","",MAX($A$10:A321)+1)</f>
        <v/>
      </c>
      <c r="B322" s="35" t="str">
        <f>IF(BOM!A316="","",IF(BOM!A316=BOM!A315,"",BOM!A316))</f>
        <v/>
      </c>
      <c r="C322" s="35" t="str">
        <f>IF(B322="","",IFERROR(INDEX(DM_SP!$B$5:$B$304,MATCH(B322,DM_SP!$A$5:$A$304,0)),"(chưa có trong DM_SP)"))</f>
        <v/>
      </c>
      <c r="D322" s="35" t="str">
        <f>IF(B322="","",IFERROR(INDEX(DM_SP!$C$5:$C$304,MATCH(B322,DM_SP!$A$5:$A$304,0)),""))</f>
        <v/>
      </c>
      <c r="E322" s="35" t="str">
        <f>IF(BOM!A316="","",BOM!B316)</f>
        <v/>
      </c>
      <c r="F322" s="35" t="str">
        <f>IF(E322="","",IFERROR(INDEX(DM_NL!$B$5:$B$304,MATCH(E322,DM_NL!$A$5:$A$304,0)),"(chưa có trong DM_NL)"))</f>
        <v/>
      </c>
      <c r="G322" s="35" t="str">
        <f>IF(E322="","",IFERROR(INDEX(DM_NL!$C$5:$C$304,MATCH(E322,DM_NL!$A$5:$A$304,0)),""))</f>
        <v/>
      </c>
      <c r="H322" s="39" t="str">
        <f>IF(OR(E322="",BOM!G316="KXDDM"),"",BOM!F316)</f>
        <v/>
      </c>
      <c r="I322" s="36" t="str">
        <f>IF(E322="","",BOM!G316&amp;"")</f>
        <v/>
      </c>
    </row>
    <row r="323" spans="1:9" x14ac:dyDescent="0.25">
      <c r="A323" s="36" t="str">
        <f>IF(B323="","",MAX($A$10:A322)+1)</f>
        <v/>
      </c>
      <c r="B323" s="35" t="str">
        <f>IF(BOM!A317="","",IF(BOM!A317=BOM!A316,"",BOM!A317))</f>
        <v/>
      </c>
      <c r="C323" s="35" t="str">
        <f>IF(B323="","",IFERROR(INDEX(DM_SP!$B$5:$B$304,MATCH(B323,DM_SP!$A$5:$A$304,0)),"(chưa có trong DM_SP)"))</f>
        <v/>
      </c>
      <c r="D323" s="35" t="str">
        <f>IF(B323="","",IFERROR(INDEX(DM_SP!$C$5:$C$304,MATCH(B323,DM_SP!$A$5:$A$304,0)),""))</f>
        <v/>
      </c>
      <c r="E323" s="35" t="str">
        <f>IF(BOM!A317="","",BOM!B317)</f>
        <v/>
      </c>
      <c r="F323" s="35" t="str">
        <f>IF(E323="","",IFERROR(INDEX(DM_NL!$B$5:$B$304,MATCH(E323,DM_NL!$A$5:$A$304,0)),"(chưa có trong DM_NL)"))</f>
        <v/>
      </c>
      <c r="G323" s="35" t="str">
        <f>IF(E323="","",IFERROR(INDEX(DM_NL!$C$5:$C$304,MATCH(E323,DM_NL!$A$5:$A$304,0)),""))</f>
        <v/>
      </c>
      <c r="H323" s="39" t="str">
        <f>IF(OR(E323="",BOM!G317="KXDDM"),"",BOM!F317)</f>
        <v/>
      </c>
      <c r="I323" s="36" t="str">
        <f>IF(E323="","",BOM!G317&amp;"")</f>
        <v/>
      </c>
    </row>
    <row r="324" spans="1:9" x14ac:dyDescent="0.25">
      <c r="A324" s="36" t="str">
        <f>IF(B324="","",MAX($A$10:A323)+1)</f>
        <v/>
      </c>
      <c r="B324" s="35" t="str">
        <f>IF(BOM!A318="","",IF(BOM!A318=BOM!A317,"",BOM!A318))</f>
        <v/>
      </c>
      <c r="C324" s="35" t="str">
        <f>IF(B324="","",IFERROR(INDEX(DM_SP!$B$5:$B$304,MATCH(B324,DM_SP!$A$5:$A$304,0)),"(chưa có trong DM_SP)"))</f>
        <v/>
      </c>
      <c r="D324" s="35" t="str">
        <f>IF(B324="","",IFERROR(INDEX(DM_SP!$C$5:$C$304,MATCH(B324,DM_SP!$A$5:$A$304,0)),""))</f>
        <v/>
      </c>
      <c r="E324" s="35" t="str">
        <f>IF(BOM!A318="","",BOM!B318)</f>
        <v/>
      </c>
      <c r="F324" s="35" t="str">
        <f>IF(E324="","",IFERROR(INDEX(DM_NL!$B$5:$B$304,MATCH(E324,DM_NL!$A$5:$A$304,0)),"(chưa có trong DM_NL)"))</f>
        <v/>
      </c>
      <c r="G324" s="35" t="str">
        <f>IF(E324="","",IFERROR(INDEX(DM_NL!$C$5:$C$304,MATCH(E324,DM_NL!$A$5:$A$304,0)),""))</f>
        <v/>
      </c>
      <c r="H324" s="39" t="str">
        <f>IF(OR(E324="",BOM!G318="KXDDM"),"",BOM!F318)</f>
        <v/>
      </c>
      <c r="I324" s="36" t="str">
        <f>IF(E324="","",BOM!G318&amp;"")</f>
        <v/>
      </c>
    </row>
    <row r="325" spans="1:9" x14ac:dyDescent="0.25">
      <c r="A325" s="36" t="str">
        <f>IF(B325="","",MAX($A$10:A324)+1)</f>
        <v/>
      </c>
      <c r="B325" s="35" t="str">
        <f>IF(BOM!A319="","",IF(BOM!A319=BOM!A318,"",BOM!A319))</f>
        <v/>
      </c>
      <c r="C325" s="35" t="str">
        <f>IF(B325="","",IFERROR(INDEX(DM_SP!$B$5:$B$304,MATCH(B325,DM_SP!$A$5:$A$304,0)),"(chưa có trong DM_SP)"))</f>
        <v/>
      </c>
      <c r="D325" s="35" t="str">
        <f>IF(B325="","",IFERROR(INDEX(DM_SP!$C$5:$C$304,MATCH(B325,DM_SP!$A$5:$A$304,0)),""))</f>
        <v/>
      </c>
      <c r="E325" s="35" t="str">
        <f>IF(BOM!A319="","",BOM!B319)</f>
        <v/>
      </c>
      <c r="F325" s="35" t="str">
        <f>IF(E325="","",IFERROR(INDEX(DM_NL!$B$5:$B$304,MATCH(E325,DM_NL!$A$5:$A$304,0)),"(chưa có trong DM_NL)"))</f>
        <v/>
      </c>
      <c r="G325" s="35" t="str">
        <f>IF(E325="","",IFERROR(INDEX(DM_NL!$C$5:$C$304,MATCH(E325,DM_NL!$A$5:$A$304,0)),""))</f>
        <v/>
      </c>
      <c r="H325" s="39" t="str">
        <f>IF(OR(E325="",BOM!G319="KXDDM"),"",BOM!F319)</f>
        <v/>
      </c>
      <c r="I325" s="36" t="str">
        <f>IF(E325="","",BOM!G319&amp;"")</f>
        <v/>
      </c>
    </row>
    <row r="326" spans="1:9" x14ac:dyDescent="0.25">
      <c r="A326" s="36" t="str">
        <f>IF(B326="","",MAX($A$10:A325)+1)</f>
        <v/>
      </c>
      <c r="B326" s="35" t="str">
        <f>IF(BOM!A320="","",IF(BOM!A320=BOM!A319,"",BOM!A320))</f>
        <v/>
      </c>
      <c r="C326" s="35" t="str">
        <f>IF(B326="","",IFERROR(INDEX(DM_SP!$B$5:$B$304,MATCH(B326,DM_SP!$A$5:$A$304,0)),"(chưa có trong DM_SP)"))</f>
        <v/>
      </c>
      <c r="D326" s="35" t="str">
        <f>IF(B326="","",IFERROR(INDEX(DM_SP!$C$5:$C$304,MATCH(B326,DM_SP!$A$5:$A$304,0)),""))</f>
        <v/>
      </c>
      <c r="E326" s="35" t="str">
        <f>IF(BOM!A320="","",BOM!B320)</f>
        <v/>
      </c>
      <c r="F326" s="35" t="str">
        <f>IF(E326="","",IFERROR(INDEX(DM_NL!$B$5:$B$304,MATCH(E326,DM_NL!$A$5:$A$304,0)),"(chưa có trong DM_NL)"))</f>
        <v/>
      </c>
      <c r="G326" s="35" t="str">
        <f>IF(E326="","",IFERROR(INDEX(DM_NL!$C$5:$C$304,MATCH(E326,DM_NL!$A$5:$A$304,0)),""))</f>
        <v/>
      </c>
      <c r="H326" s="39" t="str">
        <f>IF(OR(E326="",BOM!G320="KXDDM"),"",BOM!F320)</f>
        <v/>
      </c>
      <c r="I326" s="36" t="str">
        <f>IF(E326="","",BOM!G320&amp;"")</f>
        <v/>
      </c>
    </row>
    <row r="327" spans="1:9" x14ac:dyDescent="0.25">
      <c r="A327" s="36" t="str">
        <f>IF(B327="","",MAX($A$10:A326)+1)</f>
        <v/>
      </c>
      <c r="B327" s="35" t="str">
        <f>IF(BOM!A321="","",IF(BOM!A321=BOM!A320,"",BOM!A321))</f>
        <v/>
      </c>
      <c r="C327" s="35" t="str">
        <f>IF(B327="","",IFERROR(INDEX(DM_SP!$B$5:$B$304,MATCH(B327,DM_SP!$A$5:$A$304,0)),"(chưa có trong DM_SP)"))</f>
        <v/>
      </c>
      <c r="D327" s="35" t="str">
        <f>IF(B327="","",IFERROR(INDEX(DM_SP!$C$5:$C$304,MATCH(B327,DM_SP!$A$5:$A$304,0)),""))</f>
        <v/>
      </c>
      <c r="E327" s="35" t="str">
        <f>IF(BOM!A321="","",BOM!B321)</f>
        <v/>
      </c>
      <c r="F327" s="35" t="str">
        <f>IF(E327="","",IFERROR(INDEX(DM_NL!$B$5:$B$304,MATCH(E327,DM_NL!$A$5:$A$304,0)),"(chưa có trong DM_NL)"))</f>
        <v/>
      </c>
      <c r="G327" s="35" t="str">
        <f>IF(E327="","",IFERROR(INDEX(DM_NL!$C$5:$C$304,MATCH(E327,DM_NL!$A$5:$A$304,0)),""))</f>
        <v/>
      </c>
      <c r="H327" s="39" t="str">
        <f>IF(OR(E327="",BOM!G321="KXDDM"),"",BOM!F321)</f>
        <v/>
      </c>
      <c r="I327" s="36" t="str">
        <f>IF(E327="","",BOM!G321&amp;"")</f>
        <v/>
      </c>
    </row>
    <row r="328" spans="1:9" x14ac:dyDescent="0.25">
      <c r="A328" s="36" t="str">
        <f>IF(B328="","",MAX($A$10:A327)+1)</f>
        <v/>
      </c>
      <c r="B328" s="35" t="str">
        <f>IF(BOM!A322="","",IF(BOM!A322=BOM!A321,"",BOM!A322))</f>
        <v/>
      </c>
      <c r="C328" s="35" t="str">
        <f>IF(B328="","",IFERROR(INDEX(DM_SP!$B$5:$B$304,MATCH(B328,DM_SP!$A$5:$A$304,0)),"(chưa có trong DM_SP)"))</f>
        <v/>
      </c>
      <c r="D328" s="35" t="str">
        <f>IF(B328="","",IFERROR(INDEX(DM_SP!$C$5:$C$304,MATCH(B328,DM_SP!$A$5:$A$304,0)),""))</f>
        <v/>
      </c>
      <c r="E328" s="35" t="str">
        <f>IF(BOM!A322="","",BOM!B322)</f>
        <v/>
      </c>
      <c r="F328" s="35" t="str">
        <f>IF(E328="","",IFERROR(INDEX(DM_NL!$B$5:$B$304,MATCH(E328,DM_NL!$A$5:$A$304,0)),"(chưa có trong DM_NL)"))</f>
        <v/>
      </c>
      <c r="G328" s="35" t="str">
        <f>IF(E328="","",IFERROR(INDEX(DM_NL!$C$5:$C$304,MATCH(E328,DM_NL!$A$5:$A$304,0)),""))</f>
        <v/>
      </c>
      <c r="H328" s="39" t="str">
        <f>IF(OR(E328="",BOM!G322="KXDDM"),"",BOM!F322)</f>
        <v/>
      </c>
      <c r="I328" s="36" t="str">
        <f>IF(E328="","",BOM!G322&amp;"")</f>
        <v/>
      </c>
    </row>
    <row r="329" spans="1:9" x14ac:dyDescent="0.25">
      <c r="A329" s="36" t="str">
        <f>IF(B329="","",MAX($A$10:A328)+1)</f>
        <v/>
      </c>
      <c r="B329" s="35" t="str">
        <f>IF(BOM!A323="","",IF(BOM!A323=BOM!A322,"",BOM!A323))</f>
        <v/>
      </c>
      <c r="C329" s="35" t="str">
        <f>IF(B329="","",IFERROR(INDEX(DM_SP!$B$5:$B$304,MATCH(B329,DM_SP!$A$5:$A$304,0)),"(chưa có trong DM_SP)"))</f>
        <v/>
      </c>
      <c r="D329" s="35" t="str">
        <f>IF(B329="","",IFERROR(INDEX(DM_SP!$C$5:$C$304,MATCH(B329,DM_SP!$A$5:$A$304,0)),""))</f>
        <v/>
      </c>
      <c r="E329" s="35" t="str">
        <f>IF(BOM!A323="","",BOM!B323)</f>
        <v/>
      </c>
      <c r="F329" s="35" t="str">
        <f>IF(E329="","",IFERROR(INDEX(DM_NL!$B$5:$B$304,MATCH(E329,DM_NL!$A$5:$A$304,0)),"(chưa có trong DM_NL)"))</f>
        <v/>
      </c>
      <c r="G329" s="35" t="str">
        <f>IF(E329="","",IFERROR(INDEX(DM_NL!$C$5:$C$304,MATCH(E329,DM_NL!$A$5:$A$304,0)),""))</f>
        <v/>
      </c>
      <c r="H329" s="39" t="str">
        <f>IF(OR(E329="",BOM!G323="KXDDM"),"",BOM!F323)</f>
        <v/>
      </c>
      <c r="I329" s="36" t="str">
        <f>IF(E329="","",BOM!G323&amp;"")</f>
        <v/>
      </c>
    </row>
    <row r="330" spans="1:9" x14ac:dyDescent="0.25">
      <c r="A330" s="36" t="str">
        <f>IF(B330="","",MAX($A$10:A329)+1)</f>
        <v/>
      </c>
      <c r="B330" s="35" t="str">
        <f>IF(BOM!A324="","",IF(BOM!A324=BOM!A323,"",BOM!A324))</f>
        <v/>
      </c>
      <c r="C330" s="35" t="str">
        <f>IF(B330="","",IFERROR(INDEX(DM_SP!$B$5:$B$304,MATCH(B330,DM_SP!$A$5:$A$304,0)),"(chưa có trong DM_SP)"))</f>
        <v/>
      </c>
      <c r="D330" s="35" t="str">
        <f>IF(B330="","",IFERROR(INDEX(DM_SP!$C$5:$C$304,MATCH(B330,DM_SP!$A$5:$A$304,0)),""))</f>
        <v/>
      </c>
      <c r="E330" s="35" t="str">
        <f>IF(BOM!A324="","",BOM!B324)</f>
        <v/>
      </c>
      <c r="F330" s="35" t="str">
        <f>IF(E330="","",IFERROR(INDEX(DM_NL!$B$5:$B$304,MATCH(E330,DM_NL!$A$5:$A$304,0)),"(chưa có trong DM_NL)"))</f>
        <v/>
      </c>
      <c r="G330" s="35" t="str">
        <f>IF(E330="","",IFERROR(INDEX(DM_NL!$C$5:$C$304,MATCH(E330,DM_NL!$A$5:$A$304,0)),""))</f>
        <v/>
      </c>
      <c r="H330" s="39" t="str">
        <f>IF(OR(E330="",BOM!G324="KXDDM"),"",BOM!F324)</f>
        <v/>
      </c>
      <c r="I330" s="36" t="str">
        <f>IF(E330="","",BOM!G324&amp;"")</f>
        <v/>
      </c>
    </row>
    <row r="331" spans="1:9" x14ac:dyDescent="0.25">
      <c r="A331" s="36" t="str">
        <f>IF(B331="","",MAX($A$10:A330)+1)</f>
        <v/>
      </c>
      <c r="B331" s="35" t="str">
        <f>IF(BOM!A325="","",IF(BOM!A325=BOM!A324,"",BOM!A325))</f>
        <v/>
      </c>
      <c r="C331" s="35" t="str">
        <f>IF(B331="","",IFERROR(INDEX(DM_SP!$B$5:$B$304,MATCH(B331,DM_SP!$A$5:$A$304,0)),"(chưa có trong DM_SP)"))</f>
        <v/>
      </c>
      <c r="D331" s="35" t="str">
        <f>IF(B331="","",IFERROR(INDEX(DM_SP!$C$5:$C$304,MATCH(B331,DM_SP!$A$5:$A$304,0)),""))</f>
        <v/>
      </c>
      <c r="E331" s="35" t="str">
        <f>IF(BOM!A325="","",BOM!B325)</f>
        <v/>
      </c>
      <c r="F331" s="35" t="str">
        <f>IF(E331="","",IFERROR(INDEX(DM_NL!$B$5:$B$304,MATCH(E331,DM_NL!$A$5:$A$304,0)),"(chưa có trong DM_NL)"))</f>
        <v/>
      </c>
      <c r="G331" s="35" t="str">
        <f>IF(E331="","",IFERROR(INDEX(DM_NL!$C$5:$C$304,MATCH(E331,DM_NL!$A$5:$A$304,0)),""))</f>
        <v/>
      </c>
      <c r="H331" s="39" t="str">
        <f>IF(OR(E331="",BOM!G325="KXDDM"),"",BOM!F325)</f>
        <v/>
      </c>
      <c r="I331" s="36" t="str">
        <f>IF(E331="","",BOM!G325&amp;"")</f>
        <v/>
      </c>
    </row>
    <row r="332" spans="1:9" x14ac:dyDescent="0.25">
      <c r="A332" s="36" t="str">
        <f>IF(B332="","",MAX($A$10:A331)+1)</f>
        <v/>
      </c>
      <c r="B332" s="35" t="str">
        <f>IF(BOM!A326="","",IF(BOM!A326=BOM!A325,"",BOM!A326))</f>
        <v/>
      </c>
      <c r="C332" s="35" t="str">
        <f>IF(B332="","",IFERROR(INDEX(DM_SP!$B$5:$B$304,MATCH(B332,DM_SP!$A$5:$A$304,0)),"(chưa có trong DM_SP)"))</f>
        <v/>
      </c>
      <c r="D332" s="35" t="str">
        <f>IF(B332="","",IFERROR(INDEX(DM_SP!$C$5:$C$304,MATCH(B332,DM_SP!$A$5:$A$304,0)),""))</f>
        <v/>
      </c>
      <c r="E332" s="35" t="str">
        <f>IF(BOM!A326="","",BOM!B326)</f>
        <v/>
      </c>
      <c r="F332" s="35" t="str">
        <f>IF(E332="","",IFERROR(INDEX(DM_NL!$B$5:$B$304,MATCH(E332,DM_NL!$A$5:$A$304,0)),"(chưa có trong DM_NL)"))</f>
        <v/>
      </c>
      <c r="G332" s="35" t="str">
        <f>IF(E332="","",IFERROR(INDEX(DM_NL!$C$5:$C$304,MATCH(E332,DM_NL!$A$5:$A$304,0)),""))</f>
        <v/>
      </c>
      <c r="H332" s="39" t="str">
        <f>IF(OR(E332="",BOM!G326="KXDDM"),"",BOM!F326)</f>
        <v/>
      </c>
      <c r="I332" s="36" t="str">
        <f>IF(E332="","",BOM!G326&amp;"")</f>
        <v/>
      </c>
    </row>
    <row r="333" spans="1:9" x14ac:dyDescent="0.25">
      <c r="A333" s="36" t="str">
        <f>IF(B333="","",MAX($A$10:A332)+1)</f>
        <v/>
      </c>
      <c r="B333" s="35" t="str">
        <f>IF(BOM!A327="","",IF(BOM!A327=BOM!A326,"",BOM!A327))</f>
        <v/>
      </c>
      <c r="C333" s="35" t="str">
        <f>IF(B333="","",IFERROR(INDEX(DM_SP!$B$5:$B$304,MATCH(B333,DM_SP!$A$5:$A$304,0)),"(chưa có trong DM_SP)"))</f>
        <v/>
      </c>
      <c r="D333" s="35" t="str">
        <f>IF(B333="","",IFERROR(INDEX(DM_SP!$C$5:$C$304,MATCH(B333,DM_SP!$A$5:$A$304,0)),""))</f>
        <v/>
      </c>
      <c r="E333" s="35" t="str">
        <f>IF(BOM!A327="","",BOM!B327)</f>
        <v/>
      </c>
      <c r="F333" s="35" t="str">
        <f>IF(E333="","",IFERROR(INDEX(DM_NL!$B$5:$B$304,MATCH(E333,DM_NL!$A$5:$A$304,0)),"(chưa có trong DM_NL)"))</f>
        <v/>
      </c>
      <c r="G333" s="35" t="str">
        <f>IF(E333="","",IFERROR(INDEX(DM_NL!$C$5:$C$304,MATCH(E333,DM_NL!$A$5:$A$304,0)),""))</f>
        <v/>
      </c>
      <c r="H333" s="39" t="str">
        <f>IF(OR(E333="",BOM!G327="KXDDM"),"",BOM!F327)</f>
        <v/>
      </c>
      <c r="I333" s="36" t="str">
        <f>IF(E333="","",BOM!G327&amp;"")</f>
        <v/>
      </c>
    </row>
    <row r="334" spans="1:9" x14ac:dyDescent="0.25">
      <c r="A334" s="36" t="str">
        <f>IF(B334="","",MAX($A$10:A333)+1)</f>
        <v/>
      </c>
      <c r="B334" s="35" t="str">
        <f>IF(BOM!A328="","",IF(BOM!A328=BOM!A327,"",BOM!A328))</f>
        <v/>
      </c>
      <c r="C334" s="35" t="str">
        <f>IF(B334="","",IFERROR(INDEX(DM_SP!$B$5:$B$304,MATCH(B334,DM_SP!$A$5:$A$304,0)),"(chưa có trong DM_SP)"))</f>
        <v/>
      </c>
      <c r="D334" s="35" t="str">
        <f>IF(B334="","",IFERROR(INDEX(DM_SP!$C$5:$C$304,MATCH(B334,DM_SP!$A$5:$A$304,0)),""))</f>
        <v/>
      </c>
      <c r="E334" s="35" t="str">
        <f>IF(BOM!A328="","",BOM!B328)</f>
        <v/>
      </c>
      <c r="F334" s="35" t="str">
        <f>IF(E334="","",IFERROR(INDEX(DM_NL!$B$5:$B$304,MATCH(E334,DM_NL!$A$5:$A$304,0)),"(chưa có trong DM_NL)"))</f>
        <v/>
      </c>
      <c r="G334" s="35" t="str">
        <f>IF(E334="","",IFERROR(INDEX(DM_NL!$C$5:$C$304,MATCH(E334,DM_NL!$A$5:$A$304,0)),""))</f>
        <v/>
      </c>
      <c r="H334" s="39" t="str">
        <f>IF(OR(E334="",BOM!G328="KXDDM"),"",BOM!F328)</f>
        <v/>
      </c>
      <c r="I334" s="36" t="str">
        <f>IF(E334="","",BOM!G328&amp;"")</f>
        <v/>
      </c>
    </row>
    <row r="335" spans="1:9" x14ac:dyDescent="0.25">
      <c r="A335" s="36" t="str">
        <f>IF(B335="","",MAX($A$10:A334)+1)</f>
        <v/>
      </c>
      <c r="B335" s="35" t="str">
        <f>IF(BOM!A329="","",IF(BOM!A329=BOM!A328,"",BOM!A329))</f>
        <v/>
      </c>
      <c r="C335" s="35" t="str">
        <f>IF(B335="","",IFERROR(INDEX(DM_SP!$B$5:$B$304,MATCH(B335,DM_SP!$A$5:$A$304,0)),"(chưa có trong DM_SP)"))</f>
        <v/>
      </c>
      <c r="D335" s="35" t="str">
        <f>IF(B335="","",IFERROR(INDEX(DM_SP!$C$5:$C$304,MATCH(B335,DM_SP!$A$5:$A$304,0)),""))</f>
        <v/>
      </c>
      <c r="E335" s="35" t="str">
        <f>IF(BOM!A329="","",BOM!B329)</f>
        <v/>
      </c>
      <c r="F335" s="35" t="str">
        <f>IF(E335="","",IFERROR(INDEX(DM_NL!$B$5:$B$304,MATCH(E335,DM_NL!$A$5:$A$304,0)),"(chưa có trong DM_NL)"))</f>
        <v/>
      </c>
      <c r="G335" s="35" t="str">
        <f>IF(E335="","",IFERROR(INDEX(DM_NL!$C$5:$C$304,MATCH(E335,DM_NL!$A$5:$A$304,0)),""))</f>
        <v/>
      </c>
      <c r="H335" s="39" t="str">
        <f>IF(OR(E335="",BOM!G329="KXDDM"),"",BOM!F329)</f>
        <v/>
      </c>
      <c r="I335" s="36" t="str">
        <f>IF(E335="","",BOM!G329&amp;"")</f>
        <v/>
      </c>
    </row>
    <row r="336" spans="1:9" x14ac:dyDescent="0.25">
      <c r="A336" s="36" t="str">
        <f>IF(B336="","",MAX($A$10:A335)+1)</f>
        <v/>
      </c>
      <c r="B336" s="35" t="str">
        <f>IF(BOM!A330="","",IF(BOM!A330=BOM!A329,"",BOM!A330))</f>
        <v/>
      </c>
      <c r="C336" s="35" t="str">
        <f>IF(B336="","",IFERROR(INDEX(DM_SP!$B$5:$B$304,MATCH(B336,DM_SP!$A$5:$A$304,0)),"(chưa có trong DM_SP)"))</f>
        <v/>
      </c>
      <c r="D336" s="35" t="str">
        <f>IF(B336="","",IFERROR(INDEX(DM_SP!$C$5:$C$304,MATCH(B336,DM_SP!$A$5:$A$304,0)),""))</f>
        <v/>
      </c>
      <c r="E336" s="35" t="str">
        <f>IF(BOM!A330="","",BOM!B330)</f>
        <v/>
      </c>
      <c r="F336" s="35" t="str">
        <f>IF(E336="","",IFERROR(INDEX(DM_NL!$B$5:$B$304,MATCH(E336,DM_NL!$A$5:$A$304,0)),"(chưa có trong DM_NL)"))</f>
        <v/>
      </c>
      <c r="G336" s="35" t="str">
        <f>IF(E336="","",IFERROR(INDEX(DM_NL!$C$5:$C$304,MATCH(E336,DM_NL!$A$5:$A$304,0)),""))</f>
        <v/>
      </c>
      <c r="H336" s="39" t="str">
        <f>IF(OR(E336="",BOM!G330="KXDDM"),"",BOM!F330)</f>
        <v/>
      </c>
      <c r="I336" s="36" t="str">
        <f>IF(E336="","",BOM!G330&amp;"")</f>
        <v/>
      </c>
    </row>
    <row r="337" spans="1:9" x14ac:dyDescent="0.25">
      <c r="A337" s="36" t="str">
        <f>IF(B337="","",MAX($A$10:A336)+1)</f>
        <v/>
      </c>
      <c r="B337" s="35" t="str">
        <f>IF(BOM!A331="","",IF(BOM!A331=BOM!A330,"",BOM!A331))</f>
        <v/>
      </c>
      <c r="C337" s="35" t="str">
        <f>IF(B337="","",IFERROR(INDEX(DM_SP!$B$5:$B$304,MATCH(B337,DM_SP!$A$5:$A$304,0)),"(chưa có trong DM_SP)"))</f>
        <v/>
      </c>
      <c r="D337" s="35" t="str">
        <f>IF(B337="","",IFERROR(INDEX(DM_SP!$C$5:$C$304,MATCH(B337,DM_SP!$A$5:$A$304,0)),""))</f>
        <v/>
      </c>
      <c r="E337" s="35" t="str">
        <f>IF(BOM!A331="","",BOM!B331)</f>
        <v/>
      </c>
      <c r="F337" s="35" t="str">
        <f>IF(E337="","",IFERROR(INDEX(DM_NL!$B$5:$B$304,MATCH(E337,DM_NL!$A$5:$A$304,0)),"(chưa có trong DM_NL)"))</f>
        <v/>
      </c>
      <c r="G337" s="35" t="str">
        <f>IF(E337="","",IFERROR(INDEX(DM_NL!$C$5:$C$304,MATCH(E337,DM_NL!$A$5:$A$304,0)),""))</f>
        <v/>
      </c>
      <c r="H337" s="39" t="str">
        <f>IF(OR(E337="",BOM!G331="KXDDM"),"",BOM!F331)</f>
        <v/>
      </c>
      <c r="I337" s="36" t="str">
        <f>IF(E337="","",BOM!G331&amp;"")</f>
        <v/>
      </c>
    </row>
    <row r="338" spans="1:9" x14ac:dyDescent="0.25">
      <c r="A338" s="36" t="str">
        <f>IF(B338="","",MAX($A$10:A337)+1)</f>
        <v/>
      </c>
      <c r="B338" s="35" t="str">
        <f>IF(BOM!A332="","",IF(BOM!A332=BOM!A331,"",BOM!A332))</f>
        <v/>
      </c>
      <c r="C338" s="35" t="str">
        <f>IF(B338="","",IFERROR(INDEX(DM_SP!$B$5:$B$304,MATCH(B338,DM_SP!$A$5:$A$304,0)),"(chưa có trong DM_SP)"))</f>
        <v/>
      </c>
      <c r="D338" s="35" t="str">
        <f>IF(B338="","",IFERROR(INDEX(DM_SP!$C$5:$C$304,MATCH(B338,DM_SP!$A$5:$A$304,0)),""))</f>
        <v/>
      </c>
      <c r="E338" s="35" t="str">
        <f>IF(BOM!A332="","",BOM!B332)</f>
        <v/>
      </c>
      <c r="F338" s="35" t="str">
        <f>IF(E338="","",IFERROR(INDEX(DM_NL!$B$5:$B$304,MATCH(E338,DM_NL!$A$5:$A$304,0)),"(chưa có trong DM_NL)"))</f>
        <v/>
      </c>
      <c r="G338" s="35" t="str">
        <f>IF(E338="","",IFERROR(INDEX(DM_NL!$C$5:$C$304,MATCH(E338,DM_NL!$A$5:$A$304,0)),""))</f>
        <v/>
      </c>
      <c r="H338" s="39" t="str">
        <f>IF(OR(E338="",BOM!G332="KXDDM"),"",BOM!F332)</f>
        <v/>
      </c>
      <c r="I338" s="36" t="str">
        <f>IF(E338="","",BOM!G332&amp;"")</f>
        <v/>
      </c>
    </row>
    <row r="339" spans="1:9" x14ac:dyDescent="0.25">
      <c r="A339" s="36" t="str">
        <f>IF(B339="","",MAX($A$10:A338)+1)</f>
        <v/>
      </c>
      <c r="B339" s="35" t="str">
        <f>IF(BOM!A333="","",IF(BOM!A333=BOM!A332,"",BOM!A333))</f>
        <v/>
      </c>
      <c r="C339" s="35" t="str">
        <f>IF(B339="","",IFERROR(INDEX(DM_SP!$B$5:$B$304,MATCH(B339,DM_SP!$A$5:$A$304,0)),"(chưa có trong DM_SP)"))</f>
        <v/>
      </c>
      <c r="D339" s="35" t="str">
        <f>IF(B339="","",IFERROR(INDEX(DM_SP!$C$5:$C$304,MATCH(B339,DM_SP!$A$5:$A$304,0)),""))</f>
        <v/>
      </c>
      <c r="E339" s="35" t="str">
        <f>IF(BOM!A333="","",BOM!B333)</f>
        <v/>
      </c>
      <c r="F339" s="35" t="str">
        <f>IF(E339="","",IFERROR(INDEX(DM_NL!$B$5:$B$304,MATCH(E339,DM_NL!$A$5:$A$304,0)),"(chưa có trong DM_NL)"))</f>
        <v/>
      </c>
      <c r="G339" s="35" t="str">
        <f>IF(E339="","",IFERROR(INDEX(DM_NL!$C$5:$C$304,MATCH(E339,DM_NL!$A$5:$A$304,0)),""))</f>
        <v/>
      </c>
      <c r="H339" s="39" t="str">
        <f>IF(OR(E339="",BOM!G333="KXDDM"),"",BOM!F333)</f>
        <v/>
      </c>
      <c r="I339" s="36" t="str">
        <f>IF(E339="","",BOM!G333&amp;"")</f>
        <v/>
      </c>
    </row>
    <row r="340" spans="1:9" x14ac:dyDescent="0.25">
      <c r="A340" s="36" t="str">
        <f>IF(B340="","",MAX($A$10:A339)+1)</f>
        <v/>
      </c>
      <c r="B340" s="35" t="str">
        <f>IF(BOM!A334="","",IF(BOM!A334=BOM!A333,"",BOM!A334))</f>
        <v/>
      </c>
      <c r="C340" s="35" t="str">
        <f>IF(B340="","",IFERROR(INDEX(DM_SP!$B$5:$B$304,MATCH(B340,DM_SP!$A$5:$A$304,0)),"(chưa có trong DM_SP)"))</f>
        <v/>
      </c>
      <c r="D340" s="35" t="str">
        <f>IF(B340="","",IFERROR(INDEX(DM_SP!$C$5:$C$304,MATCH(B340,DM_SP!$A$5:$A$304,0)),""))</f>
        <v/>
      </c>
      <c r="E340" s="35" t="str">
        <f>IF(BOM!A334="","",BOM!B334)</f>
        <v/>
      </c>
      <c r="F340" s="35" t="str">
        <f>IF(E340="","",IFERROR(INDEX(DM_NL!$B$5:$B$304,MATCH(E340,DM_NL!$A$5:$A$304,0)),"(chưa có trong DM_NL)"))</f>
        <v/>
      </c>
      <c r="G340" s="35" t="str">
        <f>IF(E340="","",IFERROR(INDEX(DM_NL!$C$5:$C$304,MATCH(E340,DM_NL!$A$5:$A$304,0)),""))</f>
        <v/>
      </c>
      <c r="H340" s="39" t="str">
        <f>IF(OR(E340="",BOM!G334="KXDDM"),"",BOM!F334)</f>
        <v/>
      </c>
      <c r="I340" s="36" t="str">
        <f>IF(E340="","",BOM!G334&amp;"")</f>
        <v/>
      </c>
    </row>
    <row r="341" spans="1:9" x14ac:dyDescent="0.25">
      <c r="A341" s="36" t="str">
        <f>IF(B341="","",MAX($A$10:A340)+1)</f>
        <v/>
      </c>
      <c r="B341" s="35" t="str">
        <f>IF(BOM!A335="","",IF(BOM!A335=BOM!A334,"",BOM!A335))</f>
        <v/>
      </c>
      <c r="C341" s="35" t="str">
        <f>IF(B341="","",IFERROR(INDEX(DM_SP!$B$5:$B$304,MATCH(B341,DM_SP!$A$5:$A$304,0)),"(chưa có trong DM_SP)"))</f>
        <v/>
      </c>
      <c r="D341" s="35" t="str">
        <f>IF(B341="","",IFERROR(INDEX(DM_SP!$C$5:$C$304,MATCH(B341,DM_SP!$A$5:$A$304,0)),""))</f>
        <v/>
      </c>
      <c r="E341" s="35" t="str">
        <f>IF(BOM!A335="","",BOM!B335)</f>
        <v/>
      </c>
      <c r="F341" s="35" t="str">
        <f>IF(E341="","",IFERROR(INDEX(DM_NL!$B$5:$B$304,MATCH(E341,DM_NL!$A$5:$A$304,0)),"(chưa có trong DM_NL)"))</f>
        <v/>
      </c>
      <c r="G341" s="35" t="str">
        <f>IF(E341="","",IFERROR(INDEX(DM_NL!$C$5:$C$304,MATCH(E341,DM_NL!$A$5:$A$304,0)),""))</f>
        <v/>
      </c>
      <c r="H341" s="39" t="str">
        <f>IF(OR(E341="",BOM!G335="KXDDM"),"",BOM!F335)</f>
        <v/>
      </c>
      <c r="I341" s="36" t="str">
        <f>IF(E341="","",BOM!G335&amp;"")</f>
        <v/>
      </c>
    </row>
    <row r="342" spans="1:9" x14ac:dyDescent="0.25">
      <c r="A342" s="36" t="str">
        <f>IF(B342="","",MAX($A$10:A341)+1)</f>
        <v/>
      </c>
      <c r="B342" s="35" t="str">
        <f>IF(BOM!A336="","",IF(BOM!A336=BOM!A335,"",BOM!A336))</f>
        <v/>
      </c>
      <c r="C342" s="35" t="str">
        <f>IF(B342="","",IFERROR(INDEX(DM_SP!$B$5:$B$304,MATCH(B342,DM_SP!$A$5:$A$304,0)),"(chưa có trong DM_SP)"))</f>
        <v/>
      </c>
      <c r="D342" s="35" t="str">
        <f>IF(B342="","",IFERROR(INDEX(DM_SP!$C$5:$C$304,MATCH(B342,DM_SP!$A$5:$A$304,0)),""))</f>
        <v/>
      </c>
      <c r="E342" s="35" t="str">
        <f>IF(BOM!A336="","",BOM!B336)</f>
        <v/>
      </c>
      <c r="F342" s="35" t="str">
        <f>IF(E342="","",IFERROR(INDEX(DM_NL!$B$5:$B$304,MATCH(E342,DM_NL!$A$5:$A$304,0)),"(chưa có trong DM_NL)"))</f>
        <v/>
      </c>
      <c r="G342" s="35" t="str">
        <f>IF(E342="","",IFERROR(INDEX(DM_NL!$C$5:$C$304,MATCH(E342,DM_NL!$A$5:$A$304,0)),""))</f>
        <v/>
      </c>
      <c r="H342" s="39" t="str">
        <f>IF(OR(E342="",BOM!G336="KXDDM"),"",BOM!F336)</f>
        <v/>
      </c>
      <c r="I342" s="36" t="str">
        <f>IF(E342="","",BOM!G336&amp;"")</f>
        <v/>
      </c>
    </row>
    <row r="343" spans="1:9" x14ac:dyDescent="0.25">
      <c r="A343" s="36" t="str">
        <f>IF(B343="","",MAX($A$10:A342)+1)</f>
        <v/>
      </c>
      <c r="B343" s="35" t="str">
        <f>IF(BOM!A337="","",IF(BOM!A337=BOM!A336,"",BOM!A337))</f>
        <v/>
      </c>
      <c r="C343" s="35" t="str">
        <f>IF(B343="","",IFERROR(INDEX(DM_SP!$B$5:$B$304,MATCH(B343,DM_SP!$A$5:$A$304,0)),"(chưa có trong DM_SP)"))</f>
        <v/>
      </c>
      <c r="D343" s="35" t="str">
        <f>IF(B343="","",IFERROR(INDEX(DM_SP!$C$5:$C$304,MATCH(B343,DM_SP!$A$5:$A$304,0)),""))</f>
        <v/>
      </c>
      <c r="E343" s="35" t="str">
        <f>IF(BOM!A337="","",BOM!B337)</f>
        <v/>
      </c>
      <c r="F343" s="35" t="str">
        <f>IF(E343="","",IFERROR(INDEX(DM_NL!$B$5:$B$304,MATCH(E343,DM_NL!$A$5:$A$304,0)),"(chưa có trong DM_NL)"))</f>
        <v/>
      </c>
      <c r="G343" s="35" t="str">
        <f>IF(E343="","",IFERROR(INDEX(DM_NL!$C$5:$C$304,MATCH(E343,DM_NL!$A$5:$A$304,0)),""))</f>
        <v/>
      </c>
      <c r="H343" s="39" t="str">
        <f>IF(OR(E343="",BOM!G337="KXDDM"),"",BOM!F337)</f>
        <v/>
      </c>
      <c r="I343" s="36" t="str">
        <f>IF(E343="","",BOM!G337&amp;"")</f>
        <v/>
      </c>
    </row>
    <row r="344" spans="1:9" x14ac:dyDescent="0.25">
      <c r="A344" s="36" t="str">
        <f>IF(B344="","",MAX($A$10:A343)+1)</f>
        <v/>
      </c>
      <c r="B344" s="35" t="str">
        <f>IF(BOM!A338="","",IF(BOM!A338=BOM!A337,"",BOM!A338))</f>
        <v/>
      </c>
      <c r="C344" s="35" t="str">
        <f>IF(B344="","",IFERROR(INDEX(DM_SP!$B$5:$B$304,MATCH(B344,DM_SP!$A$5:$A$304,0)),"(chưa có trong DM_SP)"))</f>
        <v/>
      </c>
      <c r="D344" s="35" t="str">
        <f>IF(B344="","",IFERROR(INDEX(DM_SP!$C$5:$C$304,MATCH(B344,DM_SP!$A$5:$A$304,0)),""))</f>
        <v/>
      </c>
      <c r="E344" s="35" t="str">
        <f>IF(BOM!A338="","",BOM!B338)</f>
        <v/>
      </c>
      <c r="F344" s="35" t="str">
        <f>IF(E344="","",IFERROR(INDEX(DM_NL!$B$5:$B$304,MATCH(E344,DM_NL!$A$5:$A$304,0)),"(chưa có trong DM_NL)"))</f>
        <v/>
      </c>
      <c r="G344" s="35" t="str">
        <f>IF(E344="","",IFERROR(INDEX(DM_NL!$C$5:$C$304,MATCH(E344,DM_NL!$A$5:$A$304,0)),""))</f>
        <v/>
      </c>
      <c r="H344" s="39" t="str">
        <f>IF(OR(E344="",BOM!G338="KXDDM"),"",BOM!F338)</f>
        <v/>
      </c>
      <c r="I344" s="36" t="str">
        <f>IF(E344="","",BOM!G338&amp;"")</f>
        <v/>
      </c>
    </row>
    <row r="345" spans="1:9" x14ac:dyDescent="0.25">
      <c r="A345" s="36" t="str">
        <f>IF(B345="","",MAX($A$10:A344)+1)</f>
        <v/>
      </c>
      <c r="B345" s="35" t="str">
        <f>IF(BOM!A339="","",IF(BOM!A339=BOM!A338,"",BOM!A339))</f>
        <v/>
      </c>
      <c r="C345" s="35" t="str">
        <f>IF(B345="","",IFERROR(INDEX(DM_SP!$B$5:$B$304,MATCH(B345,DM_SP!$A$5:$A$304,0)),"(chưa có trong DM_SP)"))</f>
        <v/>
      </c>
      <c r="D345" s="35" t="str">
        <f>IF(B345="","",IFERROR(INDEX(DM_SP!$C$5:$C$304,MATCH(B345,DM_SP!$A$5:$A$304,0)),""))</f>
        <v/>
      </c>
      <c r="E345" s="35" t="str">
        <f>IF(BOM!A339="","",BOM!B339)</f>
        <v/>
      </c>
      <c r="F345" s="35" t="str">
        <f>IF(E345="","",IFERROR(INDEX(DM_NL!$B$5:$B$304,MATCH(E345,DM_NL!$A$5:$A$304,0)),"(chưa có trong DM_NL)"))</f>
        <v/>
      </c>
      <c r="G345" s="35" t="str">
        <f>IF(E345="","",IFERROR(INDEX(DM_NL!$C$5:$C$304,MATCH(E345,DM_NL!$A$5:$A$304,0)),""))</f>
        <v/>
      </c>
      <c r="H345" s="39" t="str">
        <f>IF(OR(E345="",BOM!G339="KXDDM"),"",BOM!F339)</f>
        <v/>
      </c>
      <c r="I345" s="36" t="str">
        <f>IF(E345="","",BOM!G339&amp;"")</f>
        <v/>
      </c>
    </row>
    <row r="346" spans="1:9" x14ac:dyDescent="0.25">
      <c r="A346" s="36" t="str">
        <f>IF(B346="","",MAX($A$10:A345)+1)</f>
        <v/>
      </c>
      <c r="B346" s="35" t="str">
        <f>IF(BOM!A340="","",IF(BOM!A340=BOM!A339,"",BOM!A340))</f>
        <v/>
      </c>
      <c r="C346" s="35" t="str">
        <f>IF(B346="","",IFERROR(INDEX(DM_SP!$B$5:$B$304,MATCH(B346,DM_SP!$A$5:$A$304,0)),"(chưa có trong DM_SP)"))</f>
        <v/>
      </c>
      <c r="D346" s="35" t="str">
        <f>IF(B346="","",IFERROR(INDEX(DM_SP!$C$5:$C$304,MATCH(B346,DM_SP!$A$5:$A$304,0)),""))</f>
        <v/>
      </c>
      <c r="E346" s="35" t="str">
        <f>IF(BOM!A340="","",BOM!B340)</f>
        <v/>
      </c>
      <c r="F346" s="35" t="str">
        <f>IF(E346="","",IFERROR(INDEX(DM_NL!$B$5:$B$304,MATCH(E346,DM_NL!$A$5:$A$304,0)),"(chưa có trong DM_NL)"))</f>
        <v/>
      </c>
      <c r="G346" s="35" t="str">
        <f>IF(E346="","",IFERROR(INDEX(DM_NL!$C$5:$C$304,MATCH(E346,DM_NL!$A$5:$A$304,0)),""))</f>
        <v/>
      </c>
      <c r="H346" s="39" t="str">
        <f>IF(OR(E346="",BOM!G340="KXDDM"),"",BOM!F340)</f>
        <v/>
      </c>
      <c r="I346" s="36" t="str">
        <f>IF(E346="","",BOM!G340&amp;"")</f>
        <v/>
      </c>
    </row>
    <row r="347" spans="1:9" x14ac:dyDescent="0.25">
      <c r="A347" s="36" t="str">
        <f>IF(B347="","",MAX($A$10:A346)+1)</f>
        <v/>
      </c>
      <c r="B347" s="35" t="str">
        <f>IF(BOM!A341="","",IF(BOM!A341=BOM!A340,"",BOM!A341))</f>
        <v/>
      </c>
      <c r="C347" s="35" t="str">
        <f>IF(B347="","",IFERROR(INDEX(DM_SP!$B$5:$B$304,MATCH(B347,DM_SP!$A$5:$A$304,0)),"(chưa có trong DM_SP)"))</f>
        <v/>
      </c>
      <c r="D347" s="35" t="str">
        <f>IF(B347="","",IFERROR(INDEX(DM_SP!$C$5:$C$304,MATCH(B347,DM_SP!$A$5:$A$304,0)),""))</f>
        <v/>
      </c>
      <c r="E347" s="35" t="str">
        <f>IF(BOM!A341="","",BOM!B341)</f>
        <v/>
      </c>
      <c r="F347" s="35" t="str">
        <f>IF(E347="","",IFERROR(INDEX(DM_NL!$B$5:$B$304,MATCH(E347,DM_NL!$A$5:$A$304,0)),"(chưa có trong DM_NL)"))</f>
        <v/>
      </c>
      <c r="G347" s="35" t="str">
        <f>IF(E347="","",IFERROR(INDEX(DM_NL!$C$5:$C$304,MATCH(E347,DM_NL!$A$5:$A$304,0)),""))</f>
        <v/>
      </c>
      <c r="H347" s="39" t="str">
        <f>IF(OR(E347="",BOM!G341="KXDDM"),"",BOM!F341)</f>
        <v/>
      </c>
      <c r="I347" s="36" t="str">
        <f>IF(E347="","",BOM!G341&amp;"")</f>
        <v/>
      </c>
    </row>
    <row r="348" spans="1:9" x14ac:dyDescent="0.25">
      <c r="A348" s="36" t="str">
        <f>IF(B348="","",MAX($A$10:A347)+1)</f>
        <v/>
      </c>
      <c r="B348" s="35" t="str">
        <f>IF(BOM!A342="","",IF(BOM!A342=BOM!A341,"",BOM!A342))</f>
        <v/>
      </c>
      <c r="C348" s="35" t="str">
        <f>IF(B348="","",IFERROR(INDEX(DM_SP!$B$5:$B$304,MATCH(B348,DM_SP!$A$5:$A$304,0)),"(chưa có trong DM_SP)"))</f>
        <v/>
      </c>
      <c r="D348" s="35" t="str">
        <f>IF(B348="","",IFERROR(INDEX(DM_SP!$C$5:$C$304,MATCH(B348,DM_SP!$A$5:$A$304,0)),""))</f>
        <v/>
      </c>
      <c r="E348" s="35" t="str">
        <f>IF(BOM!A342="","",BOM!B342)</f>
        <v/>
      </c>
      <c r="F348" s="35" t="str">
        <f>IF(E348="","",IFERROR(INDEX(DM_NL!$B$5:$B$304,MATCH(E348,DM_NL!$A$5:$A$304,0)),"(chưa có trong DM_NL)"))</f>
        <v/>
      </c>
      <c r="G348" s="35" t="str">
        <f>IF(E348="","",IFERROR(INDEX(DM_NL!$C$5:$C$304,MATCH(E348,DM_NL!$A$5:$A$304,0)),""))</f>
        <v/>
      </c>
      <c r="H348" s="39" t="str">
        <f>IF(OR(E348="",BOM!G342="KXDDM"),"",BOM!F342)</f>
        <v/>
      </c>
      <c r="I348" s="36" t="str">
        <f>IF(E348="","",BOM!G342&amp;"")</f>
        <v/>
      </c>
    </row>
    <row r="349" spans="1:9" x14ac:dyDescent="0.25">
      <c r="A349" s="36" t="str">
        <f>IF(B349="","",MAX($A$10:A348)+1)</f>
        <v/>
      </c>
      <c r="B349" s="35" t="str">
        <f>IF(BOM!A343="","",IF(BOM!A343=BOM!A342,"",BOM!A343))</f>
        <v/>
      </c>
      <c r="C349" s="35" t="str">
        <f>IF(B349="","",IFERROR(INDEX(DM_SP!$B$5:$B$304,MATCH(B349,DM_SP!$A$5:$A$304,0)),"(chưa có trong DM_SP)"))</f>
        <v/>
      </c>
      <c r="D349" s="35" t="str">
        <f>IF(B349="","",IFERROR(INDEX(DM_SP!$C$5:$C$304,MATCH(B349,DM_SP!$A$5:$A$304,0)),""))</f>
        <v/>
      </c>
      <c r="E349" s="35" t="str">
        <f>IF(BOM!A343="","",BOM!B343)</f>
        <v/>
      </c>
      <c r="F349" s="35" t="str">
        <f>IF(E349="","",IFERROR(INDEX(DM_NL!$B$5:$B$304,MATCH(E349,DM_NL!$A$5:$A$304,0)),"(chưa có trong DM_NL)"))</f>
        <v/>
      </c>
      <c r="G349" s="35" t="str">
        <f>IF(E349="","",IFERROR(INDEX(DM_NL!$C$5:$C$304,MATCH(E349,DM_NL!$A$5:$A$304,0)),""))</f>
        <v/>
      </c>
      <c r="H349" s="39" t="str">
        <f>IF(OR(E349="",BOM!G343="KXDDM"),"",BOM!F343)</f>
        <v/>
      </c>
      <c r="I349" s="36" t="str">
        <f>IF(E349="","",BOM!G343&amp;"")</f>
        <v/>
      </c>
    </row>
    <row r="350" spans="1:9" x14ac:dyDescent="0.25">
      <c r="A350" s="36" t="str">
        <f>IF(B350="","",MAX($A$10:A349)+1)</f>
        <v/>
      </c>
      <c r="B350" s="35" t="str">
        <f>IF(BOM!A344="","",IF(BOM!A344=BOM!A343,"",BOM!A344))</f>
        <v/>
      </c>
      <c r="C350" s="35" t="str">
        <f>IF(B350="","",IFERROR(INDEX(DM_SP!$B$5:$B$304,MATCH(B350,DM_SP!$A$5:$A$304,0)),"(chưa có trong DM_SP)"))</f>
        <v/>
      </c>
      <c r="D350" s="35" t="str">
        <f>IF(B350="","",IFERROR(INDEX(DM_SP!$C$5:$C$304,MATCH(B350,DM_SP!$A$5:$A$304,0)),""))</f>
        <v/>
      </c>
      <c r="E350" s="35" t="str">
        <f>IF(BOM!A344="","",BOM!B344)</f>
        <v/>
      </c>
      <c r="F350" s="35" t="str">
        <f>IF(E350="","",IFERROR(INDEX(DM_NL!$B$5:$B$304,MATCH(E350,DM_NL!$A$5:$A$304,0)),"(chưa có trong DM_NL)"))</f>
        <v/>
      </c>
      <c r="G350" s="35" t="str">
        <f>IF(E350="","",IFERROR(INDEX(DM_NL!$C$5:$C$304,MATCH(E350,DM_NL!$A$5:$A$304,0)),""))</f>
        <v/>
      </c>
      <c r="H350" s="39" t="str">
        <f>IF(OR(E350="",BOM!G344="KXDDM"),"",BOM!F344)</f>
        <v/>
      </c>
      <c r="I350" s="36" t="str">
        <f>IF(E350="","",BOM!G344&amp;"")</f>
        <v/>
      </c>
    </row>
    <row r="351" spans="1:9" x14ac:dyDescent="0.25">
      <c r="A351" s="36" t="str">
        <f>IF(B351="","",MAX($A$10:A350)+1)</f>
        <v/>
      </c>
      <c r="B351" s="35" t="str">
        <f>IF(BOM!A345="","",IF(BOM!A345=BOM!A344,"",BOM!A345))</f>
        <v/>
      </c>
      <c r="C351" s="35" t="str">
        <f>IF(B351="","",IFERROR(INDEX(DM_SP!$B$5:$B$304,MATCH(B351,DM_SP!$A$5:$A$304,0)),"(chưa có trong DM_SP)"))</f>
        <v/>
      </c>
      <c r="D351" s="35" t="str">
        <f>IF(B351="","",IFERROR(INDEX(DM_SP!$C$5:$C$304,MATCH(B351,DM_SP!$A$5:$A$304,0)),""))</f>
        <v/>
      </c>
      <c r="E351" s="35" t="str">
        <f>IF(BOM!A345="","",BOM!B345)</f>
        <v/>
      </c>
      <c r="F351" s="35" t="str">
        <f>IF(E351="","",IFERROR(INDEX(DM_NL!$B$5:$B$304,MATCH(E351,DM_NL!$A$5:$A$304,0)),"(chưa có trong DM_NL)"))</f>
        <v/>
      </c>
      <c r="G351" s="35" t="str">
        <f>IF(E351="","",IFERROR(INDEX(DM_NL!$C$5:$C$304,MATCH(E351,DM_NL!$A$5:$A$304,0)),""))</f>
        <v/>
      </c>
      <c r="H351" s="39" t="str">
        <f>IF(OR(E351="",BOM!G345="KXDDM"),"",BOM!F345)</f>
        <v/>
      </c>
      <c r="I351" s="36" t="str">
        <f>IF(E351="","",BOM!G345&amp;"")</f>
        <v/>
      </c>
    </row>
    <row r="352" spans="1:9" x14ac:dyDescent="0.25">
      <c r="A352" s="36" t="str">
        <f>IF(B352="","",MAX($A$10:A351)+1)</f>
        <v/>
      </c>
      <c r="B352" s="35" t="str">
        <f>IF(BOM!A346="","",IF(BOM!A346=BOM!A345,"",BOM!A346))</f>
        <v/>
      </c>
      <c r="C352" s="35" t="str">
        <f>IF(B352="","",IFERROR(INDEX(DM_SP!$B$5:$B$304,MATCH(B352,DM_SP!$A$5:$A$304,0)),"(chưa có trong DM_SP)"))</f>
        <v/>
      </c>
      <c r="D352" s="35" t="str">
        <f>IF(B352="","",IFERROR(INDEX(DM_SP!$C$5:$C$304,MATCH(B352,DM_SP!$A$5:$A$304,0)),""))</f>
        <v/>
      </c>
      <c r="E352" s="35" t="str">
        <f>IF(BOM!A346="","",BOM!B346)</f>
        <v/>
      </c>
      <c r="F352" s="35" t="str">
        <f>IF(E352="","",IFERROR(INDEX(DM_NL!$B$5:$B$304,MATCH(E352,DM_NL!$A$5:$A$304,0)),"(chưa có trong DM_NL)"))</f>
        <v/>
      </c>
      <c r="G352" s="35" t="str">
        <f>IF(E352="","",IFERROR(INDEX(DM_NL!$C$5:$C$304,MATCH(E352,DM_NL!$A$5:$A$304,0)),""))</f>
        <v/>
      </c>
      <c r="H352" s="39" t="str">
        <f>IF(OR(E352="",BOM!G346="KXDDM"),"",BOM!F346)</f>
        <v/>
      </c>
      <c r="I352" s="36" t="str">
        <f>IF(E352="","",BOM!G346&amp;"")</f>
        <v/>
      </c>
    </row>
    <row r="353" spans="1:9" x14ac:dyDescent="0.25">
      <c r="A353" s="36" t="str">
        <f>IF(B353="","",MAX($A$10:A352)+1)</f>
        <v/>
      </c>
      <c r="B353" s="35" t="str">
        <f>IF(BOM!A347="","",IF(BOM!A347=BOM!A346,"",BOM!A347))</f>
        <v/>
      </c>
      <c r="C353" s="35" t="str">
        <f>IF(B353="","",IFERROR(INDEX(DM_SP!$B$5:$B$304,MATCH(B353,DM_SP!$A$5:$A$304,0)),"(chưa có trong DM_SP)"))</f>
        <v/>
      </c>
      <c r="D353" s="35" t="str">
        <f>IF(B353="","",IFERROR(INDEX(DM_SP!$C$5:$C$304,MATCH(B353,DM_SP!$A$5:$A$304,0)),""))</f>
        <v/>
      </c>
      <c r="E353" s="35" t="str">
        <f>IF(BOM!A347="","",BOM!B347)</f>
        <v/>
      </c>
      <c r="F353" s="35" t="str">
        <f>IF(E353="","",IFERROR(INDEX(DM_NL!$B$5:$B$304,MATCH(E353,DM_NL!$A$5:$A$304,0)),"(chưa có trong DM_NL)"))</f>
        <v/>
      </c>
      <c r="G353" s="35" t="str">
        <f>IF(E353="","",IFERROR(INDEX(DM_NL!$C$5:$C$304,MATCH(E353,DM_NL!$A$5:$A$304,0)),""))</f>
        <v/>
      </c>
      <c r="H353" s="39" t="str">
        <f>IF(OR(E353="",BOM!G347="KXDDM"),"",BOM!F347)</f>
        <v/>
      </c>
      <c r="I353" s="36" t="str">
        <f>IF(E353="","",BOM!G347&amp;"")</f>
        <v/>
      </c>
    </row>
    <row r="354" spans="1:9" x14ac:dyDescent="0.25">
      <c r="A354" s="36" t="str">
        <f>IF(B354="","",MAX($A$10:A353)+1)</f>
        <v/>
      </c>
      <c r="B354" s="35" t="str">
        <f>IF(BOM!A348="","",IF(BOM!A348=BOM!A347,"",BOM!A348))</f>
        <v/>
      </c>
      <c r="C354" s="35" t="str">
        <f>IF(B354="","",IFERROR(INDEX(DM_SP!$B$5:$B$304,MATCH(B354,DM_SP!$A$5:$A$304,0)),"(chưa có trong DM_SP)"))</f>
        <v/>
      </c>
      <c r="D354" s="35" t="str">
        <f>IF(B354="","",IFERROR(INDEX(DM_SP!$C$5:$C$304,MATCH(B354,DM_SP!$A$5:$A$304,0)),""))</f>
        <v/>
      </c>
      <c r="E354" s="35" t="str">
        <f>IF(BOM!A348="","",BOM!B348)</f>
        <v/>
      </c>
      <c r="F354" s="35" t="str">
        <f>IF(E354="","",IFERROR(INDEX(DM_NL!$B$5:$B$304,MATCH(E354,DM_NL!$A$5:$A$304,0)),"(chưa có trong DM_NL)"))</f>
        <v/>
      </c>
      <c r="G354" s="35" t="str">
        <f>IF(E354="","",IFERROR(INDEX(DM_NL!$C$5:$C$304,MATCH(E354,DM_NL!$A$5:$A$304,0)),""))</f>
        <v/>
      </c>
      <c r="H354" s="39" t="str">
        <f>IF(OR(E354="",BOM!G348="KXDDM"),"",BOM!F348)</f>
        <v/>
      </c>
      <c r="I354" s="36" t="str">
        <f>IF(E354="","",BOM!G348&amp;"")</f>
        <v/>
      </c>
    </row>
    <row r="355" spans="1:9" x14ac:dyDescent="0.25">
      <c r="A355" s="36" t="str">
        <f>IF(B355="","",MAX($A$10:A354)+1)</f>
        <v/>
      </c>
      <c r="B355" s="35" t="str">
        <f>IF(BOM!A349="","",IF(BOM!A349=BOM!A348,"",BOM!A349))</f>
        <v/>
      </c>
      <c r="C355" s="35" t="str">
        <f>IF(B355="","",IFERROR(INDEX(DM_SP!$B$5:$B$304,MATCH(B355,DM_SP!$A$5:$A$304,0)),"(chưa có trong DM_SP)"))</f>
        <v/>
      </c>
      <c r="D355" s="35" t="str">
        <f>IF(B355="","",IFERROR(INDEX(DM_SP!$C$5:$C$304,MATCH(B355,DM_SP!$A$5:$A$304,0)),""))</f>
        <v/>
      </c>
      <c r="E355" s="35" t="str">
        <f>IF(BOM!A349="","",BOM!B349)</f>
        <v/>
      </c>
      <c r="F355" s="35" t="str">
        <f>IF(E355="","",IFERROR(INDEX(DM_NL!$B$5:$B$304,MATCH(E355,DM_NL!$A$5:$A$304,0)),"(chưa có trong DM_NL)"))</f>
        <v/>
      </c>
      <c r="G355" s="35" t="str">
        <f>IF(E355="","",IFERROR(INDEX(DM_NL!$C$5:$C$304,MATCH(E355,DM_NL!$A$5:$A$304,0)),""))</f>
        <v/>
      </c>
      <c r="H355" s="39" t="str">
        <f>IF(OR(E355="",BOM!G349="KXDDM"),"",BOM!F349)</f>
        <v/>
      </c>
      <c r="I355" s="36" t="str">
        <f>IF(E355="","",BOM!G349&amp;"")</f>
        <v/>
      </c>
    </row>
    <row r="356" spans="1:9" x14ac:dyDescent="0.25">
      <c r="A356" s="36" t="str">
        <f>IF(B356="","",MAX($A$10:A355)+1)</f>
        <v/>
      </c>
      <c r="B356" s="35" t="str">
        <f>IF(BOM!A350="","",IF(BOM!A350=BOM!A349,"",BOM!A350))</f>
        <v/>
      </c>
      <c r="C356" s="35" t="str">
        <f>IF(B356="","",IFERROR(INDEX(DM_SP!$B$5:$B$304,MATCH(B356,DM_SP!$A$5:$A$304,0)),"(chưa có trong DM_SP)"))</f>
        <v/>
      </c>
      <c r="D356" s="35" t="str">
        <f>IF(B356="","",IFERROR(INDEX(DM_SP!$C$5:$C$304,MATCH(B356,DM_SP!$A$5:$A$304,0)),""))</f>
        <v/>
      </c>
      <c r="E356" s="35" t="str">
        <f>IF(BOM!A350="","",BOM!B350)</f>
        <v/>
      </c>
      <c r="F356" s="35" t="str">
        <f>IF(E356="","",IFERROR(INDEX(DM_NL!$B$5:$B$304,MATCH(E356,DM_NL!$A$5:$A$304,0)),"(chưa có trong DM_NL)"))</f>
        <v/>
      </c>
      <c r="G356" s="35" t="str">
        <f>IF(E356="","",IFERROR(INDEX(DM_NL!$C$5:$C$304,MATCH(E356,DM_NL!$A$5:$A$304,0)),""))</f>
        <v/>
      </c>
      <c r="H356" s="39" t="str">
        <f>IF(OR(E356="",BOM!G350="KXDDM"),"",BOM!F350)</f>
        <v/>
      </c>
      <c r="I356" s="36" t="str">
        <f>IF(E356="","",BOM!G350&amp;"")</f>
        <v/>
      </c>
    </row>
    <row r="357" spans="1:9" x14ac:dyDescent="0.25">
      <c r="A357" s="36" t="str">
        <f>IF(B357="","",MAX($A$10:A356)+1)</f>
        <v/>
      </c>
      <c r="B357" s="35" t="str">
        <f>IF(BOM!A351="","",IF(BOM!A351=BOM!A350,"",BOM!A351))</f>
        <v/>
      </c>
      <c r="C357" s="35" t="str">
        <f>IF(B357="","",IFERROR(INDEX(DM_SP!$B$5:$B$304,MATCH(B357,DM_SP!$A$5:$A$304,0)),"(chưa có trong DM_SP)"))</f>
        <v/>
      </c>
      <c r="D357" s="35" t="str">
        <f>IF(B357="","",IFERROR(INDEX(DM_SP!$C$5:$C$304,MATCH(B357,DM_SP!$A$5:$A$304,0)),""))</f>
        <v/>
      </c>
      <c r="E357" s="35" t="str">
        <f>IF(BOM!A351="","",BOM!B351)</f>
        <v/>
      </c>
      <c r="F357" s="35" t="str">
        <f>IF(E357="","",IFERROR(INDEX(DM_NL!$B$5:$B$304,MATCH(E357,DM_NL!$A$5:$A$304,0)),"(chưa có trong DM_NL)"))</f>
        <v/>
      </c>
      <c r="G357" s="35" t="str">
        <f>IF(E357="","",IFERROR(INDEX(DM_NL!$C$5:$C$304,MATCH(E357,DM_NL!$A$5:$A$304,0)),""))</f>
        <v/>
      </c>
      <c r="H357" s="39" t="str">
        <f>IF(OR(E357="",BOM!G351="KXDDM"),"",BOM!F351)</f>
        <v/>
      </c>
      <c r="I357" s="36" t="str">
        <f>IF(E357="","",BOM!G351&amp;"")</f>
        <v/>
      </c>
    </row>
    <row r="358" spans="1:9" x14ac:dyDescent="0.25">
      <c r="A358" s="36" t="str">
        <f>IF(B358="","",MAX($A$10:A357)+1)</f>
        <v/>
      </c>
      <c r="B358" s="35" t="str">
        <f>IF(BOM!A352="","",IF(BOM!A352=BOM!A351,"",BOM!A352))</f>
        <v/>
      </c>
      <c r="C358" s="35" t="str">
        <f>IF(B358="","",IFERROR(INDEX(DM_SP!$B$5:$B$304,MATCH(B358,DM_SP!$A$5:$A$304,0)),"(chưa có trong DM_SP)"))</f>
        <v/>
      </c>
      <c r="D358" s="35" t="str">
        <f>IF(B358="","",IFERROR(INDEX(DM_SP!$C$5:$C$304,MATCH(B358,DM_SP!$A$5:$A$304,0)),""))</f>
        <v/>
      </c>
      <c r="E358" s="35" t="str">
        <f>IF(BOM!A352="","",BOM!B352)</f>
        <v/>
      </c>
      <c r="F358" s="35" t="str">
        <f>IF(E358="","",IFERROR(INDEX(DM_NL!$B$5:$B$304,MATCH(E358,DM_NL!$A$5:$A$304,0)),"(chưa có trong DM_NL)"))</f>
        <v/>
      </c>
      <c r="G358" s="35" t="str">
        <f>IF(E358="","",IFERROR(INDEX(DM_NL!$C$5:$C$304,MATCH(E358,DM_NL!$A$5:$A$304,0)),""))</f>
        <v/>
      </c>
      <c r="H358" s="39" t="str">
        <f>IF(OR(E358="",BOM!G352="KXDDM"),"",BOM!F352)</f>
        <v/>
      </c>
      <c r="I358" s="36" t="str">
        <f>IF(E358="","",BOM!G352&amp;"")</f>
        <v/>
      </c>
    </row>
    <row r="359" spans="1:9" x14ac:dyDescent="0.25">
      <c r="A359" s="36" t="str">
        <f>IF(B359="","",MAX($A$10:A358)+1)</f>
        <v/>
      </c>
      <c r="B359" s="35" t="str">
        <f>IF(BOM!A353="","",IF(BOM!A353=BOM!A352,"",BOM!A353))</f>
        <v/>
      </c>
      <c r="C359" s="35" t="str">
        <f>IF(B359="","",IFERROR(INDEX(DM_SP!$B$5:$B$304,MATCH(B359,DM_SP!$A$5:$A$304,0)),"(chưa có trong DM_SP)"))</f>
        <v/>
      </c>
      <c r="D359" s="35" t="str">
        <f>IF(B359="","",IFERROR(INDEX(DM_SP!$C$5:$C$304,MATCH(B359,DM_SP!$A$5:$A$304,0)),""))</f>
        <v/>
      </c>
      <c r="E359" s="35" t="str">
        <f>IF(BOM!A353="","",BOM!B353)</f>
        <v/>
      </c>
      <c r="F359" s="35" t="str">
        <f>IF(E359="","",IFERROR(INDEX(DM_NL!$B$5:$B$304,MATCH(E359,DM_NL!$A$5:$A$304,0)),"(chưa có trong DM_NL)"))</f>
        <v/>
      </c>
      <c r="G359" s="35" t="str">
        <f>IF(E359="","",IFERROR(INDEX(DM_NL!$C$5:$C$304,MATCH(E359,DM_NL!$A$5:$A$304,0)),""))</f>
        <v/>
      </c>
      <c r="H359" s="39" t="str">
        <f>IF(OR(E359="",BOM!G353="KXDDM"),"",BOM!F353)</f>
        <v/>
      </c>
      <c r="I359" s="36" t="str">
        <f>IF(E359="","",BOM!G353&amp;"")</f>
        <v/>
      </c>
    </row>
    <row r="360" spans="1:9" x14ac:dyDescent="0.25">
      <c r="A360" s="36" t="str">
        <f>IF(B360="","",MAX($A$10:A359)+1)</f>
        <v/>
      </c>
      <c r="B360" s="35" t="str">
        <f>IF(BOM!A354="","",IF(BOM!A354=BOM!A353,"",BOM!A354))</f>
        <v/>
      </c>
      <c r="C360" s="35" t="str">
        <f>IF(B360="","",IFERROR(INDEX(DM_SP!$B$5:$B$304,MATCH(B360,DM_SP!$A$5:$A$304,0)),"(chưa có trong DM_SP)"))</f>
        <v/>
      </c>
      <c r="D360" s="35" t="str">
        <f>IF(B360="","",IFERROR(INDEX(DM_SP!$C$5:$C$304,MATCH(B360,DM_SP!$A$5:$A$304,0)),""))</f>
        <v/>
      </c>
      <c r="E360" s="35" t="str">
        <f>IF(BOM!A354="","",BOM!B354)</f>
        <v/>
      </c>
      <c r="F360" s="35" t="str">
        <f>IF(E360="","",IFERROR(INDEX(DM_NL!$B$5:$B$304,MATCH(E360,DM_NL!$A$5:$A$304,0)),"(chưa có trong DM_NL)"))</f>
        <v/>
      </c>
      <c r="G360" s="35" t="str">
        <f>IF(E360="","",IFERROR(INDEX(DM_NL!$C$5:$C$304,MATCH(E360,DM_NL!$A$5:$A$304,0)),""))</f>
        <v/>
      </c>
      <c r="H360" s="39" t="str">
        <f>IF(OR(E360="",BOM!G354="KXDDM"),"",BOM!F354)</f>
        <v/>
      </c>
      <c r="I360" s="36" t="str">
        <f>IF(E360="","",BOM!G354&amp;"")</f>
        <v/>
      </c>
    </row>
    <row r="361" spans="1:9" x14ac:dyDescent="0.25">
      <c r="A361" s="36" t="str">
        <f>IF(B361="","",MAX($A$10:A360)+1)</f>
        <v/>
      </c>
      <c r="B361" s="35" t="str">
        <f>IF(BOM!A355="","",IF(BOM!A355=BOM!A354,"",BOM!A355))</f>
        <v/>
      </c>
      <c r="C361" s="35" t="str">
        <f>IF(B361="","",IFERROR(INDEX(DM_SP!$B$5:$B$304,MATCH(B361,DM_SP!$A$5:$A$304,0)),"(chưa có trong DM_SP)"))</f>
        <v/>
      </c>
      <c r="D361" s="35" t="str">
        <f>IF(B361="","",IFERROR(INDEX(DM_SP!$C$5:$C$304,MATCH(B361,DM_SP!$A$5:$A$304,0)),""))</f>
        <v/>
      </c>
      <c r="E361" s="35" t="str">
        <f>IF(BOM!A355="","",BOM!B355)</f>
        <v/>
      </c>
      <c r="F361" s="35" t="str">
        <f>IF(E361="","",IFERROR(INDEX(DM_NL!$B$5:$B$304,MATCH(E361,DM_NL!$A$5:$A$304,0)),"(chưa có trong DM_NL)"))</f>
        <v/>
      </c>
      <c r="G361" s="35" t="str">
        <f>IF(E361="","",IFERROR(INDEX(DM_NL!$C$5:$C$304,MATCH(E361,DM_NL!$A$5:$A$304,0)),""))</f>
        <v/>
      </c>
      <c r="H361" s="39" t="str">
        <f>IF(OR(E361="",BOM!G355="KXDDM"),"",BOM!F355)</f>
        <v/>
      </c>
      <c r="I361" s="36" t="str">
        <f>IF(E361="","",BOM!G355&amp;"")</f>
        <v/>
      </c>
    </row>
    <row r="362" spans="1:9" x14ac:dyDescent="0.25">
      <c r="A362" s="36" t="str">
        <f>IF(B362="","",MAX($A$10:A361)+1)</f>
        <v/>
      </c>
      <c r="B362" s="35" t="str">
        <f>IF(BOM!A356="","",IF(BOM!A356=BOM!A355,"",BOM!A356))</f>
        <v/>
      </c>
      <c r="C362" s="35" t="str">
        <f>IF(B362="","",IFERROR(INDEX(DM_SP!$B$5:$B$304,MATCH(B362,DM_SP!$A$5:$A$304,0)),"(chưa có trong DM_SP)"))</f>
        <v/>
      </c>
      <c r="D362" s="35" t="str">
        <f>IF(B362="","",IFERROR(INDEX(DM_SP!$C$5:$C$304,MATCH(B362,DM_SP!$A$5:$A$304,0)),""))</f>
        <v/>
      </c>
      <c r="E362" s="35" t="str">
        <f>IF(BOM!A356="","",BOM!B356)</f>
        <v/>
      </c>
      <c r="F362" s="35" t="str">
        <f>IF(E362="","",IFERROR(INDEX(DM_NL!$B$5:$B$304,MATCH(E362,DM_NL!$A$5:$A$304,0)),"(chưa có trong DM_NL)"))</f>
        <v/>
      </c>
      <c r="G362" s="35" t="str">
        <f>IF(E362="","",IFERROR(INDEX(DM_NL!$C$5:$C$304,MATCH(E362,DM_NL!$A$5:$A$304,0)),""))</f>
        <v/>
      </c>
      <c r="H362" s="39" t="str">
        <f>IF(OR(E362="",BOM!G356="KXDDM"),"",BOM!F356)</f>
        <v/>
      </c>
      <c r="I362" s="36" t="str">
        <f>IF(E362="","",BOM!G356&amp;"")</f>
        <v/>
      </c>
    </row>
    <row r="363" spans="1:9" x14ac:dyDescent="0.25">
      <c r="A363" s="36" t="str">
        <f>IF(B363="","",MAX($A$10:A362)+1)</f>
        <v/>
      </c>
      <c r="B363" s="35" t="str">
        <f>IF(BOM!A357="","",IF(BOM!A357=BOM!A356,"",BOM!A357))</f>
        <v/>
      </c>
      <c r="C363" s="35" t="str">
        <f>IF(B363="","",IFERROR(INDEX(DM_SP!$B$5:$B$304,MATCH(B363,DM_SP!$A$5:$A$304,0)),"(chưa có trong DM_SP)"))</f>
        <v/>
      </c>
      <c r="D363" s="35" t="str">
        <f>IF(B363="","",IFERROR(INDEX(DM_SP!$C$5:$C$304,MATCH(B363,DM_SP!$A$5:$A$304,0)),""))</f>
        <v/>
      </c>
      <c r="E363" s="35" t="str">
        <f>IF(BOM!A357="","",BOM!B357)</f>
        <v/>
      </c>
      <c r="F363" s="35" t="str">
        <f>IF(E363="","",IFERROR(INDEX(DM_NL!$B$5:$B$304,MATCH(E363,DM_NL!$A$5:$A$304,0)),"(chưa có trong DM_NL)"))</f>
        <v/>
      </c>
      <c r="G363" s="35" t="str">
        <f>IF(E363="","",IFERROR(INDEX(DM_NL!$C$5:$C$304,MATCH(E363,DM_NL!$A$5:$A$304,0)),""))</f>
        <v/>
      </c>
      <c r="H363" s="39" t="str">
        <f>IF(OR(E363="",BOM!G357="KXDDM"),"",BOM!F357)</f>
        <v/>
      </c>
      <c r="I363" s="36" t="str">
        <f>IF(E363="","",BOM!G357&amp;"")</f>
        <v/>
      </c>
    </row>
    <row r="364" spans="1:9" x14ac:dyDescent="0.25">
      <c r="A364" s="36" t="str">
        <f>IF(B364="","",MAX($A$10:A363)+1)</f>
        <v/>
      </c>
      <c r="B364" s="35" t="str">
        <f>IF(BOM!A358="","",IF(BOM!A358=BOM!A357,"",BOM!A358))</f>
        <v/>
      </c>
      <c r="C364" s="35" t="str">
        <f>IF(B364="","",IFERROR(INDEX(DM_SP!$B$5:$B$304,MATCH(B364,DM_SP!$A$5:$A$304,0)),"(chưa có trong DM_SP)"))</f>
        <v/>
      </c>
      <c r="D364" s="35" t="str">
        <f>IF(B364="","",IFERROR(INDEX(DM_SP!$C$5:$C$304,MATCH(B364,DM_SP!$A$5:$A$304,0)),""))</f>
        <v/>
      </c>
      <c r="E364" s="35" t="str">
        <f>IF(BOM!A358="","",BOM!B358)</f>
        <v/>
      </c>
      <c r="F364" s="35" t="str">
        <f>IF(E364="","",IFERROR(INDEX(DM_NL!$B$5:$B$304,MATCH(E364,DM_NL!$A$5:$A$304,0)),"(chưa có trong DM_NL)"))</f>
        <v/>
      </c>
      <c r="G364" s="35" t="str">
        <f>IF(E364="","",IFERROR(INDEX(DM_NL!$C$5:$C$304,MATCH(E364,DM_NL!$A$5:$A$304,0)),""))</f>
        <v/>
      </c>
      <c r="H364" s="39" t="str">
        <f>IF(OR(E364="",BOM!G358="KXDDM"),"",BOM!F358)</f>
        <v/>
      </c>
      <c r="I364" s="36" t="str">
        <f>IF(E364="","",BOM!G358&amp;"")</f>
        <v/>
      </c>
    </row>
    <row r="365" spans="1:9" x14ac:dyDescent="0.25">
      <c r="A365" s="36" t="str">
        <f>IF(B365="","",MAX($A$10:A364)+1)</f>
        <v/>
      </c>
      <c r="B365" s="35" t="str">
        <f>IF(BOM!A359="","",IF(BOM!A359=BOM!A358,"",BOM!A359))</f>
        <v/>
      </c>
      <c r="C365" s="35" t="str">
        <f>IF(B365="","",IFERROR(INDEX(DM_SP!$B$5:$B$304,MATCH(B365,DM_SP!$A$5:$A$304,0)),"(chưa có trong DM_SP)"))</f>
        <v/>
      </c>
      <c r="D365" s="35" t="str">
        <f>IF(B365="","",IFERROR(INDEX(DM_SP!$C$5:$C$304,MATCH(B365,DM_SP!$A$5:$A$304,0)),""))</f>
        <v/>
      </c>
      <c r="E365" s="35" t="str">
        <f>IF(BOM!A359="","",BOM!B359)</f>
        <v/>
      </c>
      <c r="F365" s="35" t="str">
        <f>IF(E365="","",IFERROR(INDEX(DM_NL!$B$5:$B$304,MATCH(E365,DM_NL!$A$5:$A$304,0)),"(chưa có trong DM_NL)"))</f>
        <v/>
      </c>
      <c r="G365" s="35" t="str">
        <f>IF(E365="","",IFERROR(INDEX(DM_NL!$C$5:$C$304,MATCH(E365,DM_NL!$A$5:$A$304,0)),""))</f>
        <v/>
      </c>
      <c r="H365" s="39" t="str">
        <f>IF(OR(E365="",BOM!G359="KXDDM"),"",BOM!F359)</f>
        <v/>
      </c>
      <c r="I365" s="36" t="str">
        <f>IF(E365="","",BOM!G359&amp;"")</f>
        <v/>
      </c>
    </row>
    <row r="366" spans="1:9" x14ac:dyDescent="0.25">
      <c r="A366" s="36" t="str">
        <f>IF(B366="","",MAX($A$10:A365)+1)</f>
        <v/>
      </c>
      <c r="B366" s="35" t="str">
        <f>IF(BOM!A360="","",IF(BOM!A360=BOM!A359,"",BOM!A360))</f>
        <v/>
      </c>
      <c r="C366" s="35" t="str">
        <f>IF(B366="","",IFERROR(INDEX(DM_SP!$B$5:$B$304,MATCH(B366,DM_SP!$A$5:$A$304,0)),"(chưa có trong DM_SP)"))</f>
        <v/>
      </c>
      <c r="D366" s="35" t="str">
        <f>IF(B366="","",IFERROR(INDEX(DM_SP!$C$5:$C$304,MATCH(B366,DM_SP!$A$5:$A$304,0)),""))</f>
        <v/>
      </c>
      <c r="E366" s="35" t="str">
        <f>IF(BOM!A360="","",BOM!B360)</f>
        <v/>
      </c>
      <c r="F366" s="35" t="str">
        <f>IF(E366="","",IFERROR(INDEX(DM_NL!$B$5:$B$304,MATCH(E366,DM_NL!$A$5:$A$304,0)),"(chưa có trong DM_NL)"))</f>
        <v/>
      </c>
      <c r="G366" s="35" t="str">
        <f>IF(E366="","",IFERROR(INDEX(DM_NL!$C$5:$C$304,MATCH(E366,DM_NL!$A$5:$A$304,0)),""))</f>
        <v/>
      </c>
      <c r="H366" s="39" t="str">
        <f>IF(OR(E366="",BOM!G360="KXDDM"),"",BOM!F360)</f>
        <v/>
      </c>
      <c r="I366" s="36" t="str">
        <f>IF(E366="","",BOM!G360&amp;"")</f>
        <v/>
      </c>
    </row>
    <row r="367" spans="1:9" x14ac:dyDescent="0.25">
      <c r="A367" s="36" t="str">
        <f>IF(B367="","",MAX($A$10:A366)+1)</f>
        <v/>
      </c>
      <c r="B367" s="35" t="str">
        <f>IF(BOM!A361="","",IF(BOM!A361=BOM!A360,"",BOM!A361))</f>
        <v/>
      </c>
      <c r="C367" s="35" t="str">
        <f>IF(B367="","",IFERROR(INDEX(DM_SP!$B$5:$B$304,MATCH(B367,DM_SP!$A$5:$A$304,0)),"(chưa có trong DM_SP)"))</f>
        <v/>
      </c>
      <c r="D367" s="35" t="str">
        <f>IF(B367="","",IFERROR(INDEX(DM_SP!$C$5:$C$304,MATCH(B367,DM_SP!$A$5:$A$304,0)),""))</f>
        <v/>
      </c>
      <c r="E367" s="35" t="str">
        <f>IF(BOM!A361="","",BOM!B361)</f>
        <v/>
      </c>
      <c r="F367" s="35" t="str">
        <f>IF(E367="","",IFERROR(INDEX(DM_NL!$B$5:$B$304,MATCH(E367,DM_NL!$A$5:$A$304,0)),"(chưa có trong DM_NL)"))</f>
        <v/>
      </c>
      <c r="G367" s="35" t="str">
        <f>IF(E367="","",IFERROR(INDEX(DM_NL!$C$5:$C$304,MATCH(E367,DM_NL!$A$5:$A$304,0)),""))</f>
        <v/>
      </c>
      <c r="H367" s="39" t="str">
        <f>IF(OR(E367="",BOM!G361="KXDDM"),"",BOM!F361)</f>
        <v/>
      </c>
      <c r="I367" s="36" t="str">
        <f>IF(E367="","",BOM!G361&amp;"")</f>
        <v/>
      </c>
    </row>
    <row r="368" spans="1:9" x14ac:dyDescent="0.25">
      <c r="A368" s="36" t="str">
        <f>IF(B368="","",MAX($A$10:A367)+1)</f>
        <v/>
      </c>
      <c r="B368" s="35" t="str">
        <f>IF(BOM!A362="","",IF(BOM!A362=BOM!A361,"",BOM!A362))</f>
        <v/>
      </c>
      <c r="C368" s="35" t="str">
        <f>IF(B368="","",IFERROR(INDEX(DM_SP!$B$5:$B$304,MATCH(B368,DM_SP!$A$5:$A$304,0)),"(chưa có trong DM_SP)"))</f>
        <v/>
      </c>
      <c r="D368" s="35" t="str">
        <f>IF(B368="","",IFERROR(INDEX(DM_SP!$C$5:$C$304,MATCH(B368,DM_SP!$A$5:$A$304,0)),""))</f>
        <v/>
      </c>
      <c r="E368" s="35" t="str">
        <f>IF(BOM!A362="","",BOM!B362)</f>
        <v/>
      </c>
      <c r="F368" s="35" t="str">
        <f>IF(E368="","",IFERROR(INDEX(DM_NL!$B$5:$B$304,MATCH(E368,DM_NL!$A$5:$A$304,0)),"(chưa có trong DM_NL)"))</f>
        <v/>
      </c>
      <c r="G368" s="35" t="str">
        <f>IF(E368="","",IFERROR(INDEX(DM_NL!$C$5:$C$304,MATCH(E368,DM_NL!$A$5:$A$304,0)),""))</f>
        <v/>
      </c>
      <c r="H368" s="39" t="str">
        <f>IF(OR(E368="",BOM!G362="KXDDM"),"",BOM!F362)</f>
        <v/>
      </c>
      <c r="I368" s="36" t="str">
        <f>IF(E368="","",BOM!G362&amp;"")</f>
        <v/>
      </c>
    </row>
    <row r="369" spans="1:9" x14ac:dyDescent="0.25">
      <c r="A369" s="36" t="str">
        <f>IF(B369="","",MAX($A$10:A368)+1)</f>
        <v/>
      </c>
      <c r="B369" s="35" t="str">
        <f>IF(BOM!A363="","",IF(BOM!A363=BOM!A362,"",BOM!A363))</f>
        <v/>
      </c>
      <c r="C369" s="35" t="str">
        <f>IF(B369="","",IFERROR(INDEX(DM_SP!$B$5:$B$304,MATCH(B369,DM_SP!$A$5:$A$304,0)),"(chưa có trong DM_SP)"))</f>
        <v/>
      </c>
      <c r="D369" s="35" t="str">
        <f>IF(B369="","",IFERROR(INDEX(DM_SP!$C$5:$C$304,MATCH(B369,DM_SP!$A$5:$A$304,0)),""))</f>
        <v/>
      </c>
      <c r="E369" s="35" t="str">
        <f>IF(BOM!A363="","",BOM!B363)</f>
        <v/>
      </c>
      <c r="F369" s="35" t="str">
        <f>IF(E369="","",IFERROR(INDEX(DM_NL!$B$5:$B$304,MATCH(E369,DM_NL!$A$5:$A$304,0)),"(chưa có trong DM_NL)"))</f>
        <v/>
      </c>
      <c r="G369" s="35" t="str">
        <f>IF(E369="","",IFERROR(INDEX(DM_NL!$C$5:$C$304,MATCH(E369,DM_NL!$A$5:$A$304,0)),""))</f>
        <v/>
      </c>
      <c r="H369" s="39" t="str">
        <f>IF(OR(E369="",BOM!G363="KXDDM"),"",BOM!F363)</f>
        <v/>
      </c>
      <c r="I369" s="36" t="str">
        <f>IF(E369="","",BOM!G363&amp;"")</f>
        <v/>
      </c>
    </row>
    <row r="370" spans="1:9" x14ac:dyDescent="0.25">
      <c r="A370" s="36" t="str">
        <f>IF(B370="","",MAX($A$10:A369)+1)</f>
        <v/>
      </c>
      <c r="B370" s="35" t="str">
        <f>IF(BOM!A364="","",IF(BOM!A364=BOM!A363,"",BOM!A364))</f>
        <v/>
      </c>
      <c r="C370" s="35" t="str">
        <f>IF(B370="","",IFERROR(INDEX(DM_SP!$B$5:$B$304,MATCH(B370,DM_SP!$A$5:$A$304,0)),"(chưa có trong DM_SP)"))</f>
        <v/>
      </c>
      <c r="D370" s="35" t="str">
        <f>IF(B370="","",IFERROR(INDEX(DM_SP!$C$5:$C$304,MATCH(B370,DM_SP!$A$5:$A$304,0)),""))</f>
        <v/>
      </c>
      <c r="E370" s="35" t="str">
        <f>IF(BOM!A364="","",BOM!B364)</f>
        <v/>
      </c>
      <c r="F370" s="35" t="str">
        <f>IF(E370="","",IFERROR(INDEX(DM_NL!$B$5:$B$304,MATCH(E370,DM_NL!$A$5:$A$304,0)),"(chưa có trong DM_NL)"))</f>
        <v/>
      </c>
      <c r="G370" s="35" t="str">
        <f>IF(E370="","",IFERROR(INDEX(DM_NL!$C$5:$C$304,MATCH(E370,DM_NL!$A$5:$A$304,0)),""))</f>
        <v/>
      </c>
      <c r="H370" s="39" t="str">
        <f>IF(OR(E370="",BOM!G364="KXDDM"),"",BOM!F364)</f>
        <v/>
      </c>
      <c r="I370" s="36" t="str">
        <f>IF(E370="","",BOM!G364&amp;"")</f>
        <v/>
      </c>
    </row>
    <row r="371" spans="1:9" x14ac:dyDescent="0.25">
      <c r="A371" s="36" t="str">
        <f>IF(B371="","",MAX($A$10:A370)+1)</f>
        <v/>
      </c>
      <c r="B371" s="35" t="str">
        <f>IF(BOM!A365="","",IF(BOM!A365=BOM!A364,"",BOM!A365))</f>
        <v/>
      </c>
      <c r="C371" s="35" t="str">
        <f>IF(B371="","",IFERROR(INDEX(DM_SP!$B$5:$B$304,MATCH(B371,DM_SP!$A$5:$A$304,0)),"(chưa có trong DM_SP)"))</f>
        <v/>
      </c>
      <c r="D371" s="35" t="str">
        <f>IF(B371="","",IFERROR(INDEX(DM_SP!$C$5:$C$304,MATCH(B371,DM_SP!$A$5:$A$304,0)),""))</f>
        <v/>
      </c>
      <c r="E371" s="35" t="str">
        <f>IF(BOM!A365="","",BOM!B365)</f>
        <v/>
      </c>
      <c r="F371" s="35" t="str">
        <f>IF(E371="","",IFERROR(INDEX(DM_NL!$B$5:$B$304,MATCH(E371,DM_NL!$A$5:$A$304,0)),"(chưa có trong DM_NL)"))</f>
        <v/>
      </c>
      <c r="G371" s="35" t="str">
        <f>IF(E371="","",IFERROR(INDEX(DM_NL!$C$5:$C$304,MATCH(E371,DM_NL!$A$5:$A$304,0)),""))</f>
        <v/>
      </c>
      <c r="H371" s="39" t="str">
        <f>IF(OR(E371="",BOM!G365="KXDDM"),"",BOM!F365)</f>
        <v/>
      </c>
      <c r="I371" s="36" t="str">
        <f>IF(E371="","",BOM!G365&amp;"")</f>
        <v/>
      </c>
    </row>
    <row r="372" spans="1:9" x14ac:dyDescent="0.25">
      <c r="A372" s="36" t="str">
        <f>IF(B372="","",MAX($A$10:A371)+1)</f>
        <v/>
      </c>
      <c r="B372" s="35" t="str">
        <f>IF(BOM!A366="","",IF(BOM!A366=BOM!A365,"",BOM!A366))</f>
        <v/>
      </c>
      <c r="C372" s="35" t="str">
        <f>IF(B372="","",IFERROR(INDEX(DM_SP!$B$5:$B$304,MATCH(B372,DM_SP!$A$5:$A$304,0)),"(chưa có trong DM_SP)"))</f>
        <v/>
      </c>
      <c r="D372" s="35" t="str">
        <f>IF(B372="","",IFERROR(INDEX(DM_SP!$C$5:$C$304,MATCH(B372,DM_SP!$A$5:$A$304,0)),""))</f>
        <v/>
      </c>
      <c r="E372" s="35" t="str">
        <f>IF(BOM!A366="","",BOM!B366)</f>
        <v/>
      </c>
      <c r="F372" s="35" t="str">
        <f>IF(E372="","",IFERROR(INDEX(DM_NL!$B$5:$B$304,MATCH(E372,DM_NL!$A$5:$A$304,0)),"(chưa có trong DM_NL)"))</f>
        <v/>
      </c>
      <c r="G372" s="35" t="str">
        <f>IF(E372="","",IFERROR(INDEX(DM_NL!$C$5:$C$304,MATCH(E372,DM_NL!$A$5:$A$304,0)),""))</f>
        <v/>
      </c>
      <c r="H372" s="39" t="str">
        <f>IF(OR(E372="",BOM!G366="KXDDM"),"",BOM!F366)</f>
        <v/>
      </c>
      <c r="I372" s="36" t="str">
        <f>IF(E372="","",BOM!G366&amp;"")</f>
        <v/>
      </c>
    </row>
    <row r="373" spans="1:9" x14ac:dyDescent="0.25">
      <c r="A373" s="36" t="str">
        <f>IF(B373="","",MAX($A$10:A372)+1)</f>
        <v/>
      </c>
      <c r="B373" s="35" t="str">
        <f>IF(BOM!A367="","",IF(BOM!A367=BOM!A366,"",BOM!A367))</f>
        <v/>
      </c>
      <c r="C373" s="35" t="str">
        <f>IF(B373="","",IFERROR(INDEX(DM_SP!$B$5:$B$304,MATCH(B373,DM_SP!$A$5:$A$304,0)),"(chưa có trong DM_SP)"))</f>
        <v/>
      </c>
      <c r="D373" s="35" t="str">
        <f>IF(B373="","",IFERROR(INDEX(DM_SP!$C$5:$C$304,MATCH(B373,DM_SP!$A$5:$A$304,0)),""))</f>
        <v/>
      </c>
      <c r="E373" s="35" t="str">
        <f>IF(BOM!A367="","",BOM!B367)</f>
        <v/>
      </c>
      <c r="F373" s="35" t="str">
        <f>IF(E373="","",IFERROR(INDEX(DM_NL!$B$5:$B$304,MATCH(E373,DM_NL!$A$5:$A$304,0)),"(chưa có trong DM_NL)"))</f>
        <v/>
      </c>
      <c r="G373" s="35" t="str">
        <f>IF(E373="","",IFERROR(INDEX(DM_NL!$C$5:$C$304,MATCH(E373,DM_NL!$A$5:$A$304,0)),""))</f>
        <v/>
      </c>
      <c r="H373" s="39" t="str">
        <f>IF(OR(E373="",BOM!G367="KXDDM"),"",BOM!F367)</f>
        <v/>
      </c>
      <c r="I373" s="36" t="str">
        <f>IF(E373="","",BOM!G367&amp;"")</f>
        <v/>
      </c>
    </row>
    <row r="374" spans="1:9" x14ac:dyDescent="0.25">
      <c r="A374" s="36" t="str">
        <f>IF(B374="","",MAX($A$10:A373)+1)</f>
        <v/>
      </c>
      <c r="B374" s="35" t="str">
        <f>IF(BOM!A368="","",IF(BOM!A368=BOM!A367,"",BOM!A368))</f>
        <v/>
      </c>
      <c r="C374" s="35" t="str">
        <f>IF(B374="","",IFERROR(INDEX(DM_SP!$B$5:$B$304,MATCH(B374,DM_SP!$A$5:$A$304,0)),"(chưa có trong DM_SP)"))</f>
        <v/>
      </c>
      <c r="D374" s="35" t="str">
        <f>IF(B374="","",IFERROR(INDEX(DM_SP!$C$5:$C$304,MATCH(B374,DM_SP!$A$5:$A$304,0)),""))</f>
        <v/>
      </c>
      <c r="E374" s="35" t="str">
        <f>IF(BOM!A368="","",BOM!B368)</f>
        <v/>
      </c>
      <c r="F374" s="35" t="str">
        <f>IF(E374="","",IFERROR(INDEX(DM_NL!$B$5:$B$304,MATCH(E374,DM_NL!$A$5:$A$304,0)),"(chưa có trong DM_NL)"))</f>
        <v/>
      </c>
      <c r="G374" s="35" t="str">
        <f>IF(E374="","",IFERROR(INDEX(DM_NL!$C$5:$C$304,MATCH(E374,DM_NL!$A$5:$A$304,0)),""))</f>
        <v/>
      </c>
      <c r="H374" s="39" t="str">
        <f>IF(OR(E374="",BOM!G368="KXDDM"),"",BOM!F368)</f>
        <v/>
      </c>
      <c r="I374" s="36" t="str">
        <f>IF(E374="","",BOM!G368&amp;"")</f>
        <v/>
      </c>
    </row>
    <row r="375" spans="1:9" x14ac:dyDescent="0.25">
      <c r="A375" s="36" t="str">
        <f>IF(B375="","",MAX($A$10:A374)+1)</f>
        <v/>
      </c>
      <c r="B375" s="35" t="str">
        <f>IF(BOM!A369="","",IF(BOM!A369=BOM!A368,"",BOM!A369))</f>
        <v/>
      </c>
      <c r="C375" s="35" t="str">
        <f>IF(B375="","",IFERROR(INDEX(DM_SP!$B$5:$B$304,MATCH(B375,DM_SP!$A$5:$A$304,0)),"(chưa có trong DM_SP)"))</f>
        <v/>
      </c>
      <c r="D375" s="35" t="str">
        <f>IF(B375="","",IFERROR(INDEX(DM_SP!$C$5:$C$304,MATCH(B375,DM_SP!$A$5:$A$304,0)),""))</f>
        <v/>
      </c>
      <c r="E375" s="35" t="str">
        <f>IF(BOM!A369="","",BOM!B369)</f>
        <v/>
      </c>
      <c r="F375" s="35" t="str">
        <f>IF(E375="","",IFERROR(INDEX(DM_NL!$B$5:$B$304,MATCH(E375,DM_NL!$A$5:$A$304,0)),"(chưa có trong DM_NL)"))</f>
        <v/>
      </c>
      <c r="G375" s="35" t="str">
        <f>IF(E375="","",IFERROR(INDEX(DM_NL!$C$5:$C$304,MATCH(E375,DM_NL!$A$5:$A$304,0)),""))</f>
        <v/>
      </c>
      <c r="H375" s="39" t="str">
        <f>IF(OR(E375="",BOM!G369="KXDDM"),"",BOM!F369)</f>
        <v/>
      </c>
      <c r="I375" s="36" t="str">
        <f>IF(E375="","",BOM!G369&amp;"")</f>
        <v/>
      </c>
    </row>
    <row r="376" spans="1:9" x14ac:dyDescent="0.25">
      <c r="A376" s="36" t="str">
        <f>IF(B376="","",MAX($A$10:A375)+1)</f>
        <v/>
      </c>
      <c r="B376" s="35" t="str">
        <f>IF(BOM!A370="","",IF(BOM!A370=BOM!A369,"",BOM!A370))</f>
        <v/>
      </c>
      <c r="C376" s="35" t="str">
        <f>IF(B376="","",IFERROR(INDEX(DM_SP!$B$5:$B$304,MATCH(B376,DM_SP!$A$5:$A$304,0)),"(chưa có trong DM_SP)"))</f>
        <v/>
      </c>
      <c r="D376" s="35" t="str">
        <f>IF(B376="","",IFERROR(INDEX(DM_SP!$C$5:$C$304,MATCH(B376,DM_SP!$A$5:$A$304,0)),""))</f>
        <v/>
      </c>
      <c r="E376" s="35" t="str">
        <f>IF(BOM!A370="","",BOM!B370)</f>
        <v/>
      </c>
      <c r="F376" s="35" t="str">
        <f>IF(E376="","",IFERROR(INDEX(DM_NL!$B$5:$B$304,MATCH(E376,DM_NL!$A$5:$A$304,0)),"(chưa có trong DM_NL)"))</f>
        <v/>
      </c>
      <c r="G376" s="35" t="str">
        <f>IF(E376="","",IFERROR(INDEX(DM_NL!$C$5:$C$304,MATCH(E376,DM_NL!$A$5:$A$304,0)),""))</f>
        <v/>
      </c>
      <c r="H376" s="39" t="str">
        <f>IF(OR(E376="",BOM!G370="KXDDM"),"",BOM!F370)</f>
        <v/>
      </c>
      <c r="I376" s="36" t="str">
        <f>IF(E376="","",BOM!G370&amp;"")</f>
        <v/>
      </c>
    </row>
    <row r="377" spans="1:9" x14ac:dyDescent="0.25">
      <c r="A377" s="36" t="str">
        <f>IF(B377="","",MAX($A$10:A376)+1)</f>
        <v/>
      </c>
      <c r="B377" s="35" t="str">
        <f>IF(BOM!A371="","",IF(BOM!A371=BOM!A370,"",BOM!A371))</f>
        <v/>
      </c>
      <c r="C377" s="35" t="str">
        <f>IF(B377="","",IFERROR(INDEX(DM_SP!$B$5:$B$304,MATCH(B377,DM_SP!$A$5:$A$304,0)),"(chưa có trong DM_SP)"))</f>
        <v/>
      </c>
      <c r="D377" s="35" t="str">
        <f>IF(B377="","",IFERROR(INDEX(DM_SP!$C$5:$C$304,MATCH(B377,DM_SP!$A$5:$A$304,0)),""))</f>
        <v/>
      </c>
      <c r="E377" s="35" t="str">
        <f>IF(BOM!A371="","",BOM!B371)</f>
        <v/>
      </c>
      <c r="F377" s="35" t="str">
        <f>IF(E377="","",IFERROR(INDEX(DM_NL!$B$5:$B$304,MATCH(E377,DM_NL!$A$5:$A$304,0)),"(chưa có trong DM_NL)"))</f>
        <v/>
      </c>
      <c r="G377" s="35" t="str">
        <f>IF(E377="","",IFERROR(INDEX(DM_NL!$C$5:$C$304,MATCH(E377,DM_NL!$A$5:$A$304,0)),""))</f>
        <v/>
      </c>
      <c r="H377" s="39" t="str">
        <f>IF(OR(E377="",BOM!G371="KXDDM"),"",BOM!F371)</f>
        <v/>
      </c>
      <c r="I377" s="36" t="str">
        <f>IF(E377="","",BOM!G371&amp;"")</f>
        <v/>
      </c>
    </row>
    <row r="378" spans="1:9" x14ac:dyDescent="0.25">
      <c r="A378" s="36" t="str">
        <f>IF(B378="","",MAX($A$10:A377)+1)</f>
        <v/>
      </c>
      <c r="B378" s="35" t="str">
        <f>IF(BOM!A372="","",IF(BOM!A372=BOM!A371,"",BOM!A372))</f>
        <v/>
      </c>
      <c r="C378" s="35" t="str">
        <f>IF(B378="","",IFERROR(INDEX(DM_SP!$B$5:$B$304,MATCH(B378,DM_SP!$A$5:$A$304,0)),"(chưa có trong DM_SP)"))</f>
        <v/>
      </c>
      <c r="D378" s="35" t="str">
        <f>IF(B378="","",IFERROR(INDEX(DM_SP!$C$5:$C$304,MATCH(B378,DM_SP!$A$5:$A$304,0)),""))</f>
        <v/>
      </c>
      <c r="E378" s="35" t="str">
        <f>IF(BOM!A372="","",BOM!B372)</f>
        <v/>
      </c>
      <c r="F378" s="35" t="str">
        <f>IF(E378="","",IFERROR(INDEX(DM_NL!$B$5:$B$304,MATCH(E378,DM_NL!$A$5:$A$304,0)),"(chưa có trong DM_NL)"))</f>
        <v/>
      </c>
      <c r="G378" s="35" t="str">
        <f>IF(E378="","",IFERROR(INDEX(DM_NL!$C$5:$C$304,MATCH(E378,DM_NL!$A$5:$A$304,0)),""))</f>
        <v/>
      </c>
      <c r="H378" s="39" t="str">
        <f>IF(OR(E378="",BOM!G372="KXDDM"),"",BOM!F372)</f>
        <v/>
      </c>
      <c r="I378" s="36" t="str">
        <f>IF(E378="","",BOM!G372&amp;"")</f>
        <v/>
      </c>
    </row>
    <row r="379" spans="1:9" x14ac:dyDescent="0.25">
      <c r="A379" s="36" t="str">
        <f>IF(B379="","",MAX($A$10:A378)+1)</f>
        <v/>
      </c>
      <c r="B379" s="35" t="str">
        <f>IF(BOM!A373="","",IF(BOM!A373=BOM!A372,"",BOM!A373))</f>
        <v/>
      </c>
      <c r="C379" s="35" t="str">
        <f>IF(B379="","",IFERROR(INDEX(DM_SP!$B$5:$B$304,MATCH(B379,DM_SP!$A$5:$A$304,0)),"(chưa có trong DM_SP)"))</f>
        <v/>
      </c>
      <c r="D379" s="35" t="str">
        <f>IF(B379="","",IFERROR(INDEX(DM_SP!$C$5:$C$304,MATCH(B379,DM_SP!$A$5:$A$304,0)),""))</f>
        <v/>
      </c>
      <c r="E379" s="35" t="str">
        <f>IF(BOM!A373="","",BOM!B373)</f>
        <v/>
      </c>
      <c r="F379" s="35" t="str">
        <f>IF(E379="","",IFERROR(INDEX(DM_NL!$B$5:$B$304,MATCH(E379,DM_NL!$A$5:$A$304,0)),"(chưa có trong DM_NL)"))</f>
        <v/>
      </c>
      <c r="G379" s="35" t="str">
        <f>IF(E379="","",IFERROR(INDEX(DM_NL!$C$5:$C$304,MATCH(E379,DM_NL!$A$5:$A$304,0)),""))</f>
        <v/>
      </c>
      <c r="H379" s="39" t="str">
        <f>IF(OR(E379="",BOM!G373="KXDDM"),"",BOM!F373)</f>
        <v/>
      </c>
      <c r="I379" s="36" t="str">
        <f>IF(E379="","",BOM!G373&amp;"")</f>
        <v/>
      </c>
    </row>
    <row r="380" spans="1:9" x14ac:dyDescent="0.25">
      <c r="A380" s="36" t="str">
        <f>IF(B380="","",MAX($A$10:A379)+1)</f>
        <v/>
      </c>
      <c r="B380" s="35" t="str">
        <f>IF(BOM!A374="","",IF(BOM!A374=BOM!A373,"",BOM!A374))</f>
        <v/>
      </c>
      <c r="C380" s="35" t="str">
        <f>IF(B380="","",IFERROR(INDEX(DM_SP!$B$5:$B$304,MATCH(B380,DM_SP!$A$5:$A$304,0)),"(chưa có trong DM_SP)"))</f>
        <v/>
      </c>
      <c r="D380" s="35" t="str">
        <f>IF(B380="","",IFERROR(INDEX(DM_SP!$C$5:$C$304,MATCH(B380,DM_SP!$A$5:$A$304,0)),""))</f>
        <v/>
      </c>
      <c r="E380" s="35" t="str">
        <f>IF(BOM!A374="","",BOM!B374)</f>
        <v/>
      </c>
      <c r="F380" s="35" t="str">
        <f>IF(E380="","",IFERROR(INDEX(DM_NL!$B$5:$B$304,MATCH(E380,DM_NL!$A$5:$A$304,0)),"(chưa có trong DM_NL)"))</f>
        <v/>
      </c>
      <c r="G380" s="35" t="str">
        <f>IF(E380="","",IFERROR(INDEX(DM_NL!$C$5:$C$304,MATCH(E380,DM_NL!$A$5:$A$304,0)),""))</f>
        <v/>
      </c>
      <c r="H380" s="39" t="str">
        <f>IF(OR(E380="",BOM!G374="KXDDM"),"",BOM!F374)</f>
        <v/>
      </c>
      <c r="I380" s="36" t="str">
        <f>IF(E380="","",BOM!G374&amp;"")</f>
        <v/>
      </c>
    </row>
    <row r="381" spans="1:9" x14ac:dyDescent="0.25">
      <c r="A381" s="36" t="str">
        <f>IF(B381="","",MAX($A$10:A380)+1)</f>
        <v/>
      </c>
      <c r="B381" s="35" t="str">
        <f>IF(BOM!A375="","",IF(BOM!A375=BOM!A374,"",BOM!A375))</f>
        <v/>
      </c>
      <c r="C381" s="35" t="str">
        <f>IF(B381="","",IFERROR(INDEX(DM_SP!$B$5:$B$304,MATCH(B381,DM_SP!$A$5:$A$304,0)),"(chưa có trong DM_SP)"))</f>
        <v/>
      </c>
      <c r="D381" s="35" t="str">
        <f>IF(B381="","",IFERROR(INDEX(DM_SP!$C$5:$C$304,MATCH(B381,DM_SP!$A$5:$A$304,0)),""))</f>
        <v/>
      </c>
      <c r="E381" s="35" t="str">
        <f>IF(BOM!A375="","",BOM!B375)</f>
        <v/>
      </c>
      <c r="F381" s="35" t="str">
        <f>IF(E381="","",IFERROR(INDEX(DM_NL!$B$5:$B$304,MATCH(E381,DM_NL!$A$5:$A$304,0)),"(chưa có trong DM_NL)"))</f>
        <v/>
      </c>
      <c r="G381" s="35" t="str">
        <f>IF(E381="","",IFERROR(INDEX(DM_NL!$C$5:$C$304,MATCH(E381,DM_NL!$A$5:$A$304,0)),""))</f>
        <v/>
      </c>
      <c r="H381" s="39" t="str">
        <f>IF(OR(E381="",BOM!G375="KXDDM"),"",BOM!F375)</f>
        <v/>
      </c>
      <c r="I381" s="36" t="str">
        <f>IF(E381="","",BOM!G375&amp;"")</f>
        <v/>
      </c>
    </row>
    <row r="382" spans="1:9" x14ac:dyDescent="0.25">
      <c r="A382" s="36" t="str">
        <f>IF(B382="","",MAX($A$10:A381)+1)</f>
        <v/>
      </c>
      <c r="B382" s="35" t="str">
        <f>IF(BOM!A376="","",IF(BOM!A376=BOM!A375,"",BOM!A376))</f>
        <v/>
      </c>
      <c r="C382" s="35" t="str">
        <f>IF(B382="","",IFERROR(INDEX(DM_SP!$B$5:$B$304,MATCH(B382,DM_SP!$A$5:$A$304,0)),"(chưa có trong DM_SP)"))</f>
        <v/>
      </c>
      <c r="D382" s="35" t="str">
        <f>IF(B382="","",IFERROR(INDEX(DM_SP!$C$5:$C$304,MATCH(B382,DM_SP!$A$5:$A$304,0)),""))</f>
        <v/>
      </c>
      <c r="E382" s="35" t="str">
        <f>IF(BOM!A376="","",BOM!B376)</f>
        <v/>
      </c>
      <c r="F382" s="35" t="str">
        <f>IF(E382="","",IFERROR(INDEX(DM_NL!$B$5:$B$304,MATCH(E382,DM_NL!$A$5:$A$304,0)),"(chưa có trong DM_NL)"))</f>
        <v/>
      </c>
      <c r="G382" s="35" t="str">
        <f>IF(E382="","",IFERROR(INDEX(DM_NL!$C$5:$C$304,MATCH(E382,DM_NL!$A$5:$A$304,0)),""))</f>
        <v/>
      </c>
      <c r="H382" s="39" t="str">
        <f>IF(OR(E382="",BOM!G376="KXDDM"),"",BOM!F376)</f>
        <v/>
      </c>
      <c r="I382" s="36" t="str">
        <f>IF(E382="","",BOM!G376&amp;"")</f>
        <v/>
      </c>
    </row>
    <row r="383" spans="1:9" x14ac:dyDescent="0.25">
      <c r="A383" s="36" t="str">
        <f>IF(B383="","",MAX($A$10:A382)+1)</f>
        <v/>
      </c>
      <c r="B383" s="35" t="str">
        <f>IF(BOM!A377="","",IF(BOM!A377=BOM!A376,"",BOM!A377))</f>
        <v/>
      </c>
      <c r="C383" s="35" t="str">
        <f>IF(B383="","",IFERROR(INDEX(DM_SP!$B$5:$B$304,MATCH(B383,DM_SP!$A$5:$A$304,0)),"(chưa có trong DM_SP)"))</f>
        <v/>
      </c>
      <c r="D383" s="35" t="str">
        <f>IF(B383="","",IFERROR(INDEX(DM_SP!$C$5:$C$304,MATCH(B383,DM_SP!$A$5:$A$304,0)),""))</f>
        <v/>
      </c>
      <c r="E383" s="35" t="str">
        <f>IF(BOM!A377="","",BOM!B377)</f>
        <v/>
      </c>
      <c r="F383" s="35" t="str">
        <f>IF(E383="","",IFERROR(INDEX(DM_NL!$B$5:$B$304,MATCH(E383,DM_NL!$A$5:$A$304,0)),"(chưa có trong DM_NL)"))</f>
        <v/>
      </c>
      <c r="G383" s="35" t="str">
        <f>IF(E383="","",IFERROR(INDEX(DM_NL!$C$5:$C$304,MATCH(E383,DM_NL!$A$5:$A$304,0)),""))</f>
        <v/>
      </c>
      <c r="H383" s="39" t="str">
        <f>IF(OR(E383="",BOM!G377="KXDDM"),"",BOM!F377)</f>
        <v/>
      </c>
      <c r="I383" s="36" t="str">
        <f>IF(E383="","",BOM!G377&amp;"")</f>
        <v/>
      </c>
    </row>
    <row r="384" spans="1:9" x14ac:dyDescent="0.25">
      <c r="A384" s="36" t="str">
        <f>IF(B384="","",MAX($A$10:A383)+1)</f>
        <v/>
      </c>
      <c r="B384" s="35" t="str">
        <f>IF(BOM!A378="","",IF(BOM!A378=BOM!A377,"",BOM!A378))</f>
        <v/>
      </c>
      <c r="C384" s="35" t="str">
        <f>IF(B384="","",IFERROR(INDEX(DM_SP!$B$5:$B$304,MATCH(B384,DM_SP!$A$5:$A$304,0)),"(chưa có trong DM_SP)"))</f>
        <v/>
      </c>
      <c r="D384" s="35" t="str">
        <f>IF(B384="","",IFERROR(INDEX(DM_SP!$C$5:$C$304,MATCH(B384,DM_SP!$A$5:$A$304,0)),""))</f>
        <v/>
      </c>
      <c r="E384" s="35" t="str">
        <f>IF(BOM!A378="","",BOM!B378)</f>
        <v/>
      </c>
      <c r="F384" s="35" t="str">
        <f>IF(E384="","",IFERROR(INDEX(DM_NL!$B$5:$B$304,MATCH(E384,DM_NL!$A$5:$A$304,0)),"(chưa có trong DM_NL)"))</f>
        <v/>
      </c>
      <c r="G384" s="35" t="str">
        <f>IF(E384="","",IFERROR(INDEX(DM_NL!$C$5:$C$304,MATCH(E384,DM_NL!$A$5:$A$304,0)),""))</f>
        <v/>
      </c>
      <c r="H384" s="39" t="str">
        <f>IF(OR(E384="",BOM!G378="KXDDM"),"",BOM!F378)</f>
        <v/>
      </c>
      <c r="I384" s="36" t="str">
        <f>IF(E384="","",BOM!G378&amp;"")</f>
        <v/>
      </c>
    </row>
    <row r="385" spans="1:9" x14ac:dyDescent="0.25">
      <c r="A385" s="36" t="str">
        <f>IF(B385="","",MAX($A$10:A384)+1)</f>
        <v/>
      </c>
      <c r="B385" s="35" t="str">
        <f>IF(BOM!A379="","",IF(BOM!A379=BOM!A378,"",BOM!A379))</f>
        <v/>
      </c>
      <c r="C385" s="35" t="str">
        <f>IF(B385="","",IFERROR(INDEX(DM_SP!$B$5:$B$304,MATCH(B385,DM_SP!$A$5:$A$304,0)),"(chưa có trong DM_SP)"))</f>
        <v/>
      </c>
      <c r="D385" s="35" t="str">
        <f>IF(B385="","",IFERROR(INDEX(DM_SP!$C$5:$C$304,MATCH(B385,DM_SP!$A$5:$A$304,0)),""))</f>
        <v/>
      </c>
      <c r="E385" s="35" t="str">
        <f>IF(BOM!A379="","",BOM!B379)</f>
        <v/>
      </c>
      <c r="F385" s="35" t="str">
        <f>IF(E385="","",IFERROR(INDEX(DM_NL!$B$5:$B$304,MATCH(E385,DM_NL!$A$5:$A$304,0)),"(chưa có trong DM_NL)"))</f>
        <v/>
      </c>
      <c r="G385" s="35" t="str">
        <f>IF(E385="","",IFERROR(INDEX(DM_NL!$C$5:$C$304,MATCH(E385,DM_NL!$A$5:$A$304,0)),""))</f>
        <v/>
      </c>
      <c r="H385" s="39" t="str">
        <f>IF(OR(E385="",BOM!G379="KXDDM"),"",BOM!F379)</f>
        <v/>
      </c>
      <c r="I385" s="36" t="str">
        <f>IF(E385="","",BOM!G379&amp;"")</f>
        <v/>
      </c>
    </row>
    <row r="386" spans="1:9" x14ac:dyDescent="0.25">
      <c r="A386" s="36" t="str">
        <f>IF(B386="","",MAX($A$10:A385)+1)</f>
        <v/>
      </c>
      <c r="B386" s="35" t="str">
        <f>IF(BOM!A380="","",IF(BOM!A380=BOM!A379,"",BOM!A380))</f>
        <v/>
      </c>
      <c r="C386" s="35" t="str">
        <f>IF(B386="","",IFERROR(INDEX(DM_SP!$B$5:$B$304,MATCH(B386,DM_SP!$A$5:$A$304,0)),"(chưa có trong DM_SP)"))</f>
        <v/>
      </c>
      <c r="D386" s="35" t="str">
        <f>IF(B386="","",IFERROR(INDEX(DM_SP!$C$5:$C$304,MATCH(B386,DM_SP!$A$5:$A$304,0)),""))</f>
        <v/>
      </c>
      <c r="E386" s="35" t="str">
        <f>IF(BOM!A380="","",BOM!B380)</f>
        <v/>
      </c>
      <c r="F386" s="35" t="str">
        <f>IF(E386="","",IFERROR(INDEX(DM_NL!$B$5:$B$304,MATCH(E386,DM_NL!$A$5:$A$304,0)),"(chưa có trong DM_NL)"))</f>
        <v/>
      </c>
      <c r="G386" s="35" t="str">
        <f>IF(E386="","",IFERROR(INDEX(DM_NL!$C$5:$C$304,MATCH(E386,DM_NL!$A$5:$A$304,0)),""))</f>
        <v/>
      </c>
      <c r="H386" s="39" t="str">
        <f>IF(OR(E386="",BOM!G380="KXDDM"),"",BOM!F380)</f>
        <v/>
      </c>
      <c r="I386" s="36" t="str">
        <f>IF(E386="","",BOM!G380&amp;"")</f>
        <v/>
      </c>
    </row>
    <row r="387" spans="1:9" x14ac:dyDescent="0.25">
      <c r="A387" s="36" t="str">
        <f>IF(B387="","",MAX($A$10:A386)+1)</f>
        <v/>
      </c>
      <c r="B387" s="35" t="str">
        <f>IF(BOM!A381="","",IF(BOM!A381=BOM!A380,"",BOM!A381))</f>
        <v/>
      </c>
      <c r="C387" s="35" t="str">
        <f>IF(B387="","",IFERROR(INDEX(DM_SP!$B$5:$B$304,MATCH(B387,DM_SP!$A$5:$A$304,0)),"(chưa có trong DM_SP)"))</f>
        <v/>
      </c>
      <c r="D387" s="35" t="str">
        <f>IF(B387="","",IFERROR(INDEX(DM_SP!$C$5:$C$304,MATCH(B387,DM_SP!$A$5:$A$304,0)),""))</f>
        <v/>
      </c>
      <c r="E387" s="35" t="str">
        <f>IF(BOM!A381="","",BOM!B381)</f>
        <v/>
      </c>
      <c r="F387" s="35" t="str">
        <f>IF(E387="","",IFERROR(INDEX(DM_NL!$B$5:$B$304,MATCH(E387,DM_NL!$A$5:$A$304,0)),"(chưa có trong DM_NL)"))</f>
        <v/>
      </c>
      <c r="G387" s="35" t="str">
        <f>IF(E387="","",IFERROR(INDEX(DM_NL!$C$5:$C$304,MATCH(E387,DM_NL!$A$5:$A$304,0)),""))</f>
        <v/>
      </c>
      <c r="H387" s="39" t="str">
        <f>IF(OR(E387="",BOM!G381="KXDDM"),"",BOM!F381)</f>
        <v/>
      </c>
      <c r="I387" s="36" t="str">
        <f>IF(E387="","",BOM!G381&amp;"")</f>
        <v/>
      </c>
    </row>
    <row r="388" spans="1:9" x14ac:dyDescent="0.25">
      <c r="A388" s="36" t="str">
        <f>IF(B388="","",MAX($A$10:A387)+1)</f>
        <v/>
      </c>
      <c r="B388" s="35" t="str">
        <f>IF(BOM!A382="","",IF(BOM!A382=BOM!A381,"",BOM!A382))</f>
        <v/>
      </c>
      <c r="C388" s="35" t="str">
        <f>IF(B388="","",IFERROR(INDEX(DM_SP!$B$5:$B$304,MATCH(B388,DM_SP!$A$5:$A$304,0)),"(chưa có trong DM_SP)"))</f>
        <v/>
      </c>
      <c r="D388" s="35" t="str">
        <f>IF(B388="","",IFERROR(INDEX(DM_SP!$C$5:$C$304,MATCH(B388,DM_SP!$A$5:$A$304,0)),""))</f>
        <v/>
      </c>
      <c r="E388" s="35" t="str">
        <f>IF(BOM!A382="","",BOM!B382)</f>
        <v/>
      </c>
      <c r="F388" s="35" t="str">
        <f>IF(E388="","",IFERROR(INDEX(DM_NL!$B$5:$B$304,MATCH(E388,DM_NL!$A$5:$A$304,0)),"(chưa có trong DM_NL)"))</f>
        <v/>
      </c>
      <c r="G388" s="35" t="str">
        <f>IF(E388="","",IFERROR(INDEX(DM_NL!$C$5:$C$304,MATCH(E388,DM_NL!$A$5:$A$304,0)),""))</f>
        <v/>
      </c>
      <c r="H388" s="39" t="str">
        <f>IF(OR(E388="",BOM!G382="KXDDM"),"",BOM!F382)</f>
        <v/>
      </c>
      <c r="I388" s="36" t="str">
        <f>IF(E388="","",BOM!G382&amp;"")</f>
        <v/>
      </c>
    </row>
    <row r="389" spans="1:9" x14ac:dyDescent="0.25">
      <c r="A389" s="36" t="str">
        <f>IF(B389="","",MAX($A$10:A388)+1)</f>
        <v/>
      </c>
      <c r="B389" s="35" t="str">
        <f>IF(BOM!A383="","",IF(BOM!A383=BOM!A382,"",BOM!A383))</f>
        <v/>
      </c>
      <c r="C389" s="35" t="str">
        <f>IF(B389="","",IFERROR(INDEX(DM_SP!$B$5:$B$304,MATCH(B389,DM_SP!$A$5:$A$304,0)),"(chưa có trong DM_SP)"))</f>
        <v/>
      </c>
      <c r="D389" s="35" t="str">
        <f>IF(B389="","",IFERROR(INDEX(DM_SP!$C$5:$C$304,MATCH(B389,DM_SP!$A$5:$A$304,0)),""))</f>
        <v/>
      </c>
      <c r="E389" s="35" t="str">
        <f>IF(BOM!A383="","",BOM!B383)</f>
        <v/>
      </c>
      <c r="F389" s="35" t="str">
        <f>IF(E389="","",IFERROR(INDEX(DM_NL!$B$5:$B$304,MATCH(E389,DM_NL!$A$5:$A$304,0)),"(chưa có trong DM_NL)"))</f>
        <v/>
      </c>
      <c r="G389" s="35" t="str">
        <f>IF(E389="","",IFERROR(INDEX(DM_NL!$C$5:$C$304,MATCH(E389,DM_NL!$A$5:$A$304,0)),""))</f>
        <v/>
      </c>
      <c r="H389" s="39" t="str">
        <f>IF(OR(E389="",BOM!G383="KXDDM"),"",BOM!F383)</f>
        <v/>
      </c>
      <c r="I389" s="36" t="str">
        <f>IF(E389="","",BOM!G383&amp;"")</f>
        <v/>
      </c>
    </row>
    <row r="390" spans="1:9" x14ac:dyDescent="0.25">
      <c r="A390" s="36" t="str">
        <f>IF(B390="","",MAX($A$10:A389)+1)</f>
        <v/>
      </c>
      <c r="B390" s="35" t="str">
        <f>IF(BOM!A384="","",IF(BOM!A384=BOM!A383,"",BOM!A384))</f>
        <v/>
      </c>
      <c r="C390" s="35" t="str">
        <f>IF(B390="","",IFERROR(INDEX(DM_SP!$B$5:$B$304,MATCH(B390,DM_SP!$A$5:$A$304,0)),"(chưa có trong DM_SP)"))</f>
        <v/>
      </c>
      <c r="D390" s="35" t="str">
        <f>IF(B390="","",IFERROR(INDEX(DM_SP!$C$5:$C$304,MATCH(B390,DM_SP!$A$5:$A$304,0)),""))</f>
        <v/>
      </c>
      <c r="E390" s="35" t="str">
        <f>IF(BOM!A384="","",BOM!B384)</f>
        <v/>
      </c>
      <c r="F390" s="35" t="str">
        <f>IF(E390="","",IFERROR(INDEX(DM_NL!$B$5:$B$304,MATCH(E390,DM_NL!$A$5:$A$304,0)),"(chưa có trong DM_NL)"))</f>
        <v/>
      </c>
      <c r="G390" s="35" t="str">
        <f>IF(E390="","",IFERROR(INDEX(DM_NL!$C$5:$C$304,MATCH(E390,DM_NL!$A$5:$A$304,0)),""))</f>
        <v/>
      </c>
      <c r="H390" s="39" t="str">
        <f>IF(OR(E390="",BOM!G384="KXDDM"),"",BOM!F384)</f>
        <v/>
      </c>
      <c r="I390" s="36" t="str">
        <f>IF(E390="","",BOM!G384&amp;"")</f>
        <v/>
      </c>
    </row>
    <row r="391" spans="1:9" x14ac:dyDescent="0.25">
      <c r="A391" s="36" t="str">
        <f>IF(B391="","",MAX($A$10:A390)+1)</f>
        <v/>
      </c>
      <c r="B391" s="35" t="str">
        <f>IF(BOM!A385="","",IF(BOM!A385=BOM!A384,"",BOM!A385))</f>
        <v/>
      </c>
      <c r="C391" s="35" t="str">
        <f>IF(B391="","",IFERROR(INDEX(DM_SP!$B$5:$B$304,MATCH(B391,DM_SP!$A$5:$A$304,0)),"(chưa có trong DM_SP)"))</f>
        <v/>
      </c>
      <c r="D391" s="35" t="str">
        <f>IF(B391="","",IFERROR(INDEX(DM_SP!$C$5:$C$304,MATCH(B391,DM_SP!$A$5:$A$304,0)),""))</f>
        <v/>
      </c>
      <c r="E391" s="35" t="str">
        <f>IF(BOM!A385="","",BOM!B385)</f>
        <v/>
      </c>
      <c r="F391" s="35" t="str">
        <f>IF(E391="","",IFERROR(INDEX(DM_NL!$B$5:$B$304,MATCH(E391,DM_NL!$A$5:$A$304,0)),"(chưa có trong DM_NL)"))</f>
        <v/>
      </c>
      <c r="G391" s="35" t="str">
        <f>IF(E391="","",IFERROR(INDEX(DM_NL!$C$5:$C$304,MATCH(E391,DM_NL!$A$5:$A$304,0)),""))</f>
        <v/>
      </c>
      <c r="H391" s="39" t="str">
        <f>IF(OR(E391="",BOM!G385="KXDDM"),"",BOM!F385)</f>
        <v/>
      </c>
      <c r="I391" s="36" t="str">
        <f>IF(E391="","",BOM!G385&amp;"")</f>
        <v/>
      </c>
    </row>
    <row r="392" spans="1:9" x14ac:dyDescent="0.25">
      <c r="A392" s="36" t="str">
        <f>IF(B392="","",MAX($A$10:A391)+1)</f>
        <v/>
      </c>
      <c r="B392" s="35" t="str">
        <f>IF(BOM!A386="","",IF(BOM!A386=BOM!A385,"",BOM!A386))</f>
        <v/>
      </c>
      <c r="C392" s="35" t="str">
        <f>IF(B392="","",IFERROR(INDEX(DM_SP!$B$5:$B$304,MATCH(B392,DM_SP!$A$5:$A$304,0)),"(chưa có trong DM_SP)"))</f>
        <v/>
      </c>
      <c r="D392" s="35" t="str">
        <f>IF(B392="","",IFERROR(INDEX(DM_SP!$C$5:$C$304,MATCH(B392,DM_SP!$A$5:$A$304,0)),""))</f>
        <v/>
      </c>
      <c r="E392" s="35" t="str">
        <f>IF(BOM!A386="","",BOM!B386)</f>
        <v/>
      </c>
      <c r="F392" s="35" t="str">
        <f>IF(E392="","",IFERROR(INDEX(DM_NL!$B$5:$B$304,MATCH(E392,DM_NL!$A$5:$A$304,0)),"(chưa có trong DM_NL)"))</f>
        <v/>
      </c>
      <c r="G392" s="35" t="str">
        <f>IF(E392="","",IFERROR(INDEX(DM_NL!$C$5:$C$304,MATCH(E392,DM_NL!$A$5:$A$304,0)),""))</f>
        <v/>
      </c>
      <c r="H392" s="39" t="str">
        <f>IF(OR(E392="",BOM!G386="KXDDM"),"",BOM!F386)</f>
        <v/>
      </c>
      <c r="I392" s="36" t="str">
        <f>IF(E392="","",BOM!G386&amp;"")</f>
        <v/>
      </c>
    </row>
    <row r="393" spans="1:9" x14ac:dyDescent="0.25">
      <c r="A393" s="36" t="str">
        <f>IF(B393="","",MAX($A$10:A392)+1)</f>
        <v/>
      </c>
      <c r="B393" s="35" t="str">
        <f>IF(BOM!A387="","",IF(BOM!A387=BOM!A386,"",BOM!A387))</f>
        <v/>
      </c>
      <c r="C393" s="35" t="str">
        <f>IF(B393="","",IFERROR(INDEX(DM_SP!$B$5:$B$304,MATCH(B393,DM_SP!$A$5:$A$304,0)),"(chưa có trong DM_SP)"))</f>
        <v/>
      </c>
      <c r="D393" s="35" t="str">
        <f>IF(B393="","",IFERROR(INDEX(DM_SP!$C$5:$C$304,MATCH(B393,DM_SP!$A$5:$A$304,0)),""))</f>
        <v/>
      </c>
      <c r="E393" s="35" t="str">
        <f>IF(BOM!A387="","",BOM!B387)</f>
        <v/>
      </c>
      <c r="F393" s="35" t="str">
        <f>IF(E393="","",IFERROR(INDEX(DM_NL!$B$5:$B$304,MATCH(E393,DM_NL!$A$5:$A$304,0)),"(chưa có trong DM_NL)"))</f>
        <v/>
      </c>
      <c r="G393" s="35" t="str">
        <f>IF(E393="","",IFERROR(INDEX(DM_NL!$C$5:$C$304,MATCH(E393,DM_NL!$A$5:$A$304,0)),""))</f>
        <v/>
      </c>
      <c r="H393" s="39" t="str">
        <f>IF(OR(E393="",BOM!G387="KXDDM"),"",BOM!F387)</f>
        <v/>
      </c>
      <c r="I393" s="36" t="str">
        <f>IF(E393="","",BOM!G387&amp;"")</f>
        <v/>
      </c>
    </row>
    <row r="394" spans="1:9" x14ac:dyDescent="0.25">
      <c r="A394" s="36" t="str">
        <f>IF(B394="","",MAX($A$10:A393)+1)</f>
        <v/>
      </c>
      <c r="B394" s="35" t="str">
        <f>IF(BOM!A388="","",IF(BOM!A388=BOM!A387,"",BOM!A388))</f>
        <v/>
      </c>
      <c r="C394" s="35" t="str">
        <f>IF(B394="","",IFERROR(INDEX(DM_SP!$B$5:$B$304,MATCH(B394,DM_SP!$A$5:$A$304,0)),"(chưa có trong DM_SP)"))</f>
        <v/>
      </c>
      <c r="D394" s="35" t="str">
        <f>IF(B394="","",IFERROR(INDEX(DM_SP!$C$5:$C$304,MATCH(B394,DM_SP!$A$5:$A$304,0)),""))</f>
        <v/>
      </c>
      <c r="E394" s="35" t="str">
        <f>IF(BOM!A388="","",BOM!B388)</f>
        <v/>
      </c>
      <c r="F394" s="35" t="str">
        <f>IF(E394="","",IFERROR(INDEX(DM_NL!$B$5:$B$304,MATCH(E394,DM_NL!$A$5:$A$304,0)),"(chưa có trong DM_NL)"))</f>
        <v/>
      </c>
      <c r="G394" s="35" t="str">
        <f>IF(E394="","",IFERROR(INDEX(DM_NL!$C$5:$C$304,MATCH(E394,DM_NL!$A$5:$A$304,0)),""))</f>
        <v/>
      </c>
      <c r="H394" s="39" t="str">
        <f>IF(OR(E394="",BOM!G388="KXDDM"),"",BOM!F388)</f>
        <v/>
      </c>
      <c r="I394" s="36" t="str">
        <f>IF(E394="","",BOM!G388&amp;"")</f>
        <v/>
      </c>
    </row>
    <row r="395" spans="1:9" x14ac:dyDescent="0.25">
      <c r="A395" s="36" t="str">
        <f>IF(B395="","",MAX($A$10:A394)+1)</f>
        <v/>
      </c>
      <c r="B395" s="35" t="str">
        <f>IF(BOM!A389="","",IF(BOM!A389=BOM!A388,"",BOM!A389))</f>
        <v/>
      </c>
      <c r="C395" s="35" t="str">
        <f>IF(B395="","",IFERROR(INDEX(DM_SP!$B$5:$B$304,MATCH(B395,DM_SP!$A$5:$A$304,0)),"(chưa có trong DM_SP)"))</f>
        <v/>
      </c>
      <c r="D395" s="35" t="str">
        <f>IF(B395="","",IFERROR(INDEX(DM_SP!$C$5:$C$304,MATCH(B395,DM_SP!$A$5:$A$304,0)),""))</f>
        <v/>
      </c>
      <c r="E395" s="35" t="str">
        <f>IF(BOM!A389="","",BOM!B389)</f>
        <v/>
      </c>
      <c r="F395" s="35" t="str">
        <f>IF(E395="","",IFERROR(INDEX(DM_NL!$B$5:$B$304,MATCH(E395,DM_NL!$A$5:$A$304,0)),"(chưa có trong DM_NL)"))</f>
        <v/>
      </c>
      <c r="G395" s="35" t="str">
        <f>IF(E395="","",IFERROR(INDEX(DM_NL!$C$5:$C$304,MATCH(E395,DM_NL!$A$5:$A$304,0)),""))</f>
        <v/>
      </c>
      <c r="H395" s="39" t="str">
        <f>IF(OR(E395="",BOM!G389="KXDDM"),"",BOM!F389)</f>
        <v/>
      </c>
      <c r="I395" s="36" t="str">
        <f>IF(E395="","",BOM!G389&amp;"")</f>
        <v/>
      </c>
    </row>
    <row r="396" spans="1:9" x14ac:dyDescent="0.25">
      <c r="A396" s="36" t="str">
        <f>IF(B396="","",MAX($A$10:A395)+1)</f>
        <v/>
      </c>
      <c r="B396" s="35" t="str">
        <f>IF(BOM!A390="","",IF(BOM!A390=BOM!A389,"",BOM!A390))</f>
        <v/>
      </c>
      <c r="C396" s="35" t="str">
        <f>IF(B396="","",IFERROR(INDEX(DM_SP!$B$5:$B$304,MATCH(B396,DM_SP!$A$5:$A$304,0)),"(chưa có trong DM_SP)"))</f>
        <v/>
      </c>
      <c r="D396" s="35" t="str">
        <f>IF(B396="","",IFERROR(INDEX(DM_SP!$C$5:$C$304,MATCH(B396,DM_SP!$A$5:$A$304,0)),""))</f>
        <v/>
      </c>
      <c r="E396" s="35" t="str">
        <f>IF(BOM!A390="","",BOM!B390)</f>
        <v/>
      </c>
      <c r="F396" s="35" t="str">
        <f>IF(E396="","",IFERROR(INDEX(DM_NL!$B$5:$B$304,MATCH(E396,DM_NL!$A$5:$A$304,0)),"(chưa có trong DM_NL)"))</f>
        <v/>
      </c>
      <c r="G396" s="35" t="str">
        <f>IF(E396="","",IFERROR(INDEX(DM_NL!$C$5:$C$304,MATCH(E396,DM_NL!$A$5:$A$304,0)),""))</f>
        <v/>
      </c>
      <c r="H396" s="39" t="str">
        <f>IF(OR(E396="",BOM!G390="KXDDM"),"",BOM!F390)</f>
        <v/>
      </c>
      <c r="I396" s="36" t="str">
        <f>IF(E396="","",BOM!G390&amp;"")</f>
        <v/>
      </c>
    </row>
    <row r="397" spans="1:9" x14ac:dyDescent="0.25">
      <c r="A397" s="36" t="str">
        <f>IF(B397="","",MAX($A$10:A396)+1)</f>
        <v/>
      </c>
      <c r="B397" s="35" t="str">
        <f>IF(BOM!A391="","",IF(BOM!A391=BOM!A390,"",BOM!A391))</f>
        <v/>
      </c>
      <c r="C397" s="35" t="str">
        <f>IF(B397="","",IFERROR(INDEX(DM_SP!$B$5:$B$304,MATCH(B397,DM_SP!$A$5:$A$304,0)),"(chưa có trong DM_SP)"))</f>
        <v/>
      </c>
      <c r="D397" s="35" t="str">
        <f>IF(B397="","",IFERROR(INDEX(DM_SP!$C$5:$C$304,MATCH(B397,DM_SP!$A$5:$A$304,0)),""))</f>
        <v/>
      </c>
      <c r="E397" s="35" t="str">
        <f>IF(BOM!A391="","",BOM!B391)</f>
        <v/>
      </c>
      <c r="F397" s="35" t="str">
        <f>IF(E397="","",IFERROR(INDEX(DM_NL!$B$5:$B$304,MATCH(E397,DM_NL!$A$5:$A$304,0)),"(chưa có trong DM_NL)"))</f>
        <v/>
      </c>
      <c r="G397" s="35" t="str">
        <f>IF(E397="","",IFERROR(INDEX(DM_NL!$C$5:$C$304,MATCH(E397,DM_NL!$A$5:$A$304,0)),""))</f>
        <v/>
      </c>
      <c r="H397" s="39" t="str">
        <f>IF(OR(E397="",BOM!G391="KXDDM"),"",BOM!F391)</f>
        <v/>
      </c>
      <c r="I397" s="36" t="str">
        <f>IF(E397="","",BOM!G391&amp;"")</f>
        <v/>
      </c>
    </row>
    <row r="398" spans="1:9" x14ac:dyDescent="0.25">
      <c r="A398" s="36" t="str">
        <f>IF(B398="","",MAX($A$10:A397)+1)</f>
        <v/>
      </c>
      <c r="B398" s="35" t="str">
        <f>IF(BOM!A392="","",IF(BOM!A392=BOM!A391,"",BOM!A392))</f>
        <v/>
      </c>
      <c r="C398" s="35" t="str">
        <f>IF(B398="","",IFERROR(INDEX(DM_SP!$B$5:$B$304,MATCH(B398,DM_SP!$A$5:$A$304,0)),"(chưa có trong DM_SP)"))</f>
        <v/>
      </c>
      <c r="D398" s="35" t="str">
        <f>IF(B398="","",IFERROR(INDEX(DM_SP!$C$5:$C$304,MATCH(B398,DM_SP!$A$5:$A$304,0)),""))</f>
        <v/>
      </c>
      <c r="E398" s="35" t="str">
        <f>IF(BOM!A392="","",BOM!B392)</f>
        <v/>
      </c>
      <c r="F398" s="35" t="str">
        <f>IF(E398="","",IFERROR(INDEX(DM_NL!$B$5:$B$304,MATCH(E398,DM_NL!$A$5:$A$304,0)),"(chưa có trong DM_NL)"))</f>
        <v/>
      </c>
      <c r="G398" s="35" t="str">
        <f>IF(E398="","",IFERROR(INDEX(DM_NL!$C$5:$C$304,MATCH(E398,DM_NL!$A$5:$A$304,0)),""))</f>
        <v/>
      </c>
      <c r="H398" s="39" t="str">
        <f>IF(OR(E398="",BOM!G392="KXDDM"),"",BOM!F392)</f>
        <v/>
      </c>
      <c r="I398" s="36" t="str">
        <f>IF(E398="","",BOM!G392&amp;"")</f>
        <v/>
      </c>
    </row>
    <row r="399" spans="1:9" x14ac:dyDescent="0.25">
      <c r="A399" s="36" t="str">
        <f>IF(B399="","",MAX($A$10:A398)+1)</f>
        <v/>
      </c>
      <c r="B399" s="35" t="str">
        <f>IF(BOM!A393="","",IF(BOM!A393=BOM!A392,"",BOM!A393))</f>
        <v/>
      </c>
      <c r="C399" s="35" t="str">
        <f>IF(B399="","",IFERROR(INDEX(DM_SP!$B$5:$B$304,MATCH(B399,DM_SP!$A$5:$A$304,0)),"(chưa có trong DM_SP)"))</f>
        <v/>
      </c>
      <c r="D399" s="35" t="str">
        <f>IF(B399="","",IFERROR(INDEX(DM_SP!$C$5:$C$304,MATCH(B399,DM_SP!$A$5:$A$304,0)),""))</f>
        <v/>
      </c>
      <c r="E399" s="35" t="str">
        <f>IF(BOM!A393="","",BOM!B393)</f>
        <v/>
      </c>
      <c r="F399" s="35" t="str">
        <f>IF(E399="","",IFERROR(INDEX(DM_NL!$B$5:$B$304,MATCH(E399,DM_NL!$A$5:$A$304,0)),"(chưa có trong DM_NL)"))</f>
        <v/>
      </c>
      <c r="G399" s="35" t="str">
        <f>IF(E399="","",IFERROR(INDEX(DM_NL!$C$5:$C$304,MATCH(E399,DM_NL!$A$5:$A$304,0)),""))</f>
        <v/>
      </c>
      <c r="H399" s="39" t="str">
        <f>IF(OR(E399="",BOM!G393="KXDDM"),"",BOM!F393)</f>
        <v/>
      </c>
      <c r="I399" s="36" t="str">
        <f>IF(E399="","",BOM!G393&amp;"")</f>
        <v/>
      </c>
    </row>
    <row r="400" spans="1:9" x14ac:dyDescent="0.25">
      <c r="A400" s="36" t="str">
        <f>IF(B400="","",MAX($A$10:A399)+1)</f>
        <v/>
      </c>
      <c r="B400" s="35" t="str">
        <f>IF(BOM!A394="","",IF(BOM!A394=BOM!A393,"",BOM!A394))</f>
        <v/>
      </c>
      <c r="C400" s="35" t="str">
        <f>IF(B400="","",IFERROR(INDEX(DM_SP!$B$5:$B$304,MATCH(B400,DM_SP!$A$5:$A$304,0)),"(chưa có trong DM_SP)"))</f>
        <v/>
      </c>
      <c r="D400" s="35" t="str">
        <f>IF(B400="","",IFERROR(INDEX(DM_SP!$C$5:$C$304,MATCH(B400,DM_SP!$A$5:$A$304,0)),""))</f>
        <v/>
      </c>
      <c r="E400" s="35" t="str">
        <f>IF(BOM!A394="","",BOM!B394)</f>
        <v/>
      </c>
      <c r="F400" s="35" t="str">
        <f>IF(E400="","",IFERROR(INDEX(DM_NL!$B$5:$B$304,MATCH(E400,DM_NL!$A$5:$A$304,0)),"(chưa có trong DM_NL)"))</f>
        <v/>
      </c>
      <c r="G400" s="35" t="str">
        <f>IF(E400="","",IFERROR(INDEX(DM_NL!$C$5:$C$304,MATCH(E400,DM_NL!$A$5:$A$304,0)),""))</f>
        <v/>
      </c>
      <c r="H400" s="39" t="str">
        <f>IF(OR(E400="",BOM!G394="KXDDM"),"",BOM!F394)</f>
        <v/>
      </c>
      <c r="I400" s="36" t="str">
        <f>IF(E400="","",BOM!G394&amp;"")</f>
        <v/>
      </c>
    </row>
    <row r="401" spans="1:9" x14ac:dyDescent="0.25">
      <c r="A401" s="36" t="str">
        <f>IF(B401="","",MAX($A$10:A400)+1)</f>
        <v/>
      </c>
      <c r="B401" s="35" t="str">
        <f>IF(BOM!A395="","",IF(BOM!A395=BOM!A394,"",BOM!A395))</f>
        <v/>
      </c>
      <c r="C401" s="35" t="str">
        <f>IF(B401="","",IFERROR(INDEX(DM_SP!$B$5:$B$304,MATCH(B401,DM_SP!$A$5:$A$304,0)),"(chưa có trong DM_SP)"))</f>
        <v/>
      </c>
      <c r="D401" s="35" t="str">
        <f>IF(B401="","",IFERROR(INDEX(DM_SP!$C$5:$C$304,MATCH(B401,DM_SP!$A$5:$A$304,0)),""))</f>
        <v/>
      </c>
      <c r="E401" s="35" t="str">
        <f>IF(BOM!A395="","",BOM!B395)</f>
        <v/>
      </c>
      <c r="F401" s="35" t="str">
        <f>IF(E401="","",IFERROR(INDEX(DM_NL!$B$5:$B$304,MATCH(E401,DM_NL!$A$5:$A$304,0)),"(chưa có trong DM_NL)"))</f>
        <v/>
      </c>
      <c r="G401" s="35" t="str">
        <f>IF(E401="","",IFERROR(INDEX(DM_NL!$C$5:$C$304,MATCH(E401,DM_NL!$A$5:$A$304,0)),""))</f>
        <v/>
      </c>
      <c r="H401" s="39" t="str">
        <f>IF(OR(E401="",BOM!G395="KXDDM"),"",BOM!F395)</f>
        <v/>
      </c>
      <c r="I401" s="36" t="str">
        <f>IF(E401="","",BOM!G395&amp;"")</f>
        <v/>
      </c>
    </row>
    <row r="402" spans="1:9" x14ac:dyDescent="0.25">
      <c r="A402" s="36" t="str">
        <f>IF(B402="","",MAX($A$10:A401)+1)</f>
        <v/>
      </c>
      <c r="B402" s="35" t="str">
        <f>IF(BOM!A396="","",IF(BOM!A396=BOM!A395,"",BOM!A396))</f>
        <v/>
      </c>
      <c r="C402" s="35" t="str">
        <f>IF(B402="","",IFERROR(INDEX(DM_SP!$B$5:$B$304,MATCH(B402,DM_SP!$A$5:$A$304,0)),"(chưa có trong DM_SP)"))</f>
        <v/>
      </c>
      <c r="D402" s="35" t="str">
        <f>IF(B402="","",IFERROR(INDEX(DM_SP!$C$5:$C$304,MATCH(B402,DM_SP!$A$5:$A$304,0)),""))</f>
        <v/>
      </c>
      <c r="E402" s="35" t="str">
        <f>IF(BOM!A396="","",BOM!B396)</f>
        <v/>
      </c>
      <c r="F402" s="35" t="str">
        <f>IF(E402="","",IFERROR(INDEX(DM_NL!$B$5:$B$304,MATCH(E402,DM_NL!$A$5:$A$304,0)),"(chưa có trong DM_NL)"))</f>
        <v/>
      </c>
      <c r="G402" s="35" t="str">
        <f>IF(E402="","",IFERROR(INDEX(DM_NL!$C$5:$C$304,MATCH(E402,DM_NL!$A$5:$A$304,0)),""))</f>
        <v/>
      </c>
      <c r="H402" s="39" t="str">
        <f>IF(OR(E402="",BOM!G396="KXDDM"),"",BOM!F396)</f>
        <v/>
      </c>
      <c r="I402" s="36" t="str">
        <f>IF(E402="","",BOM!G396&amp;"")</f>
        <v/>
      </c>
    </row>
    <row r="403" spans="1:9" x14ac:dyDescent="0.25">
      <c r="A403" s="36" t="str">
        <f>IF(B403="","",MAX($A$10:A402)+1)</f>
        <v/>
      </c>
      <c r="B403" s="35" t="str">
        <f>IF(BOM!A397="","",IF(BOM!A397=BOM!A396,"",BOM!A397))</f>
        <v/>
      </c>
      <c r="C403" s="35" t="str">
        <f>IF(B403="","",IFERROR(INDEX(DM_SP!$B$5:$B$304,MATCH(B403,DM_SP!$A$5:$A$304,0)),"(chưa có trong DM_SP)"))</f>
        <v/>
      </c>
      <c r="D403" s="35" t="str">
        <f>IF(B403="","",IFERROR(INDEX(DM_SP!$C$5:$C$304,MATCH(B403,DM_SP!$A$5:$A$304,0)),""))</f>
        <v/>
      </c>
      <c r="E403" s="35" t="str">
        <f>IF(BOM!A397="","",BOM!B397)</f>
        <v/>
      </c>
      <c r="F403" s="35" t="str">
        <f>IF(E403="","",IFERROR(INDEX(DM_NL!$B$5:$B$304,MATCH(E403,DM_NL!$A$5:$A$304,0)),"(chưa có trong DM_NL)"))</f>
        <v/>
      </c>
      <c r="G403" s="35" t="str">
        <f>IF(E403="","",IFERROR(INDEX(DM_NL!$C$5:$C$304,MATCH(E403,DM_NL!$A$5:$A$304,0)),""))</f>
        <v/>
      </c>
      <c r="H403" s="39" t="str">
        <f>IF(OR(E403="",BOM!G397="KXDDM"),"",BOM!F397)</f>
        <v/>
      </c>
      <c r="I403" s="36" t="str">
        <f>IF(E403="","",BOM!G397&amp;"")</f>
        <v/>
      </c>
    </row>
    <row r="404" spans="1:9" x14ac:dyDescent="0.25">
      <c r="A404" s="36" t="str">
        <f>IF(B404="","",MAX($A$10:A403)+1)</f>
        <v/>
      </c>
      <c r="B404" s="35" t="str">
        <f>IF(BOM!A398="","",IF(BOM!A398=BOM!A397,"",BOM!A398))</f>
        <v/>
      </c>
      <c r="C404" s="35" t="str">
        <f>IF(B404="","",IFERROR(INDEX(DM_SP!$B$5:$B$304,MATCH(B404,DM_SP!$A$5:$A$304,0)),"(chưa có trong DM_SP)"))</f>
        <v/>
      </c>
      <c r="D404" s="35" t="str">
        <f>IF(B404="","",IFERROR(INDEX(DM_SP!$C$5:$C$304,MATCH(B404,DM_SP!$A$5:$A$304,0)),""))</f>
        <v/>
      </c>
      <c r="E404" s="35" t="str">
        <f>IF(BOM!A398="","",BOM!B398)</f>
        <v/>
      </c>
      <c r="F404" s="35" t="str">
        <f>IF(E404="","",IFERROR(INDEX(DM_NL!$B$5:$B$304,MATCH(E404,DM_NL!$A$5:$A$304,0)),"(chưa có trong DM_NL)"))</f>
        <v/>
      </c>
      <c r="G404" s="35" t="str">
        <f>IF(E404="","",IFERROR(INDEX(DM_NL!$C$5:$C$304,MATCH(E404,DM_NL!$A$5:$A$304,0)),""))</f>
        <v/>
      </c>
      <c r="H404" s="39" t="str">
        <f>IF(OR(E404="",BOM!G398="KXDDM"),"",BOM!F398)</f>
        <v/>
      </c>
      <c r="I404" s="36" t="str">
        <f>IF(E404="","",BOM!G398&amp;"")</f>
        <v/>
      </c>
    </row>
    <row r="405" spans="1:9" x14ac:dyDescent="0.25">
      <c r="A405" s="36" t="str">
        <f>IF(B405="","",MAX($A$10:A404)+1)</f>
        <v/>
      </c>
      <c r="B405" s="35" t="str">
        <f>IF(BOM!A399="","",IF(BOM!A399=BOM!A398,"",BOM!A399))</f>
        <v/>
      </c>
      <c r="C405" s="35" t="str">
        <f>IF(B405="","",IFERROR(INDEX(DM_SP!$B$5:$B$304,MATCH(B405,DM_SP!$A$5:$A$304,0)),"(chưa có trong DM_SP)"))</f>
        <v/>
      </c>
      <c r="D405" s="35" t="str">
        <f>IF(B405="","",IFERROR(INDEX(DM_SP!$C$5:$C$304,MATCH(B405,DM_SP!$A$5:$A$304,0)),""))</f>
        <v/>
      </c>
      <c r="E405" s="35" t="str">
        <f>IF(BOM!A399="","",BOM!B399)</f>
        <v/>
      </c>
      <c r="F405" s="35" t="str">
        <f>IF(E405="","",IFERROR(INDEX(DM_NL!$B$5:$B$304,MATCH(E405,DM_NL!$A$5:$A$304,0)),"(chưa có trong DM_NL)"))</f>
        <v/>
      </c>
      <c r="G405" s="35" t="str">
        <f>IF(E405="","",IFERROR(INDEX(DM_NL!$C$5:$C$304,MATCH(E405,DM_NL!$A$5:$A$304,0)),""))</f>
        <v/>
      </c>
      <c r="H405" s="39" t="str">
        <f>IF(OR(E405="",BOM!G399="KXDDM"),"",BOM!F399)</f>
        <v/>
      </c>
      <c r="I405" s="36" t="str">
        <f>IF(E405="","",BOM!G399&amp;"")</f>
        <v/>
      </c>
    </row>
    <row r="406" spans="1:9" x14ac:dyDescent="0.25">
      <c r="A406" s="36" t="str">
        <f>IF(B406="","",MAX($A$10:A405)+1)</f>
        <v/>
      </c>
      <c r="B406" s="35" t="str">
        <f>IF(BOM!A400="","",IF(BOM!A400=BOM!A399,"",BOM!A400))</f>
        <v/>
      </c>
      <c r="C406" s="35" t="str">
        <f>IF(B406="","",IFERROR(INDEX(DM_SP!$B$5:$B$304,MATCH(B406,DM_SP!$A$5:$A$304,0)),"(chưa có trong DM_SP)"))</f>
        <v/>
      </c>
      <c r="D406" s="35" t="str">
        <f>IF(B406="","",IFERROR(INDEX(DM_SP!$C$5:$C$304,MATCH(B406,DM_SP!$A$5:$A$304,0)),""))</f>
        <v/>
      </c>
      <c r="E406" s="35" t="str">
        <f>IF(BOM!A400="","",BOM!B400)</f>
        <v/>
      </c>
      <c r="F406" s="35" t="str">
        <f>IF(E406="","",IFERROR(INDEX(DM_NL!$B$5:$B$304,MATCH(E406,DM_NL!$A$5:$A$304,0)),"(chưa có trong DM_NL)"))</f>
        <v/>
      </c>
      <c r="G406" s="35" t="str">
        <f>IF(E406="","",IFERROR(INDEX(DM_NL!$C$5:$C$304,MATCH(E406,DM_NL!$A$5:$A$304,0)),""))</f>
        <v/>
      </c>
      <c r="H406" s="39" t="str">
        <f>IF(OR(E406="",BOM!G400="KXDDM"),"",BOM!F400)</f>
        <v/>
      </c>
      <c r="I406" s="36" t="str">
        <f>IF(E406="","",BOM!G400&amp;"")</f>
        <v/>
      </c>
    </row>
    <row r="407" spans="1:9" x14ac:dyDescent="0.25">
      <c r="A407" s="36" t="str">
        <f>IF(B407="","",MAX($A$10:A406)+1)</f>
        <v/>
      </c>
      <c r="B407" s="35" t="str">
        <f>IF(BOM!A401="","",IF(BOM!A401=BOM!A400,"",BOM!A401))</f>
        <v/>
      </c>
      <c r="C407" s="35" t="str">
        <f>IF(B407="","",IFERROR(INDEX(DM_SP!$B$5:$B$304,MATCH(B407,DM_SP!$A$5:$A$304,0)),"(chưa có trong DM_SP)"))</f>
        <v/>
      </c>
      <c r="D407" s="35" t="str">
        <f>IF(B407="","",IFERROR(INDEX(DM_SP!$C$5:$C$304,MATCH(B407,DM_SP!$A$5:$A$304,0)),""))</f>
        <v/>
      </c>
      <c r="E407" s="35" t="str">
        <f>IF(BOM!A401="","",BOM!B401)</f>
        <v/>
      </c>
      <c r="F407" s="35" t="str">
        <f>IF(E407="","",IFERROR(INDEX(DM_NL!$B$5:$B$304,MATCH(E407,DM_NL!$A$5:$A$304,0)),"(chưa có trong DM_NL)"))</f>
        <v/>
      </c>
      <c r="G407" s="35" t="str">
        <f>IF(E407="","",IFERROR(INDEX(DM_NL!$C$5:$C$304,MATCH(E407,DM_NL!$A$5:$A$304,0)),""))</f>
        <v/>
      </c>
      <c r="H407" s="39" t="str">
        <f>IF(OR(E407="",BOM!G401="KXDDM"),"",BOM!F401)</f>
        <v/>
      </c>
      <c r="I407" s="36" t="str">
        <f>IF(E407="","",BOM!G401&amp;"")</f>
        <v/>
      </c>
    </row>
    <row r="408" spans="1:9" x14ac:dyDescent="0.25">
      <c r="A408" s="36" t="str">
        <f>IF(B408="","",MAX($A$10:A407)+1)</f>
        <v/>
      </c>
      <c r="B408" s="35" t="str">
        <f>IF(BOM!A402="","",IF(BOM!A402=BOM!A401,"",BOM!A402))</f>
        <v/>
      </c>
      <c r="C408" s="35" t="str">
        <f>IF(B408="","",IFERROR(INDEX(DM_SP!$B$5:$B$304,MATCH(B408,DM_SP!$A$5:$A$304,0)),"(chưa có trong DM_SP)"))</f>
        <v/>
      </c>
      <c r="D408" s="35" t="str">
        <f>IF(B408="","",IFERROR(INDEX(DM_SP!$C$5:$C$304,MATCH(B408,DM_SP!$A$5:$A$304,0)),""))</f>
        <v/>
      </c>
      <c r="E408" s="35" t="str">
        <f>IF(BOM!A402="","",BOM!B402)</f>
        <v/>
      </c>
      <c r="F408" s="35" t="str">
        <f>IF(E408="","",IFERROR(INDEX(DM_NL!$B$5:$B$304,MATCH(E408,DM_NL!$A$5:$A$304,0)),"(chưa có trong DM_NL)"))</f>
        <v/>
      </c>
      <c r="G408" s="35" t="str">
        <f>IF(E408="","",IFERROR(INDEX(DM_NL!$C$5:$C$304,MATCH(E408,DM_NL!$A$5:$A$304,0)),""))</f>
        <v/>
      </c>
      <c r="H408" s="39" t="str">
        <f>IF(OR(E408="",BOM!G402="KXDDM"),"",BOM!F402)</f>
        <v/>
      </c>
      <c r="I408" s="36" t="str">
        <f>IF(E408="","",BOM!G402&amp;"")</f>
        <v/>
      </c>
    </row>
    <row r="409" spans="1:9" x14ac:dyDescent="0.25">
      <c r="A409" s="36" t="str">
        <f>IF(B409="","",MAX($A$10:A408)+1)</f>
        <v/>
      </c>
      <c r="B409" s="35" t="str">
        <f>IF(BOM!A403="","",IF(BOM!A403=BOM!A402,"",BOM!A403))</f>
        <v/>
      </c>
      <c r="C409" s="35" t="str">
        <f>IF(B409="","",IFERROR(INDEX(DM_SP!$B$5:$B$304,MATCH(B409,DM_SP!$A$5:$A$304,0)),"(chưa có trong DM_SP)"))</f>
        <v/>
      </c>
      <c r="D409" s="35" t="str">
        <f>IF(B409="","",IFERROR(INDEX(DM_SP!$C$5:$C$304,MATCH(B409,DM_SP!$A$5:$A$304,0)),""))</f>
        <v/>
      </c>
      <c r="E409" s="35" t="str">
        <f>IF(BOM!A403="","",BOM!B403)</f>
        <v/>
      </c>
      <c r="F409" s="35" t="str">
        <f>IF(E409="","",IFERROR(INDEX(DM_NL!$B$5:$B$304,MATCH(E409,DM_NL!$A$5:$A$304,0)),"(chưa có trong DM_NL)"))</f>
        <v/>
      </c>
      <c r="G409" s="35" t="str">
        <f>IF(E409="","",IFERROR(INDEX(DM_NL!$C$5:$C$304,MATCH(E409,DM_NL!$A$5:$A$304,0)),""))</f>
        <v/>
      </c>
      <c r="H409" s="39" t="str">
        <f>IF(OR(E409="",BOM!G403="KXDDM"),"",BOM!F403)</f>
        <v/>
      </c>
      <c r="I409" s="36" t="str">
        <f>IF(E409="","",BOM!G403&amp;"")</f>
        <v/>
      </c>
    </row>
    <row r="410" spans="1:9" x14ac:dyDescent="0.25">
      <c r="A410" s="36" t="str">
        <f>IF(B410="","",MAX($A$10:A409)+1)</f>
        <v/>
      </c>
      <c r="B410" s="35" t="str">
        <f>IF(BOM!A404="","",IF(BOM!A404=BOM!A403,"",BOM!A404))</f>
        <v/>
      </c>
      <c r="C410" s="35" t="str">
        <f>IF(B410="","",IFERROR(INDEX(DM_SP!$B$5:$B$304,MATCH(B410,DM_SP!$A$5:$A$304,0)),"(chưa có trong DM_SP)"))</f>
        <v/>
      </c>
      <c r="D410" s="35" t="str">
        <f>IF(B410="","",IFERROR(INDEX(DM_SP!$C$5:$C$304,MATCH(B410,DM_SP!$A$5:$A$304,0)),""))</f>
        <v/>
      </c>
      <c r="E410" s="35" t="str">
        <f>IF(BOM!A404="","",BOM!B404)</f>
        <v/>
      </c>
      <c r="F410" s="35" t="str">
        <f>IF(E410="","",IFERROR(INDEX(DM_NL!$B$5:$B$304,MATCH(E410,DM_NL!$A$5:$A$304,0)),"(chưa có trong DM_NL)"))</f>
        <v/>
      </c>
      <c r="G410" s="35" t="str">
        <f>IF(E410="","",IFERROR(INDEX(DM_NL!$C$5:$C$304,MATCH(E410,DM_NL!$A$5:$A$304,0)),""))</f>
        <v/>
      </c>
      <c r="H410" s="39" t="str">
        <f>IF(OR(E410="",BOM!G404="KXDDM"),"",BOM!F404)</f>
        <v/>
      </c>
      <c r="I410" s="36" t="str">
        <f>IF(E410="","",BOM!G404&amp;"")</f>
        <v/>
      </c>
    </row>
    <row r="411" spans="1:9" x14ac:dyDescent="0.25">
      <c r="A411" s="36" t="str">
        <f>IF(B411="","",MAX($A$10:A410)+1)</f>
        <v/>
      </c>
      <c r="B411" s="35" t="str">
        <f>IF(BOM!A405="","",IF(BOM!A405=BOM!A404,"",BOM!A405))</f>
        <v/>
      </c>
      <c r="C411" s="35" t="str">
        <f>IF(B411="","",IFERROR(INDEX(DM_SP!$B$5:$B$304,MATCH(B411,DM_SP!$A$5:$A$304,0)),"(chưa có trong DM_SP)"))</f>
        <v/>
      </c>
      <c r="D411" s="35" t="str">
        <f>IF(B411="","",IFERROR(INDEX(DM_SP!$C$5:$C$304,MATCH(B411,DM_SP!$A$5:$A$304,0)),""))</f>
        <v/>
      </c>
      <c r="E411" s="35" t="str">
        <f>IF(BOM!A405="","",BOM!B405)</f>
        <v/>
      </c>
      <c r="F411" s="35" t="str">
        <f>IF(E411="","",IFERROR(INDEX(DM_NL!$B$5:$B$304,MATCH(E411,DM_NL!$A$5:$A$304,0)),"(chưa có trong DM_NL)"))</f>
        <v/>
      </c>
      <c r="G411" s="35" t="str">
        <f>IF(E411="","",IFERROR(INDEX(DM_NL!$C$5:$C$304,MATCH(E411,DM_NL!$A$5:$A$304,0)),""))</f>
        <v/>
      </c>
      <c r="H411" s="39" t="str">
        <f>IF(OR(E411="",BOM!G405="KXDDM"),"",BOM!F405)</f>
        <v/>
      </c>
      <c r="I411" s="36" t="str">
        <f>IF(E411="","",BOM!G405&amp;"")</f>
        <v/>
      </c>
    </row>
    <row r="412" spans="1:9" x14ac:dyDescent="0.25">
      <c r="A412" s="36" t="str">
        <f>IF(B412="","",MAX($A$10:A411)+1)</f>
        <v/>
      </c>
      <c r="B412" s="35" t="str">
        <f>IF(BOM!A406="","",IF(BOM!A406=BOM!A405,"",BOM!A406))</f>
        <v/>
      </c>
      <c r="C412" s="35" t="str">
        <f>IF(B412="","",IFERROR(INDEX(DM_SP!$B$5:$B$304,MATCH(B412,DM_SP!$A$5:$A$304,0)),"(chưa có trong DM_SP)"))</f>
        <v/>
      </c>
      <c r="D412" s="35" t="str">
        <f>IF(B412="","",IFERROR(INDEX(DM_SP!$C$5:$C$304,MATCH(B412,DM_SP!$A$5:$A$304,0)),""))</f>
        <v/>
      </c>
      <c r="E412" s="35" t="str">
        <f>IF(BOM!A406="","",BOM!B406)</f>
        <v/>
      </c>
      <c r="F412" s="35" t="str">
        <f>IF(E412="","",IFERROR(INDEX(DM_NL!$B$5:$B$304,MATCH(E412,DM_NL!$A$5:$A$304,0)),"(chưa có trong DM_NL)"))</f>
        <v/>
      </c>
      <c r="G412" s="35" t="str">
        <f>IF(E412="","",IFERROR(INDEX(DM_NL!$C$5:$C$304,MATCH(E412,DM_NL!$A$5:$A$304,0)),""))</f>
        <v/>
      </c>
      <c r="H412" s="39" t="str">
        <f>IF(OR(E412="",BOM!G406="KXDDM"),"",BOM!F406)</f>
        <v/>
      </c>
      <c r="I412" s="36" t="str">
        <f>IF(E412="","",BOM!G406&amp;"")</f>
        <v/>
      </c>
    </row>
    <row r="413" spans="1:9" x14ac:dyDescent="0.25">
      <c r="A413" s="36" t="str">
        <f>IF(B413="","",MAX($A$10:A412)+1)</f>
        <v/>
      </c>
      <c r="B413" s="35" t="str">
        <f>IF(BOM!A407="","",IF(BOM!A407=BOM!A406,"",BOM!A407))</f>
        <v/>
      </c>
      <c r="C413" s="35" t="str">
        <f>IF(B413="","",IFERROR(INDEX(DM_SP!$B$5:$B$304,MATCH(B413,DM_SP!$A$5:$A$304,0)),"(chưa có trong DM_SP)"))</f>
        <v/>
      </c>
      <c r="D413" s="35" t="str">
        <f>IF(B413="","",IFERROR(INDEX(DM_SP!$C$5:$C$304,MATCH(B413,DM_SP!$A$5:$A$304,0)),""))</f>
        <v/>
      </c>
      <c r="E413" s="35" t="str">
        <f>IF(BOM!A407="","",BOM!B407)</f>
        <v/>
      </c>
      <c r="F413" s="35" t="str">
        <f>IF(E413="","",IFERROR(INDEX(DM_NL!$B$5:$B$304,MATCH(E413,DM_NL!$A$5:$A$304,0)),"(chưa có trong DM_NL)"))</f>
        <v/>
      </c>
      <c r="G413" s="35" t="str">
        <f>IF(E413="","",IFERROR(INDEX(DM_NL!$C$5:$C$304,MATCH(E413,DM_NL!$A$5:$A$304,0)),""))</f>
        <v/>
      </c>
      <c r="H413" s="39" t="str">
        <f>IF(OR(E413="",BOM!G407="KXDDM"),"",BOM!F407)</f>
        <v/>
      </c>
      <c r="I413" s="36" t="str">
        <f>IF(E413="","",BOM!G407&amp;"")</f>
        <v/>
      </c>
    </row>
    <row r="414" spans="1:9" x14ac:dyDescent="0.25">
      <c r="A414" s="36" t="str">
        <f>IF(B414="","",MAX($A$10:A413)+1)</f>
        <v/>
      </c>
      <c r="B414" s="35" t="str">
        <f>IF(BOM!A408="","",IF(BOM!A408=BOM!A407,"",BOM!A408))</f>
        <v/>
      </c>
      <c r="C414" s="35" t="str">
        <f>IF(B414="","",IFERROR(INDEX(DM_SP!$B$5:$B$304,MATCH(B414,DM_SP!$A$5:$A$304,0)),"(chưa có trong DM_SP)"))</f>
        <v/>
      </c>
      <c r="D414" s="35" t="str">
        <f>IF(B414="","",IFERROR(INDEX(DM_SP!$C$5:$C$304,MATCH(B414,DM_SP!$A$5:$A$304,0)),""))</f>
        <v/>
      </c>
      <c r="E414" s="35" t="str">
        <f>IF(BOM!A408="","",BOM!B408)</f>
        <v/>
      </c>
      <c r="F414" s="35" t="str">
        <f>IF(E414="","",IFERROR(INDEX(DM_NL!$B$5:$B$304,MATCH(E414,DM_NL!$A$5:$A$304,0)),"(chưa có trong DM_NL)"))</f>
        <v/>
      </c>
      <c r="G414" s="35" t="str">
        <f>IF(E414="","",IFERROR(INDEX(DM_NL!$C$5:$C$304,MATCH(E414,DM_NL!$A$5:$A$304,0)),""))</f>
        <v/>
      </c>
      <c r="H414" s="39" t="str">
        <f>IF(OR(E414="",BOM!G408="KXDDM"),"",BOM!F408)</f>
        <v/>
      </c>
      <c r="I414" s="36" t="str">
        <f>IF(E414="","",BOM!G408&amp;"")</f>
        <v/>
      </c>
    </row>
    <row r="415" spans="1:9" x14ac:dyDescent="0.25">
      <c r="A415" s="36" t="str">
        <f>IF(B415="","",MAX($A$10:A414)+1)</f>
        <v/>
      </c>
      <c r="B415" s="35" t="str">
        <f>IF(BOM!A409="","",IF(BOM!A409=BOM!A408,"",BOM!A409))</f>
        <v/>
      </c>
      <c r="C415" s="35" t="str">
        <f>IF(B415="","",IFERROR(INDEX(DM_SP!$B$5:$B$304,MATCH(B415,DM_SP!$A$5:$A$304,0)),"(chưa có trong DM_SP)"))</f>
        <v/>
      </c>
      <c r="D415" s="35" t="str">
        <f>IF(B415="","",IFERROR(INDEX(DM_SP!$C$5:$C$304,MATCH(B415,DM_SP!$A$5:$A$304,0)),""))</f>
        <v/>
      </c>
      <c r="E415" s="35" t="str">
        <f>IF(BOM!A409="","",BOM!B409)</f>
        <v/>
      </c>
      <c r="F415" s="35" t="str">
        <f>IF(E415="","",IFERROR(INDEX(DM_NL!$B$5:$B$304,MATCH(E415,DM_NL!$A$5:$A$304,0)),"(chưa có trong DM_NL)"))</f>
        <v/>
      </c>
      <c r="G415" s="35" t="str">
        <f>IF(E415="","",IFERROR(INDEX(DM_NL!$C$5:$C$304,MATCH(E415,DM_NL!$A$5:$A$304,0)),""))</f>
        <v/>
      </c>
      <c r="H415" s="39" t="str">
        <f>IF(OR(E415="",BOM!G409="KXDDM"),"",BOM!F409)</f>
        <v/>
      </c>
      <c r="I415" s="36" t="str">
        <f>IF(E415="","",BOM!G409&amp;"")</f>
        <v/>
      </c>
    </row>
    <row r="416" spans="1:9" x14ac:dyDescent="0.25">
      <c r="A416" s="36" t="str">
        <f>IF(B416="","",MAX($A$10:A415)+1)</f>
        <v/>
      </c>
      <c r="B416" s="35" t="str">
        <f>IF(BOM!A410="","",IF(BOM!A410=BOM!A409,"",BOM!A410))</f>
        <v/>
      </c>
      <c r="C416" s="35" t="str">
        <f>IF(B416="","",IFERROR(INDEX(DM_SP!$B$5:$B$304,MATCH(B416,DM_SP!$A$5:$A$304,0)),"(chưa có trong DM_SP)"))</f>
        <v/>
      </c>
      <c r="D416" s="35" t="str">
        <f>IF(B416="","",IFERROR(INDEX(DM_SP!$C$5:$C$304,MATCH(B416,DM_SP!$A$5:$A$304,0)),""))</f>
        <v/>
      </c>
      <c r="E416" s="35" t="str">
        <f>IF(BOM!A410="","",BOM!B410)</f>
        <v/>
      </c>
      <c r="F416" s="35" t="str">
        <f>IF(E416="","",IFERROR(INDEX(DM_NL!$B$5:$B$304,MATCH(E416,DM_NL!$A$5:$A$304,0)),"(chưa có trong DM_NL)"))</f>
        <v/>
      </c>
      <c r="G416" s="35" t="str">
        <f>IF(E416="","",IFERROR(INDEX(DM_NL!$C$5:$C$304,MATCH(E416,DM_NL!$A$5:$A$304,0)),""))</f>
        <v/>
      </c>
      <c r="H416" s="39" t="str">
        <f>IF(OR(E416="",BOM!G410="KXDDM"),"",BOM!F410)</f>
        <v/>
      </c>
      <c r="I416" s="36" t="str">
        <f>IF(E416="","",BOM!G410&amp;"")</f>
        <v/>
      </c>
    </row>
    <row r="417" spans="1:9" x14ac:dyDescent="0.25">
      <c r="A417" s="36" t="str">
        <f>IF(B417="","",MAX($A$10:A416)+1)</f>
        <v/>
      </c>
      <c r="B417" s="35" t="str">
        <f>IF(BOM!A411="","",IF(BOM!A411=BOM!A410,"",BOM!A411))</f>
        <v/>
      </c>
      <c r="C417" s="35" t="str">
        <f>IF(B417="","",IFERROR(INDEX(DM_SP!$B$5:$B$304,MATCH(B417,DM_SP!$A$5:$A$304,0)),"(chưa có trong DM_SP)"))</f>
        <v/>
      </c>
      <c r="D417" s="35" t="str">
        <f>IF(B417="","",IFERROR(INDEX(DM_SP!$C$5:$C$304,MATCH(B417,DM_SP!$A$5:$A$304,0)),""))</f>
        <v/>
      </c>
      <c r="E417" s="35" t="str">
        <f>IF(BOM!A411="","",BOM!B411)</f>
        <v/>
      </c>
      <c r="F417" s="35" t="str">
        <f>IF(E417="","",IFERROR(INDEX(DM_NL!$B$5:$B$304,MATCH(E417,DM_NL!$A$5:$A$304,0)),"(chưa có trong DM_NL)"))</f>
        <v/>
      </c>
      <c r="G417" s="35" t="str">
        <f>IF(E417="","",IFERROR(INDEX(DM_NL!$C$5:$C$304,MATCH(E417,DM_NL!$A$5:$A$304,0)),""))</f>
        <v/>
      </c>
      <c r="H417" s="39" t="str">
        <f>IF(OR(E417="",BOM!G411="KXDDM"),"",BOM!F411)</f>
        <v/>
      </c>
      <c r="I417" s="36" t="str">
        <f>IF(E417="","",BOM!G411&amp;"")</f>
        <v/>
      </c>
    </row>
    <row r="418" spans="1:9" x14ac:dyDescent="0.25">
      <c r="A418" s="36" t="str">
        <f>IF(B418="","",MAX($A$10:A417)+1)</f>
        <v/>
      </c>
      <c r="B418" s="35" t="str">
        <f>IF(BOM!A412="","",IF(BOM!A412=BOM!A411,"",BOM!A412))</f>
        <v/>
      </c>
      <c r="C418" s="35" t="str">
        <f>IF(B418="","",IFERROR(INDEX(DM_SP!$B$5:$B$304,MATCH(B418,DM_SP!$A$5:$A$304,0)),"(chưa có trong DM_SP)"))</f>
        <v/>
      </c>
      <c r="D418" s="35" t="str">
        <f>IF(B418="","",IFERROR(INDEX(DM_SP!$C$5:$C$304,MATCH(B418,DM_SP!$A$5:$A$304,0)),""))</f>
        <v/>
      </c>
      <c r="E418" s="35" t="str">
        <f>IF(BOM!A412="","",BOM!B412)</f>
        <v/>
      </c>
      <c r="F418" s="35" t="str">
        <f>IF(E418="","",IFERROR(INDEX(DM_NL!$B$5:$B$304,MATCH(E418,DM_NL!$A$5:$A$304,0)),"(chưa có trong DM_NL)"))</f>
        <v/>
      </c>
      <c r="G418" s="35" t="str">
        <f>IF(E418="","",IFERROR(INDEX(DM_NL!$C$5:$C$304,MATCH(E418,DM_NL!$A$5:$A$304,0)),""))</f>
        <v/>
      </c>
      <c r="H418" s="39" t="str">
        <f>IF(OR(E418="",BOM!G412="KXDDM"),"",BOM!F412)</f>
        <v/>
      </c>
      <c r="I418" s="36" t="str">
        <f>IF(E418="","",BOM!G412&amp;"")</f>
        <v/>
      </c>
    </row>
    <row r="419" spans="1:9" x14ac:dyDescent="0.25">
      <c r="A419" s="36" t="str">
        <f>IF(B419="","",MAX($A$10:A418)+1)</f>
        <v/>
      </c>
      <c r="B419" s="35" t="str">
        <f>IF(BOM!A413="","",IF(BOM!A413=BOM!A412,"",BOM!A413))</f>
        <v/>
      </c>
      <c r="C419" s="35" t="str">
        <f>IF(B419="","",IFERROR(INDEX(DM_SP!$B$5:$B$304,MATCH(B419,DM_SP!$A$5:$A$304,0)),"(chưa có trong DM_SP)"))</f>
        <v/>
      </c>
      <c r="D419" s="35" t="str">
        <f>IF(B419="","",IFERROR(INDEX(DM_SP!$C$5:$C$304,MATCH(B419,DM_SP!$A$5:$A$304,0)),""))</f>
        <v/>
      </c>
      <c r="E419" s="35" t="str">
        <f>IF(BOM!A413="","",BOM!B413)</f>
        <v/>
      </c>
      <c r="F419" s="35" t="str">
        <f>IF(E419="","",IFERROR(INDEX(DM_NL!$B$5:$B$304,MATCH(E419,DM_NL!$A$5:$A$304,0)),"(chưa có trong DM_NL)"))</f>
        <v/>
      </c>
      <c r="G419" s="35" t="str">
        <f>IF(E419="","",IFERROR(INDEX(DM_NL!$C$5:$C$304,MATCH(E419,DM_NL!$A$5:$A$304,0)),""))</f>
        <v/>
      </c>
      <c r="H419" s="39" t="str">
        <f>IF(OR(E419="",BOM!G413="KXDDM"),"",BOM!F413)</f>
        <v/>
      </c>
      <c r="I419" s="36" t="str">
        <f>IF(E419="","",BOM!G413&amp;"")</f>
        <v/>
      </c>
    </row>
    <row r="420" spans="1:9" x14ac:dyDescent="0.25">
      <c r="A420" s="36" t="str">
        <f>IF(B420="","",MAX($A$10:A419)+1)</f>
        <v/>
      </c>
      <c r="B420" s="35" t="str">
        <f>IF(BOM!A414="","",IF(BOM!A414=BOM!A413,"",BOM!A414))</f>
        <v/>
      </c>
      <c r="C420" s="35" t="str">
        <f>IF(B420="","",IFERROR(INDEX(DM_SP!$B$5:$B$304,MATCH(B420,DM_SP!$A$5:$A$304,0)),"(chưa có trong DM_SP)"))</f>
        <v/>
      </c>
      <c r="D420" s="35" t="str">
        <f>IF(B420="","",IFERROR(INDEX(DM_SP!$C$5:$C$304,MATCH(B420,DM_SP!$A$5:$A$304,0)),""))</f>
        <v/>
      </c>
      <c r="E420" s="35" t="str">
        <f>IF(BOM!A414="","",BOM!B414)</f>
        <v/>
      </c>
      <c r="F420" s="35" t="str">
        <f>IF(E420="","",IFERROR(INDEX(DM_NL!$B$5:$B$304,MATCH(E420,DM_NL!$A$5:$A$304,0)),"(chưa có trong DM_NL)"))</f>
        <v/>
      </c>
      <c r="G420" s="35" t="str">
        <f>IF(E420="","",IFERROR(INDEX(DM_NL!$C$5:$C$304,MATCH(E420,DM_NL!$A$5:$A$304,0)),""))</f>
        <v/>
      </c>
      <c r="H420" s="39" t="str">
        <f>IF(OR(E420="",BOM!G414="KXDDM"),"",BOM!F414)</f>
        <v/>
      </c>
      <c r="I420" s="36" t="str">
        <f>IF(E420="","",BOM!G414&amp;"")</f>
        <v/>
      </c>
    </row>
    <row r="421" spans="1:9" x14ac:dyDescent="0.25">
      <c r="A421" s="36" t="str">
        <f>IF(B421="","",MAX($A$10:A420)+1)</f>
        <v/>
      </c>
      <c r="B421" s="35" t="str">
        <f>IF(BOM!A415="","",IF(BOM!A415=BOM!A414,"",BOM!A415))</f>
        <v/>
      </c>
      <c r="C421" s="35" t="str">
        <f>IF(B421="","",IFERROR(INDEX(DM_SP!$B$5:$B$304,MATCH(B421,DM_SP!$A$5:$A$304,0)),"(chưa có trong DM_SP)"))</f>
        <v/>
      </c>
      <c r="D421" s="35" t="str">
        <f>IF(B421="","",IFERROR(INDEX(DM_SP!$C$5:$C$304,MATCH(B421,DM_SP!$A$5:$A$304,0)),""))</f>
        <v/>
      </c>
      <c r="E421" s="35" t="str">
        <f>IF(BOM!A415="","",BOM!B415)</f>
        <v/>
      </c>
      <c r="F421" s="35" t="str">
        <f>IF(E421="","",IFERROR(INDEX(DM_NL!$B$5:$B$304,MATCH(E421,DM_NL!$A$5:$A$304,0)),"(chưa có trong DM_NL)"))</f>
        <v/>
      </c>
      <c r="G421" s="35" t="str">
        <f>IF(E421="","",IFERROR(INDEX(DM_NL!$C$5:$C$304,MATCH(E421,DM_NL!$A$5:$A$304,0)),""))</f>
        <v/>
      </c>
      <c r="H421" s="39" t="str">
        <f>IF(OR(E421="",BOM!G415="KXDDM"),"",BOM!F415)</f>
        <v/>
      </c>
      <c r="I421" s="36" t="str">
        <f>IF(E421="","",BOM!G415&amp;"")</f>
        <v/>
      </c>
    </row>
    <row r="422" spans="1:9" x14ac:dyDescent="0.25">
      <c r="A422" s="36" t="str">
        <f>IF(B422="","",MAX($A$10:A421)+1)</f>
        <v/>
      </c>
      <c r="B422" s="35" t="str">
        <f>IF(BOM!A416="","",IF(BOM!A416=BOM!A415,"",BOM!A416))</f>
        <v/>
      </c>
      <c r="C422" s="35" t="str">
        <f>IF(B422="","",IFERROR(INDEX(DM_SP!$B$5:$B$304,MATCH(B422,DM_SP!$A$5:$A$304,0)),"(chưa có trong DM_SP)"))</f>
        <v/>
      </c>
      <c r="D422" s="35" t="str">
        <f>IF(B422="","",IFERROR(INDEX(DM_SP!$C$5:$C$304,MATCH(B422,DM_SP!$A$5:$A$304,0)),""))</f>
        <v/>
      </c>
      <c r="E422" s="35" t="str">
        <f>IF(BOM!A416="","",BOM!B416)</f>
        <v/>
      </c>
      <c r="F422" s="35" t="str">
        <f>IF(E422="","",IFERROR(INDEX(DM_NL!$B$5:$B$304,MATCH(E422,DM_NL!$A$5:$A$304,0)),"(chưa có trong DM_NL)"))</f>
        <v/>
      </c>
      <c r="G422" s="35" t="str">
        <f>IF(E422="","",IFERROR(INDEX(DM_NL!$C$5:$C$304,MATCH(E422,DM_NL!$A$5:$A$304,0)),""))</f>
        <v/>
      </c>
      <c r="H422" s="39" t="str">
        <f>IF(OR(E422="",BOM!G416="KXDDM"),"",BOM!F416)</f>
        <v/>
      </c>
      <c r="I422" s="36" t="str">
        <f>IF(E422="","",BOM!G416&amp;"")</f>
        <v/>
      </c>
    </row>
    <row r="423" spans="1:9" x14ac:dyDescent="0.25">
      <c r="A423" s="36" t="str">
        <f>IF(B423="","",MAX($A$10:A422)+1)</f>
        <v/>
      </c>
      <c r="B423" s="35" t="str">
        <f>IF(BOM!A417="","",IF(BOM!A417=BOM!A416,"",BOM!A417))</f>
        <v/>
      </c>
      <c r="C423" s="35" t="str">
        <f>IF(B423="","",IFERROR(INDEX(DM_SP!$B$5:$B$304,MATCH(B423,DM_SP!$A$5:$A$304,0)),"(chưa có trong DM_SP)"))</f>
        <v/>
      </c>
      <c r="D423" s="35" t="str">
        <f>IF(B423="","",IFERROR(INDEX(DM_SP!$C$5:$C$304,MATCH(B423,DM_SP!$A$5:$A$304,0)),""))</f>
        <v/>
      </c>
      <c r="E423" s="35" t="str">
        <f>IF(BOM!A417="","",BOM!B417)</f>
        <v/>
      </c>
      <c r="F423" s="35" t="str">
        <f>IF(E423="","",IFERROR(INDEX(DM_NL!$B$5:$B$304,MATCH(E423,DM_NL!$A$5:$A$304,0)),"(chưa có trong DM_NL)"))</f>
        <v/>
      </c>
      <c r="G423" s="35" t="str">
        <f>IF(E423="","",IFERROR(INDEX(DM_NL!$C$5:$C$304,MATCH(E423,DM_NL!$A$5:$A$304,0)),""))</f>
        <v/>
      </c>
      <c r="H423" s="39" t="str">
        <f>IF(OR(E423="",BOM!G417="KXDDM"),"",BOM!F417)</f>
        <v/>
      </c>
      <c r="I423" s="36" t="str">
        <f>IF(E423="","",BOM!G417&amp;"")</f>
        <v/>
      </c>
    </row>
    <row r="424" spans="1:9" x14ac:dyDescent="0.25">
      <c r="A424" s="36" t="str">
        <f>IF(B424="","",MAX($A$10:A423)+1)</f>
        <v/>
      </c>
      <c r="B424" s="35" t="str">
        <f>IF(BOM!A418="","",IF(BOM!A418=BOM!A417,"",BOM!A418))</f>
        <v/>
      </c>
      <c r="C424" s="35" t="str">
        <f>IF(B424="","",IFERROR(INDEX(DM_SP!$B$5:$B$304,MATCH(B424,DM_SP!$A$5:$A$304,0)),"(chưa có trong DM_SP)"))</f>
        <v/>
      </c>
      <c r="D424" s="35" t="str">
        <f>IF(B424="","",IFERROR(INDEX(DM_SP!$C$5:$C$304,MATCH(B424,DM_SP!$A$5:$A$304,0)),""))</f>
        <v/>
      </c>
      <c r="E424" s="35" t="str">
        <f>IF(BOM!A418="","",BOM!B418)</f>
        <v/>
      </c>
      <c r="F424" s="35" t="str">
        <f>IF(E424="","",IFERROR(INDEX(DM_NL!$B$5:$B$304,MATCH(E424,DM_NL!$A$5:$A$304,0)),"(chưa có trong DM_NL)"))</f>
        <v/>
      </c>
      <c r="G424" s="35" t="str">
        <f>IF(E424="","",IFERROR(INDEX(DM_NL!$C$5:$C$304,MATCH(E424,DM_NL!$A$5:$A$304,0)),""))</f>
        <v/>
      </c>
      <c r="H424" s="39" t="str">
        <f>IF(OR(E424="",BOM!G418="KXDDM"),"",BOM!F418)</f>
        <v/>
      </c>
      <c r="I424" s="36" t="str">
        <f>IF(E424="","",BOM!G418&amp;"")</f>
        <v/>
      </c>
    </row>
    <row r="425" spans="1:9" x14ac:dyDescent="0.25">
      <c r="A425" s="36" t="str">
        <f>IF(B425="","",MAX($A$10:A424)+1)</f>
        <v/>
      </c>
      <c r="B425" s="35" t="str">
        <f>IF(BOM!A419="","",IF(BOM!A419=BOM!A418,"",BOM!A419))</f>
        <v/>
      </c>
      <c r="C425" s="35" t="str">
        <f>IF(B425="","",IFERROR(INDEX(DM_SP!$B$5:$B$304,MATCH(B425,DM_SP!$A$5:$A$304,0)),"(chưa có trong DM_SP)"))</f>
        <v/>
      </c>
      <c r="D425" s="35" t="str">
        <f>IF(B425="","",IFERROR(INDEX(DM_SP!$C$5:$C$304,MATCH(B425,DM_SP!$A$5:$A$304,0)),""))</f>
        <v/>
      </c>
      <c r="E425" s="35" t="str">
        <f>IF(BOM!A419="","",BOM!B419)</f>
        <v/>
      </c>
      <c r="F425" s="35" t="str">
        <f>IF(E425="","",IFERROR(INDEX(DM_NL!$B$5:$B$304,MATCH(E425,DM_NL!$A$5:$A$304,0)),"(chưa có trong DM_NL)"))</f>
        <v/>
      </c>
      <c r="G425" s="35" t="str">
        <f>IF(E425="","",IFERROR(INDEX(DM_NL!$C$5:$C$304,MATCH(E425,DM_NL!$A$5:$A$304,0)),""))</f>
        <v/>
      </c>
      <c r="H425" s="39" t="str">
        <f>IF(OR(E425="",BOM!G419="KXDDM"),"",BOM!F419)</f>
        <v/>
      </c>
      <c r="I425" s="36" t="str">
        <f>IF(E425="","",BOM!G419&amp;"")</f>
        <v/>
      </c>
    </row>
    <row r="426" spans="1:9" x14ac:dyDescent="0.25">
      <c r="A426" s="36" t="str">
        <f>IF(B426="","",MAX($A$10:A425)+1)</f>
        <v/>
      </c>
      <c r="B426" s="35" t="str">
        <f>IF(BOM!A420="","",IF(BOM!A420=BOM!A419,"",BOM!A420))</f>
        <v/>
      </c>
      <c r="C426" s="35" t="str">
        <f>IF(B426="","",IFERROR(INDEX(DM_SP!$B$5:$B$304,MATCH(B426,DM_SP!$A$5:$A$304,0)),"(chưa có trong DM_SP)"))</f>
        <v/>
      </c>
      <c r="D426" s="35" t="str">
        <f>IF(B426="","",IFERROR(INDEX(DM_SP!$C$5:$C$304,MATCH(B426,DM_SP!$A$5:$A$304,0)),""))</f>
        <v/>
      </c>
      <c r="E426" s="35" t="str">
        <f>IF(BOM!A420="","",BOM!B420)</f>
        <v/>
      </c>
      <c r="F426" s="35" t="str">
        <f>IF(E426="","",IFERROR(INDEX(DM_NL!$B$5:$B$304,MATCH(E426,DM_NL!$A$5:$A$304,0)),"(chưa có trong DM_NL)"))</f>
        <v/>
      </c>
      <c r="G426" s="35" t="str">
        <f>IF(E426="","",IFERROR(INDEX(DM_NL!$C$5:$C$304,MATCH(E426,DM_NL!$A$5:$A$304,0)),""))</f>
        <v/>
      </c>
      <c r="H426" s="39" t="str">
        <f>IF(OR(E426="",BOM!G420="KXDDM"),"",BOM!F420)</f>
        <v/>
      </c>
      <c r="I426" s="36" t="str">
        <f>IF(E426="","",BOM!G420&amp;"")</f>
        <v/>
      </c>
    </row>
    <row r="427" spans="1:9" x14ac:dyDescent="0.25">
      <c r="A427" s="36" t="str">
        <f>IF(B427="","",MAX($A$10:A426)+1)</f>
        <v/>
      </c>
      <c r="B427" s="35" t="str">
        <f>IF(BOM!A421="","",IF(BOM!A421=BOM!A420,"",BOM!A421))</f>
        <v/>
      </c>
      <c r="C427" s="35" t="str">
        <f>IF(B427="","",IFERROR(INDEX(DM_SP!$B$5:$B$304,MATCH(B427,DM_SP!$A$5:$A$304,0)),"(chưa có trong DM_SP)"))</f>
        <v/>
      </c>
      <c r="D427" s="35" t="str">
        <f>IF(B427="","",IFERROR(INDEX(DM_SP!$C$5:$C$304,MATCH(B427,DM_SP!$A$5:$A$304,0)),""))</f>
        <v/>
      </c>
      <c r="E427" s="35" t="str">
        <f>IF(BOM!A421="","",BOM!B421)</f>
        <v/>
      </c>
      <c r="F427" s="35" t="str">
        <f>IF(E427="","",IFERROR(INDEX(DM_NL!$B$5:$B$304,MATCH(E427,DM_NL!$A$5:$A$304,0)),"(chưa có trong DM_NL)"))</f>
        <v/>
      </c>
      <c r="G427" s="35" t="str">
        <f>IF(E427="","",IFERROR(INDEX(DM_NL!$C$5:$C$304,MATCH(E427,DM_NL!$A$5:$A$304,0)),""))</f>
        <v/>
      </c>
      <c r="H427" s="39" t="str">
        <f>IF(OR(E427="",BOM!G421="KXDDM"),"",BOM!F421)</f>
        <v/>
      </c>
      <c r="I427" s="36" t="str">
        <f>IF(E427="","",BOM!G421&amp;"")</f>
        <v/>
      </c>
    </row>
    <row r="428" spans="1:9" x14ac:dyDescent="0.25">
      <c r="A428" s="36" t="str">
        <f>IF(B428="","",MAX($A$10:A427)+1)</f>
        <v/>
      </c>
      <c r="B428" s="35" t="str">
        <f>IF(BOM!A422="","",IF(BOM!A422=BOM!A421,"",BOM!A422))</f>
        <v/>
      </c>
      <c r="C428" s="35" t="str">
        <f>IF(B428="","",IFERROR(INDEX(DM_SP!$B$5:$B$304,MATCH(B428,DM_SP!$A$5:$A$304,0)),"(chưa có trong DM_SP)"))</f>
        <v/>
      </c>
      <c r="D428" s="35" t="str">
        <f>IF(B428="","",IFERROR(INDEX(DM_SP!$C$5:$C$304,MATCH(B428,DM_SP!$A$5:$A$304,0)),""))</f>
        <v/>
      </c>
      <c r="E428" s="35" t="str">
        <f>IF(BOM!A422="","",BOM!B422)</f>
        <v/>
      </c>
      <c r="F428" s="35" t="str">
        <f>IF(E428="","",IFERROR(INDEX(DM_NL!$B$5:$B$304,MATCH(E428,DM_NL!$A$5:$A$304,0)),"(chưa có trong DM_NL)"))</f>
        <v/>
      </c>
      <c r="G428" s="35" t="str">
        <f>IF(E428="","",IFERROR(INDEX(DM_NL!$C$5:$C$304,MATCH(E428,DM_NL!$A$5:$A$304,0)),""))</f>
        <v/>
      </c>
      <c r="H428" s="39" t="str">
        <f>IF(OR(E428="",BOM!G422="KXDDM"),"",BOM!F422)</f>
        <v/>
      </c>
      <c r="I428" s="36" t="str">
        <f>IF(E428="","",BOM!G422&amp;"")</f>
        <v/>
      </c>
    </row>
    <row r="429" spans="1:9" x14ac:dyDescent="0.25">
      <c r="A429" s="36" t="str">
        <f>IF(B429="","",MAX($A$10:A428)+1)</f>
        <v/>
      </c>
      <c r="B429" s="35" t="str">
        <f>IF(BOM!A423="","",IF(BOM!A423=BOM!A422,"",BOM!A423))</f>
        <v/>
      </c>
      <c r="C429" s="35" t="str">
        <f>IF(B429="","",IFERROR(INDEX(DM_SP!$B$5:$B$304,MATCH(B429,DM_SP!$A$5:$A$304,0)),"(chưa có trong DM_SP)"))</f>
        <v/>
      </c>
      <c r="D429" s="35" t="str">
        <f>IF(B429="","",IFERROR(INDEX(DM_SP!$C$5:$C$304,MATCH(B429,DM_SP!$A$5:$A$304,0)),""))</f>
        <v/>
      </c>
      <c r="E429" s="35" t="str">
        <f>IF(BOM!A423="","",BOM!B423)</f>
        <v/>
      </c>
      <c r="F429" s="35" t="str">
        <f>IF(E429="","",IFERROR(INDEX(DM_NL!$B$5:$B$304,MATCH(E429,DM_NL!$A$5:$A$304,0)),"(chưa có trong DM_NL)"))</f>
        <v/>
      </c>
      <c r="G429" s="35" t="str">
        <f>IF(E429="","",IFERROR(INDEX(DM_NL!$C$5:$C$304,MATCH(E429,DM_NL!$A$5:$A$304,0)),""))</f>
        <v/>
      </c>
      <c r="H429" s="39" t="str">
        <f>IF(OR(E429="",BOM!G423="KXDDM"),"",BOM!F423)</f>
        <v/>
      </c>
      <c r="I429" s="36" t="str">
        <f>IF(E429="","",BOM!G423&amp;"")</f>
        <v/>
      </c>
    </row>
    <row r="430" spans="1:9" x14ac:dyDescent="0.25">
      <c r="A430" s="36" t="str">
        <f>IF(B430="","",MAX($A$10:A429)+1)</f>
        <v/>
      </c>
      <c r="B430" s="35" t="str">
        <f>IF(BOM!A424="","",IF(BOM!A424=BOM!A423,"",BOM!A424))</f>
        <v/>
      </c>
      <c r="C430" s="35" t="str">
        <f>IF(B430="","",IFERROR(INDEX(DM_SP!$B$5:$B$304,MATCH(B430,DM_SP!$A$5:$A$304,0)),"(chưa có trong DM_SP)"))</f>
        <v/>
      </c>
      <c r="D430" s="35" t="str">
        <f>IF(B430="","",IFERROR(INDEX(DM_SP!$C$5:$C$304,MATCH(B430,DM_SP!$A$5:$A$304,0)),""))</f>
        <v/>
      </c>
      <c r="E430" s="35" t="str">
        <f>IF(BOM!A424="","",BOM!B424)</f>
        <v/>
      </c>
      <c r="F430" s="35" t="str">
        <f>IF(E430="","",IFERROR(INDEX(DM_NL!$B$5:$B$304,MATCH(E430,DM_NL!$A$5:$A$304,0)),"(chưa có trong DM_NL)"))</f>
        <v/>
      </c>
      <c r="G430" s="35" t="str">
        <f>IF(E430="","",IFERROR(INDEX(DM_NL!$C$5:$C$304,MATCH(E430,DM_NL!$A$5:$A$304,0)),""))</f>
        <v/>
      </c>
      <c r="H430" s="39" t="str">
        <f>IF(OR(E430="",BOM!G424="KXDDM"),"",BOM!F424)</f>
        <v/>
      </c>
      <c r="I430" s="36" t="str">
        <f>IF(E430="","",BOM!G424&amp;"")</f>
        <v/>
      </c>
    </row>
    <row r="431" spans="1:9" x14ac:dyDescent="0.25">
      <c r="A431" s="36" t="str">
        <f>IF(B431="","",MAX($A$10:A430)+1)</f>
        <v/>
      </c>
      <c r="B431" s="35" t="str">
        <f>IF(BOM!A425="","",IF(BOM!A425=BOM!A424,"",BOM!A425))</f>
        <v/>
      </c>
      <c r="C431" s="35" t="str">
        <f>IF(B431="","",IFERROR(INDEX(DM_SP!$B$5:$B$304,MATCH(B431,DM_SP!$A$5:$A$304,0)),"(chưa có trong DM_SP)"))</f>
        <v/>
      </c>
      <c r="D431" s="35" t="str">
        <f>IF(B431="","",IFERROR(INDEX(DM_SP!$C$5:$C$304,MATCH(B431,DM_SP!$A$5:$A$304,0)),""))</f>
        <v/>
      </c>
      <c r="E431" s="35" t="str">
        <f>IF(BOM!A425="","",BOM!B425)</f>
        <v/>
      </c>
      <c r="F431" s="35" t="str">
        <f>IF(E431="","",IFERROR(INDEX(DM_NL!$B$5:$B$304,MATCH(E431,DM_NL!$A$5:$A$304,0)),"(chưa có trong DM_NL)"))</f>
        <v/>
      </c>
      <c r="G431" s="35" t="str">
        <f>IF(E431="","",IFERROR(INDEX(DM_NL!$C$5:$C$304,MATCH(E431,DM_NL!$A$5:$A$304,0)),""))</f>
        <v/>
      </c>
      <c r="H431" s="39" t="str">
        <f>IF(OR(E431="",BOM!G425="KXDDM"),"",BOM!F425)</f>
        <v/>
      </c>
      <c r="I431" s="36" t="str">
        <f>IF(E431="","",BOM!G425&amp;"")</f>
        <v/>
      </c>
    </row>
    <row r="432" spans="1:9" x14ac:dyDescent="0.25">
      <c r="A432" s="36" t="str">
        <f>IF(B432="","",MAX($A$10:A431)+1)</f>
        <v/>
      </c>
      <c r="B432" s="35" t="str">
        <f>IF(BOM!A426="","",IF(BOM!A426=BOM!A425,"",BOM!A426))</f>
        <v/>
      </c>
      <c r="C432" s="35" t="str">
        <f>IF(B432="","",IFERROR(INDEX(DM_SP!$B$5:$B$304,MATCH(B432,DM_SP!$A$5:$A$304,0)),"(chưa có trong DM_SP)"))</f>
        <v/>
      </c>
      <c r="D432" s="35" t="str">
        <f>IF(B432="","",IFERROR(INDEX(DM_SP!$C$5:$C$304,MATCH(B432,DM_SP!$A$5:$A$304,0)),""))</f>
        <v/>
      </c>
      <c r="E432" s="35" t="str">
        <f>IF(BOM!A426="","",BOM!B426)</f>
        <v/>
      </c>
      <c r="F432" s="35" t="str">
        <f>IF(E432="","",IFERROR(INDEX(DM_NL!$B$5:$B$304,MATCH(E432,DM_NL!$A$5:$A$304,0)),"(chưa có trong DM_NL)"))</f>
        <v/>
      </c>
      <c r="G432" s="35" t="str">
        <f>IF(E432="","",IFERROR(INDEX(DM_NL!$C$5:$C$304,MATCH(E432,DM_NL!$A$5:$A$304,0)),""))</f>
        <v/>
      </c>
      <c r="H432" s="39" t="str">
        <f>IF(OR(E432="",BOM!G426="KXDDM"),"",BOM!F426)</f>
        <v/>
      </c>
      <c r="I432" s="36" t="str">
        <f>IF(E432="","",BOM!G426&amp;"")</f>
        <v/>
      </c>
    </row>
    <row r="433" spans="1:9" x14ac:dyDescent="0.25">
      <c r="A433" s="36" t="str">
        <f>IF(B433="","",MAX($A$10:A432)+1)</f>
        <v/>
      </c>
      <c r="B433" s="35" t="str">
        <f>IF(BOM!A427="","",IF(BOM!A427=BOM!A426,"",BOM!A427))</f>
        <v/>
      </c>
      <c r="C433" s="35" t="str">
        <f>IF(B433="","",IFERROR(INDEX(DM_SP!$B$5:$B$304,MATCH(B433,DM_SP!$A$5:$A$304,0)),"(chưa có trong DM_SP)"))</f>
        <v/>
      </c>
      <c r="D433" s="35" t="str">
        <f>IF(B433="","",IFERROR(INDEX(DM_SP!$C$5:$C$304,MATCH(B433,DM_SP!$A$5:$A$304,0)),""))</f>
        <v/>
      </c>
      <c r="E433" s="35" t="str">
        <f>IF(BOM!A427="","",BOM!B427)</f>
        <v/>
      </c>
      <c r="F433" s="35" t="str">
        <f>IF(E433="","",IFERROR(INDEX(DM_NL!$B$5:$B$304,MATCH(E433,DM_NL!$A$5:$A$304,0)),"(chưa có trong DM_NL)"))</f>
        <v/>
      </c>
      <c r="G433" s="35" t="str">
        <f>IF(E433="","",IFERROR(INDEX(DM_NL!$C$5:$C$304,MATCH(E433,DM_NL!$A$5:$A$304,0)),""))</f>
        <v/>
      </c>
      <c r="H433" s="39" t="str">
        <f>IF(OR(E433="",BOM!G427="KXDDM"),"",BOM!F427)</f>
        <v/>
      </c>
      <c r="I433" s="36" t="str">
        <f>IF(E433="","",BOM!G427&amp;"")</f>
        <v/>
      </c>
    </row>
    <row r="434" spans="1:9" x14ac:dyDescent="0.25">
      <c r="A434" s="36" t="str">
        <f>IF(B434="","",MAX($A$10:A433)+1)</f>
        <v/>
      </c>
      <c r="B434" s="35" t="str">
        <f>IF(BOM!A428="","",IF(BOM!A428=BOM!A427,"",BOM!A428))</f>
        <v/>
      </c>
      <c r="C434" s="35" t="str">
        <f>IF(B434="","",IFERROR(INDEX(DM_SP!$B$5:$B$304,MATCH(B434,DM_SP!$A$5:$A$304,0)),"(chưa có trong DM_SP)"))</f>
        <v/>
      </c>
      <c r="D434" s="35" t="str">
        <f>IF(B434="","",IFERROR(INDEX(DM_SP!$C$5:$C$304,MATCH(B434,DM_SP!$A$5:$A$304,0)),""))</f>
        <v/>
      </c>
      <c r="E434" s="35" t="str">
        <f>IF(BOM!A428="","",BOM!B428)</f>
        <v/>
      </c>
      <c r="F434" s="35" t="str">
        <f>IF(E434="","",IFERROR(INDEX(DM_NL!$B$5:$B$304,MATCH(E434,DM_NL!$A$5:$A$304,0)),"(chưa có trong DM_NL)"))</f>
        <v/>
      </c>
      <c r="G434" s="35" t="str">
        <f>IF(E434="","",IFERROR(INDEX(DM_NL!$C$5:$C$304,MATCH(E434,DM_NL!$A$5:$A$304,0)),""))</f>
        <v/>
      </c>
      <c r="H434" s="39" t="str">
        <f>IF(OR(E434="",BOM!G428="KXDDM"),"",BOM!F428)</f>
        <v/>
      </c>
      <c r="I434" s="36" t="str">
        <f>IF(E434="","",BOM!G428&amp;"")</f>
        <v/>
      </c>
    </row>
    <row r="435" spans="1:9" x14ac:dyDescent="0.25">
      <c r="A435" s="36" t="str">
        <f>IF(B435="","",MAX($A$10:A434)+1)</f>
        <v/>
      </c>
      <c r="B435" s="35" t="str">
        <f>IF(BOM!A429="","",IF(BOM!A429=BOM!A428,"",BOM!A429))</f>
        <v/>
      </c>
      <c r="C435" s="35" t="str">
        <f>IF(B435="","",IFERROR(INDEX(DM_SP!$B$5:$B$304,MATCH(B435,DM_SP!$A$5:$A$304,0)),"(chưa có trong DM_SP)"))</f>
        <v/>
      </c>
      <c r="D435" s="35" t="str">
        <f>IF(B435="","",IFERROR(INDEX(DM_SP!$C$5:$C$304,MATCH(B435,DM_SP!$A$5:$A$304,0)),""))</f>
        <v/>
      </c>
      <c r="E435" s="35" t="str">
        <f>IF(BOM!A429="","",BOM!B429)</f>
        <v/>
      </c>
      <c r="F435" s="35" t="str">
        <f>IF(E435="","",IFERROR(INDEX(DM_NL!$B$5:$B$304,MATCH(E435,DM_NL!$A$5:$A$304,0)),"(chưa có trong DM_NL)"))</f>
        <v/>
      </c>
      <c r="G435" s="35" t="str">
        <f>IF(E435="","",IFERROR(INDEX(DM_NL!$C$5:$C$304,MATCH(E435,DM_NL!$A$5:$A$304,0)),""))</f>
        <v/>
      </c>
      <c r="H435" s="39" t="str">
        <f>IF(OR(E435="",BOM!G429="KXDDM"),"",BOM!F429)</f>
        <v/>
      </c>
      <c r="I435" s="36" t="str">
        <f>IF(E435="","",BOM!G429&amp;"")</f>
        <v/>
      </c>
    </row>
    <row r="436" spans="1:9" x14ac:dyDescent="0.25">
      <c r="A436" s="36" t="str">
        <f>IF(B436="","",MAX($A$10:A435)+1)</f>
        <v/>
      </c>
      <c r="B436" s="35" t="str">
        <f>IF(BOM!A430="","",IF(BOM!A430=BOM!A429,"",BOM!A430))</f>
        <v/>
      </c>
      <c r="C436" s="35" t="str">
        <f>IF(B436="","",IFERROR(INDEX(DM_SP!$B$5:$B$304,MATCH(B436,DM_SP!$A$5:$A$304,0)),"(chưa có trong DM_SP)"))</f>
        <v/>
      </c>
      <c r="D436" s="35" t="str">
        <f>IF(B436="","",IFERROR(INDEX(DM_SP!$C$5:$C$304,MATCH(B436,DM_SP!$A$5:$A$304,0)),""))</f>
        <v/>
      </c>
      <c r="E436" s="35" t="str">
        <f>IF(BOM!A430="","",BOM!B430)</f>
        <v/>
      </c>
      <c r="F436" s="35" t="str">
        <f>IF(E436="","",IFERROR(INDEX(DM_NL!$B$5:$B$304,MATCH(E436,DM_NL!$A$5:$A$304,0)),"(chưa có trong DM_NL)"))</f>
        <v/>
      </c>
      <c r="G436" s="35" t="str">
        <f>IF(E436="","",IFERROR(INDEX(DM_NL!$C$5:$C$304,MATCH(E436,DM_NL!$A$5:$A$304,0)),""))</f>
        <v/>
      </c>
      <c r="H436" s="39" t="str">
        <f>IF(OR(E436="",BOM!G430="KXDDM"),"",BOM!F430)</f>
        <v/>
      </c>
      <c r="I436" s="36" t="str">
        <f>IF(E436="","",BOM!G430&amp;"")</f>
        <v/>
      </c>
    </row>
    <row r="437" spans="1:9" x14ac:dyDescent="0.25">
      <c r="A437" s="36" t="str">
        <f>IF(B437="","",MAX($A$10:A436)+1)</f>
        <v/>
      </c>
      <c r="B437" s="35" t="str">
        <f>IF(BOM!A431="","",IF(BOM!A431=BOM!A430,"",BOM!A431))</f>
        <v/>
      </c>
      <c r="C437" s="35" t="str">
        <f>IF(B437="","",IFERROR(INDEX(DM_SP!$B$5:$B$304,MATCH(B437,DM_SP!$A$5:$A$304,0)),"(chưa có trong DM_SP)"))</f>
        <v/>
      </c>
      <c r="D437" s="35" t="str">
        <f>IF(B437="","",IFERROR(INDEX(DM_SP!$C$5:$C$304,MATCH(B437,DM_SP!$A$5:$A$304,0)),""))</f>
        <v/>
      </c>
      <c r="E437" s="35" t="str">
        <f>IF(BOM!A431="","",BOM!B431)</f>
        <v/>
      </c>
      <c r="F437" s="35" t="str">
        <f>IF(E437="","",IFERROR(INDEX(DM_NL!$B$5:$B$304,MATCH(E437,DM_NL!$A$5:$A$304,0)),"(chưa có trong DM_NL)"))</f>
        <v/>
      </c>
      <c r="G437" s="35" t="str">
        <f>IF(E437="","",IFERROR(INDEX(DM_NL!$C$5:$C$304,MATCH(E437,DM_NL!$A$5:$A$304,0)),""))</f>
        <v/>
      </c>
      <c r="H437" s="39" t="str">
        <f>IF(OR(E437="",BOM!G431="KXDDM"),"",BOM!F431)</f>
        <v/>
      </c>
      <c r="I437" s="36" t="str">
        <f>IF(E437="","",BOM!G431&amp;"")</f>
        <v/>
      </c>
    </row>
    <row r="438" spans="1:9" x14ac:dyDescent="0.25">
      <c r="A438" s="36" t="str">
        <f>IF(B438="","",MAX($A$10:A437)+1)</f>
        <v/>
      </c>
      <c r="B438" s="35" t="str">
        <f>IF(BOM!A432="","",IF(BOM!A432=BOM!A431,"",BOM!A432))</f>
        <v/>
      </c>
      <c r="C438" s="35" t="str">
        <f>IF(B438="","",IFERROR(INDEX(DM_SP!$B$5:$B$304,MATCH(B438,DM_SP!$A$5:$A$304,0)),"(chưa có trong DM_SP)"))</f>
        <v/>
      </c>
      <c r="D438" s="35" t="str">
        <f>IF(B438="","",IFERROR(INDEX(DM_SP!$C$5:$C$304,MATCH(B438,DM_SP!$A$5:$A$304,0)),""))</f>
        <v/>
      </c>
      <c r="E438" s="35" t="str">
        <f>IF(BOM!A432="","",BOM!B432)</f>
        <v/>
      </c>
      <c r="F438" s="35" t="str">
        <f>IF(E438="","",IFERROR(INDEX(DM_NL!$B$5:$B$304,MATCH(E438,DM_NL!$A$5:$A$304,0)),"(chưa có trong DM_NL)"))</f>
        <v/>
      </c>
      <c r="G438" s="35" t="str">
        <f>IF(E438="","",IFERROR(INDEX(DM_NL!$C$5:$C$304,MATCH(E438,DM_NL!$A$5:$A$304,0)),""))</f>
        <v/>
      </c>
      <c r="H438" s="39" t="str">
        <f>IF(OR(E438="",BOM!G432="KXDDM"),"",BOM!F432)</f>
        <v/>
      </c>
      <c r="I438" s="36" t="str">
        <f>IF(E438="","",BOM!G432&amp;"")</f>
        <v/>
      </c>
    </row>
    <row r="439" spans="1:9" x14ac:dyDescent="0.25">
      <c r="A439" s="36" t="str">
        <f>IF(B439="","",MAX($A$10:A438)+1)</f>
        <v/>
      </c>
      <c r="B439" s="35" t="str">
        <f>IF(BOM!A433="","",IF(BOM!A433=BOM!A432,"",BOM!A433))</f>
        <v/>
      </c>
      <c r="C439" s="35" t="str">
        <f>IF(B439="","",IFERROR(INDEX(DM_SP!$B$5:$B$304,MATCH(B439,DM_SP!$A$5:$A$304,0)),"(chưa có trong DM_SP)"))</f>
        <v/>
      </c>
      <c r="D439" s="35" t="str">
        <f>IF(B439="","",IFERROR(INDEX(DM_SP!$C$5:$C$304,MATCH(B439,DM_SP!$A$5:$A$304,0)),""))</f>
        <v/>
      </c>
      <c r="E439" s="35" t="str">
        <f>IF(BOM!A433="","",BOM!B433)</f>
        <v/>
      </c>
      <c r="F439" s="35" t="str">
        <f>IF(E439="","",IFERROR(INDEX(DM_NL!$B$5:$B$304,MATCH(E439,DM_NL!$A$5:$A$304,0)),"(chưa có trong DM_NL)"))</f>
        <v/>
      </c>
      <c r="G439" s="35" t="str">
        <f>IF(E439="","",IFERROR(INDEX(DM_NL!$C$5:$C$304,MATCH(E439,DM_NL!$A$5:$A$304,0)),""))</f>
        <v/>
      </c>
      <c r="H439" s="39" t="str">
        <f>IF(OR(E439="",BOM!G433="KXDDM"),"",BOM!F433)</f>
        <v/>
      </c>
      <c r="I439" s="36" t="str">
        <f>IF(E439="","",BOM!G433&amp;"")</f>
        <v/>
      </c>
    </row>
    <row r="440" spans="1:9" x14ac:dyDescent="0.25">
      <c r="A440" s="36" t="str">
        <f>IF(B440="","",MAX($A$10:A439)+1)</f>
        <v/>
      </c>
      <c r="B440" s="35" t="str">
        <f>IF(BOM!A434="","",IF(BOM!A434=BOM!A433,"",BOM!A434))</f>
        <v/>
      </c>
      <c r="C440" s="35" t="str">
        <f>IF(B440="","",IFERROR(INDEX(DM_SP!$B$5:$B$304,MATCH(B440,DM_SP!$A$5:$A$304,0)),"(chưa có trong DM_SP)"))</f>
        <v/>
      </c>
      <c r="D440" s="35" t="str">
        <f>IF(B440="","",IFERROR(INDEX(DM_SP!$C$5:$C$304,MATCH(B440,DM_SP!$A$5:$A$304,0)),""))</f>
        <v/>
      </c>
      <c r="E440" s="35" t="str">
        <f>IF(BOM!A434="","",BOM!B434)</f>
        <v/>
      </c>
      <c r="F440" s="35" t="str">
        <f>IF(E440="","",IFERROR(INDEX(DM_NL!$B$5:$B$304,MATCH(E440,DM_NL!$A$5:$A$304,0)),"(chưa có trong DM_NL)"))</f>
        <v/>
      </c>
      <c r="G440" s="35" t="str">
        <f>IF(E440="","",IFERROR(INDEX(DM_NL!$C$5:$C$304,MATCH(E440,DM_NL!$A$5:$A$304,0)),""))</f>
        <v/>
      </c>
      <c r="H440" s="39" t="str">
        <f>IF(OR(E440="",BOM!G434="KXDDM"),"",BOM!F434)</f>
        <v/>
      </c>
      <c r="I440" s="36" t="str">
        <f>IF(E440="","",BOM!G434&amp;"")</f>
        <v/>
      </c>
    </row>
    <row r="441" spans="1:9" x14ac:dyDescent="0.25">
      <c r="A441" s="36" t="str">
        <f>IF(B441="","",MAX($A$10:A440)+1)</f>
        <v/>
      </c>
      <c r="B441" s="35" t="str">
        <f>IF(BOM!A435="","",IF(BOM!A435=BOM!A434,"",BOM!A435))</f>
        <v/>
      </c>
      <c r="C441" s="35" t="str">
        <f>IF(B441="","",IFERROR(INDEX(DM_SP!$B$5:$B$304,MATCH(B441,DM_SP!$A$5:$A$304,0)),"(chưa có trong DM_SP)"))</f>
        <v/>
      </c>
      <c r="D441" s="35" t="str">
        <f>IF(B441="","",IFERROR(INDEX(DM_SP!$C$5:$C$304,MATCH(B441,DM_SP!$A$5:$A$304,0)),""))</f>
        <v/>
      </c>
      <c r="E441" s="35" t="str">
        <f>IF(BOM!A435="","",BOM!B435)</f>
        <v/>
      </c>
      <c r="F441" s="35" t="str">
        <f>IF(E441="","",IFERROR(INDEX(DM_NL!$B$5:$B$304,MATCH(E441,DM_NL!$A$5:$A$304,0)),"(chưa có trong DM_NL)"))</f>
        <v/>
      </c>
      <c r="G441" s="35" t="str">
        <f>IF(E441="","",IFERROR(INDEX(DM_NL!$C$5:$C$304,MATCH(E441,DM_NL!$A$5:$A$304,0)),""))</f>
        <v/>
      </c>
      <c r="H441" s="39" t="str">
        <f>IF(OR(E441="",BOM!G435="KXDDM"),"",BOM!F435)</f>
        <v/>
      </c>
      <c r="I441" s="36" t="str">
        <f>IF(E441="","",BOM!G435&amp;"")</f>
        <v/>
      </c>
    </row>
    <row r="442" spans="1:9" x14ac:dyDescent="0.25">
      <c r="A442" s="36" t="str">
        <f>IF(B442="","",MAX($A$10:A441)+1)</f>
        <v/>
      </c>
      <c r="B442" s="35" t="str">
        <f>IF(BOM!A436="","",IF(BOM!A436=BOM!A435,"",BOM!A436))</f>
        <v/>
      </c>
      <c r="C442" s="35" t="str">
        <f>IF(B442="","",IFERROR(INDEX(DM_SP!$B$5:$B$304,MATCH(B442,DM_SP!$A$5:$A$304,0)),"(chưa có trong DM_SP)"))</f>
        <v/>
      </c>
      <c r="D442" s="35" t="str">
        <f>IF(B442="","",IFERROR(INDEX(DM_SP!$C$5:$C$304,MATCH(B442,DM_SP!$A$5:$A$304,0)),""))</f>
        <v/>
      </c>
      <c r="E442" s="35" t="str">
        <f>IF(BOM!A436="","",BOM!B436)</f>
        <v/>
      </c>
      <c r="F442" s="35" t="str">
        <f>IF(E442="","",IFERROR(INDEX(DM_NL!$B$5:$B$304,MATCH(E442,DM_NL!$A$5:$A$304,0)),"(chưa có trong DM_NL)"))</f>
        <v/>
      </c>
      <c r="G442" s="35" t="str">
        <f>IF(E442="","",IFERROR(INDEX(DM_NL!$C$5:$C$304,MATCH(E442,DM_NL!$A$5:$A$304,0)),""))</f>
        <v/>
      </c>
      <c r="H442" s="39" t="str">
        <f>IF(OR(E442="",BOM!G436="KXDDM"),"",BOM!F436)</f>
        <v/>
      </c>
      <c r="I442" s="36" t="str">
        <f>IF(E442="","",BOM!G436&amp;"")</f>
        <v/>
      </c>
    </row>
    <row r="443" spans="1:9" x14ac:dyDescent="0.25">
      <c r="A443" s="36" t="str">
        <f>IF(B443="","",MAX($A$10:A442)+1)</f>
        <v/>
      </c>
      <c r="B443" s="35" t="str">
        <f>IF(BOM!A437="","",IF(BOM!A437=BOM!A436,"",BOM!A437))</f>
        <v/>
      </c>
      <c r="C443" s="35" t="str">
        <f>IF(B443="","",IFERROR(INDEX(DM_SP!$B$5:$B$304,MATCH(B443,DM_SP!$A$5:$A$304,0)),"(chưa có trong DM_SP)"))</f>
        <v/>
      </c>
      <c r="D443" s="35" t="str">
        <f>IF(B443="","",IFERROR(INDEX(DM_SP!$C$5:$C$304,MATCH(B443,DM_SP!$A$5:$A$304,0)),""))</f>
        <v/>
      </c>
      <c r="E443" s="35" t="str">
        <f>IF(BOM!A437="","",BOM!B437)</f>
        <v/>
      </c>
      <c r="F443" s="35" t="str">
        <f>IF(E443="","",IFERROR(INDEX(DM_NL!$B$5:$B$304,MATCH(E443,DM_NL!$A$5:$A$304,0)),"(chưa có trong DM_NL)"))</f>
        <v/>
      </c>
      <c r="G443" s="35" t="str">
        <f>IF(E443="","",IFERROR(INDEX(DM_NL!$C$5:$C$304,MATCH(E443,DM_NL!$A$5:$A$304,0)),""))</f>
        <v/>
      </c>
      <c r="H443" s="39" t="str">
        <f>IF(OR(E443="",BOM!G437="KXDDM"),"",BOM!F437)</f>
        <v/>
      </c>
      <c r="I443" s="36" t="str">
        <f>IF(E443="","",BOM!G437&amp;"")</f>
        <v/>
      </c>
    </row>
    <row r="444" spans="1:9" x14ac:dyDescent="0.25">
      <c r="A444" s="36" t="str">
        <f>IF(B444="","",MAX($A$10:A443)+1)</f>
        <v/>
      </c>
      <c r="B444" s="35" t="str">
        <f>IF(BOM!A438="","",IF(BOM!A438=BOM!A437,"",BOM!A438))</f>
        <v/>
      </c>
      <c r="C444" s="35" t="str">
        <f>IF(B444="","",IFERROR(INDEX(DM_SP!$B$5:$B$304,MATCH(B444,DM_SP!$A$5:$A$304,0)),"(chưa có trong DM_SP)"))</f>
        <v/>
      </c>
      <c r="D444" s="35" t="str">
        <f>IF(B444="","",IFERROR(INDEX(DM_SP!$C$5:$C$304,MATCH(B444,DM_SP!$A$5:$A$304,0)),""))</f>
        <v/>
      </c>
      <c r="E444" s="35" t="str">
        <f>IF(BOM!A438="","",BOM!B438)</f>
        <v/>
      </c>
      <c r="F444" s="35" t="str">
        <f>IF(E444="","",IFERROR(INDEX(DM_NL!$B$5:$B$304,MATCH(E444,DM_NL!$A$5:$A$304,0)),"(chưa có trong DM_NL)"))</f>
        <v/>
      </c>
      <c r="G444" s="35" t="str">
        <f>IF(E444="","",IFERROR(INDEX(DM_NL!$C$5:$C$304,MATCH(E444,DM_NL!$A$5:$A$304,0)),""))</f>
        <v/>
      </c>
      <c r="H444" s="39" t="str">
        <f>IF(OR(E444="",BOM!G438="KXDDM"),"",BOM!F438)</f>
        <v/>
      </c>
      <c r="I444" s="36" t="str">
        <f>IF(E444="","",BOM!G438&amp;"")</f>
        <v/>
      </c>
    </row>
    <row r="445" spans="1:9" x14ac:dyDescent="0.25">
      <c r="A445" s="36" t="str">
        <f>IF(B445="","",MAX($A$10:A444)+1)</f>
        <v/>
      </c>
      <c r="B445" s="35" t="str">
        <f>IF(BOM!A439="","",IF(BOM!A439=BOM!A438,"",BOM!A439))</f>
        <v/>
      </c>
      <c r="C445" s="35" t="str">
        <f>IF(B445="","",IFERROR(INDEX(DM_SP!$B$5:$B$304,MATCH(B445,DM_SP!$A$5:$A$304,0)),"(chưa có trong DM_SP)"))</f>
        <v/>
      </c>
      <c r="D445" s="35" t="str">
        <f>IF(B445="","",IFERROR(INDEX(DM_SP!$C$5:$C$304,MATCH(B445,DM_SP!$A$5:$A$304,0)),""))</f>
        <v/>
      </c>
      <c r="E445" s="35" t="str">
        <f>IF(BOM!A439="","",BOM!B439)</f>
        <v/>
      </c>
      <c r="F445" s="35" t="str">
        <f>IF(E445="","",IFERROR(INDEX(DM_NL!$B$5:$B$304,MATCH(E445,DM_NL!$A$5:$A$304,0)),"(chưa có trong DM_NL)"))</f>
        <v/>
      </c>
      <c r="G445" s="35" t="str">
        <f>IF(E445="","",IFERROR(INDEX(DM_NL!$C$5:$C$304,MATCH(E445,DM_NL!$A$5:$A$304,0)),""))</f>
        <v/>
      </c>
      <c r="H445" s="39" t="str">
        <f>IF(OR(E445="",BOM!G439="KXDDM"),"",BOM!F439)</f>
        <v/>
      </c>
      <c r="I445" s="36" t="str">
        <f>IF(E445="","",BOM!G439&amp;"")</f>
        <v/>
      </c>
    </row>
    <row r="446" spans="1:9" x14ac:dyDescent="0.25">
      <c r="A446" s="36" t="str">
        <f>IF(B446="","",MAX($A$10:A445)+1)</f>
        <v/>
      </c>
      <c r="B446" s="35" t="str">
        <f>IF(BOM!A440="","",IF(BOM!A440=BOM!A439,"",BOM!A440))</f>
        <v/>
      </c>
      <c r="C446" s="35" t="str">
        <f>IF(B446="","",IFERROR(INDEX(DM_SP!$B$5:$B$304,MATCH(B446,DM_SP!$A$5:$A$304,0)),"(chưa có trong DM_SP)"))</f>
        <v/>
      </c>
      <c r="D446" s="35" t="str">
        <f>IF(B446="","",IFERROR(INDEX(DM_SP!$C$5:$C$304,MATCH(B446,DM_SP!$A$5:$A$304,0)),""))</f>
        <v/>
      </c>
      <c r="E446" s="35" t="str">
        <f>IF(BOM!A440="","",BOM!B440)</f>
        <v/>
      </c>
      <c r="F446" s="35" t="str">
        <f>IF(E446="","",IFERROR(INDEX(DM_NL!$B$5:$B$304,MATCH(E446,DM_NL!$A$5:$A$304,0)),"(chưa có trong DM_NL)"))</f>
        <v/>
      </c>
      <c r="G446" s="35" t="str">
        <f>IF(E446="","",IFERROR(INDEX(DM_NL!$C$5:$C$304,MATCH(E446,DM_NL!$A$5:$A$304,0)),""))</f>
        <v/>
      </c>
      <c r="H446" s="39" t="str">
        <f>IF(OR(E446="",BOM!G440="KXDDM"),"",BOM!F440)</f>
        <v/>
      </c>
      <c r="I446" s="36" t="str">
        <f>IF(E446="","",BOM!G440&amp;"")</f>
        <v/>
      </c>
    </row>
    <row r="447" spans="1:9" x14ac:dyDescent="0.25">
      <c r="A447" s="36" t="str">
        <f>IF(B447="","",MAX($A$10:A446)+1)</f>
        <v/>
      </c>
      <c r="B447" s="35" t="str">
        <f>IF(BOM!A441="","",IF(BOM!A441=BOM!A440,"",BOM!A441))</f>
        <v/>
      </c>
      <c r="C447" s="35" t="str">
        <f>IF(B447="","",IFERROR(INDEX(DM_SP!$B$5:$B$304,MATCH(B447,DM_SP!$A$5:$A$304,0)),"(chưa có trong DM_SP)"))</f>
        <v/>
      </c>
      <c r="D447" s="35" t="str">
        <f>IF(B447="","",IFERROR(INDEX(DM_SP!$C$5:$C$304,MATCH(B447,DM_SP!$A$5:$A$304,0)),""))</f>
        <v/>
      </c>
      <c r="E447" s="35" t="str">
        <f>IF(BOM!A441="","",BOM!B441)</f>
        <v/>
      </c>
      <c r="F447" s="35" t="str">
        <f>IF(E447="","",IFERROR(INDEX(DM_NL!$B$5:$B$304,MATCH(E447,DM_NL!$A$5:$A$304,0)),"(chưa có trong DM_NL)"))</f>
        <v/>
      </c>
      <c r="G447" s="35" t="str">
        <f>IF(E447="","",IFERROR(INDEX(DM_NL!$C$5:$C$304,MATCH(E447,DM_NL!$A$5:$A$304,0)),""))</f>
        <v/>
      </c>
      <c r="H447" s="39" t="str">
        <f>IF(OR(E447="",BOM!G441="KXDDM"),"",BOM!F441)</f>
        <v/>
      </c>
      <c r="I447" s="36" t="str">
        <f>IF(E447="","",BOM!G441&amp;"")</f>
        <v/>
      </c>
    </row>
    <row r="448" spans="1:9" x14ac:dyDescent="0.25">
      <c r="A448" s="36" t="str">
        <f>IF(B448="","",MAX($A$10:A447)+1)</f>
        <v/>
      </c>
      <c r="B448" s="35" t="str">
        <f>IF(BOM!A442="","",IF(BOM!A442=BOM!A441,"",BOM!A442))</f>
        <v/>
      </c>
      <c r="C448" s="35" t="str">
        <f>IF(B448="","",IFERROR(INDEX(DM_SP!$B$5:$B$304,MATCH(B448,DM_SP!$A$5:$A$304,0)),"(chưa có trong DM_SP)"))</f>
        <v/>
      </c>
      <c r="D448" s="35" t="str">
        <f>IF(B448="","",IFERROR(INDEX(DM_SP!$C$5:$C$304,MATCH(B448,DM_SP!$A$5:$A$304,0)),""))</f>
        <v/>
      </c>
      <c r="E448" s="35" t="str">
        <f>IF(BOM!A442="","",BOM!B442)</f>
        <v/>
      </c>
      <c r="F448" s="35" t="str">
        <f>IF(E448="","",IFERROR(INDEX(DM_NL!$B$5:$B$304,MATCH(E448,DM_NL!$A$5:$A$304,0)),"(chưa có trong DM_NL)"))</f>
        <v/>
      </c>
      <c r="G448" s="35" t="str">
        <f>IF(E448="","",IFERROR(INDEX(DM_NL!$C$5:$C$304,MATCH(E448,DM_NL!$A$5:$A$304,0)),""))</f>
        <v/>
      </c>
      <c r="H448" s="39" t="str">
        <f>IF(OR(E448="",BOM!G442="KXDDM"),"",BOM!F442)</f>
        <v/>
      </c>
      <c r="I448" s="36" t="str">
        <f>IF(E448="","",BOM!G442&amp;"")</f>
        <v/>
      </c>
    </row>
    <row r="449" spans="1:9" x14ac:dyDescent="0.25">
      <c r="A449" s="36" t="str">
        <f>IF(B449="","",MAX($A$10:A448)+1)</f>
        <v/>
      </c>
      <c r="B449" s="35" t="str">
        <f>IF(BOM!A443="","",IF(BOM!A443=BOM!A442,"",BOM!A443))</f>
        <v/>
      </c>
      <c r="C449" s="35" t="str">
        <f>IF(B449="","",IFERROR(INDEX(DM_SP!$B$5:$B$304,MATCH(B449,DM_SP!$A$5:$A$304,0)),"(chưa có trong DM_SP)"))</f>
        <v/>
      </c>
      <c r="D449" s="35" t="str">
        <f>IF(B449="","",IFERROR(INDEX(DM_SP!$C$5:$C$304,MATCH(B449,DM_SP!$A$5:$A$304,0)),""))</f>
        <v/>
      </c>
      <c r="E449" s="35" t="str">
        <f>IF(BOM!A443="","",BOM!B443)</f>
        <v/>
      </c>
      <c r="F449" s="35" t="str">
        <f>IF(E449="","",IFERROR(INDEX(DM_NL!$B$5:$B$304,MATCH(E449,DM_NL!$A$5:$A$304,0)),"(chưa có trong DM_NL)"))</f>
        <v/>
      </c>
      <c r="G449" s="35" t="str">
        <f>IF(E449="","",IFERROR(INDEX(DM_NL!$C$5:$C$304,MATCH(E449,DM_NL!$A$5:$A$304,0)),""))</f>
        <v/>
      </c>
      <c r="H449" s="39" t="str">
        <f>IF(OR(E449="",BOM!G443="KXDDM"),"",BOM!F443)</f>
        <v/>
      </c>
      <c r="I449" s="36" t="str">
        <f>IF(E449="","",BOM!G443&amp;"")</f>
        <v/>
      </c>
    </row>
    <row r="450" spans="1:9" x14ac:dyDescent="0.25">
      <c r="A450" s="36" t="str">
        <f>IF(B450="","",MAX($A$10:A449)+1)</f>
        <v/>
      </c>
      <c r="B450" s="35" t="str">
        <f>IF(BOM!A444="","",IF(BOM!A444=BOM!A443,"",BOM!A444))</f>
        <v/>
      </c>
      <c r="C450" s="35" t="str">
        <f>IF(B450="","",IFERROR(INDEX(DM_SP!$B$5:$B$304,MATCH(B450,DM_SP!$A$5:$A$304,0)),"(chưa có trong DM_SP)"))</f>
        <v/>
      </c>
      <c r="D450" s="35" t="str">
        <f>IF(B450="","",IFERROR(INDEX(DM_SP!$C$5:$C$304,MATCH(B450,DM_SP!$A$5:$A$304,0)),""))</f>
        <v/>
      </c>
      <c r="E450" s="35" t="str">
        <f>IF(BOM!A444="","",BOM!B444)</f>
        <v/>
      </c>
      <c r="F450" s="35" t="str">
        <f>IF(E450="","",IFERROR(INDEX(DM_NL!$B$5:$B$304,MATCH(E450,DM_NL!$A$5:$A$304,0)),"(chưa có trong DM_NL)"))</f>
        <v/>
      </c>
      <c r="G450" s="35" t="str">
        <f>IF(E450="","",IFERROR(INDEX(DM_NL!$C$5:$C$304,MATCH(E450,DM_NL!$A$5:$A$304,0)),""))</f>
        <v/>
      </c>
      <c r="H450" s="39" t="str">
        <f>IF(OR(E450="",BOM!G444="KXDDM"),"",BOM!F444)</f>
        <v/>
      </c>
      <c r="I450" s="36" t="str">
        <f>IF(E450="","",BOM!G444&amp;"")</f>
        <v/>
      </c>
    </row>
    <row r="451" spans="1:9" x14ac:dyDescent="0.25">
      <c r="A451" s="36" t="str">
        <f>IF(B451="","",MAX($A$10:A450)+1)</f>
        <v/>
      </c>
      <c r="B451" s="35" t="str">
        <f>IF(BOM!A445="","",IF(BOM!A445=BOM!A444,"",BOM!A445))</f>
        <v/>
      </c>
      <c r="C451" s="35" t="str">
        <f>IF(B451="","",IFERROR(INDEX(DM_SP!$B$5:$B$304,MATCH(B451,DM_SP!$A$5:$A$304,0)),"(chưa có trong DM_SP)"))</f>
        <v/>
      </c>
      <c r="D451" s="35" t="str">
        <f>IF(B451="","",IFERROR(INDEX(DM_SP!$C$5:$C$304,MATCH(B451,DM_SP!$A$5:$A$304,0)),""))</f>
        <v/>
      </c>
      <c r="E451" s="35" t="str">
        <f>IF(BOM!A445="","",BOM!B445)</f>
        <v/>
      </c>
      <c r="F451" s="35" t="str">
        <f>IF(E451="","",IFERROR(INDEX(DM_NL!$B$5:$B$304,MATCH(E451,DM_NL!$A$5:$A$304,0)),"(chưa có trong DM_NL)"))</f>
        <v/>
      </c>
      <c r="G451" s="35" t="str">
        <f>IF(E451="","",IFERROR(INDEX(DM_NL!$C$5:$C$304,MATCH(E451,DM_NL!$A$5:$A$304,0)),""))</f>
        <v/>
      </c>
      <c r="H451" s="39" t="str">
        <f>IF(OR(E451="",BOM!G445="KXDDM"),"",BOM!F445)</f>
        <v/>
      </c>
      <c r="I451" s="36" t="str">
        <f>IF(E451="","",BOM!G445&amp;"")</f>
        <v/>
      </c>
    </row>
    <row r="452" spans="1:9" x14ac:dyDescent="0.25">
      <c r="A452" s="36" t="str">
        <f>IF(B452="","",MAX($A$10:A451)+1)</f>
        <v/>
      </c>
      <c r="B452" s="35" t="str">
        <f>IF(BOM!A446="","",IF(BOM!A446=BOM!A445,"",BOM!A446))</f>
        <v/>
      </c>
      <c r="C452" s="35" t="str">
        <f>IF(B452="","",IFERROR(INDEX(DM_SP!$B$5:$B$304,MATCH(B452,DM_SP!$A$5:$A$304,0)),"(chưa có trong DM_SP)"))</f>
        <v/>
      </c>
      <c r="D452" s="35" t="str">
        <f>IF(B452="","",IFERROR(INDEX(DM_SP!$C$5:$C$304,MATCH(B452,DM_SP!$A$5:$A$304,0)),""))</f>
        <v/>
      </c>
      <c r="E452" s="35" t="str">
        <f>IF(BOM!A446="","",BOM!B446)</f>
        <v/>
      </c>
      <c r="F452" s="35" t="str">
        <f>IF(E452="","",IFERROR(INDEX(DM_NL!$B$5:$B$304,MATCH(E452,DM_NL!$A$5:$A$304,0)),"(chưa có trong DM_NL)"))</f>
        <v/>
      </c>
      <c r="G452" s="35" t="str">
        <f>IF(E452="","",IFERROR(INDEX(DM_NL!$C$5:$C$304,MATCH(E452,DM_NL!$A$5:$A$304,0)),""))</f>
        <v/>
      </c>
      <c r="H452" s="39" t="str">
        <f>IF(OR(E452="",BOM!G446="KXDDM"),"",BOM!F446)</f>
        <v/>
      </c>
      <c r="I452" s="36" t="str">
        <f>IF(E452="","",BOM!G446&amp;"")</f>
        <v/>
      </c>
    </row>
    <row r="453" spans="1:9" x14ac:dyDescent="0.25">
      <c r="A453" s="36" t="str">
        <f>IF(B453="","",MAX($A$10:A452)+1)</f>
        <v/>
      </c>
      <c r="B453" s="35" t="str">
        <f>IF(BOM!A447="","",IF(BOM!A447=BOM!A446,"",BOM!A447))</f>
        <v/>
      </c>
      <c r="C453" s="35" t="str">
        <f>IF(B453="","",IFERROR(INDEX(DM_SP!$B$5:$B$304,MATCH(B453,DM_SP!$A$5:$A$304,0)),"(chưa có trong DM_SP)"))</f>
        <v/>
      </c>
      <c r="D453" s="35" t="str">
        <f>IF(B453="","",IFERROR(INDEX(DM_SP!$C$5:$C$304,MATCH(B453,DM_SP!$A$5:$A$304,0)),""))</f>
        <v/>
      </c>
      <c r="E453" s="35" t="str">
        <f>IF(BOM!A447="","",BOM!B447)</f>
        <v/>
      </c>
      <c r="F453" s="35" t="str">
        <f>IF(E453="","",IFERROR(INDEX(DM_NL!$B$5:$B$304,MATCH(E453,DM_NL!$A$5:$A$304,0)),"(chưa có trong DM_NL)"))</f>
        <v/>
      </c>
      <c r="G453" s="35" t="str">
        <f>IF(E453="","",IFERROR(INDEX(DM_NL!$C$5:$C$304,MATCH(E453,DM_NL!$A$5:$A$304,0)),""))</f>
        <v/>
      </c>
      <c r="H453" s="39" t="str">
        <f>IF(OR(E453="",BOM!G447="KXDDM"),"",BOM!F447)</f>
        <v/>
      </c>
      <c r="I453" s="36" t="str">
        <f>IF(E453="","",BOM!G447&amp;"")</f>
        <v/>
      </c>
    </row>
    <row r="454" spans="1:9" x14ac:dyDescent="0.25">
      <c r="A454" s="36" t="str">
        <f>IF(B454="","",MAX($A$10:A453)+1)</f>
        <v/>
      </c>
      <c r="B454" s="35" t="str">
        <f>IF(BOM!A448="","",IF(BOM!A448=BOM!A447,"",BOM!A448))</f>
        <v/>
      </c>
      <c r="C454" s="35" t="str">
        <f>IF(B454="","",IFERROR(INDEX(DM_SP!$B$5:$B$304,MATCH(B454,DM_SP!$A$5:$A$304,0)),"(chưa có trong DM_SP)"))</f>
        <v/>
      </c>
      <c r="D454" s="35" t="str">
        <f>IF(B454="","",IFERROR(INDEX(DM_SP!$C$5:$C$304,MATCH(B454,DM_SP!$A$5:$A$304,0)),""))</f>
        <v/>
      </c>
      <c r="E454" s="35" t="str">
        <f>IF(BOM!A448="","",BOM!B448)</f>
        <v/>
      </c>
      <c r="F454" s="35" t="str">
        <f>IF(E454="","",IFERROR(INDEX(DM_NL!$B$5:$B$304,MATCH(E454,DM_NL!$A$5:$A$304,0)),"(chưa có trong DM_NL)"))</f>
        <v/>
      </c>
      <c r="G454" s="35" t="str">
        <f>IF(E454="","",IFERROR(INDEX(DM_NL!$C$5:$C$304,MATCH(E454,DM_NL!$A$5:$A$304,0)),""))</f>
        <v/>
      </c>
      <c r="H454" s="39" t="str">
        <f>IF(OR(E454="",BOM!G448="KXDDM"),"",BOM!F448)</f>
        <v/>
      </c>
      <c r="I454" s="36" t="str">
        <f>IF(E454="","",BOM!G448&amp;"")</f>
        <v/>
      </c>
    </row>
    <row r="455" spans="1:9" x14ac:dyDescent="0.25">
      <c r="A455" s="36" t="str">
        <f>IF(B455="","",MAX($A$10:A454)+1)</f>
        <v/>
      </c>
      <c r="B455" s="35" t="str">
        <f>IF(BOM!A449="","",IF(BOM!A449=BOM!A448,"",BOM!A449))</f>
        <v/>
      </c>
      <c r="C455" s="35" t="str">
        <f>IF(B455="","",IFERROR(INDEX(DM_SP!$B$5:$B$304,MATCH(B455,DM_SP!$A$5:$A$304,0)),"(chưa có trong DM_SP)"))</f>
        <v/>
      </c>
      <c r="D455" s="35" t="str">
        <f>IF(B455="","",IFERROR(INDEX(DM_SP!$C$5:$C$304,MATCH(B455,DM_SP!$A$5:$A$304,0)),""))</f>
        <v/>
      </c>
      <c r="E455" s="35" t="str">
        <f>IF(BOM!A449="","",BOM!B449)</f>
        <v/>
      </c>
      <c r="F455" s="35" t="str">
        <f>IF(E455="","",IFERROR(INDEX(DM_NL!$B$5:$B$304,MATCH(E455,DM_NL!$A$5:$A$304,0)),"(chưa có trong DM_NL)"))</f>
        <v/>
      </c>
      <c r="G455" s="35" t="str">
        <f>IF(E455="","",IFERROR(INDEX(DM_NL!$C$5:$C$304,MATCH(E455,DM_NL!$A$5:$A$304,0)),""))</f>
        <v/>
      </c>
      <c r="H455" s="39" t="str">
        <f>IF(OR(E455="",BOM!G449="KXDDM"),"",BOM!F449)</f>
        <v/>
      </c>
      <c r="I455" s="36" t="str">
        <f>IF(E455="","",BOM!G449&amp;"")</f>
        <v/>
      </c>
    </row>
    <row r="456" spans="1:9" x14ac:dyDescent="0.25">
      <c r="A456" s="36" t="str">
        <f>IF(B456="","",MAX($A$10:A455)+1)</f>
        <v/>
      </c>
      <c r="B456" s="35" t="str">
        <f>IF(BOM!A450="","",IF(BOM!A450=BOM!A449,"",BOM!A450))</f>
        <v/>
      </c>
      <c r="C456" s="35" t="str">
        <f>IF(B456="","",IFERROR(INDEX(DM_SP!$B$5:$B$304,MATCH(B456,DM_SP!$A$5:$A$304,0)),"(chưa có trong DM_SP)"))</f>
        <v/>
      </c>
      <c r="D456" s="35" t="str">
        <f>IF(B456="","",IFERROR(INDEX(DM_SP!$C$5:$C$304,MATCH(B456,DM_SP!$A$5:$A$304,0)),""))</f>
        <v/>
      </c>
      <c r="E456" s="35" t="str">
        <f>IF(BOM!A450="","",BOM!B450)</f>
        <v/>
      </c>
      <c r="F456" s="35" t="str">
        <f>IF(E456="","",IFERROR(INDEX(DM_NL!$B$5:$B$304,MATCH(E456,DM_NL!$A$5:$A$304,0)),"(chưa có trong DM_NL)"))</f>
        <v/>
      </c>
      <c r="G456" s="35" t="str">
        <f>IF(E456="","",IFERROR(INDEX(DM_NL!$C$5:$C$304,MATCH(E456,DM_NL!$A$5:$A$304,0)),""))</f>
        <v/>
      </c>
      <c r="H456" s="39" t="str">
        <f>IF(OR(E456="",BOM!G450="KXDDM"),"",BOM!F450)</f>
        <v/>
      </c>
      <c r="I456" s="36" t="str">
        <f>IF(E456="","",BOM!G450&amp;"")</f>
        <v/>
      </c>
    </row>
    <row r="457" spans="1:9" x14ac:dyDescent="0.25">
      <c r="A457" s="36" t="str">
        <f>IF(B457="","",MAX($A$10:A456)+1)</f>
        <v/>
      </c>
      <c r="B457" s="35" t="str">
        <f>IF(BOM!A451="","",IF(BOM!A451=BOM!A450,"",BOM!A451))</f>
        <v/>
      </c>
      <c r="C457" s="35" t="str">
        <f>IF(B457="","",IFERROR(INDEX(DM_SP!$B$5:$B$304,MATCH(B457,DM_SP!$A$5:$A$304,0)),"(chưa có trong DM_SP)"))</f>
        <v/>
      </c>
      <c r="D457" s="35" t="str">
        <f>IF(B457="","",IFERROR(INDEX(DM_SP!$C$5:$C$304,MATCH(B457,DM_SP!$A$5:$A$304,0)),""))</f>
        <v/>
      </c>
      <c r="E457" s="35" t="str">
        <f>IF(BOM!A451="","",BOM!B451)</f>
        <v/>
      </c>
      <c r="F457" s="35" t="str">
        <f>IF(E457="","",IFERROR(INDEX(DM_NL!$B$5:$B$304,MATCH(E457,DM_NL!$A$5:$A$304,0)),"(chưa có trong DM_NL)"))</f>
        <v/>
      </c>
      <c r="G457" s="35" t="str">
        <f>IF(E457="","",IFERROR(INDEX(DM_NL!$C$5:$C$304,MATCH(E457,DM_NL!$A$5:$A$304,0)),""))</f>
        <v/>
      </c>
      <c r="H457" s="39" t="str">
        <f>IF(OR(E457="",BOM!G451="KXDDM"),"",BOM!F451)</f>
        <v/>
      </c>
      <c r="I457" s="36" t="str">
        <f>IF(E457="","",BOM!G451&amp;"")</f>
        <v/>
      </c>
    </row>
    <row r="458" spans="1:9" x14ac:dyDescent="0.25">
      <c r="A458" s="36" t="str">
        <f>IF(B458="","",MAX($A$10:A457)+1)</f>
        <v/>
      </c>
      <c r="B458" s="35" t="str">
        <f>IF(BOM!A452="","",IF(BOM!A452=BOM!A451,"",BOM!A452))</f>
        <v/>
      </c>
      <c r="C458" s="35" t="str">
        <f>IF(B458="","",IFERROR(INDEX(DM_SP!$B$5:$B$304,MATCH(B458,DM_SP!$A$5:$A$304,0)),"(chưa có trong DM_SP)"))</f>
        <v/>
      </c>
      <c r="D458" s="35" t="str">
        <f>IF(B458="","",IFERROR(INDEX(DM_SP!$C$5:$C$304,MATCH(B458,DM_SP!$A$5:$A$304,0)),""))</f>
        <v/>
      </c>
      <c r="E458" s="35" t="str">
        <f>IF(BOM!A452="","",BOM!B452)</f>
        <v/>
      </c>
      <c r="F458" s="35" t="str">
        <f>IF(E458="","",IFERROR(INDEX(DM_NL!$B$5:$B$304,MATCH(E458,DM_NL!$A$5:$A$304,0)),"(chưa có trong DM_NL)"))</f>
        <v/>
      </c>
      <c r="G458" s="35" t="str">
        <f>IF(E458="","",IFERROR(INDEX(DM_NL!$C$5:$C$304,MATCH(E458,DM_NL!$A$5:$A$304,0)),""))</f>
        <v/>
      </c>
      <c r="H458" s="39" t="str">
        <f>IF(OR(E458="",BOM!G452="KXDDM"),"",BOM!F452)</f>
        <v/>
      </c>
      <c r="I458" s="36" t="str">
        <f>IF(E458="","",BOM!G452&amp;"")</f>
        <v/>
      </c>
    </row>
    <row r="459" spans="1:9" x14ac:dyDescent="0.25">
      <c r="A459" s="36" t="str">
        <f>IF(B459="","",MAX($A$10:A458)+1)</f>
        <v/>
      </c>
      <c r="B459" s="35" t="str">
        <f>IF(BOM!A453="","",IF(BOM!A453=BOM!A452,"",BOM!A453))</f>
        <v/>
      </c>
      <c r="C459" s="35" t="str">
        <f>IF(B459="","",IFERROR(INDEX(DM_SP!$B$5:$B$304,MATCH(B459,DM_SP!$A$5:$A$304,0)),"(chưa có trong DM_SP)"))</f>
        <v/>
      </c>
      <c r="D459" s="35" t="str">
        <f>IF(B459="","",IFERROR(INDEX(DM_SP!$C$5:$C$304,MATCH(B459,DM_SP!$A$5:$A$304,0)),""))</f>
        <v/>
      </c>
      <c r="E459" s="35" t="str">
        <f>IF(BOM!A453="","",BOM!B453)</f>
        <v/>
      </c>
      <c r="F459" s="35" t="str">
        <f>IF(E459="","",IFERROR(INDEX(DM_NL!$B$5:$B$304,MATCH(E459,DM_NL!$A$5:$A$304,0)),"(chưa có trong DM_NL)"))</f>
        <v/>
      </c>
      <c r="G459" s="35" t="str">
        <f>IF(E459="","",IFERROR(INDEX(DM_NL!$C$5:$C$304,MATCH(E459,DM_NL!$A$5:$A$304,0)),""))</f>
        <v/>
      </c>
      <c r="H459" s="39" t="str">
        <f>IF(OR(E459="",BOM!G453="KXDDM"),"",BOM!F453)</f>
        <v/>
      </c>
      <c r="I459" s="36" t="str">
        <f>IF(E459="","",BOM!G453&amp;"")</f>
        <v/>
      </c>
    </row>
    <row r="460" spans="1:9" x14ac:dyDescent="0.25">
      <c r="A460" s="36" t="str">
        <f>IF(B460="","",MAX($A$10:A459)+1)</f>
        <v/>
      </c>
      <c r="B460" s="35" t="str">
        <f>IF(BOM!A454="","",IF(BOM!A454=BOM!A453,"",BOM!A454))</f>
        <v/>
      </c>
      <c r="C460" s="35" t="str">
        <f>IF(B460="","",IFERROR(INDEX(DM_SP!$B$5:$B$304,MATCH(B460,DM_SP!$A$5:$A$304,0)),"(chưa có trong DM_SP)"))</f>
        <v/>
      </c>
      <c r="D460" s="35" t="str">
        <f>IF(B460="","",IFERROR(INDEX(DM_SP!$C$5:$C$304,MATCH(B460,DM_SP!$A$5:$A$304,0)),""))</f>
        <v/>
      </c>
      <c r="E460" s="35" t="str">
        <f>IF(BOM!A454="","",BOM!B454)</f>
        <v/>
      </c>
      <c r="F460" s="35" t="str">
        <f>IF(E460="","",IFERROR(INDEX(DM_NL!$B$5:$B$304,MATCH(E460,DM_NL!$A$5:$A$304,0)),"(chưa có trong DM_NL)"))</f>
        <v/>
      </c>
      <c r="G460" s="35" t="str">
        <f>IF(E460="","",IFERROR(INDEX(DM_NL!$C$5:$C$304,MATCH(E460,DM_NL!$A$5:$A$304,0)),""))</f>
        <v/>
      </c>
      <c r="H460" s="39" t="str">
        <f>IF(OR(E460="",BOM!G454="KXDDM"),"",BOM!F454)</f>
        <v/>
      </c>
      <c r="I460" s="36" t="str">
        <f>IF(E460="","",BOM!G454&amp;"")</f>
        <v/>
      </c>
    </row>
    <row r="461" spans="1:9" x14ac:dyDescent="0.25">
      <c r="A461" s="36" t="str">
        <f>IF(B461="","",MAX($A$10:A460)+1)</f>
        <v/>
      </c>
      <c r="B461" s="35" t="str">
        <f>IF(BOM!A455="","",IF(BOM!A455=BOM!A454,"",BOM!A455))</f>
        <v/>
      </c>
      <c r="C461" s="35" t="str">
        <f>IF(B461="","",IFERROR(INDEX(DM_SP!$B$5:$B$304,MATCH(B461,DM_SP!$A$5:$A$304,0)),"(chưa có trong DM_SP)"))</f>
        <v/>
      </c>
      <c r="D461" s="35" t="str">
        <f>IF(B461="","",IFERROR(INDEX(DM_SP!$C$5:$C$304,MATCH(B461,DM_SP!$A$5:$A$304,0)),""))</f>
        <v/>
      </c>
      <c r="E461" s="35" t="str">
        <f>IF(BOM!A455="","",BOM!B455)</f>
        <v/>
      </c>
      <c r="F461" s="35" t="str">
        <f>IF(E461="","",IFERROR(INDEX(DM_NL!$B$5:$B$304,MATCH(E461,DM_NL!$A$5:$A$304,0)),"(chưa có trong DM_NL)"))</f>
        <v/>
      </c>
      <c r="G461" s="35" t="str">
        <f>IF(E461="","",IFERROR(INDEX(DM_NL!$C$5:$C$304,MATCH(E461,DM_NL!$A$5:$A$304,0)),""))</f>
        <v/>
      </c>
      <c r="H461" s="39" t="str">
        <f>IF(OR(E461="",BOM!G455="KXDDM"),"",BOM!F455)</f>
        <v/>
      </c>
      <c r="I461" s="36" t="str">
        <f>IF(E461="","",BOM!G455&amp;"")</f>
        <v/>
      </c>
    </row>
    <row r="462" spans="1:9" x14ac:dyDescent="0.25">
      <c r="A462" s="36" t="str">
        <f>IF(B462="","",MAX($A$10:A461)+1)</f>
        <v/>
      </c>
      <c r="B462" s="35" t="str">
        <f>IF(BOM!A456="","",IF(BOM!A456=BOM!A455,"",BOM!A456))</f>
        <v/>
      </c>
      <c r="C462" s="35" t="str">
        <f>IF(B462="","",IFERROR(INDEX(DM_SP!$B$5:$B$304,MATCH(B462,DM_SP!$A$5:$A$304,0)),"(chưa có trong DM_SP)"))</f>
        <v/>
      </c>
      <c r="D462" s="35" t="str">
        <f>IF(B462="","",IFERROR(INDEX(DM_SP!$C$5:$C$304,MATCH(B462,DM_SP!$A$5:$A$304,0)),""))</f>
        <v/>
      </c>
      <c r="E462" s="35" t="str">
        <f>IF(BOM!A456="","",BOM!B456)</f>
        <v/>
      </c>
      <c r="F462" s="35" t="str">
        <f>IF(E462="","",IFERROR(INDEX(DM_NL!$B$5:$B$304,MATCH(E462,DM_NL!$A$5:$A$304,0)),"(chưa có trong DM_NL)"))</f>
        <v/>
      </c>
      <c r="G462" s="35" t="str">
        <f>IF(E462="","",IFERROR(INDEX(DM_NL!$C$5:$C$304,MATCH(E462,DM_NL!$A$5:$A$304,0)),""))</f>
        <v/>
      </c>
      <c r="H462" s="39" t="str">
        <f>IF(OR(E462="",BOM!G456="KXDDM"),"",BOM!F456)</f>
        <v/>
      </c>
      <c r="I462" s="36" t="str">
        <f>IF(E462="","",BOM!G456&amp;"")</f>
        <v/>
      </c>
    </row>
    <row r="463" spans="1:9" x14ac:dyDescent="0.25">
      <c r="A463" s="36" t="str">
        <f>IF(B463="","",MAX($A$10:A462)+1)</f>
        <v/>
      </c>
      <c r="B463" s="35" t="str">
        <f>IF(BOM!A457="","",IF(BOM!A457=BOM!A456,"",BOM!A457))</f>
        <v/>
      </c>
      <c r="C463" s="35" t="str">
        <f>IF(B463="","",IFERROR(INDEX(DM_SP!$B$5:$B$304,MATCH(B463,DM_SP!$A$5:$A$304,0)),"(chưa có trong DM_SP)"))</f>
        <v/>
      </c>
      <c r="D463" s="35" t="str">
        <f>IF(B463="","",IFERROR(INDEX(DM_SP!$C$5:$C$304,MATCH(B463,DM_SP!$A$5:$A$304,0)),""))</f>
        <v/>
      </c>
      <c r="E463" s="35" t="str">
        <f>IF(BOM!A457="","",BOM!B457)</f>
        <v/>
      </c>
      <c r="F463" s="35" t="str">
        <f>IF(E463="","",IFERROR(INDEX(DM_NL!$B$5:$B$304,MATCH(E463,DM_NL!$A$5:$A$304,0)),"(chưa có trong DM_NL)"))</f>
        <v/>
      </c>
      <c r="G463" s="35" t="str">
        <f>IF(E463="","",IFERROR(INDEX(DM_NL!$C$5:$C$304,MATCH(E463,DM_NL!$A$5:$A$304,0)),""))</f>
        <v/>
      </c>
      <c r="H463" s="39" t="str">
        <f>IF(OR(E463="",BOM!G457="KXDDM"),"",BOM!F457)</f>
        <v/>
      </c>
      <c r="I463" s="36" t="str">
        <f>IF(E463="","",BOM!G457&amp;"")</f>
        <v/>
      </c>
    </row>
    <row r="464" spans="1:9" x14ac:dyDescent="0.25">
      <c r="A464" s="36" t="str">
        <f>IF(B464="","",MAX($A$10:A463)+1)</f>
        <v/>
      </c>
      <c r="B464" s="35" t="str">
        <f>IF(BOM!A458="","",IF(BOM!A458=BOM!A457,"",BOM!A458))</f>
        <v/>
      </c>
      <c r="C464" s="35" t="str">
        <f>IF(B464="","",IFERROR(INDEX(DM_SP!$B$5:$B$304,MATCH(B464,DM_SP!$A$5:$A$304,0)),"(chưa có trong DM_SP)"))</f>
        <v/>
      </c>
      <c r="D464" s="35" t="str">
        <f>IF(B464="","",IFERROR(INDEX(DM_SP!$C$5:$C$304,MATCH(B464,DM_SP!$A$5:$A$304,0)),""))</f>
        <v/>
      </c>
      <c r="E464" s="35" t="str">
        <f>IF(BOM!A458="","",BOM!B458)</f>
        <v/>
      </c>
      <c r="F464" s="35" t="str">
        <f>IF(E464="","",IFERROR(INDEX(DM_NL!$B$5:$B$304,MATCH(E464,DM_NL!$A$5:$A$304,0)),"(chưa có trong DM_NL)"))</f>
        <v/>
      </c>
      <c r="G464" s="35" t="str">
        <f>IF(E464="","",IFERROR(INDEX(DM_NL!$C$5:$C$304,MATCH(E464,DM_NL!$A$5:$A$304,0)),""))</f>
        <v/>
      </c>
      <c r="H464" s="39" t="str">
        <f>IF(OR(E464="",BOM!G458="KXDDM"),"",BOM!F458)</f>
        <v/>
      </c>
      <c r="I464" s="36" t="str">
        <f>IF(E464="","",BOM!G458&amp;"")</f>
        <v/>
      </c>
    </row>
    <row r="465" spans="1:9" x14ac:dyDescent="0.25">
      <c r="A465" s="36" t="str">
        <f>IF(B465="","",MAX($A$10:A464)+1)</f>
        <v/>
      </c>
      <c r="B465" s="35" t="str">
        <f>IF(BOM!A459="","",IF(BOM!A459=BOM!A458,"",BOM!A459))</f>
        <v/>
      </c>
      <c r="C465" s="35" t="str">
        <f>IF(B465="","",IFERROR(INDEX(DM_SP!$B$5:$B$304,MATCH(B465,DM_SP!$A$5:$A$304,0)),"(chưa có trong DM_SP)"))</f>
        <v/>
      </c>
      <c r="D465" s="35" t="str">
        <f>IF(B465="","",IFERROR(INDEX(DM_SP!$C$5:$C$304,MATCH(B465,DM_SP!$A$5:$A$304,0)),""))</f>
        <v/>
      </c>
      <c r="E465" s="35" t="str">
        <f>IF(BOM!A459="","",BOM!B459)</f>
        <v/>
      </c>
      <c r="F465" s="35" t="str">
        <f>IF(E465="","",IFERROR(INDEX(DM_NL!$B$5:$B$304,MATCH(E465,DM_NL!$A$5:$A$304,0)),"(chưa có trong DM_NL)"))</f>
        <v/>
      </c>
      <c r="G465" s="35" t="str">
        <f>IF(E465="","",IFERROR(INDEX(DM_NL!$C$5:$C$304,MATCH(E465,DM_NL!$A$5:$A$304,0)),""))</f>
        <v/>
      </c>
      <c r="H465" s="39" t="str">
        <f>IF(OR(E465="",BOM!G459="KXDDM"),"",BOM!F459)</f>
        <v/>
      </c>
      <c r="I465" s="36" t="str">
        <f>IF(E465="","",BOM!G459&amp;"")</f>
        <v/>
      </c>
    </row>
    <row r="466" spans="1:9" x14ac:dyDescent="0.25">
      <c r="A466" s="36" t="str">
        <f>IF(B466="","",MAX($A$10:A465)+1)</f>
        <v/>
      </c>
      <c r="B466" s="35" t="str">
        <f>IF(BOM!A460="","",IF(BOM!A460=BOM!A459,"",BOM!A460))</f>
        <v/>
      </c>
      <c r="C466" s="35" t="str">
        <f>IF(B466="","",IFERROR(INDEX(DM_SP!$B$5:$B$304,MATCH(B466,DM_SP!$A$5:$A$304,0)),"(chưa có trong DM_SP)"))</f>
        <v/>
      </c>
      <c r="D466" s="35" t="str">
        <f>IF(B466="","",IFERROR(INDEX(DM_SP!$C$5:$C$304,MATCH(B466,DM_SP!$A$5:$A$304,0)),""))</f>
        <v/>
      </c>
      <c r="E466" s="35" t="str">
        <f>IF(BOM!A460="","",BOM!B460)</f>
        <v/>
      </c>
      <c r="F466" s="35" t="str">
        <f>IF(E466="","",IFERROR(INDEX(DM_NL!$B$5:$B$304,MATCH(E466,DM_NL!$A$5:$A$304,0)),"(chưa có trong DM_NL)"))</f>
        <v/>
      </c>
      <c r="G466" s="35" t="str">
        <f>IF(E466="","",IFERROR(INDEX(DM_NL!$C$5:$C$304,MATCH(E466,DM_NL!$A$5:$A$304,0)),""))</f>
        <v/>
      </c>
      <c r="H466" s="39" t="str">
        <f>IF(OR(E466="",BOM!G460="KXDDM"),"",BOM!F460)</f>
        <v/>
      </c>
      <c r="I466" s="36" t="str">
        <f>IF(E466="","",BOM!G460&amp;"")</f>
        <v/>
      </c>
    </row>
    <row r="467" spans="1:9" x14ac:dyDescent="0.25">
      <c r="A467" s="36" t="str">
        <f>IF(B467="","",MAX($A$10:A466)+1)</f>
        <v/>
      </c>
      <c r="B467" s="35" t="str">
        <f>IF(BOM!A461="","",IF(BOM!A461=BOM!A460,"",BOM!A461))</f>
        <v/>
      </c>
      <c r="C467" s="35" t="str">
        <f>IF(B467="","",IFERROR(INDEX(DM_SP!$B$5:$B$304,MATCH(B467,DM_SP!$A$5:$A$304,0)),"(chưa có trong DM_SP)"))</f>
        <v/>
      </c>
      <c r="D467" s="35" t="str">
        <f>IF(B467="","",IFERROR(INDEX(DM_SP!$C$5:$C$304,MATCH(B467,DM_SP!$A$5:$A$304,0)),""))</f>
        <v/>
      </c>
      <c r="E467" s="35" t="str">
        <f>IF(BOM!A461="","",BOM!B461)</f>
        <v/>
      </c>
      <c r="F467" s="35" t="str">
        <f>IF(E467="","",IFERROR(INDEX(DM_NL!$B$5:$B$304,MATCH(E467,DM_NL!$A$5:$A$304,0)),"(chưa có trong DM_NL)"))</f>
        <v/>
      </c>
      <c r="G467" s="35" t="str">
        <f>IF(E467="","",IFERROR(INDEX(DM_NL!$C$5:$C$304,MATCH(E467,DM_NL!$A$5:$A$304,0)),""))</f>
        <v/>
      </c>
      <c r="H467" s="39" t="str">
        <f>IF(OR(E467="",BOM!G461="KXDDM"),"",BOM!F461)</f>
        <v/>
      </c>
      <c r="I467" s="36" t="str">
        <f>IF(E467="","",BOM!G461&amp;"")</f>
        <v/>
      </c>
    </row>
    <row r="468" spans="1:9" x14ac:dyDescent="0.25">
      <c r="A468" s="36" t="str">
        <f>IF(B468="","",MAX($A$10:A467)+1)</f>
        <v/>
      </c>
      <c r="B468" s="35" t="str">
        <f>IF(BOM!A462="","",IF(BOM!A462=BOM!A461,"",BOM!A462))</f>
        <v/>
      </c>
      <c r="C468" s="35" t="str">
        <f>IF(B468="","",IFERROR(INDEX(DM_SP!$B$5:$B$304,MATCH(B468,DM_SP!$A$5:$A$304,0)),"(chưa có trong DM_SP)"))</f>
        <v/>
      </c>
      <c r="D468" s="35" t="str">
        <f>IF(B468="","",IFERROR(INDEX(DM_SP!$C$5:$C$304,MATCH(B468,DM_SP!$A$5:$A$304,0)),""))</f>
        <v/>
      </c>
      <c r="E468" s="35" t="str">
        <f>IF(BOM!A462="","",BOM!B462)</f>
        <v/>
      </c>
      <c r="F468" s="35" t="str">
        <f>IF(E468="","",IFERROR(INDEX(DM_NL!$B$5:$B$304,MATCH(E468,DM_NL!$A$5:$A$304,0)),"(chưa có trong DM_NL)"))</f>
        <v/>
      </c>
      <c r="G468" s="35" t="str">
        <f>IF(E468="","",IFERROR(INDEX(DM_NL!$C$5:$C$304,MATCH(E468,DM_NL!$A$5:$A$304,0)),""))</f>
        <v/>
      </c>
      <c r="H468" s="39" t="str">
        <f>IF(OR(E468="",BOM!G462="KXDDM"),"",BOM!F462)</f>
        <v/>
      </c>
      <c r="I468" s="36" t="str">
        <f>IF(E468="","",BOM!G462&amp;"")</f>
        <v/>
      </c>
    </row>
    <row r="469" spans="1:9" x14ac:dyDescent="0.25">
      <c r="A469" s="36" t="str">
        <f>IF(B469="","",MAX($A$10:A468)+1)</f>
        <v/>
      </c>
      <c r="B469" s="35" t="str">
        <f>IF(BOM!A463="","",IF(BOM!A463=BOM!A462,"",BOM!A463))</f>
        <v/>
      </c>
      <c r="C469" s="35" t="str">
        <f>IF(B469="","",IFERROR(INDEX(DM_SP!$B$5:$B$304,MATCH(B469,DM_SP!$A$5:$A$304,0)),"(chưa có trong DM_SP)"))</f>
        <v/>
      </c>
      <c r="D469" s="35" t="str">
        <f>IF(B469="","",IFERROR(INDEX(DM_SP!$C$5:$C$304,MATCH(B469,DM_SP!$A$5:$A$304,0)),""))</f>
        <v/>
      </c>
      <c r="E469" s="35" t="str">
        <f>IF(BOM!A463="","",BOM!B463)</f>
        <v/>
      </c>
      <c r="F469" s="35" t="str">
        <f>IF(E469="","",IFERROR(INDEX(DM_NL!$B$5:$B$304,MATCH(E469,DM_NL!$A$5:$A$304,0)),"(chưa có trong DM_NL)"))</f>
        <v/>
      </c>
      <c r="G469" s="35" t="str">
        <f>IF(E469="","",IFERROR(INDEX(DM_NL!$C$5:$C$304,MATCH(E469,DM_NL!$A$5:$A$304,0)),""))</f>
        <v/>
      </c>
      <c r="H469" s="39" t="str">
        <f>IF(OR(E469="",BOM!G463="KXDDM"),"",BOM!F463)</f>
        <v/>
      </c>
      <c r="I469" s="36" t="str">
        <f>IF(E469="","",BOM!G463&amp;"")</f>
        <v/>
      </c>
    </row>
    <row r="470" spans="1:9" x14ac:dyDescent="0.25">
      <c r="A470" s="36" t="str">
        <f>IF(B470="","",MAX($A$10:A469)+1)</f>
        <v/>
      </c>
      <c r="B470" s="35" t="str">
        <f>IF(BOM!A464="","",IF(BOM!A464=BOM!A463,"",BOM!A464))</f>
        <v/>
      </c>
      <c r="C470" s="35" t="str">
        <f>IF(B470="","",IFERROR(INDEX(DM_SP!$B$5:$B$304,MATCH(B470,DM_SP!$A$5:$A$304,0)),"(chưa có trong DM_SP)"))</f>
        <v/>
      </c>
      <c r="D470" s="35" t="str">
        <f>IF(B470="","",IFERROR(INDEX(DM_SP!$C$5:$C$304,MATCH(B470,DM_SP!$A$5:$A$304,0)),""))</f>
        <v/>
      </c>
      <c r="E470" s="35" t="str">
        <f>IF(BOM!A464="","",BOM!B464)</f>
        <v/>
      </c>
      <c r="F470" s="35" t="str">
        <f>IF(E470="","",IFERROR(INDEX(DM_NL!$B$5:$B$304,MATCH(E470,DM_NL!$A$5:$A$304,0)),"(chưa có trong DM_NL)"))</f>
        <v/>
      </c>
      <c r="G470" s="35" t="str">
        <f>IF(E470="","",IFERROR(INDEX(DM_NL!$C$5:$C$304,MATCH(E470,DM_NL!$A$5:$A$304,0)),""))</f>
        <v/>
      </c>
      <c r="H470" s="39" t="str">
        <f>IF(OR(E470="",BOM!G464="KXDDM"),"",BOM!F464)</f>
        <v/>
      </c>
      <c r="I470" s="36" t="str">
        <f>IF(E470="","",BOM!G464&amp;"")</f>
        <v/>
      </c>
    </row>
    <row r="471" spans="1:9" x14ac:dyDescent="0.25">
      <c r="A471" s="36" t="str">
        <f>IF(B471="","",MAX($A$10:A470)+1)</f>
        <v/>
      </c>
      <c r="B471" s="35" t="str">
        <f>IF(BOM!A465="","",IF(BOM!A465=BOM!A464,"",BOM!A465))</f>
        <v/>
      </c>
      <c r="C471" s="35" t="str">
        <f>IF(B471="","",IFERROR(INDEX(DM_SP!$B$5:$B$304,MATCH(B471,DM_SP!$A$5:$A$304,0)),"(chưa có trong DM_SP)"))</f>
        <v/>
      </c>
      <c r="D471" s="35" t="str">
        <f>IF(B471="","",IFERROR(INDEX(DM_SP!$C$5:$C$304,MATCH(B471,DM_SP!$A$5:$A$304,0)),""))</f>
        <v/>
      </c>
      <c r="E471" s="35" t="str">
        <f>IF(BOM!A465="","",BOM!B465)</f>
        <v/>
      </c>
      <c r="F471" s="35" t="str">
        <f>IF(E471="","",IFERROR(INDEX(DM_NL!$B$5:$B$304,MATCH(E471,DM_NL!$A$5:$A$304,0)),"(chưa có trong DM_NL)"))</f>
        <v/>
      </c>
      <c r="G471" s="35" t="str">
        <f>IF(E471="","",IFERROR(INDEX(DM_NL!$C$5:$C$304,MATCH(E471,DM_NL!$A$5:$A$304,0)),""))</f>
        <v/>
      </c>
      <c r="H471" s="39" t="str">
        <f>IF(OR(E471="",BOM!G465="KXDDM"),"",BOM!F465)</f>
        <v/>
      </c>
      <c r="I471" s="36" t="str">
        <f>IF(E471="","",BOM!G465&amp;"")</f>
        <v/>
      </c>
    </row>
    <row r="472" spans="1:9" x14ac:dyDescent="0.25">
      <c r="A472" s="36" t="str">
        <f>IF(B472="","",MAX($A$10:A471)+1)</f>
        <v/>
      </c>
      <c r="B472" s="35" t="str">
        <f>IF(BOM!A466="","",IF(BOM!A466=BOM!A465,"",BOM!A466))</f>
        <v/>
      </c>
      <c r="C472" s="35" t="str">
        <f>IF(B472="","",IFERROR(INDEX(DM_SP!$B$5:$B$304,MATCH(B472,DM_SP!$A$5:$A$304,0)),"(chưa có trong DM_SP)"))</f>
        <v/>
      </c>
      <c r="D472" s="35" t="str">
        <f>IF(B472="","",IFERROR(INDEX(DM_SP!$C$5:$C$304,MATCH(B472,DM_SP!$A$5:$A$304,0)),""))</f>
        <v/>
      </c>
      <c r="E472" s="35" t="str">
        <f>IF(BOM!A466="","",BOM!B466)</f>
        <v/>
      </c>
      <c r="F472" s="35" t="str">
        <f>IF(E472="","",IFERROR(INDEX(DM_NL!$B$5:$B$304,MATCH(E472,DM_NL!$A$5:$A$304,0)),"(chưa có trong DM_NL)"))</f>
        <v/>
      </c>
      <c r="G472" s="35" t="str">
        <f>IF(E472="","",IFERROR(INDEX(DM_NL!$C$5:$C$304,MATCH(E472,DM_NL!$A$5:$A$304,0)),""))</f>
        <v/>
      </c>
      <c r="H472" s="39" t="str">
        <f>IF(OR(E472="",BOM!G466="KXDDM"),"",BOM!F466)</f>
        <v/>
      </c>
      <c r="I472" s="36" t="str">
        <f>IF(E472="","",BOM!G466&amp;"")</f>
        <v/>
      </c>
    </row>
    <row r="473" spans="1:9" x14ac:dyDescent="0.25">
      <c r="A473" s="36" t="str">
        <f>IF(B473="","",MAX($A$10:A472)+1)</f>
        <v/>
      </c>
      <c r="B473" s="35" t="str">
        <f>IF(BOM!A467="","",IF(BOM!A467=BOM!A466,"",BOM!A467))</f>
        <v/>
      </c>
      <c r="C473" s="35" t="str">
        <f>IF(B473="","",IFERROR(INDEX(DM_SP!$B$5:$B$304,MATCH(B473,DM_SP!$A$5:$A$304,0)),"(chưa có trong DM_SP)"))</f>
        <v/>
      </c>
      <c r="D473" s="35" t="str">
        <f>IF(B473="","",IFERROR(INDEX(DM_SP!$C$5:$C$304,MATCH(B473,DM_SP!$A$5:$A$304,0)),""))</f>
        <v/>
      </c>
      <c r="E473" s="35" t="str">
        <f>IF(BOM!A467="","",BOM!B467)</f>
        <v/>
      </c>
      <c r="F473" s="35" t="str">
        <f>IF(E473="","",IFERROR(INDEX(DM_NL!$B$5:$B$304,MATCH(E473,DM_NL!$A$5:$A$304,0)),"(chưa có trong DM_NL)"))</f>
        <v/>
      </c>
      <c r="G473" s="35" t="str">
        <f>IF(E473="","",IFERROR(INDEX(DM_NL!$C$5:$C$304,MATCH(E473,DM_NL!$A$5:$A$304,0)),""))</f>
        <v/>
      </c>
      <c r="H473" s="39" t="str">
        <f>IF(OR(E473="",BOM!G467="KXDDM"),"",BOM!F467)</f>
        <v/>
      </c>
      <c r="I473" s="36" t="str">
        <f>IF(E473="","",BOM!G467&amp;"")</f>
        <v/>
      </c>
    </row>
    <row r="474" spans="1:9" x14ac:dyDescent="0.25">
      <c r="A474" s="36" t="str">
        <f>IF(B474="","",MAX($A$10:A473)+1)</f>
        <v/>
      </c>
      <c r="B474" s="35" t="str">
        <f>IF(BOM!A468="","",IF(BOM!A468=BOM!A467,"",BOM!A468))</f>
        <v/>
      </c>
      <c r="C474" s="35" t="str">
        <f>IF(B474="","",IFERROR(INDEX(DM_SP!$B$5:$B$304,MATCH(B474,DM_SP!$A$5:$A$304,0)),"(chưa có trong DM_SP)"))</f>
        <v/>
      </c>
      <c r="D474" s="35" t="str">
        <f>IF(B474="","",IFERROR(INDEX(DM_SP!$C$5:$C$304,MATCH(B474,DM_SP!$A$5:$A$304,0)),""))</f>
        <v/>
      </c>
      <c r="E474" s="35" t="str">
        <f>IF(BOM!A468="","",BOM!B468)</f>
        <v/>
      </c>
      <c r="F474" s="35" t="str">
        <f>IF(E474="","",IFERROR(INDEX(DM_NL!$B$5:$B$304,MATCH(E474,DM_NL!$A$5:$A$304,0)),"(chưa có trong DM_NL)"))</f>
        <v/>
      </c>
      <c r="G474" s="35" t="str">
        <f>IF(E474="","",IFERROR(INDEX(DM_NL!$C$5:$C$304,MATCH(E474,DM_NL!$A$5:$A$304,0)),""))</f>
        <v/>
      </c>
      <c r="H474" s="39" t="str">
        <f>IF(OR(E474="",BOM!G468="KXDDM"),"",BOM!F468)</f>
        <v/>
      </c>
      <c r="I474" s="36" t="str">
        <f>IF(E474="","",BOM!G468&amp;"")</f>
        <v/>
      </c>
    </row>
    <row r="475" spans="1:9" x14ac:dyDescent="0.25">
      <c r="A475" s="36" t="str">
        <f>IF(B475="","",MAX($A$10:A474)+1)</f>
        <v/>
      </c>
      <c r="B475" s="35" t="str">
        <f>IF(BOM!A469="","",IF(BOM!A469=BOM!A468,"",BOM!A469))</f>
        <v/>
      </c>
      <c r="C475" s="35" t="str">
        <f>IF(B475="","",IFERROR(INDEX(DM_SP!$B$5:$B$304,MATCH(B475,DM_SP!$A$5:$A$304,0)),"(chưa có trong DM_SP)"))</f>
        <v/>
      </c>
      <c r="D475" s="35" t="str">
        <f>IF(B475="","",IFERROR(INDEX(DM_SP!$C$5:$C$304,MATCH(B475,DM_SP!$A$5:$A$304,0)),""))</f>
        <v/>
      </c>
      <c r="E475" s="35" t="str">
        <f>IF(BOM!A469="","",BOM!B469)</f>
        <v/>
      </c>
      <c r="F475" s="35" t="str">
        <f>IF(E475="","",IFERROR(INDEX(DM_NL!$B$5:$B$304,MATCH(E475,DM_NL!$A$5:$A$304,0)),"(chưa có trong DM_NL)"))</f>
        <v/>
      </c>
      <c r="G475" s="35" t="str">
        <f>IF(E475="","",IFERROR(INDEX(DM_NL!$C$5:$C$304,MATCH(E475,DM_NL!$A$5:$A$304,0)),""))</f>
        <v/>
      </c>
      <c r="H475" s="39" t="str">
        <f>IF(OR(E475="",BOM!G469="KXDDM"),"",BOM!F469)</f>
        <v/>
      </c>
      <c r="I475" s="36" t="str">
        <f>IF(E475="","",BOM!G469&amp;"")</f>
        <v/>
      </c>
    </row>
    <row r="476" spans="1:9" x14ac:dyDescent="0.25">
      <c r="A476" s="36" t="str">
        <f>IF(B476="","",MAX($A$10:A475)+1)</f>
        <v/>
      </c>
      <c r="B476" s="35" t="str">
        <f>IF(BOM!A470="","",IF(BOM!A470=BOM!A469,"",BOM!A470))</f>
        <v/>
      </c>
      <c r="C476" s="35" t="str">
        <f>IF(B476="","",IFERROR(INDEX(DM_SP!$B$5:$B$304,MATCH(B476,DM_SP!$A$5:$A$304,0)),"(chưa có trong DM_SP)"))</f>
        <v/>
      </c>
      <c r="D476" s="35" t="str">
        <f>IF(B476="","",IFERROR(INDEX(DM_SP!$C$5:$C$304,MATCH(B476,DM_SP!$A$5:$A$304,0)),""))</f>
        <v/>
      </c>
      <c r="E476" s="35" t="str">
        <f>IF(BOM!A470="","",BOM!B470)</f>
        <v/>
      </c>
      <c r="F476" s="35" t="str">
        <f>IF(E476="","",IFERROR(INDEX(DM_NL!$B$5:$B$304,MATCH(E476,DM_NL!$A$5:$A$304,0)),"(chưa có trong DM_NL)"))</f>
        <v/>
      </c>
      <c r="G476" s="35" t="str">
        <f>IF(E476="","",IFERROR(INDEX(DM_NL!$C$5:$C$304,MATCH(E476,DM_NL!$A$5:$A$304,0)),""))</f>
        <v/>
      </c>
      <c r="H476" s="39" t="str">
        <f>IF(OR(E476="",BOM!G470="KXDDM"),"",BOM!F470)</f>
        <v/>
      </c>
      <c r="I476" s="36" t="str">
        <f>IF(E476="","",BOM!G470&amp;"")</f>
        <v/>
      </c>
    </row>
    <row r="477" spans="1:9" x14ac:dyDescent="0.25">
      <c r="A477" s="36" t="str">
        <f>IF(B477="","",MAX($A$10:A476)+1)</f>
        <v/>
      </c>
      <c r="B477" s="35" t="str">
        <f>IF(BOM!A471="","",IF(BOM!A471=BOM!A470,"",BOM!A471))</f>
        <v/>
      </c>
      <c r="C477" s="35" t="str">
        <f>IF(B477="","",IFERROR(INDEX(DM_SP!$B$5:$B$304,MATCH(B477,DM_SP!$A$5:$A$304,0)),"(chưa có trong DM_SP)"))</f>
        <v/>
      </c>
      <c r="D477" s="35" t="str">
        <f>IF(B477="","",IFERROR(INDEX(DM_SP!$C$5:$C$304,MATCH(B477,DM_SP!$A$5:$A$304,0)),""))</f>
        <v/>
      </c>
      <c r="E477" s="35" t="str">
        <f>IF(BOM!A471="","",BOM!B471)</f>
        <v/>
      </c>
      <c r="F477" s="35" t="str">
        <f>IF(E477="","",IFERROR(INDEX(DM_NL!$B$5:$B$304,MATCH(E477,DM_NL!$A$5:$A$304,0)),"(chưa có trong DM_NL)"))</f>
        <v/>
      </c>
      <c r="G477" s="35" t="str">
        <f>IF(E477="","",IFERROR(INDEX(DM_NL!$C$5:$C$304,MATCH(E477,DM_NL!$A$5:$A$304,0)),""))</f>
        <v/>
      </c>
      <c r="H477" s="39" t="str">
        <f>IF(OR(E477="",BOM!G471="KXDDM"),"",BOM!F471)</f>
        <v/>
      </c>
      <c r="I477" s="36" t="str">
        <f>IF(E477="","",BOM!G471&amp;"")</f>
        <v/>
      </c>
    </row>
    <row r="478" spans="1:9" x14ac:dyDescent="0.25">
      <c r="A478" s="36" t="str">
        <f>IF(B478="","",MAX($A$10:A477)+1)</f>
        <v/>
      </c>
      <c r="B478" s="35" t="str">
        <f>IF(BOM!A472="","",IF(BOM!A472=BOM!A471,"",BOM!A472))</f>
        <v/>
      </c>
      <c r="C478" s="35" t="str">
        <f>IF(B478="","",IFERROR(INDEX(DM_SP!$B$5:$B$304,MATCH(B478,DM_SP!$A$5:$A$304,0)),"(chưa có trong DM_SP)"))</f>
        <v/>
      </c>
      <c r="D478" s="35" t="str">
        <f>IF(B478="","",IFERROR(INDEX(DM_SP!$C$5:$C$304,MATCH(B478,DM_SP!$A$5:$A$304,0)),""))</f>
        <v/>
      </c>
      <c r="E478" s="35" t="str">
        <f>IF(BOM!A472="","",BOM!B472)</f>
        <v/>
      </c>
      <c r="F478" s="35" t="str">
        <f>IF(E478="","",IFERROR(INDEX(DM_NL!$B$5:$B$304,MATCH(E478,DM_NL!$A$5:$A$304,0)),"(chưa có trong DM_NL)"))</f>
        <v/>
      </c>
      <c r="G478" s="35" t="str">
        <f>IF(E478="","",IFERROR(INDEX(DM_NL!$C$5:$C$304,MATCH(E478,DM_NL!$A$5:$A$304,0)),""))</f>
        <v/>
      </c>
      <c r="H478" s="39" t="str">
        <f>IF(OR(E478="",BOM!G472="KXDDM"),"",BOM!F472)</f>
        <v/>
      </c>
      <c r="I478" s="36" t="str">
        <f>IF(E478="","",BOM!G472&amp;"")</f>
        <v/>
      </c>
    </row>
    <row r="479" spans="1:9" x14ac:dyDescent="0.25">
      <c r="A479" s="36" t="str">
        <f>IF(B479="","",MAX($A$10:A478)+1)</f>
        <v/>
      </c>
      <c r="B479" s="35" t="str">
        <f>IF(BOM!A473="","",IF(BOM!A473=BOM!A472,"",BOM!A473))</f>
        <v/>
      </c>
      <c r="C479" s="35" t="str">
        <f>IF(B479="","",IFERROR(INDEX(DM_SP!$B$5:$B$304,MATCH(B479,DM_SP!$A$5:$A$304,0)),"(chưa có trong DM_SP)"))</f>
        <v/>
      </c>
      <c r="D479" s="35" t="str">
        <f>IF(B479="","",IFERROR(INDEX(DM_SP!$C$5:$C$304,MATCH(B479,DM_SP!$A$5:$A$304,0)),""))</f>
        <v/>
      </c>
      <c r="E479" s="35" t="str">
        <f>IF(BOM!A473="","",BOM!B473)</f>
        <v/>
      </c>
      <c r="F479" s="35" t="str">
        <f>IF(E479="","",IFERROR(INDEX(DM_NL!$B$5:$B$304,MATCH(E479,DM_NL!$A$5:$A$304,0)),"(chưa có trong DM_NL)"))</f>
        <v/>
      </c>
      <c r="G479" s="35" t="str">
        <f>IF(E479="","",IFERROR(INDEX(DM_NL!$C$5:$C$304,MATCH(E479,DM_NL!$A$5:$A$304,0)),""))</f>
        <v/>
      </c>
      <c r="H479" s="39" t="str">
        <f>IF(OR(E479="",BOM!G473="KXDDM"),"",BOM!F473)</f>
        <v/>
      </c>
      <c r="I479" s="36" t="str">
        <f>IF(E479="","",BOM!G473&amp;"")</f>
        <v/>
      </c>
    </row>
    <row r="480" spans="1:9" x14ac:dyDescent="0.25">
      <c r="A480" s="36" t="str">
        <f>IF(B480="","",MAX($A$10:A479)+1)</f>
        <v/>
      </c>
      <c r="B480" s="35" t="str">
        <f>IF(BOM!A474="","",IF(BOM!A474=BOM!A473,"",BOM!A474))</f>
        <v/>
      </c>
      <c r="C480" s="35" t="str">
        <f>IF(B480="","",IFERROR(INDEX(DM_SP!$B$5:$B$304,MATCH(B480,DM_SP!$A$5:$A$304,0)),"(chưa có trong DM_SP)"))</f>
        <v/>
      </c>
      <c r="D480" s="35" t="str">
        <f>IF(B480="","",IFERROR(INDEX(DM_SP!$C$5:$C$304,MATCH(B480,DM_SP!$A$5:$A$304,0)),""))</f>
        <v/>
      </c>
      <c r="E480" s="35" t="str">
        <f>IF(BOM!A474="","",BOM!B474)</f>
        <v/>
      </c>
      <c r="F480" s="35" t="str">
        <f>IF(E480="","",IFERROR(INDEX(DM_NL!$B$5:$B$304,MATCH(E480,DM_NL!$A$5:$A$304,0)),"(chưa có trong DM_NL)"))</f>
        <v/>
      </c>
      <c r="G480" s="35" t="str">
        <f>IF(E480="","",IFERROR(INDEX(DM_NL!$C$5:$C$304,MATCH(E480,DM_NL!$A$5:$A$304,0)),""))</f>
        <v/>
      </c>
      <c r="H480" s="39" t="str">
        <f>IF(OR(E480="",BOM!G474="KXDDM"),"",BOM!F474)</f>
        <v/>
      </c>
      <c r="I480" s="36" t="str">
        <f>IF(E480="","",BOM!G474&amp;"")</f>
        <v/>
      </c>
    </row>
    <row r="481" spans="1:9" x14ac:dyDescent="0.25">
      <c r="A481" s="36" t="str">
        <f>IF(B481="","",MAX($A$10:A480)+1)</f>
        <v/>
      </c>
      <c r="B481" s="35" t="str">
        <f>IF(BOM!A475="","",IF(BOM!A475=BOM!A474,"",BOM!A475))</f>
        <v/>
      </c>
      <c r="C481" s="35" t="str">
        <f>IF(B481="","",IFERROR(INDEX(DM_SP!$B$5:$B$304,MATCH(B481,DM_SP!$A$5:$A$304,0)),"(chưa có trong DM_SP)"))</f>
        <v/>
      </c>
      <c r="D481" s="35" t="str">
        <f>IF(B481="","",IFERROR(INDEX(DM_SP!$C$5:$C$304,MATCH(B481,DM_SP!$A$5:$A$304,0)),""))</f>
        <v/>
      </c>
      <c r="E481" s="35" t="str">
        <f>IF(BOM!A475="","",BOM!B475)</f>
        <v/>
      </c>
      <c r="F481" s="35" t="str">
        <f>IF(E481="","",IFERROR(INDEX(DM_NL!$B$5:$B$304,MATCH(E481,DM_NL!$A$5:$A$304,0)),"(chưa có trong DM_NL)"))</f>
        <v/>
      </c>
      <c r="G481" s="35" t="str">
        <f>IF(E481="","",IFERROR(INDEX(DM_NL!$C$5:$C$304,MATCH(E481,DM_NL!$A$5:$A$304,0)),""))</f>
        <v/>
      </c>
      <c r="H481" s="39" t="str">
        <f>IF(OR(E481="",BOM!G475="KXDDM"),"",BOM!F475)</f>
        <v/>
      </c>
      <c r="I481" s="36" t="str">
        <f>IF(E481="","",BOM!G475&amp;"")</f>
        <v/>
      </c>
    </row>
    <row r="482" spans="1:9" x14ac:dyDescent="0.25">
      <c r="A482" s="36" t="str">
        <f>IF(B482="","",MAX($A$10:A481)+1)</f>
        <v/>
      </c>
      <c r="B482" s="35" t="str">
        <f>IF(BOM!A476="","",IF(BOM!A476=BOM!A475,"",BOM!A476))</f>
        <v/>
      </c>
      <c r="C482" s="35" t="str">
        <f>IF(B482="","",IFERROR(INDEX(DM_SP!$B$5:$B$304,MATCH(B482,DM_SP!$A$5:$A$304,0)),"(chưa có trong DM_SP)"))</f>
        <v/>
      </c>
      <c r="D482" s="35" t="str">
        <f>IF(B482="","",IFERROR(INDEX(DM_SP!$C$5:$C$304,MATCH(B482,DM_SP!$A$5:$A$304,0)),""))</f>
        <v/>
      </c>
      <c r="E482" s="35" t="str">
        <f>IF(BOM!A476="","",BOM!B476)</f>
        <v/>
      </c>
      <c r="F482" s="35" t="str">
        <f>IF(E482="","",IFERROR(INDEX(DM_NL!$B$5:$B$304,MATCH(E482,DM_NL!$A$5:$A$304,0)),"(chưa có trong DM_NL)"))</f>
        <v/>
      </c>
      <c r="G482" s="35" t="str">
        <f>IF(E482="","",IFERROR(INDEX(DM_NL!$C$5:$C$304,MATCH(E482,DM_NL!$A$5:$A$304,0)),""))</f>
        <v/>
      </c>
      <c r="H482" s="39" t="str">
        <f>IF(OR(E482="",BOM!G476="KXDDM"),"",BOM!F476)</f>
        <v/>
      </c>
      <c r="I482" s="36" t="str">
        <f>IF(E482="","",BOM!G476&amp;"")</f>
        <v/>
      </c>
    </row>
    <row r="483" spans="1:9" x14ac:dyDescent="0.25">
      <c r="A483" s="36" t="str">
        <f>IF(B483="","",MAX($A$10:A482)+1)</f>
        <v/>
      </c>
      <c r="B483" s="35" t="str">
        <f>IF(BOM!A477="","",IF(BOM!A477=BOM!A476,"",BOM!A477))</f>
        <v/>
      </c>
      <c r="C483" s="35" t="str">
        <f>IF(B483="","",IFERROR(INDEX(DM_SP!$B$5:$B$304,MATCH(B483,DM_SP!$A$5:$A$304,0)),"(chưa có trong DM_SP)"))</f>
        <v/>
      </c>
      <c r="D483" s="35" t="str">
        <f>IF(B483="","",IFERROR(INDEX(DM_SP!$C$5:$C$304,MATCH(B483,DM_SP!$A$5:$A$304,0)),""))</f>
        <v/>
      </c>
      <c r="E483" s="35" t="str">
        <f>IF(BOM!A477="","",BOM!B477)</f>
        <v/>
      </c>
      <c r="F483" s="35" t="str">
        <f>IF(E483="","",IFERROR(INDEX(DM_NL!$B$5:$B$304,MATCH(E483,DM_NL!$A$5:$A$304,0)),"(chưa có trong DM_NL)"))</f>
        <v/>
      </c>
      <c r="G483" s="35" t="str">
        <f>IF(E483="","",IFERROR(INDEX(DM_NL!$C$5:$C$304,MATCH(E483,DM_NL!$A$5:$A$304,0)),""))</f>
        <v/>
      </c>
      <c r="H483" s="39" t="str">
        <f>IF(OR(E483="",BOM!G477="KXDDM"),"",BOM!F477)</f>
        <v/>
      </c>
      <c r="I483" s="36" t="str">
        <f>IF(E483="","",BOM!G477&amp;"")</f>
        <v/>
      </c>
    </row>
    <row r="484" spans="1:9" x14ac:dyDescent="0.25">
      <c r="A484" s="36" t="str">
        <f>IF(B484="","",MAX($A$10:A483)+1)</f>
        <v/>
      </c>
      <c r="B484" s="35" t="str">
        <f>IF(BOM!A478="","",IF(BOM!A478=BOM!A477,"",BOM!A478))</f>
        <v/>
      </c>
      <c r="C484" s="35" t="str">
        <f>IF(B484="","",IFERROR(INDEX(DM_SP!$B$5:$B$304,MATCH(B484,DM_SP!$A$5:$A$304,0)),"(chưa có trong DM_SP)"))</f>
        <v/>
      </c>
      <c r="D484" s="35" t="str">
        <f>IF(B484="","",IFERROR(INDEX(DM_SP!$C$5:$C$304,MATCH(B484,DM_SP!$A$5:$A$304,0)),""))</f>
        <v/>
      </c>
      <c r="E484" s="35" t="str">
        <f>IF(BOM!A478="","",BOM!B478)</f>
        <v/>
      </c>
      <c r="F484" s="35" t="str">
        <f>IF(E484="","",IFERROR(INDEX(DM_NL!$B$5:$B$304,MATCH(E484,DM_NL!$A$5:$A$304,0)),"(chưa có trong DM_NL)"))</f>
        <v/>
      </c>
      <c r="G484" s="35" t="str">
        <f>IF(E484="","",IFERROR(INDEX(DM_NL!$C$5:$C$304,MATCH(E484,DM_NL!$A$5:$A$304,0)),""))</f>
        <v/>
      </c>
      <c r="H484" s="39" t="str">
        <f>IF(OR(E484="",BOM!G478="KXDDM"),"",BOM!F478)</f>
        <v/>
      </c>
      <c r="I484" s="36" t="str">
        <f>IF(E484="","",BOM!G478&amp;"")</f>
        <v/>
      </c>
    </row>
    <row r="485" spans="1:9" x14ac:dyDescent="0.25">
      <c r="A485" s="36" t="str">
        <f>IF(B485="","",MAX($A$10:A484)+1)</f>
        <v/>
      </c>
      <c r="B485" s="35" t="str">
        <f>IF(BOM!A479="","",IF(BOM!A479=BOM!A478,"",BOM!A479))</f>
        <v/>
      </c>
      <c r="C485" s="35" t="str">
        <f>IF(B485="","",IFERROR(INDEX(DM_SP!$B$5:$B$304,MATCH(B485,DM_SP!$A$5:$A$304,0)),"(chưa có trong DM_SP)"))</f>
        <v/>
      </c>
      <c r="D485" s="35" t="str">
        <f>IF(B485="","",IFERROR(INDEX(DM_SP!$C$5:$C$304,MATCH(B485,DM_SP!$A$5:$A$304,0)),""))</f>
        <v/>
      </c>
      <c r="E485" s="35" t="str">
        <f>IF(BOM!A479="","",BOM!B479)</f>
        <v/>
      </c>
      <c r="F485" s="35" t="str">
        <f>IF(E485="","",IFERROR(INDEX(DM_NL!$B$5:$B$304,MATCH(E485,DM_NL!$A$5:$A$304,0)),"(chưa có trong DM_NL)"))</f>
        <v/>
      </c>
      <c r="G485" s="35" t="str">
        <f>IF(E485="","",IFERROR(INDEX(DM_NL!$C$5:$C$304,MATCH(E485,DM_NL!$A$5:$A$304,0)),""))</f>
        <v/>
      </c>
      <c r="H485" s="39" t="str">
        <f>IF(OR(E485="",BOM!G479="KXDDM"),"",BOM!F479)</f>
        <v/>
      </c>
      <c r="I485" s="36" t="str">
        <f>IF(E485="","",BOM!G479&amp;"")</f>
        <v/>
      </c>
    </row>
    <row r="486" spans="1:9" x14ac:dyDescent="0.25">
      <c r="A486" s="36" t="str">
        <f>IF(B486="","",MAX($A$10:A485)+1)</f>
        <v/>
      </c>
      <c r="B486" s="35" t="str">
        <f>IF(BOM!A480="","",IF(BOM!A480=BOM!A479,"",BOM!A480))</f>
        <v/>
      </c>
      <c r="C486" s="35" t="str">
        <f>IF(B486="","",IFERROR(INDEX(DM_SP!$B$5:$B$304,MATCH(B486,DM_SP!$A$5:$A$304,0)),"(chưa có trong DM_SP)"))</f>
        <v/>
      </c>
      <c r="D486" s="35" t="str">
        <f>IF(B486="","",IFERROR(INDEX(DM_SP!$C$5:$C$304,MATCH(B486,DM_SP!$A$5:$A$304,0)),""))</f>
        <v/>
      </c>
      <c r="E486" s="35" t="str">
        <f>IF(BOM!A480="","",BOM!B480)</f>
        <v/>
      </c>
      <c r="F486" s="35" t="str">
        <f>IF(E486="","",IFERROR(INDEX(DM_NL!$B$5:$B$304,MATCH(E486,DM_NL!$A$5:$A$304,0)),"(chưa có trong DM_NL)"))</f>
        <v/>
      </c>
      <c r="G486" s="35" t="str">
        <f>IF(E486="","",IFERROR(INDEX(DM_NL!$C$5:$C$304,MATCH(E486,DM_NL!$A$5:$A$304,0)),""))</f>
        <v/>
      </c>
      <c r="H486" s="39" t="str">
        <f>IF(OR(E486="",BOM!G480="KXDDM"),"",BOM!F480)</f>
        <v/>
      </c>
      <c r="I486" s="36" t="str">
        <f>IF(E486="","",BOM!G480&amp;"")</f>
        <v/>
      </c>
    </row>
    <row r="487" spans="1:9" x14ac:dyDescent="0.25">
      <c r="A487" s="36" t="str">
        <f>IF(B487="","",MAX($A$10:A486)+1)</f>
        <v/>
      </c>
      <c r="B487" s="35" t="str">
        <f>IF(BOM!A481="","",IF(BOM!A481=BOM!A480,"",BOM!A481))</f>
        <v/>
      </c>
      <c r="C487" s="35" t="str">
        <f>IF(B487="","",IFERROR(INDEX(DM_SP!$B$5:$B$304,MATCH(B487,DM_SP!$A$5:$A$304,0)),"(chưa có trong DM_SP)"))</f>
        <v/>
      </c>
      <c r="D487" s="35" t="str">
        <f>IF(B487="","",IFERROR(INDEX(DM_SP!$C$5:$C$304,MATCH(B487,DM_SP!$A$5:$A$304,0)),""))</f>
        <v/>
      </c>
      <c r="E487" s="35" t="str">
        <f>IF(BOM!A481="","",BOM!B481)</f>
        <v/>
      </c>
      <c r="F487" s="35" t="str">
        <f>IF(E487="","",IFERROR(INDEX(DM_NL!$B$5:$B$304,MATCH(E487,DM_NL!$A$5:$A$304,0)),"(chưa có trong DM_NL)"))</f>
        <v/>
      </c>
      <c r="G487" s="35" t="str">
        <f>IF(E487="","",IFERROR(INDEX(DM_NL!$C$5:$C$304,MATCH(E487,DM_NL!$A$5:$A$304,0)),""))</f>
        <v/>
      </c>
      <c r="H487" s="39" t="str">
        <f>IF(OR(E487="",BOM!G481="KXDDM"),"",BOM!F481)</f>
        <v/>
      </c>
      <c r="I487" s="36" t="str">
        <f>IF(E487="","",BOM!G481&amp;"")</f>
        <v/>
      </c>
    </row>
    <row r="488" spans="1:9" x14ac:dyDescent="0.25">
      <c r="A488" s="36" t="str">
        <f>IF(B488="","",MAX($A$10:A487)+1)</f>
        <v/>
      </c>
      <c r="B488" s="35" t="str">
        <f>IF(BOM!A482="","",IF(BOM!A482=BOM!A481,"",BOM!A482))</f>
        <v/>
      </c>
      <c r="C488" s="35" t="str">
        <f>IF(B488="","",IFERROR(INDEX(DM_SP!$B$5:$B$304,MATCH(B488,DM_SP!$A$5:$A$304,0)),"(chưa có trong DM_SP)"))</f>
        <v/>
      </c>
      <c r="D488" s="35" t="str">
        <f>IF(B488="","",IFERROR(INDEX(DM_SP!$C$5:$C$304,MATCH(B488,DM_SP!$A$5:$A$304,0)),""))</f>
        <v/>
      </c>
      <c r="E488" s="35" t="str">
        <f>IF(BOM!A482="","",BOM!B482)</f>
        <v/>
      </c>
      <c r="F488" s="35" t="str">
        <f>IF(E488="","",IFERROR(INDEX(DM_NL!$B$5:$B$304,MATCH(E488,DM_NL!$A$5:$A$304,0)),"(chưa có trong DM_NL)"))</f>
        <v/>
      </c>
      <c r="G488" s="35" t="str">
        <f>IF(E488="","",IFERROR(INDEX(DM_NL!$C$5:$C$304,MATCH(E488,DM_NL!$A$5:$A$304,0)),""))</f>
        <v/>
      </c>
      <c r="H488" s="39" t="str">
        <f>IF(OR(E488="",BOM!G482="KXDDM"),"",BOM!F482)</f>
        <v/>
      </c>
      <c r="I488" s="36" t="str">
        <f>IF(E488="","",BOM!G482&amp;"")</f>
        <v/>
      </c>
    </row>
    <row r="489" spans="1:9" x14ac:dyDescent="0.25">
      <c r="A489" s="36" t="str">
        <f>IF(B489="","",MAX($A$10:A488)+1)</f>
        <v/>
      </c>
      <c r="B489" s="35" t="str">
        <f>IF(BOM!A483="","",IF(BOM!A483=BOM!A482,"",BOM!A483))</f>
        <v/>
      </c>
      <c r="C489" s="35" t="str">
        <f>IF(B489="","",IFERROR(INDEX(DM_SP!$B$5:$B$304,MATCH(B489,DM_SP!$A$5:$A$304,0)),"(chưa có trong DM_SP)"))</f>
        <v/>
      </c>
      <c r="D489" s="35" t="str">
        <f>IF(B489="","",IFERROR(INDEX(DM_SP!$C$5:$C$304,MATCH(B489,DM_SP!$A$5:$A$304,0)),""))</f>
        <v/>
      </c>
      <c r="E489" s="35" t="str">
        <f>IF(BOM!A483="","",BOM!B483)</f>
        <v/>
      </c>
      <c r="F489" s="35" t="str">
        <f>IF(E489="","",IFERROR(INDEX(DM_NL!$B$5:$B$304,MATCH(E489,DM_NL!$A$5:$A$304,0)),"(chưa có trong DM_NL)"))</f>
        <v/>
      </c>
      <c r="G489" s="35" t="str">
        <f>IF(E489="","",IFERROR(INDEX(DM_NL!$C$5:$C$304,MATCH(E489,DM_NL!$A$5:$A$304,0)),""))</f>
        <v/>
      </c>
      <c r="H489" s="39" t="str">
        <f>IF(OR(E489="",BOM!G483="KXDDM"),"",BOM!F483)</f>
        <v/>
      </c>
      <c r="I489" s="36" t="str">
        <f>IF(E489="","",BOM!G483&amp;"")</f>
        <v/>
      </c>
    </row>
    <row r="490" spans="1:9" x14ac:dyDescent="0.25">
      <c r="A490" s="36" t="str">
        <f>IF(B490="","",MAX($A$10:A489)+1)</f>
        <v/>
      </c>
      <c r="B490" s="35" t="str">
        <f>IF(BOM!A484="","",IF(BOM!A484=BOM!A483,"",BOM!A484))</f>
        <v/>
      </c>
      <c r="C490" s="35" t="str">
        <f>IF(B490="","",IFERROR(INDEX(DM_SP!$B$5:$B$304,MATCH(B490,DM_SP!$A$5:$A$304,0)),"(chưa có trong DM_SP)"))</f>
        <v/>
      </c>
      <c r="D490" s="35" t="str">
        <f>IF(B490="","",IFERROR(INDEX(DM_SP!$C$5:$C$304,MATCH(B490,DM_SP!$A$5:$A$304,0)),""))</f>
        <v/>
      </c>
      <c r="E490" s="35" t="str">
        <f>IF(BOM!A484="","",BOM!B484)</f>
        <v/>
      </c>
      <c r="F490" s="35" t="str">
        <f>IF(E490="","",IFERROR(INDEX(DM_NL!$B$5:$B$304,MATCH(E490,DM_NL!$A$5:$A$304,0)),"(chưa có trong DM_NL)"))</f>
        <v/>
      </c>
      <c r="G490" s="35" t="str">
        <f>IF(E490="","",IFERROR(INDEX(DM_NL!$C$5:$C$304,MATCH(E490,DM_NL!$A$5:$A$304,0)),""))</f>
        <v/>
      </c>
      <c r="H490" s="39" t="str">
        <f>IF(OR(E490="",BOM!G484="KXDDM"),"",BOM!F484)</f>
        <v/>
      </c>
      <c r="I490" s="36" t="str">
        <f>IF(E490="","",BOM!G484&amp;"")</f>
        <v/>
      </c>
    </row>
    <row r="491" spans="1:9" x14ac:dyDescent="0.25">
      <c r="A491" s="36" t="str">
        <f>IF(B491="","",MAX($A$10:A490)+1)</f>
        <v/>
      </c>
      <c r="B491" s="35" t="str">
        <f>IF(BOM!A485="","",IF(BOM!A485=BOM!A484,"",BOM!A485))</f>
        <v/>
      </c>
      <c r="C491" s="35" t="str">
        <f>IF(B491="","",IFERROR(INDEX(DM_SP!$B$5:$B$304,MATCH(B491,DM_SP!$A$5:$A$304,0)),"(chưa có trong DM_SP)"))</f>
        <v/>
      </c>
      <c r="D491" s="35" t="str">
        <f>IF(B491="","",IFERROR(INDEX(DM_SP!$C$5:$C$304,MATCH(B491,DM_SP!$A$5:$A$304,0)),""))</f>
        <v/>
      </c>
      <c r="E491" s="35" t="str">
        <f>IF(BOM!A485="","",BOM!B485)</f>
        <v/>
      </c>
      <c r="F491" s="35" t="str">
        <f>IF(E491="","",IFERROR(INDEX(DM_NL!$B$5:$B$304,MATCH(E491,DM_NL!$A$5:$A$304,0)),"(chưa có trong DM_NL)"))</f>
        <v/>
      </c>
      <c r="G491" s="35" t="str">
        <f>IF(E491="","",IFERROR(INDEX(DM_NL!$C$5:$C$304,MATCH(E491,DM_NL!$A$5:$A$304,0)),""))</f>
        <v/>
      </c>
      <c r="H491" s="39" t="str">
        <f>IF(OR(E491="",BOM!G485="KXDDM"),"",BOM!F485)</f>
        <v/>
      </c>
      <c r="I491" s="36" t="str">
        <f>IF(E491="","",BOM!G485&amp;"")</f>
        <v/>
      </c>
    </row>
    <row r="492" spans="1:9" x14ac:dyDescent="0.25">
      <c r="A492" s="36" t="str">
        <f>IF(B492="","",MAX($A$10:A491)+1)</f>
        <v/>
      </c>
      <c r="B492" s="35" t="str">
        <f>IF(BOM!A486="","",IF(BOM!A486=BOM!A485,"",BOM!A486))</f>
        <v/>
      </c>
      <c r="C492" s="35" t="str">
        <f>IF(B492="","",IFERROR(INDEX(DM_SP!$B$5:$B$304,MATCH(B492,DM_SP!$A$5:$A$304,0)),"(chưa có trong DM_SP)"))</f>
        <v/>
      </c>
      <c r="D492" s="35" t="str">
        <f>IF(B492="","",IFERROR(INDEX(DM_SP!$C$5:$C$304,MATCH(B492,DM_SP!$A$5:$A$304,0)),""))</f>
        <v/>
      </c>
      <c r="E492" s="35" t="str">
        <f>IF(BOM!A486="","",BOM!B486)</f>
        <v/>
      </c>
      <c r="F492" s="35" t="str">
        <f>IF(E492="","",IFERROR(INDEX(DM_NL!$B$5:$B$304,MATCH(E492,DM_NL!$A$5:$A$304,0)),"(chưa có trong DM_NL)"))</f>
        <v/>
      </c>
      <c r="G492" s="35" t="str">
        <f>IF(E492="","",IFERROR(INDEX(DM_NL!$C$5:$C$304,MATCH(E492,DM_NL!$A$5:$A$304,0)),""))</f>
        <v/>
      </c>
      <c r="H492" s="39" t="str">
        <f>IF(OR(E492="",BOM!G486="KXDDM"),"",BOM!F486)</f>
        <v/>
      </c>
      <c r="I492" s="36" t="str">
        <f>IF(E492="","",BOM!G486&amp;"")</f>
        <v/>
      </c>
    </row>
    <row r="493" spans="1:9" x14ac:dyDescent="0.25">
      <c r="A493" s="36" t="str">
        <f>IF(B493="","",MAX($A$10:A492)+1)</f>
        <v/>
      </c>
      <c r="B493" s="35" t="str">
        <f>IF(BOM!A487="","",IF(BOM!A487=BOM!A486,"",BOM!A487))</f>
        <v/>
      </c>
      <c r="C493" s="35" t="str">
        <f>IF(B493="","",IFERROR(INDEX(DM_SP!$B$5:$B$304,MATCH(B493,DM_SP!$A$5:$A$304,0)),"(chưa có trong DM_SP)"))</f>
        <v/>
      </c>
      <c r="D493" s="35" t="str">
        <f>IF(B493="","",IFERROR(INDEX(DM_SP!$C$5:$C$304,MATCH(B493,DM_SP!$A$5:$A$304,0)),""))</f>
        <v/>
      </c>
      <c r="E493" s="35" t="str">
        <f>IF(BOM!A487="","",BOM!B487)</f>
        <v/>
      </c>
      <c r="F493" s="35" t="str">
        <f>IF(E493="","",IFERROR(INDEX(DM_NL!$B$5:$B$304,MATCH(E493,DM_NL!$A$5:$A$304,0)),"(chưa có trong DM_NL)"))</f>
        <v/>
      </c>
      <c r="G493" s="35" t="str">
        <f>IF(E493="","",IFERROR(INDEX(DM_NL!$C$5:$C$304,MATCH(E493,DM_NL!$A$5:$A$304,0)),""))</f>
        <v/>
      </c>
      <c r="H493" s="39" t="str">
        <f>IF(OR(E493="",BOM!G487="KXDDM"),"",BOM!F487)</f>
        <v/>
      </c>
      <c r="I493" s="36" t="str">
        <f>IF(E493="","",BOM!G487&amp;"")</f>
        <v/>
      </c>
    </row>
    <row r="494" spans="1:9" x14ac:dyDescent="0.25">
      <c r="A494" s="36" t="str">
        <f>IF(B494="","",MAX($A$10:A493)+1)</f>
        <v/>
      </c>
      <c r="B494" s="35" t="str">
        <f>IF(BOM!A488="","",IF(BOM!A488=BOM!A487,"",BOM!A488))</f>
        <v/>
      </c>
      <c r="C494" s="35" t="str">
        <f>IF(B494="","",IFERROR(INDEX(DM_SP!$B$5:$B$304,MATCH(B494,DM_SP!$A$5:$A$304,0)),"(chưa có trong DM_SP)"))</f>
        <v/>
      </c>
      <c r="D494" s="35" t="str">
        <f>IF(B494="","",IFERROR(INDEX(DM_SP!$C$5:$C$304,MATCH(B494,DM_SP!$A$5:$A$304,0)),""))</f>
        <v/>
      </c>
      <c r="E494" s="35" t="str">
        <f>IF(BOM!A488="","",BOM!B488)</f>
        <v/>
      </c>
      <c r="F494" s="35" t="str">
        <f>IF(E494="","",IFERROR(INDEX(DM_NL!$B$5:$B$304,MATCH(E494,DM_NL!$A$5:$A$304,0)),"(chưa có trong DM_NL)"))</f>
        <v/>
      </c>
      <c r="G494" s="35" t="str">
        <f>IF(E494="","",IFERROR(INDEX(DM_NL!$C$5:$C$304,MATCH(E494,DM_NL!$A$5:$A$304,0)),""))</f>
        <v/>
      </c>
      <c r="H494" s="39" t="str">
        <f>IF(OR(E494="",BOM!G488="KXDDM"),"",BOM!F488)</f>
        <v/>
      </c>
      <c r="I494" s="36" t="str">
        <f>IF(E494="","",BOM!G488&amp;"")</f>
        <v/>
      </c>
    </row>
    <row r="495" spans="1:9" x14ac:dyDescent="0.25">
      <c r="A495" s="36" t="str">
        <f>IF(B495="","",MAX($A$10:A494)+1)</f>
        <v/>
      </c>
      <c r="B495" s="35" t="str">
        <f>IF(BOM!A489="","",IF(BOM!A489=BOM!A488,"",BOM!A489))</f>
        <v/>
      </c>
      <c r="C495" s="35" t="str">
        <f>IF(B495="","",IFERROR(INDEX(DM_SP!$B$5:$B$304,MATCH(B495,DM_SP!$A$5:$A$304,0)),"(chưa có trong DM_SP)"))</f>
        <v/>
      </c>
      <c r="D495" s="35" t="str">
        <f>IF(B495="","",IFERROR(INDEX(DM_SP!$C$5:$C$304,MATCH(B495,DM_SP!$A$5:$A$304,0)),""))</f>
        <v/>
      </c>
      <c r="E495" s="35" t="str">
        <f>IF(BOM!A489="","",BOM!B489)</f>
        <v/>
      </c>
      <c r="F495" s="35" t="str">
        <f>IF(E495="","",IFERROR(INDEX(DM_NL!$B$5:$B$304,MATCH(E495,DM_NL!$A$5:$A$304,0)),"(chưa có trong DM_NL)"))</f>
        <v/>
      </c>
      <c r="G495" s="35" t="str">
        <f>IF(E495="","",IFERROR(INDEX(DM_NL!$C$5:$C$304,MATCH(E495,DM_NL!$A$5:$A$304,0)),""))</f>
        <v/>
      </c>
      <c r="H495" s="39" t="str">
        <f>IF(OR(E495="",BOM!G489="KXDDM"),"",BOM!F489)</f>
        <v/>
      </c>
      <c r="I495" s="36" t="str">
        <f>IF(E495="","",BOM!G489&amp;"")</f>
        <v/>
      </c>
    </row>
    <row r="496" spans="1:9" x14ac:dyDescent="0.25">
      <c r="A496" s="36" t="str">
        <f>IF(B496="","",MAX($A$10:A495)+1)</f>
        <v/>
      </c>
      <c r="B496" s="35" t="str">
        <f>IF(BOM!A490="","",IF(BOM!A490=BOM!A489,"",BOM!A490))</f>
        <v/>
      </c>
      <c r="C496" s="35" t="str">
        <f>IF(B496="","",IFERROR(INDEX(DM_SP!$B$5:$B$304,MATCH(B496,DM_SP!$A$5:$A$304,0)),"(chưa có trong DM_SP)"))</f>
        <v/>
      </c>
      <c r="D496" s="35" t="str">
        <f>IF(B496="","",IFERROR(INDEX(DM_SP!$C$5:$C$304,MATCH(B496,DM_SP!$A$5:$A$304,0)),""))</f>
        <v/>
      </c>
      <c r="E496" s="35" t="str">
        <f>IF(BOM!A490="","",BOM!B490)</f>
        <v/>
      </c>
      <c r="F496" s="35" t="str">
        <f>IF(E496="","",IFERROR(INDEX(DM_NL!$B$5:$B$304,MATCH(E496,DM_NL!$A$5:$A$304,0)),"(chưa có trong DM_NL)"))</f>
        <v/>
      </c>
      <c r="G496" s="35" t="str">
        <f>IF(E496="","",IFERROR(INDEX(DM_NL!$C$5:$C$304,MATCH(E496,DM_NL!$A$5:$A$304,0)),""))</f>
        <v/>
      </c>
      <c r="H496" s="39" t="str">
        <f>IF(OR(E496="",BOM!G490="KXDDM"),"",BOM!F490)</f>
        <v/>
      </c>
      <c r="I496" s="36" t="str">
        <f>IF(E496="","",BOM!G490&amp;"")</f>
        <v/>
      </c>
    </row>
    <row r="497" spans="1:9" x14ac:dyDescent="0.25">
      <c r="A497" s="36" t="str">
        <f>IF(B497="","",MAX($A$10:A496)+1)</f>
        <v/>
      </c>
      <c r="B497" s="35" t="str">
        <f>IF(BOM!A491="","",IF(BOM!A491=BOM!A490,"",BOM!A491))</f>
        <v/>
      </c>
      <c r="C497" s="35" t="str">
        <f>IF(B497="","",IFERROR(INDEX(DM_SP!$B$5:$B$304,MATCH(B497,DM_SP!$A$5:$A$304,0)),"(chưa có trong DM_SP)"))</f>
        <v/>
      </c>
      <c r="D497" s="35" t="str">
        <f>IF(B497="","",IFERROR(INDEX(DM_SP!$C$5:$C$304,MATCH(B497,DM_SP!$A$5:$A$304,0)),""))</f>
        <v/>
      </c>
      <c r="E497" s="35" t="str">
        <f>IF(BOM!A491="","",BOM!B491)</f>
        <v/>
      </c>
      <c r="F497" s="35" t="str">
        <f>IF(E497="","",IFERROR(INDEX(DM_NL!$B$5:$B$304,MATCH(E497,DM_NL!$A$5:$A$304,0)),"(chưa có trong DM_NL)"))</f>
        <v/>
      </c>
      <c r="G497" s="35" t="str">
        <f>IF(E497="","",IFERROR(INDEX(DM_NL!$C$5:$C$304,MATCH(E497,DM_NL!$A$5:$A$304,0)),""))</f>
        <v/>
      </c>
      <c r="H497" s="39" t="str">
        <f>IF(OR(E497="",BOM!G491="KXDDM"),"",BOM!F491)</f>
        <v/>
      </c>
      <c r="I497" s="36" t="str">
        <f>IF(E497="","",BOM!G491&amp;"")</f>
        <v/>
      </c>
    </row>
    <row r="498" spans="1:9" x14ac:dyDescent="0.25">
      <c r="A498" s="36" t="str">
        <f>IF(B498="","",MAX($A$10:A497)+1)</f>
        <v/>
      </c>
      <c r="B498" s="35" t="str">
        <f>IF(BOM!A492="","",IF(BOM!A492=BOM!A491,"",BOM!A492))</f>
        <v/>
      </c>
      <c r="C498" s="35" t="str">
        <f>IF(B498="","",IFERROR(INDEX(DM_SP!$B$5:$B$304,MATCH(B498,DM_SP!$A$5:$A$304,0)),"(chưa có trong DM_SP)"))</f>
        <v/>
      </c>
      <c r="D498" s="35" t="str">
        <f>IF(B498="","",IFERROR(INDEX(DM_SP!$C$5:$C$304,MATCH(B498,DM_SP!$A$5:$A$304,0)),""))</f>
        <v/>
      </c>
      <c r="E498" s="35" t="str">
        <f>IF(BOM!A492="","",BOM!B492)</f>
        <v/>
      </c>
      <c r="F498" s="35" t="str">
        <f>IF(E498="","",IFERROR(INDEX(DM_NL!$B$5:$B$304,MATCH(E498,DM_NL!$A$5:$A$304,0)),"(chưa có trong DM_NL)"))</f>
        <v/>
      </c>
      <c r="G498" s="35" t="str">
        <f>IF(E498="","",IFERROR(INDEX(DM_NL!$C$5:$C$304,MATCH(E498,DM_NL!$A$5:$A$304,0)),""))</f>
        <v/>
      </c>
      <c r="H498" s="39" t="str">
        <f>IF(OR(E498="",BOM!G492="KXDDM"),"",BOM!F492)</f>
        <v/>
      </c>
      <c r="I498" s="36" t="str">
        <f>IF(E498="","",BOM!G492&amp;"")</f>
        <v/>
      </c>
    </row>
    <row r="499" spans="1:9" x14ac:dyDescent="0.25">
      <c r="A499" s="36" t="str">
        <f>IF(B499="","",MAX($A$10:A498)+1)</f>
        <v/>
      </c>
      <c r="B499" s="35" t="str">
        <f>IF(BOM!A493="","",IF(BOM!A493=BOM!A492,"",BOM!A493))</f>
        <v/>
      </c>
      <c r="C499" s="35" t="str">
        <f>IF(B499="","",IFERROR(INDEX(DM_SP!$B$5:$B$304,MATCH(B499,DM_SP!$A$5:$A$304,0)),"(chưa có trong DM_SP)"))</f>
        <v/>
      </c>
      <c r="D499" s="35" t="str">
        <f>IF(B499="","",IFERROR(INDEX(DM_SP!$C$5:$C$304,MATCH(B499,DM_SP!$A$5:$A$304,0)),""))</f>
        <v/>
      </c>
      <c r="E499" s="35" t="str">
        <f>IF(BOM!A493="","",BOM!B493)</f>
        <v/>
      </c>
      <c r="F499" s="35" t="str">
        <f>IF(E499="","",IFERROR(INDEX(DM_NL!$B$5:$B$304,MATCH(E499,DM_NL!$A$5:$A$304,0)),"(chưa có trong DM_NL)"))</f>
        <v/>
      </c>
      <c r="G499" s="35" t="str">
        <f>IF(E499="","",IFERROR(INDEX(DM_NL!$C$5:$C$304,MATCH(E499,DM_NL!$A$5:$A$304,0)),""))</f>
        <v/>
      </c>
      <c r="H499" s="39" t="str">
        <f>IF(OR(E499="",BOM!G493="KXDDM"),"",BOM!F493)</f>
        <v/>
      </c>
      <c r="I499" s="36" t="str">
        <f>IF(E499="","",BOM!G493&amp;"")</f>
        <v/>
      </c>
    </row>
    <row r="500" spans="1:9" x14ac:dyDescent="0.25">
      <c r="A500" s="36" t="str">
        <f>IF(B500="","",MAX($A$10:A499)+1)</f>
        <v/>
      </c>
      <c r="B500" s="35" t="str">
        <f>IF(BOM!A494="","",IF(BOM!A494=BOM!A493,"",BOM!A494))</f>
        <v/>
      </c>
      <c r="C500" s="35" t="str">
        <f>IF(B500="","",IFERROR(INDEX(DM_SP!$B$5:$B$304,MATCH(B500,DM_SP!$A$5:$A$304,0)),"(chưa có trong DM_SP)"))</f>
        <v/>
      </c>
      <c r="D500" s="35" t="str">
        <f>IF(B500="","",IFERROR(INDEX(DM_SP!$C$5:$C$304,MATCH(B500,DM_SP!$A$5:$A$304,0)),""))</f>
        <v/>
      </c>
      <c r="E500" s="35" t="str">
        <f>IF(BOM!A494="","",BOM!B494)</f>
        <v/>
      </c>
      <c r="F500" s="35" t="str">
        <f>IF(E500="","",IFERROR(INDEX(DM_NL!$B$5:$B$304,MATCH(E500,DM_NL!$A$5:$A$304,0)),"(chưa có trong DM_NL)"))</f>
        <v/>
      </c>
      <c r="G500" s="35" t="str">
        <f>IF(E500="","",IFERROR(INDEX(DM_NL!$C$5:$C$304,MATCH(E500,DM_NL!$A$5:$A$304,0)),""))</f>
        <v/>
      </c>
      <c r="H500" s="39" t="str">
        <f>IF(OR(E500="",BOM!G494="KXDDM"),"",BOM!F494)</f>
        <v/>
      </c>
      <c r="I500" s="36" t="str">
        <f>IF(E500="","",BOM!G494&amp;"")</f>
        <v/>
      </c>
    </row>
    <row r="501" spans="1:9" x14ac:dyDescent="0.25">
      <c r="A501" s="36" t="str">
        <f>IF(B501="","",MAX($A$10:A500)+1)</f>
        <v/>
      </c>
      <c r="B501" s="35" t="str">
        <f>IF(BOM!A495="","",IF(BOM!A495=BOM!A494,"",BOM!A495))</f>
        <v/>
      </c>
      <c r="C501" s="35" t="str">
        <f>IF(B501="","",IFERROR(INDEX(DM_SP!$B$5:$B$304,MATCH(B501,DM_SP!$A$5:$A$304,0)),"(chưa có trong DM_SP)"))</f>
        <v/>
      </c>
      <c r="D501" s="35" t="str">
        <f>IF(B501="","",IFERROR(INDEX(DM_SP!$C$5:$C$304,MATCH(B501,DM_SP!$A$5:$A$304,0)),""))</f>
        <v/>
      </c>
      <c r="E501" s="35" t="str">
        <f>IF(BOM!A495="","",BOM!B495)</f>
        <v/>
      </c>
      <c r="F501" s="35" t="str">
        <f>IF(E501="","",IFERROR(INDEX(DM_NL!$B$5:$B$304,MATCH(E501,DM_NL!$A$5:$A$304,0)),"(chưa có trong DM_NL)"))</f>
        <v/>
      </c>
      <c r="G501" s="35" t="str">
        <f>IF(E501="","",IFERROR(INDEX(DM_NL!$C$5:$C$304,MATCH(E501,DM_NL!$A$5:$A$304,0)),""))</f>
        <v/>
      </c>
      <c r="H501" s="39" t="str">
        <f>IF(OR(E501="",BOM!G495="KXDDM"),"",BOM!F495)</f>
        <v/>
      </c>
      <c r="I501" s="36" t="str">
        <f>IF(E501="","",BOM!G495&amp;"")</f>
        <v/>
      </c>
    </row>
    <row r="502" spans="1:9" x14ac:dyDescent="0.25">
      <c r="A502" s="36" t="str">
        <f>IF(B502="","",MAX($A$10:A501)+1)</f>
        <v/>
      </c>
      <c r="B502" s="35" t="str">
        <f>IF(BOM!A496="","",IF(BOM!A496=BOM!A495,"",BOM!A496))</f>
        <v/>
      </c>
      <c r="C502" s="35" t="str">
        <f>IF(B502="","",IFERROR(INDEX(DM_SP!$B$5:$B$304,MATCH(B502,DM_SP!$A$5:$A$304,0)),"(chưa có trong DM_SP)"))</f>
        <v/>
      </c>
      <c r="D502" s="35" t="str">
        <f>IF(B502="","",IFERROR(INDEX(DM_SP!$C$5:$C$304,MATCH(B502,DM_SP!$A$5:$A$304,0)),""))</f>
        <v/>
      </c>
      <c r="E502" s="35" t="str">
        <f>IF(BOM!A496="","",BOM!B496)</f>
        <v/>
      </c>
      <c r="F502" s="35" t="str">
        <f>IF(E502="","",IFERROR(INDEX(DM_NL!$B$5:$B$304,MATCH(E502,DM_NL!$A$5:$A$304,0)),"(chưa có trong DM_NL)"))</f>
        <v/>
      </c>
      <c r="G502" s="35" t="str">
        <f>IF(E502="","",IFERROR(INDEX(DM_NL!$C$5:$C$304,MATCH(E502,DM_NL!$A$5:$A$304,0)),""))</f>
        <v/>
      </c>
      <c r="H502" s="39" t="str">
        <f>IF(OR(E502="",BOM!G496="KXDDM"),"",BOM!F496)</f>
        <v/>
      </c>
      <c r="I502" s="36" t="str">
        <f>IF(E502="","",BOM!G496&amp;"")</f>
        <v/>
      </c>
    </row>
    <row r="503" spans="1:9" x14ac:dyDescent="0.25">
      <c r="A503" s="36" t="str">
        <f>IF(B503="","",MAX($A$10:A502)+1)</f>
        <v/>
      </c>
      <c r="B503" s="35" t="str">
        <f>IF(BOM!A497="","",IF(BOM!A497=BOM!A496,"",BOM!A497))</f>
        <v/>
      </c>
      <c r="C503" s="35" t="str">
        <f>IF(B503="","",IFERROR(INDEX(DM_SP!$B$5:$B$304,MATCH(B503,DM_SP!$A$5:$A$304,0)),"(chưa có trong DM_SP)"))</f>
        <v/>
      </c>
      <c r="D503" s="35" t="str">
        <f>IF(B503="","",IFERROR(INDEX(DM_SP!$C$5:$C$304,MATCH(B503,DM_SP!$A$5:$A$304,0)),""))</f>
        <v/>
      </c>
      <c r="E503" s="35" t="str">
        <f>IF(BOM!A497="","",BOM!B497)</f>
        <v/>
      </c>
      <c r="F503" s="35" t="str">
        <f>IF(E503="","",IFERROR(INDEX(DM_NL!$B$5:$B$304,MATCH(E503,DM_NL!$A$5:$A$304,0)),"(chưa có trong DM_NL)"))</f>
        <v/>
      </c>
      <c r="G503" s="35" t="str">
        <f>IF(E503="","",IFERROR(INDEX(DM_NL!$C$5:$C$304,MATCH(E503,DM_NL!$A$5:$A$304,0)),""))</f>
        <v/>
      </c>
      <c r="H503" s="39" t="str">
        <f>IF(OR(E503="",BOM!G497="KXDDM"),"",BOM!F497)</f>
        <v/>
      </c>
      <c r="I503" s="36" t="str">
        <f>IF(E503="","",BOM!G497&amp;"")</f>
        <v/>
      </c>
    </row>
    <row r="504" spans="1:9" x14ac:dyDescent="0.25">
      <c r="A504" s="36" t="str">
        <f>IF(B504="","",MAX($A$10:A503)+1)</f>
        <v/>
      </c>
      <c r="B504" s="35" t="str">
        <f>IF(BOM!A498="","",IF(BOM!A498=BOM!A497,"",BOM!A498))</f>
        <v/>
      </c>
      <c r="C504" s="35" t="str">
        <f>IF(B504="","",IFERROR(INDEX(DM_SP!$B$5:$B$304,MATCH(B504,DM_SP!$A$5:$A$304,0)),"(chưa có trong DM_SP)"))</f>
        <v/>
      </c>
      <c r="D504" s="35" t="str">
        <f>IF(B504="","",IFERROR(INDEX(DM_SP!$C$5:$C$304,MATCH(B504,DM_SP!$A$5:$A$304,0)),""))</f>
        <v/>
      </c>
      <c r="E504" s="35" t="str">
        <f>IF(BOM!A498="","",BOM!B498)</f>
        <v/>
      </c>
      <c r="F504" s="35" t="str">
        <f>IF(E504="","",IFERROR(INDEX(DM_NL!$B$5:$B$304,MATCH(E504,DM_NL!$A$5:$A$304,0)),"(chưa có trong DM_NL)"))</f>
        <v/>
      </c>
      <c r="G504" s="35" t="str">
        <f>IF(E504="","",IFERROR(INDEX(DM_NL!$C$5:$C$304,MATCH(E504,DM_NL!$A$5:$A$304,0)),""))</f>
        <v/>
      </c>
      <c r="H504" s="39" t="str">
        <f>IF(OR(E504="",BOM!G498="KXDDM"),"",BOM!F498)</f>
        <v/>
      </c>
      <c r="I504" s="36" t="str">
        <f>IF(E504="","",BOM!G498&amp;"")</f>
        <v/>
      </c>
    </row>
    <row r="505" spans="1:9" x14ac:dyDescent="0.25">
      <c r="A505" s="36" t="str">
        <f>IF(B505="","",MAX($A$10:A504)+1)</f>
        <v/>
      </c>
      <c r="B505" s="35" t="str">
        <f>IF(BOM!A499="","",IF(BOM!A499=BOM!A498,"",BOM!A499))</f>
        <v/>
      </c>
      <c r="C505" s="35" t="str">
        <f>IF(B505="","",IFERROR(INDEX(DM_SP!$B$5:$B$304,MATCH(B505,DM_SP!$A$5:$A$304,0)),"(chưa có trong DM_SP)"))</f>
        <v/>
      </c>
      <c r="D505" s="35" t="str">
        <f>IF(B505="","",IFERROR(INDEX(DM_SP!$C$5:$C$304,MATCH(B505,DM_SP!$A$5:$A$304,0)),""))</f>
        <v/>
      </c>
      <c r="E505" s="35" t="str">
        <f>IF(BOM!A499="","",BOM!B499)</f>
        <v/>
      </c>
      <c r="F505" s="35" t="str">
        <f>IF(E505="","",IFERROR(INDEX(DM_NL!$B$5:$B$304,MATCH(E505,DM_NL!$A$5:$A$304,0)),"(chưa có trong DM_NL)"))</f>
        <v/>
      </c>
      <c r="G505" s="35" t="str">
        <f>IF(E505="","",IFERROR(INDEX(DM_NL!$C$5:$C$304,MATCH(E505,DM_NL!$A$5:$A$304,0)),""))</f>
        <v/>
      </c>
      <c r="H505" s="39" t="str">
        <f>IF(OR(E505="",BOM!G499="KXDDM"),"",BOM!F499)</f>
        <v/>
      </c>
      <c r="I505" s="36" t="str">
        <f>IF(E505="","",BOM!G499&amp;"")</f>
        <v/>
      </c>
    </row>
    <row r="506" spans="1:9" x14ac:dyDescent="0.25">
      <c r="A506" s="36" t="str">
        <f>IF(B506="","",MAX($A$10:A505)+1)</f>
        <v/>
      </c>
      <c r="B506" s="35" t="str">
        <f>IF(BOM!A500="","",IF(BOM!A500=BOM!A499,"",BOM!A500))</f>
        <v/>
      </c>
      <c r="C506" s="35" t="str">
        <f>IF(B506="","",IFERROR(INDEX(DM_SP!$B$5:$B$304,MATCH(B506,DM_SP!$A$5:$A$304,0)),"(chưa có trong DM_SP)"))</f>
        <v/>
      </c>
      <c r="D506" s="35" t="str">
        <f>IF(B506="","",IFERROR(INDEX(DM_SP!$C$5:$C$304,MATCH(B506,DM_SP!$A$5:$A$304,0)),""))</f>
        <v/>
      </c>
      <c r="E506" s="35" t="str">
        <f>IF(BOM!A500="","",BOM!B500)</f>
        <v/>
      </c>
      <c r="F506" s="35" t="str">
        <f>IF(E506="","",IFERROR(INDEX(DM_NL!$B$5:$B$304,MATCH(E506,DM_NL!$A$5:$A$304,0)),"(chưa có trong DM_NL)"))</f>
        <v/>
      </c>
      <c r="G506" s="35" t="str">
        <f>IF(E506="","",IFERROR(INDEX(DM_NL!$C$5:$C$304,MATCH(E506,DM_NL!$A$5:$A$304,0)),""))</f>
        <v/>
      </c>
      <c r="H506" s="39" t="str">
        <f>IF(OR(E506="",BOM!G500="KXDDM"),"",BOM!F500)</f>
        <v/>
      </c>
      <c r="I506" s="36" t="str">
        <f>IF(E506="","",BOM!G500&amp;"")</f>
        <v/>
      </c>
    </row>
    <row r="507" spans="1:9" x14ac:dyDescent="0.25">
      <c r="A507" s="36" t="str">
        <f>IF(B507="","",MAX($A$10:A506)+1)</f>
        <v/>
      </c>
      <c r="B507" s="35" t="str">
        <f>IF(BOM!A501="","",IF(BOM!A501=BOM!A500,"",BOM!A501))</f>
        <v/>
      </c>
      <c r="C507" s="35" t="str">
        <f>IF(B507="","",IFERROR(INDEX(DM_SP!$B$5:$B$304,MATCH(B507,DM_SP!$A$5:$A$304,0)),"(chưa có trong DM_SP)"))</f>
        <v/>
      </c>
      <c r="D507" s="35" t="str">
        <f>IF(B507="","",IFERROR(INDEX(DM_SP!$C$5:$C$304,MATCH(B507,DM_SP!$A$5:$A$304,0)),""))</f>
        <v/>
      </c>
      <c r="E507" s="35" t="str">
        <f>IF(BOM!A501="","",BOM!B501)</f>
        <v/>
      </c>
      <c r="F507" s="35" t="str">
        <f>IF(E507="","",IFERROR(INDEX(DM_NL!$B$5:$B$304,MATCH(E507,DM_NL!$A$5:$A$304,0)),"(chưa có trong DM_NL)"))</f>
        <v/>
      </c>
      <c r="G507" s="35" t="str">
        <f>IF(E507="","",IFERROR(INDEX(DM_NL!$C$5:$C$304,MATCH(E507,DM_NL!$A$5:$A$304,0)),""))</f>
        <v/>
      </c>
      <c r="H507" s="39" t="str">
        <f>IF(OR(E507="",BOM!G501="KXDDM"),"",BOM!F501)</f>
        <v/>
      </c>
      <c r="I507" s="36" t="str">
        <f>IF(E507="","",BOM!G501&amp;"")</f>
        <v/>
      </c>
    </row>
    <row r="508" spans="1:9" x14ac:dyDescent="0.25">
      <c r="A508" s="36" t="str">
        <f>IF(B508="","",MAX($A$10:A507)+1)</f>
        <v/>
      </c>
      <c r="B508" s="35" t="str">
        <f>IF(BOM!A502="","",IF(BOM!A502=BOM!A501,"",BOM!A502))</f>
        <v/>
      </c>
      <c r="C508" s="35" t="str">
        <f>IF(B508="","",IFERROR(INDEX(DM_SP!$B$5:$B$304,MATCH(B508,DM_SP!$A$5:$A$304,0)),"(chưa có trong DM_SP)"))</f>
        <v/>
      </c>
      <c r="D508" s="35" t="str">
        <f>IF(B508="","",IFERROR(INDEX(DM_SP!$C$5:$C$304,MATCH(B508,DM_SP!$A$5:$A$304,0)),""))</f>
        <v/>
      </c>
      <c r="E508" s="35" t="str">
        <f>IF(BOM!A502="","",BOM!B502)</f>
        <v/>
      </c>
      <c r="F508" s="35" t="str">
        <f>IF(E508="","",IFERROR(INDEX(DM_NL!$B$5:$B$304,MATCH(E508,DM_NL!$A$5:$A$304,0)),"(chưa có trong DM_NL)"))</f>
        <v/>
      </c>
      <c r="G508" s="35" t="str">
        <f>IF(E508="","",IFERROR(INDEX(DM_NL!$C$5:$C$304,MATCH(E508,DM_NL!$A$5:$A$304,0)),""))</f>
        <v/>
      </c>
      <c r="H508" s="39" t="str">
        <f>IF(OR(E508="",BOM!G502="KXDDM"),"",BOM!F502)</f>
        <v/>
      </c>
      <c r="I508" s="36" t="str">
        <f>IF(E508="","",BOM!G502&amp;"")</f>
        <v/>
      </c>
    </row>
    <row r="509" spans="1:9" x14ac:dyDescent="0.25">
      <c r="A509" s="36" t="str">
        <f>IF(B509="","",MAX($A$10:A508)+1)</f>
        <v/>
      </c>
      <c r="B509" s="35" t="str">
        <f>IF(BOM!A503="","",IF(BOM!A503=BOM!A502,"",BOM!A503))</f>
        <v/>
      </c>
      <c r="C509" s="35" t="str">
        <f>IF(B509="","",IFERROR(INDEX(DM_SP!$B$5:$B$304,MATCH(B509,DM_SP!$A$5:$A$304,0)),"(chưa có trong DM_SP)"))</f>
        <v/>
      </c>
      <c r="D509" s="35" t="str">
        <f>IF(B509="","",IFERROR(INDEX(DM_SP!$C$5:$C$304,MATCH(B509,DM_SP!$A$5:$A$304,0)),""))</f>
        <v/>
      </c>
      <c r="E509" s="35" t="str">
        <f>IF(BOM!A503="","",BOM!B503)</f>
        <v/>
      </c>
      <c r="F509" s="35" t="str">
        <f>IF(E509="","",IFERROR(INDEX(DM_NL!$B$5:$B$304,MATCH(E509,DM_NL!$A$5:$A$304,0)),"(chưa có trong DM_NL)"))</f>
        <v/>
      </c>
      <c r="G509" s="35" t="str">
        <f>IF(E509="","",IFERROR(INDEX(DM_NL!$C$5:$C$304,MATCH(E509,DM_NL!$A$5:$A$304,0)),""))</f>
        <v/>
      </c>
      <c r="H509" s="39" t="str">
        <f>IF(OR(E509="",BOM!G503="KXDDM"),"",BOM!F503)</f>
        <v/>
      </c>
      <c r="I509" s="36" t="str">
        <f>IF(E509="","",BOM!G503&amp;"")</f>
        <v/>
      </c>
    </row>
    <row r="510" spans="1:9" x14ac:dyDescent="0.25">
      <c r="A510" s="36" t="str">
        <f>IF(B510="","",MAX($A$10:A509)+1)</f>
        <v/>
      </c>
      <c r="B510" s="35" t="str">
        <f>IF(BOM!A504="","",IF(BOM!A504=BOM!A503,"",BOM!A504))</f>
        <v/>
      </c>
      <c r="C510" s="35" t="str">
        <f>IF(B510="","",IFERROR(INDEX(DM_SP!$B$5:$B$304,MATCH(B510,DM_SP!$A$5:$A$304,0)),"(chưa có trong DM_SP)"))</f>
        <v/>
      </c>
      <c r="D510" s="35" t="str">
        <f>IF(B510="","",IFERROR(INDEX(DM_SP!$C$5:$C$304,MATCH(B510,DM_SP!$A$5:$A$304,0)),""))</f>
        <v/>
      </c>
      <c r="E510" s="35" t="str">
        <f>IF(BOM!A504="","",BOM!B504)</f>
        <v/>
      </c>
      <c r="F510" s="35" t="str">
        <f>IF(E510="","",IFERROR(INDEX(DM_NL!$B$5:$B$304,MATCH(E510,DM_NL!$A$5:$A$304,0)),"(chưa có trong DM_NL)"))</f>
        <v/>
      </c>
      <c r="G510" s="35" t="str">
        <f>IF(E510="","",IFERROR(INDEX(DM_NL!$C$5:$C$304,MATCH(E510,DM_NL!$A$5:$A$304,0)),""))</f>
        <v/>
      </c>
      <c r="H510" s="39" t="str">
        <f>IF(OR(E510="",BOM!G504="KXDDM"),"",BOM!F504)</f>
        <v/>
      </c>
      <c r="I510" s="36" t="str">
        <f>IF(E510="","",BOM!G504&amp;"")</f>
        <v/>
      </c>
    </row>
    <row r="511" spans="1:9" x14ac:dyDescent="0.25">
      <c r="A511" s="36" t="str">
        <f>IF(B511="","",MAX($A$10:A510)+1)</f>
        <v/>
      </c>
      <c r="B511" s="35" t="str">
        <f>IF(BOM!A505="","",IF(BOM!A505=BOM!A504,"",BOM!A505))</f>
        <v/>
      </c>
      <c r="C511" s="35" t="str">
        <f>IF(B511="","",IFERROR(INDEX(DM_SP!$B$5:$B$304,MATCH(B511,DM_SP!$A$5:$A$304,0)),"(chưa có trong DM_SP)"))</f>
        <v/>
      </c>
      <c r="D511" s="35" t="str">
        <f>IF(B511="","",IFERROR(INDEX(DM_SP!$C$5:$C$304,MATCH(B511,DM_SP!$A$5:$A$304,0)),""))</f>
        <v/>
      </c>
      <c r="E511" s="35" t="str">
        <f>IF(BOM!A505="","",BOM!B505)</f>
        <v/>
      </c>
      <c r="F511" s="35" t="str">
        <f>IF(E511="","",IFERROR(INDEX(DM_NL!$B$5:$B$304,MATCH(E511,DM_NL!$A$5:$A$304,0)),"(chưa có trong DM_NL)"))</f>
        <v/>
      </c>
      <c r="G511" s="35" t="str">
        <f>IF(E511="","",IFERROR(INDEX(DM_NL!$C$5:$C$304,MATCH(E511,DM_NL!$A$5:$A$304,0)),""))</f>
        <v/>
      </c>
      <c r="H511" s="39" t="str">
        <f>IF(OR(E511="",BOM!G505="KXDDM"),"",BOM!F505)</f>
        <v/>
      </c>
      <c r="I511" s="36" t="str">
        <f>IF(E511="","",BOM!G505&amp;"")</f>
        <v/>
      </c>
    </row>
    <row r="512" spans="1:9" x14ac:dyDescent="0.25">
      <c r="A512" s="36" t="str">
        <f>IF(B512="","",MAX($A$10:A511)+1)</f>
        <v/>
      </c>
      <c r="B512" s="35" t="str">
        <f>IF(BOM!A506="","",IF(BOM!A506=BOM!A505,"",BOM!A506))</f>
        <v/>
      </c>
      <c r="C512" s="35" t="str">
        <f>IF(B512="","",IFERROR(INDEX(DM_SP!$B$5:$B$304,MATCH(B512,DM_SP!$A$5:$A$304,0)),"(chưa có trong DM_SP)"))</f>
        <v/>
      </c>
      <c r="D512" s="35" t="str">
        <f>IF(B512="","",IFERROR(INDEX(DM_SP!$C$5:$C$304,MATCH(B512,DM_SP!$A$5:$A$304,0)),""))</f>
        <v/>
      </c>
      <c r="E512" s="35" t="str">
        <f>IF(BOM!A506="","",BOM!B506)</f>
        <v/>
      </c>
      <c r="F512" s="35" t="str">
        <f>IF(E512="","",IFERROR(INDEX(DM_NL!$B$5:$B$304,MATCH(E512,DM_NL!$A$5:$A$304,0)),"(chưa có trong DM_NL)"))</f>
        <v/>
      </c>
      <c r="G512" s="35" t="str">
        <f>IF(E512="","",IFERROR(INDEX(DM_NL!$C$5:$C$304,MATCH(E512,DM_NL!$A$5:$A$304,0)),""))</f>
        <v/>
      </c>
      <c r="H512" s="39" t="str">
        <f>IF(OR(E512="",BOM!G506="KXDDM"),"",BOM!F506)</f>
        <v/>
      </c>
      <c r="I512" s="36" t="str">
        <f>IF(E512="","",BOM!G506&amp;"")</f>
        <v/>
      </c>
    </row>
    <row r="513" spans="1:9" x14ac:dyDescent="0.25">
      <c r="A513" s="36" t="str">
        <f>IF(B513="","",MAX($A$10:A512)+1)</f>
        <v/>
      </c>
      <c r="B513" s="35" t="str">
        <f>IF(BOM!A507="","",IF(BOM!A507=BOM!A506,"",BOM!A507))</f>
        <v/>
      </c>
      <c r="C513" s="35" t="str">
        <f>IF(B513="","",IFERROR(INDEX(DM_SP!$B$5:$B$304,MATCH(B513,DM_SP!$A$5:$A$304,0)),"(chưa có trong DM_SP)"))</f>
        <v/>
      </c>
      <c r="D513" s="35" t="str">
        <f>IF(B513="","",IFERROR(INDEX(DM_SP!$C$5:$C$304,MATCH(B513,DM_SP!$A$5:$A$304,0)),""))</f>
        <v/>
      </c>
      <c r="E513" s="35" t="str">
        <f>IF(BOM!A507="","",BOM!B507)</f>
        <v/>
      </c>
      <c r="F513" s="35" t="str">
        <f>IF(E513="","",IFERROR(INDEX(DM_NL!$B$5:$B$304,MATCH(E513,DM_NL!$A$5:$A$304,0)),"(chưa có trong DM_NL)"))</f>
        <v/>
      </c>
      <c r="G513" s="35" t="str">
        <f>IF(E513="","",IFERROR(INDEX(DM_NL!$C$5:$C$304,MATCH(E513,DM_NL!$A$5:$A$304,0)),""))</f>
        <v/>
      </c>
      <c r="H513" s="39" t="str">
        <f>IF(OR(E513="",BOM!G507="KXDDM"),"",BOM!F507)</f>
        <v/>
      </c>
      <c r="I513" s="36" t="str">
        <f>IF(E513="","",BOM!G507&amp;"")</f>
        <v/>
      </c>
    </row>
    <row r="514" spans="1:9" x14ac:dyDescent="0.25">
      <c r="A514" s="36" t="str">
        <f>IF(B514="","",MAX($A$10:A513)+1)</f>
        <v/>
      </c>
      <c r="B514" s="35" t="str">
        <f>IF(BOM!A508="","",IF(BOM!A508=BOM!A507,"",BOM!A508))</f>
        <v/>
      </c>
      <c r="C514" s="35" t="str">
        <f>IF(B514="","",IFERROR(INDEX(DM_SP!$B$5:$B$304,MATCH(B514,DM_SP!$A$5:$A$304,0)),"(chưa có trong DM_SP)"))</f>
        <v/>
      </c>
      <c r="D514" s="35" t="str">
        <f>IF(B514="","",IFERROR(INDEX(DM_SP!$C$5:$C$304,MATCH(B514,DM_SP!$A$5:$A$304,0)),""))</f>
        <v/>
      </c>
      <c r="E514" s="35" t="str">
        <f>IF(BOM!A508="","",BOM!B508)</f>
        <v/>
      </c>
      <c r="F514" s="35" t="str">
        <f>IF(E514="","",IFERROR(INDEX(DM_NL!$B$5:$B$304,MATCH(E514,DM_NL!$A$5:$A$304,0)),"(chưa có trong DM_NL)"))</f>
        <v/>
      </c>
      <c r="G514" s="35" t="str">
        <f>IF(E514="","",IFERROR(INDEX(DM_NL!$C$5:$C$304,MATCH(E514,DM_NL!$A$5:$A$304,0)),""))</f>
        <v/>
      </c>
      <c r="H514" s="39" t="str">
        <f>IF(OR(E514="",BOM!G508="KXDDM"),"",BOM!F508)</f>
        <v/>
      </c>
      <c r="I514" s="36" t="str">
        <f>IF(E514="","",BOM!G508&amp;"")</f>
        <v/>
      </c>
    </row>
    <row r="515" spans="1:9" x14ac:dyDescent="0.25">
      <c r="A515" s="36" t="str">
        <f>IF(B515="","",MAX($A$10:A514)+1)</f>
        <v/>
      </c>
      <c r="B515" s="35" t="str">
        <f>IF(BOM!A509="","",IF(BOM!A509=BOM!A508,"",BOM!A509))</f>
        <v/>
      </c>
      <c r="C515" s="35" t="str">
        <f>IF(B515="","",IFERROR(INDEX(DM_SP!$B$5:$B$304,MATCH(B515,DM_SP!$A$5:$A$304,0)),"(chưa có trong DM_SP)"))</f>
        <v/>
      </c>
      <c r="D515" s="35" t="str">
        <f>IF(B515="","",IFERROR(INDEX(DM_SP!$C$5:$C$304,MATCH(B515,DM_SP!$A$5:$A$304,0)),""))</f>
        <v/>
      </c>
      <c r="E515" s="35" t="str">
        <f>IF(BOM!A509="","",BOM!B509)</f>
        <v/>
      </c>
      <c r="F515" s="35" t="str">
        <f>IF(E515="","",IFERROR(INDEX(DM_NL!$B$5:$B$304,MATCH(E515,DM_NL!$A$5:$A$304,0)),"(chưa có trong DM_NL)"))</f>
        <v/>
      </c>
      <c r="G515" s="35" t="str">
        <f>IF(E515="","",IFERROR(INDEX(DM_NL!$C$5:$C$304,MATCH(E515,DM_NL!$A$5:$A$304,0)),""))</f>
        <v/>
      </c>
      <c r="H515" s="39" t="str">
        <f>IF(OR(E515="",BOM!G509="KXDDM"),"",BOM!F509)</f>
        <v/>
      </c>
      <c r="I515" s="36" t="str">
        <f>IF(E515="","",BOM!G509&amp;"")</f>
        <v/>
      </c>
    </row>
    <row r="516" spans="1:9" x14ac:dyDescent="0.25">
      <c r="A516" s="36" t="str">
        <f>IF(B516="","",MAX($A$10:A515)+1)</f>
        <v/>
      </c>
      <c r="B516" s="35" t="str">
        <f>IF(BOM!A510="","",IF(BOM!A510=BOM!A509,"",BOM!A510))</f>
        <v/>
      </c>
      <c r="C516" s="35" t="str">
        <f>IF(B516="","",IFERROR(INDEX(DM_SP!$B$5:$B$304,MATCH(B516,DM_SP!$A$5:$A$304,0)),"(chưa có trong DM_SP)"))</f>
        <v/>
      </c>
      <c r="D516" s="35" t="str">
        <f>IF(B516="","",IFERROR(INDEX(DM_SP!$C$5:$C$304,MATCH(B516,DM_SP!$A$5:$A$304,0)),""))</f>
        <v/>
      </c>
      <c r="E516" s="35" t="str">
        <f>IF(BOM!A510="","",BOM!B510)</f>
        <v/>
      </c>
      <c r="F516" s="35" t="str">
        <f>IF(E516="","",IFERROR(INDEX(DM_NL!$B$5:$B$304,MATCH(E516,DM_NL!$A$5:$A$304,0)),"(chưa có trong DM_NL)"))</f>
        <v/>
      </c>
      <c r="G516" s="35" t="str">
        <f>IF(E516="","",IFERROR(INDEX(DM_NL!$C$5:$C$304,MATCH(E516,DM_NL!$A$5:$A$304,0)),""))</f>
        <v/>
      </c>
      <c r="H516" s="39" t="str">
        <f>IF(OR(E516="",BOM!G510="KXDDM"),"",BOM!F510)</f>
        <v/>
      </c>
      <c r="I516" s="36" t="str">
        <f>IF(E516="","",BOM!G510&amp;"")</f>
        <v/>
      </c>
    </row>
    <row r="517" spans="1:9" x14ac:dyDescent="0.25">
      <c r="A517" s="36" t="str">
        <f>IF(B517="","",MAX($A$10:A516)+1)</f>
        <v/>
      </c>
      <c r="B517" s="35" t="str">
        <f>IF(BOM!A511="","",IF(BOM!A511=BOM!A510,"",BOM!A511))</f>
        <v/>
      </c>
      <c r="C517" s="35" t="str">
        <f>IF(B517="","",IFERROR(INDEX(DM_SP!$B$5:$B$304,MATCH(B517,DM_SP!$A$5:$A$304,0)),"(chưa có trong DM_SP)"))</f>
        <v/>
      </c>
      <c r="D517" s="35" t="str">
        <f>IF(B517="","",IFERROR(INDEX(DM_SP!$C$5:$C$304,MATCH(B517,DM_SP!$A$5:$A$304,0)),""))</f>
        <v/>
      </c>
      <c r="E517" s="35" t="str">
        <f>IF(BOM!A511="","",BOM!B511)</f>
        <v/>
      </c>
      <c r="F517" s="35" t="str">
        <f>IF(E517="","",IFERROR(INDEX(DM_NL!$B$5:$B$304,MATCH(E517,DM_NL!$A$5:$A$304,0)),"(chưa có trong DM_NL)"))</f>
        <v/>
      </c>
      <c r="G517" s="35" t="str">
        <f>IF(E517="","",IFERROR(INDEX(DM_NL!$C$5:$C$304,MATCH(E517,DM_NL!$A$5:$A$304,0)),""))</f>
        <v/>
      </c>
      <c r="H517" s="39" t="str">
        <f>IF(OR(E517="",BOM!G511="KXDDM"),"",BOM!F511)</f>
        <v/>
      </c>
      <c r="I517" s="36" t="str">
        <f>IF(E517="","",BOM!G511&amp;"")</f>
        <v/>
      </c>
    </row>
    <row r="518" spans="1:9" x14ac:dyDescent="0.25">
      <c r="A518" s="36" t="str">
        <f>IF(B518="","",MAX($A$10:A517)+1)</f>
        <v/>
      </c>
      <c r="B518" s="35" t="str">
        <f>IF(BOM!A512="","",IF(BOM!A512=BOM!A511,"",BOM!A512))</f>
        <v/>
      </c>
      <c r="C518" s="35" t="str">
        <f>IF(B518="","",IFERROR(INDEX(DM_SP!$B$5:$B$304,MATCH(B518,DM_SP!$A$5:$A$304,0)),"(chưa có trong DM_SP)"))</f>
        <v/>
      </c>
      <c r="D518" s="35" t="str">
        <f>IF(B518="","",IFERROR(INDEX(DM_SP!$C$5:$C$304,MATCH(B518,DM_SP!$A$5:$A$304,0)),""))</f>
        <v/>
      </c>
      <c r="E518" s="35" t="str">
        <f>IF(BOM!A512="","",BOM!B512)</f>
        <v/>
      </c>
      <c r="F518" s="35" t="str">
        <f>IF(E518="","",IFERROR(INDEX(DM_NL!$B$5:$B$304,MATCH(E518,DM_NL!$A$5:$A$304,0)),"(chưa có trong DM_NL)"))</f>
        <v/>
      </c>
      <c r="G518" s="35" t="str">
        <f>IF(E518="","",IFERROR(INDEX(DM_NL!$C$5:$C$304,MATCH(E518,DM_NL!$A$5:$A$304,0)),""))</f>
        <v/>
      </c>
      <c r="H518" s="39" t="str">
        <f>IF(OR(E518="",BOM!G512="KXDDM"),"",BOM!F512)</f>
        <v/>
      </c>
      <c r="I518" s="36" t="str">
        <f>IF(E518="","",BOM!G512&amp;"")</f>
        <v/>
      </c>
    </row>
    <row r="519" spans="1:9" x14ac:dyDescent="0.25">
      <c r="A519" s="36" t="str">
        <f>IF(B519="","",MAX($A$10:A518)+1)</f>
        <v/>
      </c>
      <c r="B519" s="35" t="str">
        <f>IF(BOM!A513="","",IF(BOM!A513=BOM!A512,"",BOM!A513))</f>
        <v/>
      </c>
      <c r="C519" s="35" t="str">
        <f>IF(B519="","",IFERROR(INDEX(DM_SP!$B$5:$B$304,MATCH(B519,DM_SP!$A$5:$A$304,0)),"(chưa có trong DM_SP)"))</f>
        <v/>
      </c>
      <c r="D519" s="35" t="str">
        <f>IF(B519="","",IFERROR(INDEX(DM_SP!$C$5:$C$304,MATCH(B519,DM_SP!$A$5:$A$304,0)),""))</f>
        <v/>
      </c>
      <c r="E519" s="35" t="str">
        <f>IF(BOM!A513="","",BOM!B513)</f>
        <v/>
      </c>
      <c r="F519" s="35" t="str">
        <f>IF(E519="","",IFERROR(INDEX(DM_NL!$B$5:$B$304,MATCH(E519,DM_NL!$A$5:$A$304,0)),"(chưa có trong DM_NL)"))</f>
        <v/>
      </c>
      <c r="G519" s="35" t="str">
        <f>IF(E519="","",IFERROR(INDEX(DM_NL!$C$5:$C$304,MATCH(E519,DM_NL!$A$5:$A$304,0)),""))</f>
        <v/>
      </c>
      <c r="H519" s="39" t="str">
        <f>IF(OR(E519="",BOM!G513="KXDDM"),"",BOM!F513)</f>
        <v/>
      </c>
      <c r="I519" s="36" t="str">
        <f>IF(E519="","",BOM!G513&amp;"")</f>
        <v/>
      </c>
    </row>
    <row r="520" spans="1:9" x14ac:dyDescent="0.25">
      <c r="A520" s="36" t="str">
        <f>IF(B520="","",MAX($A$10:A519)+1)</f>
        <v/>
      </c>
      <c r="B520" s="35" t="str">
        <f>IF(BOM!A514="","",IF(BOM!A514=BOM!A513,"",BOM!A514))</f>
        <v/>
      </c>
      <c r="C520" s="35" t="str">
        <f>IF(B520="","",IFERROR(INDEX(DM_SP!$B$5:$B$304,MATCH(B520,DM_SP!$A$5:$A$304,0)),"(chưa có trong DM_SP)"))</f>
        <v/>
      </c>
      <c r="D520" s="35" t="str">
        <f>IF(B520="","",IFERROR(INDEX(DM_SP!$C$5:$C$304,MATCH(B520,DM_SP!$A$5:$A$304,0)),""))</f>
        <v/>
      </c>
      <c r="E520" s="35" t="str">
        <f>IF(BOM!A514="","",BOM!B514)</f>
        <v/>
      </c>
      <c r="F520" s="35" t="str">
        <f>IF(E520="","",IFERROR(INDEX(DM_NL!$B$5:$B$304,MATCH(E520,DM_NL!$A$5:$A$304,0)),"(chưa có trong DM_NL)"))</f>
        <v/>
      </c>
      <c r="G520" s="35" t="str">
        <f>IF(E520="","",IFERROR(INDEX(DM_NL!$C$5:$C$304,MATCH(E520,DM_NL!$A$5:$A$304,0)),""))</f>
        <v/>
      </c>
      <c r="H520" s="39" t="str">
        <f>IF(OR(E520="",BOM!G514="KXDDM"),"",BOM!F514)</f>
        <v/>
      </c>
      <c r="I520" s="36" t="str">
        <f>IF(E520="","",BOM!G514&amp;"")</f>
        <v/>
      </c>
    </row>
    <row r="521" spans="1:9" x14ac:dyDescent="0.25">
      <c r="A521" s="36" t="str">
        <f>IF(B521="","",MAX($A$10:A520)+1)</f>
        <v/>
      </c>
      <c r="B521" s="35" t="str">
        <f>IF(BOM!A515="","",IF(BOM!A515=BOM!A514,"",BOM!A515))</f>
        <v/>
      </c>
      <c r="C521" s="35" t="str">
        <f>IF(B521="","",IFERROR(INDEX(DM_SP!$B$5:$B$304,MATCH(B521,DM_SP!$A$5:$A$304,0)),"(chưa có trong DM_SP)"))</f>
        <v/>
      </c>
      <c r="D521" s="35" t="str">
        <f>IF(B521="","",IFERROR(INDEX(DM_SP!$C$5:$C$304,MATCH(B521,DM_SP!$A$5:$A$304,0)),""))</f>
        <v/>
      </c>
      <c r="E521" s="35" t="str">
        <f>IF(BOM!A515="","",BOM!B515)</f>
        <v/>
      </c>
      <c r="F521" s="35" t="str">
        <f>IF(E521="","",IFERROR(INDEX(DM_NL!$B$5:$B$304,MATCH(E521,DM_NL!$A$5:$A$304,0)),"(chưa có trong DM_NL)"))</f>
        <v/>
      </c>
      <c r="G521" s="35" t="str">
        <f>IF(E521="","",IFERROR(INDEX(DM_NL!$C$5:$C$304,MATCH(E521,DM_NL!$A$5:$A$304,0)),""))</f>
        <v/>
      </c>
      <c r="H521" s="39" t="str">
        <f>IF(OR(E521="",BOM!G515="KXDDM"),"",BOM!F515)</f>
        <v/>
      </c>
      <c r="I521" s="36" t="str">
        <f>IF(E521="","",BOM!G515&amp;"")</f>
        <v/>
      </c>
    </row>
    <row r="522" spans="1:9" x14ac:dyDescent="0.25">
      <c r="A522" s="36" t="str">
        <f>IF(B522="","",MAX($A$10:A521)+1)</f>
        <v/>
      </c>
      <c r="B522" s="35" t="str">
        <f>IF(BOM!A516="","",IF(BOM!A516=BOM!A515,"",BOM!A516))</f>
        <v/>
      </c>
      <c r="C522" s="35" t="str">
        <f>IF(B522="","",IFERROR(INDEX(DM_SP!$B$5:$B$304,MATCH(B522,DM_SP!$A$5:$A$304,0)),"(chưa có trong DM_SP)"))</f>
        <v/>
      </c>
      <c r="D522" s="35" t="str">
        <f>IF(B522="","",IFERROR(INDEX(DM_SP!$C$5:$C$304,MATCH(B522,DM_SP!$A$5:$A$304,0)),""))</f>
        <v/>
      </c>
      <c r="E522" s="35" t="str">
        <f>IF(BOM!A516="","",BOM!B516)</f>
        <v/>
      </c>
      <c r="F522" s="35" t="str">
        <f>IF(E522="","",IFERROR(INDEX(DM_NL!$B$5:$B$304,MATCH(E522,DM_NL!$A$5:$A$304,0)),"(chưa có trong DM_NL)"))</f>
        <v/>
      </c>
      <c r="G522" s="35" t="str">
        <f>IF(E522="","",IFERROR(INDEX(DM_NL!$C$5:$C$304,MATCH(E522,DM_NL!$A$5:$A$304,0)),""))</f>
        <v/>
      </c>
      <c r="H522" s="39" t="str">
        <f>IF(OR(E522="",BOM!G516="KXDDM"),"",BOM!F516)</f>
        <v/>
      </c>
      <c r="I522" s="36" t="str">
        <f>IF(E522="","",BOM!G516&amp;"")</f>
        <v/>
      </c>
    </row>
    <row r="523" spans="1:9" x14ac:dyDescent="0.25">
      <c r="A523" s="36" t="str">
        <f>IF(B523="","",MAX($A$10:A522)+1)</f>
        <v/>
      </c>
      <c r="B523" s="35" t="str">
        <f>IF(BOM!A517="","",IF(BOM!A517=BOM!A516,"",BOM!A517))</f>
        <v/>
      </c>
      <c r="C523" s="35" t="str">
        <f>IF(B523="","",IFERROR(INDEX(DM_SP!$B$5:$B$304,MATCH(B523,DM_SP!$A$5:$A$304,0)),"(chưa có trong DM_SP)"))</f>
        <v/>
      </c>
      <c r="D523" s="35" t="str">
        <f>IF(B523="","",IFERROR(INDEX(DM_SP!$C$5:$C$304,MATCH(B523,DM_SP!$A$5:$A$304,0)),""))</f>
        <v/>
      </c>
      <c r="E523" s="35" t="str">
        <f>IF(BOM!A517="","",BOM!B517)</f>
        <v/>
      </c>
      <c r="F523" s="35" t="str">
        <f>IF(E523="","",IFERROR(INDEX(DM_NL!$B$5:$B$304,MATCH(E523,DM_NL!$A$5:$A$304,0)),"(chưa có trong DM_NL)"))</f>
        <v/>
      </c>
      <c r="G523" s="35" t="str">
        <f>IF(E523="","",IFERROR(INDEX(DM_NL!$C$5:$C$304,MATCH(E523,DM_NL!$A$5:$A$304,0)),""))</f>
        <v/>
      </c>
      <c r="H523" s="39" t="str">
        <f>IF(OR(E523="",BOM!G517="KXDDM"),"",BOM!F517)</f>
        <v/>
      </c>
      <c r="I523" s="36" t="str">
        <f>IF(E523="","",BOM!G517&amp;"")</f>
        <v/>
      </c>
    </row>
    <row r="524" spans="1:9" x14ac:dyDescent="0.25">
      <c r="A524" s="36" t="str">
        <f>IF(B524="","",MAX($A$10:A523)+1)</f>
        <v/>
      </c>
      <c r="B524" s="35" t="str">
        <f>IF(BOM!A518="","",IF(BOM!A518=BOM!A517,"",BOM!A518))</f>
        <v/>
      </c>
      <c r="C524" s="35" t="str">
        <f>IF(B524="","",IFERROR(INDEX(DM_SP!$B$5:$B$304,MATCH(B524,DM_SP!$A$5:$A$304,0)),"(chưa có trong DM_SP)"))</f>
        <v/>
      </c>
      <c r="D524" s="35" t="str">
        <f>IF(B524="","",IFERROR(INDEX(DM_SP!$C$5:$C$304,MATCH(B524,DM_SP!$A$5:$A$304,0)),""))</f>
        <v/>
      </c>
      <c r="E524" s="35" t="str">
        <f>IF(BOM!A518="","",BOM!B518)</f>
        <v/>
      </c>
      <c r="F524" s="35" t="str">
        <f>IF(E524="","",IFERROR(INDEX(DM_NL!$B$5:$B$304,MATCH(E524,DM_NL!$A$5:$A$304,0)),"(chưa có trong DM_NL)"))</f>
        <v/>
      </c>
      <c r="G524" s="35" t="str">
        <f>IF(E524="","",IFERROR(INDEX(DM_NL!$C$5:$C$304,MATCH(E524,DM_NL!$A$5:$A$304,0)),""))</f>
        <v/>
      </c>
      <c r="H524" s="39" t="str">
        <f>IF(OR(E524="",BOM!G518="KXDDM"),"",BOM!F518)</f>
        <v/>
      </c>
      <c r="I524" s="36" t="str">
        <f>IF(E524="","",BOM!G518&amp;"")</f>
        <v/>
      </c>
    </row>
    <row r="525" spans="1:9" x14ac:dyDescent="0.25">
      <c r="A525" s="36" t="str">
        <f>IF(B525="","",MAX($A$10:A524)+1)</f>
        <v/>
      </c>
      <c r="B525" s="35" t="str">
        <f>IF(BOM!A519="","",IF(BOM!A519=BOM!A518,"",BOM!A519))</f>
        <v/>
      </c>
      <c r="C525" s="35" t="str">
        <f>IF(B525="","",IFERROR(INDEX(DM_SP!$B$5:$B$304,MATCH(B525,DM_SP!$A$5:$A$304,0)),"(chưa có trong DM_SP)"))</f>
        <v/>
      </c>
      <c r="D525" s="35" t="str">
        <f>IF(B525="","",IFERROR(INDEX(DM_SP!$C$5:$C$304,MATCH(B525,DM_SP!$A$5:$A$304,0)),""))</f>
        <v/>
      </c>
      <c r="E525" s="35" t="str">
        <f>IF(BOM!A519="","",BOM!B519)</f>
        <v/>
      </c>
      <c r="F525" s="35" t="str">
        <f>IF(E525="","",IFERROR(INDEX(DM_NL!$B$5:$B$304,MATCH(E525,DM_NL!$A$5:$A$304,0)),"(chưa có trong DM_NL)"))</f>
        <v/>
      </c>
      <c r="G525" s="35" t="str">
        <f>IF(E525="","",IFERROR(INDEX(DM_NL!$C$5:$C$304,MATCH(E525,DM_NL!$A$5:$A$304,0)),""))</f>
        <v/>
      </c>
      <c r="H525" s="39" t="str">
        <f>IF(OR(E525="",BOM!G519="KXDDM"),"",BOM!F519)</f>
        <v/>
      </c>
      <c r="I525" s="36" t="str">
        <f>IF(E525="","",BOM!G519&amp;"")</f>
        <v/>
      </c>
    </row>
    <row r="526" spans="1:9" x14ac:dyDescent="0.25">
      <c r="A526" s="36" t="str">
        <f>IF(B526="","",MAX($A$10:A525)+1)</f>
        <v/>
      </c>
      <c r="B526" s="35" t="str">
        <f>IF(BOM!A520="","",IF(BOM!A520=BOM!A519,"",BOM!A520))</f>
        <v/>
      </c>
      <c r="C526" s="35" t="str">
        <f>IF(B526="","",IFERROR(INDEX(DM_SP!$B$5:$B$304,MATCH(B526,DM_SP!$A$5:$A$304,0)),"(chưa có trong DM_SP)"))</f>
        <v/>
      </c>
      <c r="D526" s="35" t="str">
        <f>IF(B526="","",IFERROR(INDEX(DM_SP!$C$5:$C$304,MATCH(B526,DM_SP!$A$5:$A$304,0)),""))</f>
        <v/>
      </c>
      <c r="E526" s="35" t="str">
        <f>IF(BOM!A520="","",BOM!B520)</f>
        <v/>
      </c>
      <c r="F526" s="35" t="str">
        <f>IF(E526="","",IFERROR(INDEX(DM_NL!$B$5:$B$304,MATCH(E526,DM_NL!$A$5:$A$304,0)),"(chưa có trong DM_NL)"))</f>
        <v/>
      </c>
      <c r="G526" s="35" t="str">
        <f>IF(E526="","",IFERROR(INDEX(DM_NL!$C$5:$C$304,MATCH(E526,DM_NL!$A$5:$A$304,0)),""))</f>
        <v/>
      </c>
      <c r="H526" s="39" t="str">
        <f>IF(OR(E526="",BOM!G520="KXDDM"),"",BOM!F520)</f>
        <v/>
      </c>
      <c r="I526" s="36" t="str">
        <f>IF(E526="","",BOM!G520&amp;"")</f>
        <v/>
      </c>
    </row>
    <row r="527" spans="1:9" x14ac:dyDescent="0.25">
      <c r="A527" s="36" t="str">
        <f>IF(B527="","",MAX($A$10:A526)+1)</f>
        <v/>
      </c>
      <c r="B527" s="35" t="str">
        <f>IF(BOM!A521="","",IF(BOM!A521=BOM!A520,"",BOM!A521))</f>
        <v/>
      </c>
      <c r="C527" s="35" t="str">
        <f>IF(B527="","",IFERROR(INDEX(DM_SP!$B$5:$B$304,MATCH(B527,DM_SP!$A$5:$A$304,0)),"(chưa có trong DM_SP)"))</f>
        <v/>
      </c>
      <c r="D527" s="35" t="str">
        <f>IF(B527="","",IFERROR(INDEX(DM_SP!$C$5:$C$304,MATCH(B527,DM_SP!$A$5:$A$304,0)),""))</f>
        <v/>
      </c>
      <c r="E527" s="35" t="str">
        <f>IF(BOM!A521="","",BOM!B521)</f>
        <v/>
      </c>
      <c r="F527" s="35" t="str">
        <f>IF(E527="","",IFERROR(INDEX(DM_NL!$B$5:$B$304,MATCH(E527,DM_NL!$A$5:$A$304,0)),"(chưa có trong DM_NL)"))</f>
        <v/>
      </c>
      <c r="G527" s="35" t="str">
        <f>IF(E527="","",IFERROR(INDEX(DM_NL!$C$5:$C$304,MATCH(E527,DM_NL!$A$5:$A$304,0)),""))</f>
        <v/>
      </c>
      <c r="H527" s="39" t="str">
        <f>IF(OR(E527="",BOM!G521="KXDDM"),"",BOM!F521)</f>
        <v/>
      </c>
      <c r="I527" s="36" t="str">
        <f>IF(E527="","",BOM!G521&amp;"")</f>
        <v/>
      </c>
    </row>
    <row r="528" spans="1:9" x14ac:dyDescent="0.25">
      <c r="A528" s="36" t="str">
        <f>IF(B528="","",MAX($A$10:A527)+1)</f>
        <v/>
      </c>
      <c r="B528" s="35" t="str">
        <f>IF(BOM!A522="","",IF(BOM!A522=BOM!A521,"",BOM!A522))</f>
        <v/>
      </c>
      <c r="C528" s="35" t="str">
        <f>IF(B528="","",IFERROR(INDEX(DM_SP!$B$5:$B$304,MATCH(B528,DM_SP!$A$5:$A$304,0)),"(chưa có trong DM_SP)"))</f>
        <v/>
      </c>
      <c r="D528" s="35" t="str">
        <f>IF(B528="","",IFERROR(INDEX(DM_SP!$C$5:$C$304,MATCH(B528,DM_SP!$A$5:$A$304,0)),""))</f>
        <v/>
      </c>
      <c r="E528" s="35" t="str">
        <f>IF(BOM!A522="","",BOM!B522)</f>
        <v/>
      </c>
      <c r="F528" s="35" t="str">
        <f>IF(E528="","",IFERROR(INDEX(DM_NL!$B$5:$B$304,MATCH(E528,DM_NL!$A$5:$A$304,0)),"(chưa có trong DM_NL)"))</f>
        <v/>
      </c>
      <c r="G528" s="35" t="str">
        <f>IF(E528="","",IFERROR(INDEX(DM_NL!$C$5:$C$304,MATCH(E528,DM_NL!$A$5:$A$304,0)),""))</f>
        <v/>
      </c>
      <c r="H528" s="39" t="str">
        <f>IF(OR(E528="",BOM!G522="KXDDM"),"",BOM!F522)</f>
        <v/>
      </c>
      <c r="I528" s="36" t="str">
        <f>IF(E528="","",BOM!G522&amp;"")</f>
        <v/>
      </c>
    </row>
    <row r="529" spans="1:9" x14ac:dyDescent="0.25">
      <c r="A529" s="36" t="str">
        <f>IF(B529="","",MAX($A$10:A528)+1)</f>
        <v/>
      </c>
      <c r="B529" s="35" t="str">
        <f>IF(BOM!A523="","",IF(BOM!A523=BOM!A522,"",BOM!A523))</f>
        <v/>
      </c>
      <c r="C529" s="35" t="str">
        <f>IF(B529="","",IFERROR(INDEX(DM_SP!$B$5:$B$304,MATCH(B529,DM_SP!$A$5:$A$304,0)),"(chưa có trong DM_SP)"))</f>
        <v/>
      </c>
      <c r="D529" s="35" t="str">
        <f>IF(B529="","",IFERROR(INDEX(DM_SP!$C$5:$C$304,MATCH(B529,DM_SP!$A$5:$A$304,0)),""))</f>
        <v/>
      </c>
      <c r="E529" s="35" t="str">
        <f>IF(BOM!A523="","",BOM!B523)</f>
        <v/>
      </c>
      <c r="F529" s="35" t="str">
        <f>IF(E529="","",IFERROR(INDEX(DM_NL!$B$5:$B$304,MATCH(E529,DM_NL!$A$5:$A$304,0)),"(chưa có trong DM_NL)"))</f>
        <v/>
      </c>
      <c r="G529" s="35" t="str">
        <f>IF(E529="","",IFERROR(INDEX(DM_NL!$C$5:$C$304,MATCH(E529,DM_NL!$A$5:$A$304,0)),""))</f>
        <v/>
      </c>
      <c r="H529" s="39" t="str">
        <f>IF(OR(E529="",BOM!G523="KXDDM"),"",BOM!F523)</f>
        <v/>
      </c>
      <c r="I529" s="36" t="str">
        <f>IF(E529="","",BOM!G523&amp;"")</f>
        <v/>
      </c>
    </row>
    <row r="530" spans="1:9" x14ac:dyDescent="0.25">
      <c r="A530" s="36" t="str">
        <f>IF(B530="","",MAX($A$10:A529)+1)</f>
        <v/>
      </c>
      <c r="B530" s="35" t="str">
        <f>IF(BOM!A524="","",IF(BOM!A524=BOM!A523,"",BOM!A524))</f>
        <v/>
      </c>
      <c r="C530" s="35" t="str">
        <f>IF(B530="","",IFERROR(INDEX(DM_SP!$B$5:$B$304,MATCH(B530,DM_SP!$A$5:$A$304,0)),"(chưa có trong DM_SP)"))</f>
        <v/>
      </c>
      <c r="D530" s="35" t="str">
        <f>IF(B530="","",IFERROR(INDEX(DM_SP!$C$5:$C$304,MATCH(B530,DM_SP!$A$5:$A$304,0)),""))</f>
        <v/>
      </c>
      <c r="E530" s="35" t="str">
        <f>IF(BOM!A524="","",BOM!B524)</f>
        <v/>
      </c>
      <c r="F530" s="35" t="str">
        <f>IF(E530="","",IFERROR(INDEX(DM_NL!$B$5:$B$304,MATCH(E530,DM_NL!$A$5:$A$304,0)),"(chưa có trong DM_NL)"))</f>
        <v/>
      </c>
      <c r="G530" s="35" t="str">
        <f>IF(E530="","",IFERROR(INDEX(DM_NL!$C$5:$C$304,MATCH(E530,DM_NL!$A$5:$A$304,0)),""))</f>
        <v/>
      </c>
      <c r="H530" s="39" t="str">
        <f>IF(OR(E530="",BOM!G524="KXDDM"),"",BOM!F524)</f>
        <v/>
      </c>
      <c r="I530" s="36" t="str">
        <f>IF(E530="","",BOM!G524&amp;"")</f>
        <v/>
      </c>
    </row>
    <row r="531" spans="1:9" x14ac:dyDescent="0.25">
      <c r="A531" s="36" t="str">
        <f>IF(B531="","",MAX($A$10:A530)+1)</f>
        <v/>
      </c>
      <c r="B531" s="35" t="str">
        <f>IF(BOM!A525="","",IF(BOM!A525=BOM!A524,"",BOM!A525))</f>
        <v/>
      </c>
      <c r="C531" s="35" t="str">
        <f>IF(B531="","",IFERROR(INDEX(DM_SP!$B$5:$B$304,MATCH(B531,DM_SP!$A$5:$A$304,0)),"(chưa có trong DM_SP)"))</f>
        <v/>
      </c>
      <c r="D531" s="35" t="str">
        <f>IF(B531="","",IFERROR(INDEX(DM_SP!$C$5:$C$304,MATCH(B531,DM_SP!$A$5:$A$304,0)),""))</f>
        <v/>
      </c>
      <c r="E531" s="35" t="str">
        <f>IF(BOM!A525="","",BOM!B525)</f>
        <v/>
      </c>
      <c r="F531" s="35" t="str">
        <f>IF(E531="","",IFERROR(INDEX(DM_NL!$B$5:$B$304,MATCH(E531,DM_NL!$A$5:$A$304,0)),"(chưa có trong DM_NL)"))</f>
        <v/>
      </c>
      <c r="G531" s="35" t="str">
        <f>IF(E531="","",IFERROR(INDEX(DM_NL!$C$5:$C$304,MATCH(E531,DM_NL!$A$5:$A$304,0)),""))</f>
        <v/>
      </c>
      <c r="H531" s="39" t="str">
        <f>IF(OR(E531="",BOM!G525="KXDDM"),"",BOM!F525)</f>
        <v/>
      </c>
      <c r="I531" s="36" t="str">
        <f>IF(E531="","",BOM!G525&amp;"")</f>
        <v/>
      </c>
    </row>
    <row r="532" spans="1:9" x14ac:dyDescent="0.25">
      <c r="A532" s="36" t="str">
        <f>IF(B532="","",MAX($A$10:A531)+1)</f>
        <v/>
      </c>
      <c r="B532" s="35" t="str">
        <f>IF(BOM!A526="","",IF(BOM!A526=BOM!A525,"",BOM!A526))</f>
        <v/>
      </c>
      <c r="C532" s="35" t="str">
        <f>IF(B532="","",IFERROR(INDEX(DM_SP!$B$5:$B$304,MATCH(B532,DM_SP!$A$5:$A$304,0)),"(chưa có trong DM_SP)"))</f>
        <v/>
      </c>
      <c r="D532" s="35" t="str">
        <f>IF(B532="","",IFERROR(INDEX(DM_SP!$C$5:$C$304,MATCH(B532,DM_SP!$A$5:$A$304,0)),""))</f>
        <v/>
      </c>
      <c r="E532" s="35" t="str">
        <f>IF(BOM!A526="","",BOM!B526)</f>
        <v/>
      </c>
      <c r="F532" s="35" t="str">
        <f>IF(E532="","",IFERROR(INDEX(DM_NL!$B$5:$B$304,MATCH(E532,DM_NL!$A$5:$A$304,0)),"(chưa có trong DM_NL)"))</f>
        <v/>
      </c>
      <c r="G532" s="35" t="str">
        <f>IF(E532="","",IFERROR(INDEX(DM_NL!$C$5:$C$304,MATCH(E532,DM_NL!$A$5:$A$304,0)),""))</f>
        <v/>
      </c>
      <c r="H532" s="39" t="str">
        <f>IF(OR(E532="",BOM!G526="KXDDM"),"",BOM!F526)</f>
        <v/>
      </c>
      <c r="I532" s="36" t="str">
        <f>IF(E532="","",BOM!G526&amp;"")</f>
        <v/>
      </c>
    </row>
    <row r="533" spans="1:9" x14ac:dyDescent="0.25">
      <c r="A533" s="36" t="str">
        <f>IF(B533="","",MAX($A$10:A532)+1)</f>
        <v/>
      </c>
      <c r="B533" s="35" t="str">
        <f>IF(BOM!A527="","",IF(BOM!A527=BOM!A526,"",BOM!A527))</f>
        <v/>
      </c>
      <c r="C533" s="35" t="str">
        <f>IF(B533="","",IFERROR(INDEX(DM_SP!$B$5:$B$304,MATCH(B533,DM_SP!$A$5:$A$304,0)),"(chưa có trong DM_SP)"))</f>
        <v/>
      </c>
      <c r="D533" s="35" t="str">
        <f>IF(B533="","",IFERROR(INDEX(DM_SP!$C$5:$C$304,MATCH(B533,DM_SP!$A$5:$A$304,0)),""))</f>
        <v/>
      </c>
      <c r="E533" s="35" t="str">
        <f>IF(BOM!A527="","",BOM!B527)</f>
        <v/>
      </c>
      <c r="F533" s="35" t="str">
        <f>IF(E533="","",IFERROR(INDEX(DM_NL!$B$5:$B$304,MATCH(E533,DM_NL!$A$5:$A$304,0)),"(chưa có trong DM_NL)"))</f>
        <v/>
      </c>
      <c r="G533" s="35" t="str">
        <f>IF(E533="","",IFERROR(INDEX(DM_NL!$C$5:$C$304,MATCH(E533,DM_NL!$A$5:$A$304,0)),""))</f>
        <v/>
      </c>
      <c r="H533" s="39" t="str">
        <f>IF(OR(E533="",BOM!G527="KXDDM"),"",BOM!F527)</f>
        <v/>
      </c>
      <c r="I533" s="36" t="str">
        <f>IF(E533="","",BOM!G527&amp;"")</f>
        <v/>
      </c>
    </row>
    <row r="534" spans="1:9" x14ac:dyDescent="0.25">
      <c r="A534" s="36" t="str">
        <f>IF(B534="","",MAX($A$10:A533)+1)</f>
        <v/>
      </c>
      <c r="B534" s="35" t="str">
        <f>IF(BOM!A528="","",IF(BOM!A528=BOM!A527,"",BOM!A528))</f>
        <v/>
      </c>
      <c r="C534" s="35" t="str">
        <f>IF(B534="","",IFERROR(INDEX(DM_SP!$B$5:$B$304,MATCH(B534,DM_SP!$A$5:$A$304,0)),"(chưa có trong DM_SP)"))</f>
        <v/>
      </c>
      <c r="D534" s="35" t="str">
        <f>IF(B534="","",IFERROR(INDEX(DM_SP!$C$5:$C$304,MATCH(B534,DM_SP!$A$5:$A$304,0)),""))</f>
        <v/>
      </c>
      <c r="E534" s="35" t="str">
        <f>IF(BOM!A528="","",BOM!B528)</f>
        <v/>
      </c>
      <c r="F534" s="35" t="str">
        <f>IF(E534="","",IFERROR(INDEX(DM_NL!$B$5:$B$304,MATCH(E534,DM_NL!$A$5:$A$304,0)),"(chưa có trong DM_NL)"))</f>
        <v/>
      </c>
      <c r="G534" s="35" t="str">
        <f>IF(E534="","",IFERROR(INDEX(DM_NL!$C$5:$C$304,MATCH(E534,DM_NL!$A$5:$A$304,0)),""))</f>
        <v/>
      </c>
      <c r="H534" s="39" t="str">
        <f>IF(OR(E534="",BOM!G528="KXDDM"),"",BOM!F528)</f>
        <v/>
      </c>
      <c r="I534" s="36" t="str">
        <f>IF(E534="","",BOM!G528&amp;"")</f>
        <v/>
      </c>
    </row>
    <row r="535" spans="1:9" x14ac:dyDescent="0.25">
      <c r="A535" s="36" t="str">
        <f>IF(B535="","",MAX($A$10:A534)+1)</f>
        <v/>
      </c>
      <c r="B535" s="35" t="str">
        <f>IF(BOM!A529="","",IF(BOM!A529=BOM!A528,"",BOM!A529))</f>
        <v/>
      </c>
      <c r="C535" s="35" t="str">
        <f>IF(B535="","",IFERROR(INDEX(DM_SP!$B$5:$B$304,MATCH(B535,DM_SP!$A$5:$A$304,0)),"(chưa có trong DM_SP)"))</f>
        <v/>
      </c>
      <c r="D535" s="35" t="str">
        <f>IF(B535="","",IFERROR(INDEX(DM_SP!$C$5:$C$304,MATCH(B535,DM_SP!$A$5:$A$304,0)),""))</f>
        <v/>
      </c>
      <c r="E535" s="35" t="str">
        <f>IF(BOM!A529="","",BOM!B529)</f>
        <v/>
      </c>
      <c r="F535" s="35" t="str">
        <f>IF(E535="","",IFERROR(INDEX(DM_NL!$B$5:$B$304,MATCH(E535,DM_NL!$A$5:$A$304,0)),"(chưa có trong DM_NL)"))</f>
        <v/>
      </c>
      <c r="G535" s="35" t="str">
        <f>IF(E535="","",IFERROR(INDEX(DM_NL!$C$5:$C$304,MATCH(E535,DM_NL!$A$5:$A$304,0)),""))</f>
        <v/>
      </c>
      <c r="H535" s="39" t="str">
        <f>IF(OR(E535="",BOM!G529="KXDDM"),"",BOM!F529)</f>
        <v/>
      </c>
      <c r="I535" s="36" t="str">
        <f>IF(E535="","",BOM!G529&amp;"")</f>
        <v/>
      </c>
    </row>
    <row r="536" spans="1:9" x14ac:dyDescent="0.25">
      <c r="A536" s="36" t="str">
        <f>IF(B536="","",MAX($A$10:A535)+1)</f>
        <v/>
      </c>
      <c r="B536" s="35" t="str">
        <f>IF(BOM!A530="","",IF(BOM!A530=BOM!A529,"",BOM!A530))</f>
        <v/>
      </c>
      <c r="C536" s="35" t="str">
        <f>IF(B536="","",IFERROR(INDEX(DM_SP!$B$5:$B$304,MATCH(B536,DM_SP!$A$5:$A$304,0)),"(chưa có trong DM_SP)"))</f>
        <v/>
      </c>
      <c r="D536" s="35" t="str">
        <f>IF(B536="","",IFERROR(INDEX(DM_SP!$C$5:$C$304,MATCH(B536,DM_SP!$A$5:$A$304,0)),""))</f>
        <v/>
      </c>
      <c r="E536" s="35" t="str">
        <f>IF(BOM!A530="","",BOM!B530)</f>
        <v/>
      </c>
      <c r="F536" s="35" t="str">
        <f>IF(E536="","",IFERROR(INDEX(DM_NL!$B$5:$B$304,MATCH(E536,DM_NL!$A$5:$A$304,0)),"(chưa có trong DM_NL)"))</f>
        <v/>
      </c>
      <c r="G536" s="35" t="str">
        <f>IF(E536="","",IFERROR(INDEX(DM_NL!$C$5:$C$304,MATCH(E536,DM_NL!$A$5:$A$304,0)),""))</f>
        <v/>
      </c>
      <c r="H536" s="39" t="str">
        <f>IF(OR(E536="",BOM!G530="KXDDM"),"",BOM!F530)</f>
        <v/>
      </c>
      <c r="I536" s="36" t="str">
        <f>IF(E536="","",BOM!G530&amp;"")</f>
        <v/>
      </c>
    </row>
    <row r="537" spans="1:9" x14ac:dyDescent="0.25">
      <c r="A537" s="36" t="str">
        <f>IF(B537="","",MAX($A$10:A536)+1)</f>
        <v/>
      </c>
      <c r="B537" s="35" t="str">
        <f>IF(BOM!A531="","",IF(BOM!A531=BOM!A530,"",BOM!A531))</f>
        <v/>
      </c>
      <c r="C537" s="35" t="str">
        <f>IF(B537="","",IFERROR(INDEX(DM_SP!$B$5:$B$304,MATCH(B537,DM_SP!$A$5:$A$304,0)),"(chưa có trong DM_SP)"))</f>
        <v/>
      </c>
      <c r="D537" s="35" t="str">
        <f>IF(B537="","",IFERROR(INDEX(DM_SP!$C$5:$C$304,MATCH(B537,DM_SP!$A$5:$A$304,0)),""))</f>
        <v/>
      </c>
      <c r="E537" s="35" t="str">
        <f>IF(BOM!A531="","",BOM!B531)</f>
        <v/>
      </c>
      <c r="F537" s="35" t="str">
        <f>IF(E537="","",IFERROR(INDEX(DM_NL!$B$5:$B$304,MATCH(E537,DM_NL!$A$5:$A$304,0)),"(chưa có trong DM_NL)"))</f>
        <v/>
      </c>
      <c r="G537" s="35" t="str">
        <f>IF(E537="","",IFERROR(INDEX(DM_NL!$C$5:$C$304,MATCH(E537,DM_NL!$A$5:$A$304,0)),""))</f>
        <v/>
      </c>
      <c r="H537" s="39" t="str">
        <f>IF(OR(E537="",BOM!G531="KXDDM"),"",BOM!F531)</f>
        <v/>
      </c>
      <c r="I537" s="36" t="str">
        <f>IF(E537="","",BOM!G531&amp;"")</f>
        <v/>
      </c>
    </row>
    <row r="538" spans="1:9" x14ac:dyDescent="0.25">
      <c r="A538" s="36" t="str">
        <f>IF(B538="","",MAX($A$10:A537)+1)</f>
        <v/>
      </c>
      <c r="B538" s="35" t="str">
        <f>IF(BOM!A532="","",IF(BOM!A532=BOM!A531,"",BOM!A532))</f>
        <v/>
      </c>
      <c r="C538" s="35" t="str">
        <f>IF(B538="","",IFERROR(INDEX(DM_SP!$B$5:$B$304,MATCH(B538,DM_SP!$A$5:$A$304,0)),"(chưa có trong DM_SP)"))</f>
        <v/>
      </c>
      <c r="D538" s="35" t="str">
        <f>IF(B538="","",IFERROR(INDEX(DM_SP!$C$5:$C$304,MATCH(B538,DM_SP!$A$5:$A$304,0)),""))</f>
        <v/>
      </c>
      <c r="E538" s="35" t="str">
        <f>IF(BOM!A532="","",BOM!B532)</f>
        <v/>
      </c>
      <c r="F538" s="35" t="str">
        <f>IF(E538="","",IFERROR(INDEX(DM_NL!$B$5:$B$304,MATCH(E538,DM_NL!$A$5:$A$304,0)),"(chưa có trong DM_NL)"))</f>
        <v/>
      </c>
      <c r="G538" s="35" t="str">
        <f>IF(E538="","",IFERROR(INDEX(DM_NL!$C$5:$C$304,MATCH(E538,DM_NL!$A$5:$A$304,0)),""))</f>
        <v/>
      </c>
      <c r="H538" s="39" t="str">
        <f>IF(OR(E538="",BOM!G532="KXDDM"),"",BOM!F532)</f>
        <v/>
      </c>
      <c r="I538" s="36" t="str">
        <f>IF(E538="","",BOM!G532&amp;"")</f>
        <v/>
      </c>
    </row>
    <row r="539" spans="1:9" x14ac:dyDescent="0.25">
      <c r="A539" s="36" t="str">
        <f>IF(B539="","",MAX($A$10:A538)+1)</f>
        <v/>
      </c>
      <c r="B539" s="35" t="str">
        <f>IF(BOM!A533="","",IF(BOM!A533=BOM!A532,"",BOM!A533))</f>
        <v/>
      </c>
      <c r="C539" s="35" t="str">
        <f>IF(B539="","",IFERROR(INDEX(DM_SP!$B$5:$B$304,MATCH(B539,DM_SP!$A$5:$A$304,0)),"(chưa có trong DM_SP)"))</f>
        <v/>
      </c>
      <c r="D539" s="35" t="str">
        <f>IF(B539="","",IFERROR(INDEX(DM_SP!$C$5:$C$304,MATCH(B539,DM_SP!$A$5:$A$304,0)),""))</f>
        <v/>
      </c>
      <c r="E539" s="35" t="str">
        <f>IF(BOM!A533="","",BOM!B533)</f>
        <v/>
      </c>
      <c r="F539" s="35" t="str">
        <f>IF(E539="","",IFERROR(INDEX(DM_NL!$B$5:$B$304,MATCH(E539,DM_NL!$A$5:$A$304,0)),"(chưa có trong DM_NL)"))</f>
        <v/>
      </c>
      <c r="G539" s="35" t="str">
        <f>IF(E539="","",IFERROR(INDEX(DM_NL!$C$5:$C$304,MATCH(E539,DM_NL!$A$5:$A$304,0)),""))</f>
        <v/>
      </c>
      <c r="H539" s="39" t="str">
        <f>IF(OR(E539="",BOM!G533="KXDDM"),"",BOM!F533)</f>
        <v/>
      </c>
      <c r="I539" s="36" t="str">
        <f>IF(E539="","",BOM!G533&amp;"")</f>
        <v/>
      </c>
    </row>
    <row r="540" spans="1:9" x14ac:dyDescent="0.25">
      <c r="A540" s="36" t="str">
        <f>IF(B540="","",MAX($A$10:A539)+1)</f>
        <v/>
      </c>
      <c r="B540" s="35" t="str">
        <f>IF(BOM!A534="","",IF(BOM!A534=BOM!A533,"",BOM!A534))</f>
        <v/>
      </c>
      <c r="C540" s="35" t="str">
        <f>IF(B540="","",IFERROR(INDEX(DM_SP!$B$5:$B$304,MATCH(B540,DM_SP!$A$5:$A$304,0)),"(chưa có trong DM_SP)"))</f>
        <v/>
      </c>
      <c r="D540" s="35" t="str">
        <f>IF(B540="","",IFERROR(INDEX(DM_SP!$C$5:$C$304,MATCH(B540,DM_SP!$A$5:$A$304,0)),""))</f>
        <v/>
      </c>
      <c r="E540" s="35" t="str">
        <f>IF(BOM!A534="","",BOM!B534)</f>
        <v/>
      </c>
      <c r="F540" s="35" t="str">
        <f>IF(E540="","",IFERROR(INDEX(DM_NL!$B$5:$B$304,MATCH(E540,DM_NL!$A$5:$A$304,0)),"(chưa có trong DM_NL)"))</f>
        <v/>
      </c>
      <c r="G540" s="35" t="str">
        <f>IF(E540="","",IFERROR(INDEX(DM_NL!$C$5:$C$304,MATCH(E540,DM_NL!$A$5:$A$304,0)),""))</f>
        <v/>
      </c>
      <c r="H540" s="39" t="str">
        <f>IF(OR(E540="",BOM!G534="KXDDM"),"",BOM!F534)</f>
        <v/>
      </c>
      <c r="I540" s="36" t="str">
        <f>IF(E540="","",BOM!G534&amp;"")</f>
        <v/>
      </c>
    </row>
    <row r="541" spans="1:9" x14ac:dyDescent="0.25">
      <c r="A541" s="36" t="str">
        <f>IF(B541="","",MAX($A$10:A540)+1)</f>
        <v/>
      </c>
      <c r="B541" s="35" t="str">
        <f>IF(BOM!A535="","",IF(BOM!A535=BOM!A534,"",BOM!A535))</f>
        <v/>
      </c>
      <c r="C541" s="35" t="str">
        <f>IF(B541="","",IFERROR(INDEX(DM_SP!$B$5:$B$304,MATCH(B541,DM_SP!$A$5:$A$304,0)),"(chưa có trong DM_SP)"))</f>
        <v/>
      </c>
      <c r="D541" s="35" t="str">
        <f>IF(B541="","",IFERROR(INDEX(DM_SP!$C$5:$C$304,MATCH(B541,DM_SP!$A$5:$A$304,0)),""))</f>
        <v/>
      </c>
      <c r="E541" s="35" t="str">
        <f>IF(BOM!A535="","",BOM!B535)</f>
        <v/>
      </c>
      <c r="F541" s="35" t="str">
        <f>IF(E541="","",IFERROR(INDEX(DM_NL!$B$5:$B$304,MATCH(E541,DM_NL!$A$5:$A$304,0)),"(chưa có trong DM_NL)"))</f>
        <v/>
      </c>
      <c r="G541" s="35" t="str">
        <f>IF(E541="","",IFERROR(INDEX(DM_NL!$C$5:$C$304,MATCH(E541,DM_NL!$A$5:$A$304,0)),""))</f>
        <v/>
      </c>
      <c r="H541" s="39" t="str">
        <f>IF(OR(E541="",BOM!G535="KXDDM"),"",BOM!F535)</f>
        <v/>
      </c>
      <c r="I541" s="36" t="str">
        <f>IF(E541="","",BOM!G535&amp;"")</f>
        <v/>
      </c>
    </row>
    <row r="542" spans="1:9" x14ac:dyDescent="0.25">
      <c r="A542" s="36" t="str">
        <f>IF(B542="","",MAX($A$10:A541)+1)</f>
        <v/>
      </c>
      <c r="B542" s="35" t="str">
        <f>IF(BOM!A536="","",IF(BOM!A536=BOM!A535,"",BOM!A536))</f>
        <v/>
      </c>
      <c r="C542" s="35" t="str">
        <f>IF(B542="","",IFERROR(INDEX(DM_SP!$B$5:$B$304,MATCH(B542,DM_SP!$A$5:$A$304,0)),"(chưa có trong DM_SP)"))</f>
        <v/>
      </c>
      <c r="D542" s="35" t="str">
        <f>IF(B542="","",IFERROR(INDEX(DM_SP!$C$5:$C$304,MATCH(B542,DM_SP!$A$5:$A$304,0)),""))</f>
        <v/>
      </c>
      <c r="E542" s="35" t="str">
        <f>IF(BOM!A536="","",BOM!B536)</f>
        <v/>
      </c>
      <c r="F542" s="35" t="str">
        <f>IF(E542="","",IFERROR(INDEX(DM_NL!$B$5:$B$304,MATCH(E542,DM_NL!$A$5:$A$304,0)),"(chưa có trong DM_NL)"))</f>
        <v/>
      </c>
      <c r="G542" s="35" t="str">
        <f>IF(E542="","",IFERROR(INDEX(DM_NL!$C$5:$C$304,MATCH(E542,DM_NL!$A$5:$A$304,0)),""))</f>
        <v/>
      </c>
      <c r="H542" s="39" t="str">
        <f>IF(OR(E542="",BOM!G536="KXDDM"),"",BOM!F536)</f>
        <v/>
      </c>
      <c r="I542" s="36" t="str">
        <f>IF(E542="","",BOM!G536&amp;"")</f>
        <v/>
      </c>
    </row>
    <row r="543" spans="1:9" x14ac:dyDescent="0.25">
      <c r="A543" s="36" t="str">
        <f>IF(B543="","",MAX($A$10:A542)+1)</f>
        <v/>
      </c>
      <c r="B543" s="35" t="str">
        <f>IF(BOM!A537="","",IF(BOM!A537=BOM!A536,"",BOM!A537))</f>
        <v/>
      </c>
      <c r="C543" s="35" t="str">
        <f>IF(B543="","",IFERROR(INDEX(DM_SP!$B$5:$B$304,MATCH(B543,DM_SP!$A$5:$A$304,0)),"(chưa có trong DM_SP)"))</f>
        <v/>
      </c>
      <c r="D543" s="35" t="str">
        <f>IF(B543="","",IFERROR(INDEX(DM_SP!$C$5:$C$304,MATCH(B543,DM_SP!$A$5:$A$304,0)),""))</f>
        <v/>
      </c>
      <c r="E543" s="35" t="str">
        <f>IF(BOM!A537="","",BOM!B537)</f>
        <v/>
      </c>
      <c r="F543" s="35" t="str">
        <f>IF(E543="","",IFERROR(INDEX(DM_NL!$B$5:$B$304,MATCH(E543,DM_NL!$A$5:$A$304,0)),"(chưa có trong DM_NL)"))</f>
        <v/>
      </c>
      <c r="G543" s="35" t="str">
        <f>IF(E543="","",IFERROR(INDEX(DM_NL!$C$5:$C$304,MATCH(E543,DM_NL!$A$5:$A$304,0)),""))</f>
        <v/>
      </c>
      <c r="H543" s="39" t="str">
        <f>IF(OR(E543="",BOM!G537="KXDDM"),"",BOM!F537)</f>
        <v/>
      </c>
      <c r="I543" s="36" t="str">
        <f>IF(E543="","",BOM!G537&amp;"")</f>
        <v/>
      </c>
    </row>
    <row r="544" spans="1:9" x14ac:dyDescent="0.25">
      <c r="A544" s="36" t="str">
        <f>IF(B544="","",MAX($A$10:A543)+1)</f>
        <v/>
      </c>
      <c r="B544" s="35" t="str">
        <f>IF(BOM!A538="","",IF(BOM!A538=BOM!A537,"",BOM!A538))</f>
        <v/>
      </c>
      <c r="C544" s="35" t="str">
        <f>IF(B544="","",IFERROR(INDEX(DM_SP!$B$5:$B$304,MATCH(B544,DM_SP!$A$5:$A$304,0)),"(chưa có trong DM_SP)"))</f>
        <v/>
      </c>
      <c r="D544" s="35" t="str">
        <f>IF(B544="","",IFERROR(INDEX(DM_SP!$C$5:$C$304,MATCH(B544,DM_SP!$A$5:$A$304,0)),""))</f>
        <v/>
      </c>
      <c r="E544" s="35" t="str">
        <f>IF(BOM!A538="","",BOM!B538)</f>
        <v/>
      </c>
      <c r="F544" s="35" t="str">
        <f>IF(E544="","",IFERROR(INDEX(DM_NL!$B$5:$B$304,MATCH(E544,DM_NL!$A$5:$A$304,0)),"(chưa có trong DM_NL)"))</f>
        <v/>
      </c>
      <c r="G544" s="35" t="str">
        <f>IF(E544="","",IFERROR(INDEX(DM_NL!$C$5:$C$304,MATCH(E544,DM_NL!$A$5:$A$304,0)),""))</f>
        <v/>
      </c>
      <c r="H544" s="39" t="str">
        <f>IF(OR(E544="",BOM!G538="KXDDM"),"",BOM!F538)</f>
        <v/>
      </c>
      <c r="I544" s="36" t="str">
        <f>IF(E544="","",BOM!G538&amp;"")</f>
        <v/>
      </c>
    </row>
    <row r="545" spans="1:9" x14ac:dyDescent="0.25">
      <c r="A545" s="36" t="str">
        <f>IF(B545="","",MAX($A$10:A544)+1)</f>
        <v/>
      </c>
      <c r="B545" s="35" t="str">
        <f>IF(BOM!A539="","",IF(BOM!A539=BOM!A538,"",BOM!A539))</f>
        <v/>
      </c>
      <c r="C545" s="35" t="str">
        <f>IF(B545="","",IFERROR(INDEX(DM_SP!$B$5:$B$304,MATCH(B545,DM_SP!$A$5:$A$304,0)),"(chưa có trong DM_SP)"))</f>
        <v/>
      </c>
      <c r="D545" s="35" t="str">
        <f>IF(B545="","",IFERROR(INDEX(DM_SP!$C$5:$C$304,MATCH(B545,DM_SP!$A$5:$A$304,0)),""))</f>
        <v/>
      </c>
      <c r="E545" s="35" t="str">
        <f>IF(BOM!A539="","",BOM!B539)</f>
        <v/>
      </c>
      <c r="F545" s="35" t="str">
        <f>IF(E545="","",IFERROR(INDEX(DM_NL!$B$5:$B$304,MATCH(E545,DM_NL!$A$5:$A$304,0)),"(chưa có trong DM_NL)"))</f>
        <v/>
      </c>
      <c r="G545" s="35" t="str">
        <f>IF(E545="","",IFERROR(INDEX(DM_NL!$C$5:$C$304,MATCH(E545,DM_NL!$A$5:$A$304,0)),""))</f>
        <v/>
      </c>
      <c r="H545" s="39" t="str">
        <f>IF(OR(E545="",BOM!G539="KXDDM"),"",BOM!F539)</f>
        <v/>
      </c>
      <c r="I545" s="36" t="str">
        <f>IF(E545="","",BOM!G539&amp;"")</f>
        <v/>
      </c>
    </row>
    <row r="546" spans="1:9" x14ac:dyDescent="0.25">
      <c r="A546" s="36" t="str">
        <f>IF(B546="","",MAX($A$10:A545)+1)</f>
        <v/>
      </c>
      <c r="B546" s="35" t="str">
        <f>IF(BOM!A540="","",IF(BOM!A540=BOM!A539,"",BOM!A540))</f>
        <v/>
      </c>
      <c r="C546" s="35" t="str">
        <f>IF(B546="","",IFERROR(INDEX(DM_SP!$B$5:$B$304,MATCH(B546,DM_SP!$A$5:$A$304,0)),"(chưa có trong DM_SP)"))</f>
        <v/>
      </c>
      <c r="D546" s="35" t="str">
        <f>IF(B546="","",IFERROR(INDEX(DM_SP!$C$5:$C$304,MATCH(B546,DM_SP!$A$5:$A$304,0)),""))</f>
        <v/>
      </c>
      <c r="E546" s="35" t="str">
        <f>IF(BOM!A540="","",BOM!B540)</f>
        <v/>
      </c>
      <c r="F546" s="35" t="str">
        <f>IF(E546="","",IFERROR(INDEX(DM_NL!$B$5:$B$304,MATCH(E546,DM_NL!$A$5:$A$304,0)),"(chưa có trong DM_NL)"))</f>
        <v/>
      </c>
      <c r="G546" s="35" t="str">
        <f>IF(E546="","",IFERROR(INDEX(DM_NL!$C$5:$C$304,MATCH(E546,DM_NL!$A$5:$A$304,0)),""))</f>
        <v/>
      </c>
      <c r="H546" s="39" t="str">
        <f>IF(OR(E546="",BOM!G540="KXDDM"),"",BOM!F540)</f>
        <v/>
      </c>
      <c r="I546" s="36" t="str">
        <f>IF(E546="","",BOM!G540&amp;"")</f>
        <v/>
      </c>
    </row>
    <row r="547" spans="1:9" x14ac:dyDescent="0.25">
      <c r="A547" s="36" t="str">
        <f>IF(B547="","",MAX($A$10:A546)+1)</f>
        <v/>
      </c>
      <c r="B547" s="35" t="str">
        <f>IF(BOM!A541="","",IF(BOM!A541=BOM!A540,"",BOM!A541))</f>
        <v/>
      </c>
      <c r="C547" s="35" t="str">
        <f>IF(B547="","",IFERROR(INDEX(DM_SP!$B$5:$B$304,MATCH(B547,DM_SP!$A$5:$A$304,0)),"(chưa có trong DM_SP)"))</f>
        <v/>
      </c>
      <c r="D547" s="35" t="str">
        <f>IF(B547="","",IFERROR(INDEX(DM_SP!$C$5:$C$304,MATCH(B547,DM_SP!$A$5:$A$304,0)),""))</f>
        <v/>
      </c>
      <c r="E547" s="35" t="str">
        <f>IF(BOM!A541="","",BOM!B541)</f>
        <v/>
      </c>
      <c r="F547" s="35" t="str">
        <f>IF(E547="","",IFERROR(INDEX(DM_NL!$B$5:$B$304,MATCH(E547,DM_NL!$A$5:$A$304,0)),"(chưa có trong DM_NL)"))</f>
        <v/>
      </c>
      <c r="G547" s="35" t="str">
        <f>IF(E547="","",IFERROR(INDEX(DM_NL!$C$5:$C$304,MATCH(E547,DM_NL!$A$5:$A$304,0)),""))</f>
        <v/>
      </c>
      <c r="H547" s="39" t="str">
        <f>IF(OR(E547="",BOM!G541="KXDDM"),"",BOM!F541)</f>
        <v/>
      </c>
      <c r="I547" s="36" t="str">
        <f>IF(E547="","",BOM!G541&amp;"")</f>
        <v/>
      </c>
    </row>
    <row r="548" spans="1:9" x14ac:dyDescent="0.25">
      <c r="A548" s="36" t="str">
        <f>IF(B548="","",MAX($A$10:A547)+1)</f>
        <v/>
      </c>
      <c r="B548" s="35" t="str">
        <f>IF(BOM!A542="","",IF(BOM!A542=BOM!A541,"",BOM!A542))</f>
        <v/>
      </c>
      <c r="C548" s="35" t="str">
        <f>IF(B548="","",IFERROR(INDEX(DM_SP!$B$5:$B$304,MATCH(B548,DM_SP!$A$5:$A$304,0)),"(chưa có trong DM_SP)"))</f>
        <v/>
      </c>
      <c r="D548" s="35" t="str">
        <f>IF(B548="","",IFERROR(INDEX(DM_SP!$C$5:$C$304,MATCH(B548,DM_SP!$A$5:$A$304,0)),""))</f>
        <v/>
      </c>
      <c r="E548" s="35" t="str">
        <f>IF(BOM!A542="","",BOM!B542)</f>
        <v/>
      </c>
      <c r="F548" s="35" t="str">
        <f>IF(E548="","",IFERROR(INDEX(DM_NL!$B$5:$B$304,MATCH(E548,DM_NL!$A$5:$A$304,0)),"(chưa có trong DM_NL)"))</f>
        <v/>
      </c>
      <c r="G548" s="35" t="str">
        <f>IF(E548="","",IFERROR(INDEX(DM_NL!$C$5:$C$304,MATCH(E548,DM_NL!$A$5:$A$304,0)),""))</f>
        <v/>
      </c>
      <c r="H548" s="39" t="str">
        <f>IF(OR(E548="",BOM!G542="KXDDM"),"",BOM!F542)</f>
        <v/>
      </c>
      <c r="I548" s="36" t="str">
        <f>IF(E548="","",BOM!G542&amp;"")</f>
        <v/>
      </c>
    </row>
    <row r="549" spans="1:9" x14ac:dyDescent="0.25">
      <c r="A549" s="36" t="str">
        <f>IF(B549="","",MAX($A$10:A548)+1)</f>
        <v/>
      </c>
      <c r="B549" s="35" t="str">
        <f>IF(BOM!A543="","",IF(BOM!A543=BOM!A542,"",BOM!A543))</f>
        <v/>
      </c>
      <c r="C549" s="35" t="str">
        <f>IF(B549="","",IFERROR(INDEX(DM_SP!$B$5:$B$304,MATCH(B549,DM_SP!$A$5:$A$304,0)),"(chưa có trong DM_SP)"))</f>
        <v/>
      </c>
      <c r="D549" s="35" t="str">
        <f>IF(B549="","",IFERROR(INDEX(DM_SP!$C$5:$C$304,MATCH(B549,DM_SP!$A$5:$A$304,0)),""))</f>
        <v/>
      </c>
      <c r="E549" s="35" t="str">
        <f>IF(BOM!A543="","",BOM!B543)</f>
        <v/>
      </c>
      <c r="F549" s="35" t="str">
        <f>IF(E549="","",IFERROR(INDEX(DM_NL!$B$5:$B$304,MATCH(E549,DM_NL!$A$5:$A$304,0)),"(chưa có trong DM_NL)"))</f>
        <v/>
      </c>
      <c r="G549" s="35" t="str">
        <f>IF(E549="","",IFERROR(INDEX(DM_NL!$C$5:$C$304,MATCH(E549,DM_NL!$A$5:$A$304,0)),""))</f>
        <v/>
      </c>
      <c r="H549" s="39" t="str">
        <f>IF(OR(E549="",BOM!G543="KXDDM"),"",BOM!F543)</f>
        <v/>
      </c>
      <c r="I549" s="36" t="str">
        <f>IF(E549="","",BOM!G543&amp;"")</f>
        <v/>
      </c>
    </row>
    <row r="550" spans="1:9" x14ac:dyDescent="0.25">
      <c r="A550" s="36" t="str">
        <f>IF(B550="","",MAX($A$10:A549)+1)</f>
        <v/>
      </c>
      <c r="B550" s="35" t="str">
        <f>IF(BOM!A544="","",IF(BOM!A544=BOM!A543,"",BOM!A544))</f>
        <v/>
      </c>
      <c r="C550" s="35" t="str">
        <f>IF(B550="","",IFERROR(INDEX(DM_SP!$B$5:$B$304,MATCH(B550,DM_SP!$A$5:$A$304,0)),"(chưa có trong DM_SP)"))</f>
        <v/>
      </c>
      <c r="D550" s="35" t="str">
        <f>IF(B550="","",IFERROR(INDEX(DM_SP!$C$5:$C$304,MATCH(B550,DM_SP!$A$5:$A$304,0)),""))</f>
        <v/>
      </c>
      <c r="E550" s="35" t="str">
        <f>IF(BOM!A544="","",BOM!B544)</f>
        <v/>
      </c>
      <c r="F550" s="35" t="str">
        <f>IF(E550="","",IFERROR(INDEX(DM_NL!$B$5:$B$304,MATCH(E550,DM_NL!$A$5:$A$304,0)),"(chưa có trong DM_NL)"))</f>
        <v/>
      </c>
      <c r="G550" s="35" t="str">
        <f>IF(E550="","",IFERROR(INDEX(DM_NL!$C$5:$C$304,MATCH(E550,DM_NL!$A$5:$A$304,0)),""))</f>
        <v/>
      </c>
      <c r="H550" s="39" t="str">
        <f>IF(OR(E550="",BOM!G544="KXDDM"),"",BOM!F544)</f>
        <v/>
      </c>
      <c r="I550" s="36" t="str">
        <f>IF(E550="","",BOM!G544&amp;"")</f>
        <v/>
      </c>
    </row>
    <row r="551" spans="1:9" x14ac:dyDescent="0.25">
      <c r="A551" s="36" t="str">
        <f>IF(B551="","",MAX($A$10:A550)+1)</f>
        <v/>
      </c>
      <c r="B551" s="35" t="str">
        <f>IF(BOM!A545="","",IF(BOM!A545=BOM!A544,"",BOM!A545))</f>
        <v/>
      </c>
      <c r="C551" s="35" t="str">
        <f>IF(B551="","",IFERROR(INDEX(DM_SP!$B$5:$B$304,MATCH(B551,DM_SP!$A$5:$A$304,0)),"(chưa có trong DM_SP)"))</f>
        <v/>
      </c>
      <c r="D551" s="35" t="str">
        <f>IF(B551="","",IFERROR(INDEX(DM_SP!$C$5:$C$304,MATCH(B551,DM_SP!$A$5:$A$304,0)),""))</f>
        <v/>
      </c>
      <c r="E551" s="35" t="str">
        <f>IF(BOM!A545="","",BOM!B545)</f>
        <v/>
      </c>
      <c r="F551" s="35" t="str">
        <f>IF(E551="","",IFERROR(INDEX(DM_NL!$B$5:$B$304,MATCH(E551,DM_NL!$A$5:$A$304,0)),"(chưa có trong DM_NL)"))</f>
        <v/>
      </c>
      <c r="G551" s="35" t="str">
        <f>IF(E551="","",IFERROR(INDEX(DM_NL!$C$5:$C$304,MATCH(E551,DM_NL!$A$5:$A$304,0)),""))</f>
        <v/>
      </c>
      <c r="H551" s="39" t="str">
        <f>IF(OR(E551="",BOM!G545="KXDDM"),"",BOM!F545)</f>
        <v/>
      </c>
      <c r="I551" s="36" t="str">
        <f>IF(E551="","",BOM!G545&amp;"")</f>
        <v/>
      </c>
    </row>
    <row r="552" spans="1:9" x14ac:dyDescent="0.25">
      <c r="A552" s="36" t="str">
        <f>IF(B552="","",MAX($A$10:A551)+1)</f>
        <v/>
      </c>
      <c r="B552" s="35" t="str">
        <f>IF(BOM!A546="","",IF(BOM!A546=BOM!A545,"",BOM!A546))</f>
        <v/>
      </c>
      <c r="C552" s="35" t="str">
        <f>IF(B552="","",IFERROR(INDEX(DM_SP!$B$5:$B$304,MATCH(B552,DM_SP!$A$5:$A$304,0)),"(chưa có trong DM_SP)"))</f>
        <v/>
      </c>
      <c r="D552" s="35" t="str">
        <f>IF(B552="","",IFERROR(INDEX(DM_SP!$C$5:$C$304,MATCH(B552,DM_SP!$A$5:$A$304,0)),""))</f>
        <v/>
      </c>
      <c r="E552" s="35" t="str">
        <f>IF(BOM!A546="","",BOM!B546)</f>
        <v/>
      </c>
      <c r="F552" s="35" t="str">
        <f>IF(E552="","",IFERROR(INDEX(DM_NL!$B$5:$B$304,MATCH(E552,DM_NL!$A$5:$A$304,0)),"(chưa có trong DM_NL)"))</f>
        <v/>
      </c>
      <c r="G552" s="35" t="str">
        <f>IF(E552="","",IFERROR(INDEX(DM_NL!$C$5:$C$304,MATCH(E552,DM_NL!$A$5:$A$304,0)),""))</f>
        <v/>
      </c>
      <c r="H552" s="39" t="str">
        <f>IF(OR(E552="",BOM!G546="KXDDM"),"",BOM!F546)</f>
        <v/>
      </c>
      <c r="I552" s="36" t="str">
        <f>IF(E552="","",BOM!G546&amp;"")</f>
        <v/>
      </c>
    </row>
    <row r="553" spans="1:9" x14ac:dyDescent="0.25">
      <c r="A553" s="36" t="str">
        <f>IF(B553="","",MAX($A$10:A552)+1)</f>
        <v/>
      </c>
      <c r="B553" s="35" t="str">
        <f>IF(BOM!A547="","",IF(BOM!A547=BOM!A546,"",BOM!A547))</f>
        <v/>
      </c>
      <c r="C553" s="35" t="str">
        <f>IF(B553="","",IFERROR(INDEX(DM_SP!$B$5:$B$304,MATCH(B553,DM_SP!$A$5:$A$304,0)),"(chưa có trong DM_SP)"))</f>
        <v/>
      </c>
      <c r="D553" s="35" t="str">
        <f>IF(B553="","",IFERROR(INDEX(DM_SP!$C$5:$C$304,MATCH(B553,DM_SP!$A$5:$A$304,0)),""))</f>
        <v/>
      </c>
      <c r="E553" s="35" t="str">
        <f>IF(BOM!A547="","",BOM!B547)</f>
        <v/>
      </c>
      <c r="F553" s="35" t="str">
        <f>IF(E553="","",IFERROR(INDEX(DM_NL!$B$5:$B$304,MATCH(E553,DM_NL!$A$5:$A$304,0)),"(chưa có trong DM_NL)"))</f>
        <v/>
      </c>
      <c r="G553" s="35" t="str">
        <f>IF(E553="","",IFERROR(INDEX(DM_NL!$C$5:$C$304,MATCH(E553,DM_NL!$A$5:$A$304,0)),""))</f>
        <v/>
      </c>
      <c r="H553" s="39" t="str">
        <f>IF(OR(E553="",BOM!G547="KXDDM"),"",BOM!F547)</f>
        <v/>
      </c>
      <c r="I553" s="36" t="str">
        <f>IF(E553="","",BOM!G547&amp;"")</f>
        <v/>
      </c>
    </row>
    <row r="554" spans="1:9" x14ac:dyDescent="0.25">
      <c r="A554" s="36" t="str">
        <f>IF(B554="","",MAX($A$10:A553)+1)</f>
        <v/>
      </c>
      <c r="B554" s="35" t="str">
        <f>IF(BOM!A548="","",IF(BOM!A548=BOM!A547,"",BOM!A548))</f>
        <v/>
      </c>
      <c r="C554" s="35" t="str">
        <f>IF(B554="","",IFERROR(INDEX(DM_SP!$B$5:$B$304,MATCH(B554,DM_SP!$A$5:$A$304,0)),"(chưa có trong DM_SP)"))</f>
        <v/>
      </c>
      <c r="D554" s="35" t="str">
        <f>IF(B554="","",IFERROR(INDEX(DM_SP!$C$5:$C$304,MATCH(B554,DM_SP!$A$5:$A$304,0)),""))</f>
        <v/>
      </c>
      <c r="E554" s="35" t="str">
        <f>IF(BOM!A548="","",BOM!B548)</f>
        <v/>
      </c>
      <c r="F554" s="35" t="str">
        <f>IF(E554="","",IFERROR(INDEX(DM_NL!$B$5:$B$304,MATCH(E554,DM_NL!$A$5:$A$304,0)),"(chưa có trong DM_NL)"))</f>
        <v/>
      </c>
      <c r="G554" s="35" t="str">
        <f>IF(E554="","",IFERROR(INDEX(DM_NL!$C$5:$C$304,MATCH(E554,DM_NL!$A$5:$A$304,0)),""))</f>
        <v/>
      </c>
      <c r="H554" s="39" t="str">
        <f>IF(OR(E554="",BOM!G548="KXDDM"),"",BOM!F548)</f>
        <v/>
      </c>
      <c r="I554" s="36" t="str">
        <f>IF(E554="","",BOM!G548&amp;"")</f>
        <v/>
      </c>
    </row>
    <row r="555" spans="1:9" x14ac:dyDescent="0.25">
      <c r="A555" s="36" t="str">
        <f>IF(B555="","",MAX($A$10:A554)+1)</f>
        <v/>
      </c>
      <c r="B555" s="35" t="str">
        <f>IF(BOM!A549="","",IF(BOM!A549=BOM!A548,"",BOM!A549))</f>
        <v/>
      </c>
      <c r="C555" s="35" t="str">
        <f>IF(B555="","",IFERROR(INDEX(DM_SP!$B$5:$B$304,MATCH(B555,DM_SP!$A$5:$A$304,0)),"(chưa có trong DM_SP)"))</f>
        <v/>
      </c>
      <c r="D555" s="35" t="str">
        <f>IF(B555="","",IFERROR(INDEX(DM_SP!$C$5:$C$304,MATCH(B555,DM_SP!$A$5:$A$304,0)),""))</f>
        <v/>
      </c>
      <c r="E555" s="35" t="str">
        <f>IF(BOM!A549="","",BOM!B549)</f>
        <v/>
      </c>
      <c r="F555" s="35" t="str">
        <f>IF(E555="","",IFERROR(INDEX(DM_NL!$B$5:$B$304,MATCH(E555,DM_NL!$A$5:$A$304,0)),"(chưa có trong DM_NL)"))</f>
        <v/>
      </c>
      <c r="G555" s="35" t="str">
        <f>IF(E555="","",IFERROR(INDEX(DM_NL!$C$5:$C$304,MATCH(E555,DM_NL!$A$5:$A$304,0)),""))</f>
        <v/>
      </c>
      <c r="H555" s="39" t="str">
        <f>IF(OR(E555="",BOM!G549="KXDDM"),"",BOM!F549)</f>
        <v/>
      </c>
      <c r="I555" s="36" t="str">
        <f>IF(E555="","",BOM!G549&amp;"")</f>
        <v/>
      </c>
    </row>
    <row r="556" spans="1:9" x14ac:dyDescent="0.25">
      <c r="A556" s="36" t="str">
        <f>IF(B556="","",MAX($A$10:A555)+1)</f>
        <v/>
      </c>
      <c r="B556" s="35" t="str">
        <f>IF(BOM!A550="","",IF(BOM!A550=BOM!A549,"",BOM!A550))</f>
        <v/>
      </c>
      <c r="C556" s="35" t="str">
        <f>IF(B556="","",IFERROR(INDEX(DM_SP!$B$5:$B$304,MATCH(B556,DM_SP!$A$5:$A$304,0)),"(chưa có trong DM_SP)"))</f>
        <v/>
      </c>
      <c r="D556" s="35" t="str">
        <f>IF(B556="","",IFERROR(INDEX(DM_SP!$C$5:$C$304,MATCH(B556,DM_SP!$A$5:$A$304,0)),""))</f>
        <v/>
      </c>
      <c r="E556" s="35" t="str">
        <f>IF(BOM!A550="","",BOM!B550)</f>
        <v/>
      </c>
      <c r="F556" s="35" t="str">
        <f>IF(E556="","",IFERROR(INDEX(DM_NL!$B$5:$B$304,MATCH(E556,DM_NL!$A$5:$A$304,0)),"(chưa có trong DM_NL)"))</f>
        <v/>
      </c>
      <c r="G556" s="35" t="str">
        <f>IF(E556="","",IFERROR(INDEX(DM_NL!$C$5:$C$304,MATCH(E556,DM_NL!$A$5:$A$304,0)),""))</f>
        <v/>
      </c>
      <c r="H556" s="39" t="str">
        <f>IF(OR(E556="",BOM!G550="KXDDM"),"",BOM!F550)</f>
        <v/>
      </c>
      <c r="I556" s="36" t="str">
        <f>IF(E556="","",BOM!G550&amp;"")</f>
        <v/>
      </c>
    </row>
    <row r="557" spans="1:9" x14ac:dyDescent="0.25">
      <c r="A557" s="36" t="str">
        <f>IF(B557="","",MAX($A$10:A556)+1)</f>
        <v/>
      </c>
      <c r="B557" s="35" t="str">
        <f>IF(BOM!A551="","",IF(BOM!A551=BOM!A550,"",BOM!A551))</f>
        <v/>
      </c>
      <c r="C557" s="35" t="str">
        <f>IF(B557="","",IFERROR(INDEX(DM_SP!$B$5:$B$304,MATCH(B557,DM_SP!$A$5:$A$304,0)),"(chưa có trong DM_SP)"))</f>
        <v/>
      </c>
      <c r="D557" s="35" t="str">
        <f>IF(B557="","",IFERROR(INDEX(DM_SP!$C$5:$C$304,MATCH(B557,DM_SP!$A$5:$A$304,0)),""))</f>
        <v/>
      </c>
      <c r="E557" s="35" t="str">
        <f>IF(BOM!A551="","",BOM!B551)</f>
        <v/>
      </c>
      <c r="F557" s="35" t="str">
        <f>IF(E557="","",IFERROR(INDEX(DM_NL!$B$5:$B$304,MATCH(E557,DM_NL!$A$5:$A$304,0)),"(chưa có trong DM_NL)"))</f>
        <v/>
      </c>
      <c r="G557" s="35" t="str">
        <f>IF(E557="","",IFERROR(INDEX(DM_NL!$C$5:$C$304,MATCH(E557,DM_NL!$A$5:$A$304,0)),""))</f>
        <v/>
      </c>
      <c r="H557" s="39" t="str">
        <f>IF(OR(E557="",BOM!G551="KXDDM"),"",BOM!F551)</f>
        <v/>
      </c>
      <c r="I557" s="36" t="str">
        <f>IF(E557="","",BOM!G551&amp;"")</f>
        <v/>
      </c>
    </row>
    <row r="558" spans="1:9" x14ac:dyDescent="0.25">
      <c r="A558" s="36" t="str">
        <f>IF(B558="","",MAX($A$10:A557)+1)</f>
        <v/>
      </c>
      <c r="B558" s="35" t="str">
        <f>IF(BOM!A552="","",IF(BOM!A552=BOM!A551,"",BOM!A552))</f>
        <v/>
      </c>
      <c r="C558" s="35" t="str">
        <f>IF(B558="","",IFERROR(INDEX(DM_SP!$B$5:$B$304,MATCH(B558,DM_SP!$A$5:$A$304,0)),"(chưa có trong DM_SP)"))</f>
        <v/>
      </c>
      <c r="D558" s="35" t="str">
        <f>IF(B558="","",IFERROR(INDEX(DM_SP!$C$5:$C$304,MATCH(B558,DM_SP!$A$5:$A$304,0)),""))</f>
        <v/>
      </c>
      <c r="E558" s="35" t="str">
        <f>IF(BOM!A552="","",BOM!B552)</f>
        <v/>
      </c>
      <c r="F558" s="35" t="str">
        <f>IF(E558="","",IFERROR(INDEX(DM_NL!$B$5:$B$304,MATCH(E558,DM_NL!$A$5:$A$304,0)),"(chưa có trong DM_NL)"))</f>
        <v/>
      </c>
      <c r="G558" s="35" t="str">
        <f>IF(E558="","",IFERROR(INDEX(DM_NL!$C$5:$C$304,MATCH(E558,DM_NL!$A$5:$A$304,0)),""))</f>
        <v/>
      </c>
      <c r="H558" s="39" t="str">
        <f>IF(OR(E558="",BOM!G552="KXDDM"),"",BOM!F552)</f>
        <v/>
      </c>
      <c r="I558" s="36" t="str">
        <f>IF(E558="","",BOM!G552&amp;"")</f>
        <v/>
      </c>
    </row>
    <row r="559" spans="1:9" x14ac:dyDescent="0.25">
      <c r="A559" s="36" t="str">
        <f>IF(B559="","",MAX($A$10:A558)+1)</f>
        <v/>
      </c>
      <c r="B559" s="35" t="str">
        <f>IF(BOM!A553="","",IF(BOM!A553=BOM!A552,"",BOM!A553))</f>
        <v/>
      </c>
      <c r="C559" s="35" t="str">
        <f>IF(B559="","",IFERROR(INDEX(DM_SP!$B$5:$B$304,MATCH(B559,DM_SP!$A$5:$A$304,0)),"(chưa có trong DM_SP)"))</f>
        <v/>
      </c>
      <c r="D559" s="35" t="str">
        <f>IF(B559="","",IFERROR(INDEX(DM_SP!$C$5:$C$304,MATCH(B559,DM_SP!$A$5:$A$304,0)),""))</f>
        <v/>
      </c>
      <c r="E559" s="35" t="str">
        <f>IF(BOM!A553="","",BOM!B553)</f>
        <v/>
      </c>
      <c r="F559" s="35" t="str">
        <f>IF(E559="","",IFERROR(INDEX(DM_NL!$B$5:$B$304,MATCH(E559,DM_NL!$A$5:$A$304,0)),"(chưa có trong DM_NL)"))</f>
        <v/>
      </c>
      <c r="G559" s="35" t="str">
        <f>IF(E559="","",IFERROR(INDEX(DM_NL!$C$5:$C$304,MATCH(E559,DM_NL!$A$5:$A$304,0)),""))</f>
        <v/>
      </c>
      <c r="H559" s="39" t="str">
        <f>IF(OR(E559="",BOM!G553="KXDDM"),"",BOM!F553)</f>
        <v/>
      </c>
      <c r="I559" s="36" t="str">
        <f>IF(E559="","",BOM!G553&amp;"")</f>
        <v/>
      </c>
    </row>
    <row r="560" spans="1:9" x14ac:dyDescent="0.25">
      <c r="A560" s="36" t="str">
        <f>IF(B560="","",MAX($A$10:A559)+1)</f>
        <v/>
      </c>
      <c r="B560" s="35" t="str">
        <f>IF(BOM!A554="","",IF(BOM!A554=BOM!A553,"",BOM!A554))</f>
        <v/>
      </c>
      <c r="C560" s="35" t="str">
        <f>IF(B560="","",IFERROR(INDEX(DM_SP!$B$5:$B$304,MATCH(B560,DM_SP!$A$5:$A$304,0)),"(chưa có trong DM_SP)"))</f>
        <v/>
      </c>
      <c r="D560" s="35" t="str">
        <f>IF(B560="","",IFERROR(INDEX(DM_SP!$C$5:$C$304,MATCH(B560,DM_SP!$A$5:$A$304,0)),""))</f>
        <v/>
      </c>
      <c r="E560" s="35" t="str">
        <f>IF(BOM!A554="","",BOM!B554)</f>
        <v/>
      </c>
      <c r="F560" s="35" t="str">
        <f>IF(E560="","",IFERROR(INDEX(DM_NL!$B$5:$B$304,MATCH(E560,DM_NL!$A$5:$A$304,0)),"(chưa có trong DM_NL)"))</f>
        <v/>
      </c>
      <c r="G560" s="35" t="str">
        <f>IF(E560="","",IFERROR(INDEX(DM_NL!$C$5:$C$304,MATCH(E560,DM_NL!$A$5:$A$304,0)),""))</f>
        <v/>
      </c>
      <c r="H560" s="39" t="str">
        <f>IF(OR(E560="",BOM!G554="KXDDM"),"",BOM!F554)</f>
        <v/>
      </c>
      <c r="I560" s="36" t="str">
        <f>IF(E560="","",BOM!G554&amp;"")</f>
        <v/>
      </c>
    </row>
    <row r="561" spans="1:9" x14ac:dyDescent="0.25">
      <c r="A561" s="36" t="str">
        <f>IF(B561="","",MAX($A$10:A560)+1)</f>
        <v/>
      </c>
      <c r="B561" s="35" t="str">
        <f>IF(BOM!A555="","",IF(BOM!A555=BOM!A554,"",BOM!A555))</f>
        <v/>
      </c>
      <c r="C561" s="35" t="str">
        <f>IF(B561="","",IFERROR(INDEX(DM_SP!$B$5:$B$304,MATCH(B561,DM_SP!$A$5:$A$304,0)),"(chưa có trong DM_SP)"))</f>
        <v/>
      </c>
      <c r="D561" s="35" t="str">
        <f>IF(B561="","",IFERROR(INDEX(DM_SP!$C$5:$C$304,MATCH(B561,DM_SP!$A$5:$A$304,0)),""))</f>
        <v/>
      </c>
      <c r="E561" s="35" t="str">
        <f>IF(BOM!A555="","",BOM!B555)</f>
        <v/>
      </c>
      <c r="F561" s="35" t="str">
        <f>IF(E561="","",IFERROR(INDEX(DM_NL!$B$5:$B$304,MATCH(E561,DM_NL!$A$5:$A$304,0)),"(chưa có trong DM_NL)"))</f>
        <v/>
      </c>
      <c r="G561" s="35" t="str">
        <f>IF(E561="","",IFERROR(INDEX(DM_NL!$C$5:$C$304,MATCH(E561,DM_NL!$A$5:$A$304,0)),""))</f>
        <v/>
      </c>
      <c r="H561" s="39" t="str">
        <f>IF(OR(E561="",BOM!G555="KXDDM"),"",BOM!F555)</f>
        <v/>
      </c>
      <c r="I561" s="36" t="str">
        <f>IF(E561="","",BOM!G555&amp;"")</f>
        <v/>
      </c>
    </row>
    <row r="562" spans="1:9" x14ac:dyDescent="0.25">
      <c r="A562" s="36" t="str">
        <f>IF(B562="","",MAX($A$10:A561)+1)</f>
        <v/>
      </c>
      <c r="B562" s="35" t="str">
        <f>IF(BOM!A556="","",IF(BOM!A556=BOM!A555,"",BOM!A556))</f>
        <v/>
      </c>
      <c r="C562" s="35" t="str">
        <f>IF(B562="","",IFERROR(INDEX(DM_SP!$B$5:$B$304,MATCH(B562,DM_SP!$A$5:$A$304,0)),"(chưa có trong DM_SP)"))</f>
        <v/>
      </c>
      <c r="D562" s="35" t="str">
        <f>IF(B562="","",IFERROR(INDEX(DM_SP!$C$5:$C$304,MATCH(B562,DM_SP!$A$5:$A$304,0)),""))</f>
        <v/>
      </c>
      <c r="E562" s="35" t="str">
        <f>IF(BOM!A556="","",BOM!B556)</f>
        <v/>
      </c>
      <c r="F562" s="35" t="str">
        <f>IF(E562="","",IFERROR(INDEX(DM_NL!$B$5:$B$304,MATCH(E562,DM_NL!$A$5:$A$304,0)),"(chưa có trong DM_NL)"))</f>
        <v/>
      </c>
      <c r="G562" s="35" t="str">
        <f>IF(E562="","",IFERROR(INDEX(DM_NL!$C$5:$C$304,MATCH(E562,DM_NL!$A$5:$A$304,0)),""))</f>
        <v/>
      </c>
      <c r="H562" s="39" t="str">
        <f>IF(OR(E562="",BOM!G556="KXDDM"),"",BOM!F556)</f>
        <v/>
      </c>
      <c r="I562" s="36" t="str">
        <f>IF(E562="","",BOM!G556&amp;"")</f>
        <v/>
      </c>
    </row>
    <row r="563" spans="1:9" x14ac:dyDescent="0.25">
      <c r="A563" s="36" t="str">
        <f>IF(B563="","",MAX($A$10:A562)+1)</f>
        <v/>
      </c>
      <c r="B563" s="35" t="str">
        <f>IF(BOM!A557="","",IF(BOM!A557=BOM!A556,"",BOM!A557))</f>
        <v/>
      </c>
      <c r="C563" s="35" t="str">
        <f>IF(B563="","",IFERROR(INDEX(DM_SP!$B$5:$B$304,MATCH(B563,DM_SP!$A$5:$A$304,0)),"(chưa có trong DM_SP)"))</f>
        <v/>
      </c>
      <c r="D563" s="35" t="str">
        <f>IF(B563="","",IFERROR(INDEX(DM_SP!$C$5:$C$304,MATCH(B563,DM_SP!$A$5:$A$304,0)),""))</f>
        <v/>
      </c>
      <c r="E563" s="35" t="str">
        <f>IF(BOM!A557="","",BOM!B557)</f>
        <v/>
      </c>
      <c r="F563" s="35" t="str">
        <f>IF(E563="","",IFERROR(INDEX(DM_NL!$B$5:$B$304,MATCH(E563,DM_NL!$A$5:$A$304,0)),"(chưa có trong DM_NL)"))</f>
        <v/>
      </c>
      <c r="G563" s="35" t="str">
        <f>IF(E563="","",IFERROR(INDEX(DM_NL!$C$5:$C$304,MATCH(E563,DM_NL!$A$5:$A$304,0)),""))</f>
        <v/>
      </c>
      <c r="H563" s="39" t="str">
        <f>IF(OR(E563="",BOM!G557="KXDDM"),"",BOM!F557)</f>
        <v/>
      </c>
      <c r="I563" s="36" t="str">
        <f>IF(E563="","",BOM!G557&amp;"")</f>
        <v/>
      </c>
    </row>
    <row r="564" spans="1:9" x14ac:dyDescent="0.25">
      <c r="A564" s="36" t="str">
        <f>IF(B564="","",MAX($A$10:A563)+1)</f>
        <v/>
      </c>
      <c r="B564" s="35" t="str">
        <f>IF(BOM!A558="","",IF(BOM!A558=BOM!A557,"",BOM!A558))</f>
        <v/>
      </c>
      <c r="C564" s="35" t="str">
        <f>IF(B564="","",IFERROR(INDEX(DM_SP!$B$5:$B$304,MATCH(B564,DM_SP!$A$5:$A$304,0)),"(chưa có trong DM_SP)"))</f>
        <v/>
      </c>
      <c r="D564" s="35" t="str">
        <f>IF(B564="","",IFERROR(INDEX(DM_SP!$C$5:$C$304,MATCH(B564,DM_SP!$A$5:$A$304,0)),""))</f>
        <v/>
      </c>
      <c r="E564" s="35" t="str">
        <f>IF(BOM!A558="","",BOM!B558)</f>
        <v/>
      </c>
      <c r="F564" s="35" t="str">
        <f>IF(E564="","",IFERROR(INDEX(DM_NL!$B$5:$B$304,MATCH(E564,DM_NL!$A$5:$A$304,0)),"(chưa có trong DM_NL)"))</f>
        <v/>
      </c>
      <c r="G564" s="35" t="str">
        <f>IF(E564="","",IFERROR(INDEX(DM_NL!$C$5:$C$304,MATCH(E564,DM_NL!$A$5:$A$304,0)),""))</f>
        <v/>
      </c>
      <c r="H564" s="39" t="str">
        <f>IF(OR(E564="",BOM!G558="KXDDM"),"",BOM!F558)</f>
        <v/>
      </c>
      <c r="I564" s="36" t="str">
        <f>IF(E564="","",BOM!G558&amp;"")</f>
        <v/>
      </c>
    </row>
    <row r="565" spans="1:9" x14ac:dyDescent="0.25">
      <c r="A565" s="36" t="str">
        <f>IF(B565="","",MAX($A$10:A564)+1)</f>
        <v/>
      </c>
      <c r="B565" s="35" t="str">
        <f>IF(BOM!A559="","",IF(BOM!A559=BOM!A558,"",BOM!A559))</f>
        <v/>
      </c>
      <c r="C565" s="35" t="str">
        <f>IF(B565="","",IFERROR(INDEX(DM_SP!$B$5:$B$304,MATCH(B565,DM_SP!$A$5:$A$304,0)),"(chưa có trong DM_SP)"))</f>
        <v/>
      </c>
      <c r="D565" s="35" t="str">
        <f>IF(B565="","",IFERROR(INDEX(DM_SP!$C$5:$C$304,MATCH(B565,DM_SP!$A$5:$A$304,0)),""))</f>
        <v/>
      </c>
      <c r="E565" s="35" t="str">
        <f>IF(BOM!A559="","",BOM!B559)</f>
        <v/>
      </c>
      <c r="F565" s="35" t="str">
        <f>IF(E565="","",IFERROR(INDEX(DM_NL!$B$5:$B$304,MATCH(E565,DM_NL!$A$5:$A$304,0)),"(chưa có trong DM_NL)"))</f>
        <v/>
      </c>
      <c r="G565" s="35" t="str">
        <f>IF(E565="","",IFERROR(INDEX(DM_NL!$C$5:$C$304,MATCH(E565,DM_NL!$A$5:$A$304,0)),""))</f>
        <v/>
      </c>
      <c r="H565" s="39" t="str">
        <f>IF(OR(E565="",BOM!G559="KXDDM"),"",BOM!F559)</f>
        <v/>
      </c>
      <c r="I565" s="36" t="str">
        <f>IF(E565="","",BOM!G559&amp;"")</f>
        <v/>
      </c>
    </row>
    <row r="566" spans="1:9" x14ac:dyDescent="0.25">
      <c r="A566" s="36" t="str">
        <f>IF(B566="","",MAX($A$10:A565)+1)</f>
        <v/>
      </c>
      <c r="B566" s="35" t="str">
        <f>IF(BOM!A560="","",IF(BOM!A560=BOM!A559,"",BOM!A560))</f>
        <v/>
      </c>
      <c r="C566" s="35" t="str">
        <f>IF(B566="","",IFERROR(INDEX(DM_SP!$B$5:$B$304,MATCH(B566,DM_SP!$A$5:$A$304,0)),"(chưa có trong DM_SP)"))</f>
        <v/>
      </c>
      <c r="D566" s="35" t="str">
        <f>IF(B566="","",IFERROR(INDEX(DM_SP!$C$5:$C$304,MATCH(B566,DM_SP!$A$5:$A$304,0)),""))</f>
        <v/>
      </c>
      <c r="E566" s="35" t="str">
        <f>IF(BOM!A560="","",BOM!B560)</f>
        <v/>
      </c>
      <c r="F566" s="35" t="str">
        <f>IF(E566="","",IFERROR(INDEX(DM_NL!$B$5:$B$304,MATCH(E566,DM_NL!$A$5:$A$304,0)),"(chưa có trong DM_NL)"))</f>
        <v/>
      </c>
      <c r="G566" s="35" t="str">
        <f>IF(E566="","",IFERROR(INDEX(DM_NL!$C$5:$C$304,MATCH(E566,DM_NL!$A$5:$A$304,0)),""))</f>
        <v/>
      </c>
      <c r="H566" s="39" t="str">
        <f>IF(OR(E566="",BOM!G560="KXDDM"),"",BOM!F560)</f>
        <v/>
      </c>
      <c r="I566" s="36" t="str">
        <f>IF(E566="","",BOM!G560&amp;"")</f>
        <v/>
      </c>
    </row>
    <row r="567" spans="1:9" x14ac:dyDescent="0.25">
      <c r="A567" s="36" t="str">
        <f>IF(B567="","",MAX($A$10:A566)+1)</f>
        <v/>
      </c>
      <c r="B567" s="35" t="str">
        <f>IF(BOM!A561="","",IF(BOM!A561=BOM!A560,"",BOM!A561))</f>
        <v/>
      </c>
      <c r="C567" s="35" t="str">
        <f>IF(B567="","",IFERROR(INDEX(DM_SP!$B$5:$B$304,MATCH(B567,DM_SP!$A$5:$A$304,0)),"(chưa có trong DM_SP)"))</f>
        <v/>
      </c>
      <c r="D567" s="35" t="str">
        <f>IF(B567="","",IFERROR(INDEX(DM_SP!$C$5:$C$304,MATCH(B567,DM_SP!$A$5:$A$304,0)),""))</f>
        <v/>
      </c>
      <c r="E567" s="35" t="str">
        <f>IF(BOM!A561="","",BOM!B561)</f>
        <v/>
      </c>
      <c r="F567" s="35" t="str">
        <f>IF(E567="","",IFERROR(INDEX(DM_NL!$B$5:$B$304,MATCH(E567,DM_NL!$A$5:$A$304,0)),"(chưa có trong DM_NL)"))</f>
        <v/>
      </c>
      <c r="G567" s="35" t="str">
        <f>IF(E567="","",IFERROR(INDEX(DM_NL!$C$5:$C$304,MATCH(E567,DM_NL!$A$5:$A$304,0)),""))</f>
        <v/>
      </c>
      <c r="H567" s="39" t="str">
        <f>IF(OR(E567="",BOM!G561="KXDDM"),"",BOM!F561)</f>
        <v/>
      </c>
      <c r="I567" s="36" t="str">
        <f>IF(E567="","",BOM!G561&amp;"")</f>
        <v/>
      </c>
    </row>
    <row r="568" spans="1:9" x14ac:dyDescent="0.25">
      <c r="A568" s="36" t="str">
        <f>IF(B568="","",MAX($A$10:A567)+1)</f>
        <v/>
      </c>
      <c r="B568" s="35" t="str">
        <f>IF(BOM!A562="","",IF(BOM!A562=BOM!A561,"",BOM!A562))</f>
        <v/>
      </c>
      <c r="C568" s="35" t="str">
        <f>IF(B568="","",IFERROR(INDEX(DM_SP!$B$5:$B$304,MATCH(B568,DM_SP!$A$5:$A$304,0)),"(chưa có trong DM_SP)"))</f>
        <v/>
      </c>
      <c r="D568" s="35" t="str">
        <f>IF(B568="","",IFERROR(INDEX(DM_SP!$C$5:$C$304,MATCH(B568,DM_SP!$A$5:$A$304,0)),""))</f>
        <v/>
      </c>
      <c r="E568" s="35" t="str">
        <f>IF(BOM!A562="","",BOM!B562)</f>
        <v/>
      </c>
      <c r="F568" s="35" t="str">
        <f>IF(E568="","",IFERROR(INDEX(DM_NL!$B$5:$B$304,MATCH(E568,DM_NL!$A$5:$A$304,0)),"(chưa có trong DM_NL)"))</f>
        <v/>
      </c>
      <c r="G568" s="35" t="str">
        <f>IF(E568="","",IFERROR(INDEX(DM_NL!$C$5:$C$304,MATCH(E568,DM_NL!$A$5:$A$304,0)),""))</f>
        <v/>
      </c>
      <c r="H568" s="39" t="str">
        <f>IF(OR(E568="",BOM!G562="KXDDM"),"",BOM!F562)</f>
        <v/>
      </c>
      <c r="I568" s="36" t="str">
        <f>IF(E568="","",BOM!G562&amp;"")</f>
        <v/>
      </c>
    </row>
    <row r="569" spans="1:9" x14ac:dyDescent="0.25">
      <c r="A569" s="36" t="str">
        <f>IF(B569="","",MAX($A$10:A568)+1)</f>
        <v/>
      </c>
      <c r="B569" s="35" t="str">
        <f>IF(BOM!A563="","",IF(BOM!A563=BOM!A562,"",BOM!A563))</f>
        <v/>
      </c>
      <c r="C569" s="35" t="str">
        <f>IF(B569="","",IFERROR(INDEX(DM_SP!$B$5:$B$304,MATCH(B569,DM_SP!$A$5:$A$304,0)),"(chưa có trong DM_SP)"))</f>
        <v/>
      </c>
      <c r="D569" s="35" t="str">
        <f>IF(B569="","",IFERROR(INDEX(DM_SP!$C$5:$C$304,MATCH(B569,DM_SP!$A$5:$A$304,0)),""))</f>
        <v/>
      </c>
      <c r="E569" s="35" t="str">
        <f>IF(BOM!A563="","",BOM!B563)</f>
        <v/>
      </c>
      <c r="F569" s="35" t="str">
        <f>IF(E569="","",IFERROR(INDEX(DM_NL!$B$5:$B$304,MATCH(E569,DM_NL!$A$5:$A$304,0)),"(chưa có trong DM_NL)"))</f>
        <v/>
      </c>
      <c r="G569" s="35" t="str">
        <f>IF(E569="","",IFERROR(INDEX(DM_NL!$C$5:$C$304,MATCH(E569,DM_NL!$A$5:$A$304,0)),""))</f>
        <v/>
      </c>
      <c r="H569" s="39" t="str">
        <f>IF(OR(E569="",BOM!G563="KXDDM"),"",BOM!F563)</f>
        <v/>
      </c>
      <c r="I569" s="36" t="str">
        <f>IF(E569="","",BOM!G563&amp;"")</f>
        <v/>
      </c>
    </row>
    <row r="570" spans="1:9" x14ac:dyDescent="0.25">
      <c r="A570" s="36" t="str">
        <f>IF(B570="","",MAX($A$10:A569)+1)</f>
        <v/>
      </c>
      <c r="B570" s="35" t="str">
        <f>IF(BOM!A564="","",IF(BOM!A564=BOM!A563,"",BOM!A564))</f>
        <v/>
      </c>
      <c r="C570" s="35" t="str">
        <f>IF(B570="","",IFERROR(INDEX(DM_SP!$B$5:$B$304,MATCH(B570,DM_SP!$A$5:$A$304,0)),"(chưa có trong DM_SP)"))</f>
        <v/>
      </c>
      <c r="D570" s="35" t="str">
        <f>IF(B570="","",IFERROR(INDEX(DM_SP!$C$5:$C$304,MATCH(B570,DM_SP!$A$5:$A$304,0)),""))</f>
        <v/>
      </c>
      <c r="E570" s="35" t="str">
        <f>IF(BOM!A564="","",BOM!B564)</f>
        <v/>
      </c>
      <c r="F570" s="35" t="str">
        <f>IF(E570="","",IFERROR(INDEX(DM_NL!$B$5:$B$304,MATCH(E570,DM_NL!$A$5:$A$304,0)),"(chưa có trong DM_NL)"))</f>
        <v/>
      </c>
      <c r="G570" s="35" t="str">
        <f>IF(E570="","",IFERROR(INDEX(DM_NL!$C$5:$C$304,MATCH(E570,DM_NL!$A$5:$A$304,0)),""))</f>
        <v/>
      </c>
      <c r="H570" s="39" t="str">
        <f>IF(OR(E570="",BOM!G564="KXDDM"),"",BOM!F564)</f>
        <v/>
      </c>
      <c r="I570" s="36" t="str">
        <f>IF(E570="","",BOM!G564&amp;"")</f>
        <v/>
      </c>
    </row>
    <row r="571" spans="1:9" x14ac:dyDescent="0.25">
      <c r="A571" s="36" t="str">
        <f>IF(B571="","",MAX($A$10:A570)+1)</f>
        <v/>
      </c>
      <c r="B571" s="35" t="str">
        <f>IF(BOM!A565="","",IF(BOM!A565=BOM!A564,"",BOM!A565))</f>
        <v/>
      </c>
      <c r="C571" s="35" t="str">
        <f>IF(B571="","",IFERROR(INDEX(DM_SP!$B$5:$B$304,MATCH(B571,DM_SP!$A$5:$A$304,0)),"(chưa có trong DM_SP)"))</f>
        <v/>
      </c>
      <c r="D571" s="35" t="str">
        <f>IF(B571="","",IFERROR(INDEX(DM_SP!$C$5:$C$304,MATCH(B571,DM_SP!$A$5:$A$304,0)),""))</f>
        <v/>
      </c>
      <c r="E571" s="35" t="str">
        <f>IF(BOM!A565="","",BOM!B565)</f>
        <v/>
      </c>
      <c r="F571" s="35" t="str">
        <f>IF(E571="","",IFERROR(INDEX(DM_NL!$B$5:$B$304,MATCH(E571,DM_NL!$A$5:$A$304,0)),"(chưa có trong DM_NL)"))</f>
        <v/>
      </c>
      <c r="G571" s="35" t="str">
        <f>IF(E571="","",IFERROR(INDEX(DM_NL!$C$5:$C$304,MATCH(E571,DM_NL!$A$5:$A$304,0)),""))</f>
        <v/>
      </c>
      <c r="H571" s="39" t="str">
        <f>IF(OR(E571="",BOM!G565="KXDDM"),"",BOM!F565)</f>
        <v/>
      </c>
      <c r="I571" s="36" t="str">
        <f>IF(E571="","",BOM!G565&amp;"")</f>
        <v/>
      </c>
    </row>
    <row r="572" spans="1:9" x14ac:dyDescent="0.25">
      <c r="A572" s="36" t="str">
        <f>IF(B572="","",MAX($A$10:A571)+1)</f>
        <v/>
      </c>
      <c r="B572" s="35" t="str">
        <f>IF(BOM!A566="","",IF(BOM!A566=BOM!A565,"",BOM!A566))</f>
        <v/>
      </c>
      <c r="C572" s="35" t="str">
        <f>IF(B572="","",IFERROR(INDEX(DM_SP!$B$5:$B$304,MATCH(B572,DM_SP!$A$5:$A$304,0)),"(chưa có trong DM_SP)"))</f>
        <v/>
      </c>
      <c r="D572" s="35" t="str">
        <f>IF(B572="","",IFERROR(INDEX(DM_SP!$C$5:$C$304,MATCH(B572,DM_SP!$A$5:$A$304,0)),""))</f>
        <v/>
      </c>
      <c r="E572" s="35" t="str">
        <f>IF(BOM!A566="","",BOM!B566)</f>
        <v/>
      </c>
      <c r="F572" s="35" t="str">
        <f>IF(E572="","",IFERROR(INDEX(DM_NL!$B$5:$B$304,MATCH(E572,DM_NL!$A$5:$A$304,0)),"(chưa có trong DM_NL)"))</f>
        <v/>
      </c>
      <c r="G572" s="35" t="str">
        <f>IF(E572="","",IFERROR(INDEX(DM_NL!$C$5:$C$304,MATCH(E572,DM_NL!$A$5:$A$304,0)),""))</f>
        <v/>
      </c>
      <c r="H572" s="39" t="str">
        <f>IF(OR(E572="",BOM!G566="KXDDM"),"",BOM!F566)</f>
        <v/>
      </c>
      <c r="I572" s="36" t="str">
        <f>IF(E572="","",BOM!G566&amp;"")</f>
        <v/>
      </c>
    </row>
    <row r="573" spans="1:9" x14ac:dyDescent="0.25">
      <c r="A573" s="36" t="str">
        <f>IF(B573="","",MAX($A$10:A572)+1)</f>
        <v/>
      </c>
      <c r="B573" s="35" t="str">
        <f>IF(BOM!A567="","",IF(BOM!A567=BOM!A566,"",BOM!A567))</f>
        <v/>
      </c>
      <c r="C573" s="35" t="str">
        <f>IF(B573="","",IFERROR(INDEX(DM_SP!$B$5:$B$304,MATCH(B573,DM_SP!$A$5:$A$304,0)),"(chưa có trong DM_SP)"))</f>
        <v/>
      </c>
      <c r="D573" s="35" t="str">
        <f>IF(B573="","",IFERROR(INDEX(DM_SP!$C$5:$C$304,MATCH(B573,DM_SP!$A$5:$A$304,0)),""))</f>
        <v/>
      </c>
      <c r="E573" s="35" t="str">
        <f>IF(BOM!A567="","",BOM!B567)</f>
        <v/>
      </c>
      <c r="F573" s="35" t="str">
        <f>IF(E573="","",IFERROR(INDEX(DM_NL!$B$5:$B$304,MATCH(E573,DM_NL!$A$5:$A$304,0)),"(chưa có trong DM_NL)"))</f>
        <v/>
      </c>
      <c r="G573" s="35" t="str">
        <f>IF(E573="","",IFERROR(INDEX(DM_NL!$C$5:$C$304,MATCH(E573,DM_NL!$A$5:$A$304,0)),""))</f>
        <v/>
      </c>
      <c r="H573" s="39" t="str">
        <f>IF(OR(E573="",BOM!G567="KXDDM"),"",BOM!F567)</f>
        <v/>
      </c>
      <c r="I573" s="36" t="str">
        <f>IF(E573="","",BOM!G567&amp;"")</f>
        <v/>
      </c>
    </row>
    <row r="574" spans="1:9" x14ac:dyDescent="0.25">
      <c r="A574" s="36" t="str">
        <f>IF(B574="","",MAX($A$10:A573)+1)</f>
        <v/>
      </c>
      <c r="B574" s="35" t="str">
        <f>IF(BOM!A568="","",IF(BOM!A568=BOM!A567,"",BOM!A568))</f>
        <v/>
      </c>
      <c r="C574" s="35" t="str">
        <f>IF(B574="","",IFERROR(INDEX(DM_SP!$B$5:$B$304,MATCH(B574,DM_SP!$A$5:$A$304,0)),"(chưa có trong DM_SP)"))</f>
        <v/>
      </c>
      <c r="D574" s="35" t="str">
        <f>IF(B574="","",IFERROR(INDEX(DM_SP!$C$5:$C$304,MATCH(B574,DM_SP!$A$5:$A$304,0)),""))</f>
        <v/>
      </c>
      <c r="E574" s="35" t="str">
        <f>IF(BOM!A568="","",BOM!B568)</f>
        <v/>
      </c>
      <c r="F574" s="35" t="str">
        <f>IF(E574="","",IFERROR(INDEX(DM_NL!$B$5:$B$304,MATCH(E574,DM_NL!$A$5:$A$304,0)),"(chưa có trong DM_NL)"))</f>
        <v/>
      </c>
      <c r="G574" s="35" t="str">
        <f>IF(E574="","",IFERROR(INDEX(DM_NL!$C$5:$C$304,MATCH(E574,DM_NL!$A$5:$A$304,0)),""))</f>
        <v/>
      </c>
      <c r="H574" s="39" t="str">
        <f>IF(OR(E574="",BOM!G568="KXDDM"),"",BOM!F568)</f>
        <v/>
      </c>
      <c r="I574" s="36" t="str">
        <f>IF(E574="","",BOM!G568&amp;"")</f>
        <v/>
      </c>
    </row>
    <row r="575" spans="1:9" x14ac:dyDescent="0.25">
      <c r="A575" s="36" t="str">
        <f>IF(B575="","",MAX($A$10:A574)+1)</f>
        <v/>
      </c>
      <c r="B575" s="35" t="str">
        <f>IF(BOM!A569="","",IF(BOM!A569=BOM!A568,"",BOM!A569))</f>
        <v/>
      </c>
      <c r="C575" s="35" t="str">
        <f>IF(B575="","",IFERROR(INDEX(DM_SP!$B$5:$B$304,MATCH(B575,DM_SP!$A$5:$A$304,0)),"(chưa có trong DM_SP)"))</f>
        <v/>
      </c>
      <c r="D575" s="35" t="str">
        <f>IF(B575="","",IFERROR(INDEX(DM_SP!$C$5:$C$304,MATCH(B575,DM_SP!$A$5:$A$304,0)),""))</f>
        <v/>
      </c>
      <c r="E575" s="35" t="str">
        <f>IF(BOM!A569="","",BOM!B569)</f>
        <v/>
      </c>
      <c r="F575" s="35" t="str">
        <f>IF(E575="","",IFERROR(INDEX(DM_NL!$B$5:$B$304,MATCH(E575,DM_NL!$A$5:$A$304,0)),"(chưa có trong DM_NL)"))</f>
        <v/>
      </c>
      <c r="G575" s="35" t="str">
        <f>IF(E575="","",IFERROR(INDEX(DM_NL!$C$5:$C$304,MATCH(E575,DM_NL!$A$5:$A$304,0)),""))</f>
        <v/>
      </c>
      <c r="H575" s="39" t="str">
        <f>IF(OR(E575="",BOM!G569="KXDDM"),"",BOM!F569)</f>
        <v/>
      </c>
      <c r="I575" s="36" t="str">
        <f>IF(E575="","",BOM!G569&amp;"")</f>
        <v/>
      </c>
    </row>
    <row r="576" spans="1:9" x14ac:dyDescent="0.25">
      <c r="A576" s="36" t="str">
        <f>IF(B576="","",MAX($A$10:A575)+1)</f>
        <v/>
      </c>
      <c r="B576" s="35" t="str">
        <f>IF(BOM!A570="","",IF(BOM!A570=BOM!A569,"",BOM!A570))</f>
        <v/>
      </c>
      <c r="C576" s="35" t="str">
        <f>IF(B576="","",IFERROR(INDEX(DM_SP!$B$5:$B$304,MATCH(B576,DM_SP!$A$5:$A$304,0)),"(chưa có trong DM_SP)"))</f>
        <v/>
      </c>
      <c r="D576" s="35" t="str">
        <f>IF(B576="","",IFERROR(INDEX(DM_SP!$C$5:$C$304,MATCH(B576,DM_SP!$A$5:$A$304,0)),""))</f>
        <v/>
      </c>
      <c r="E576" s="35" t="str">
        <f>IF(BOM!A570="","",BOM!B570)</f>
        <v/>
      </c>
      <c r="F576" s="35" t="str">
        <f>IF(E576="","",IFERROR(INDEX(DM_NL!$B$5:$B$304,MATCH(E576,DM_NL!$A$5:$A$304,0)),"(chưa có trong DM_NL)"))</f>
        <v/>
      </c>
      <c r="G576" s="35" t="str">
        <f>IF(E576="","",IFERROR(INDEX(DM_NL!$C$5:$C$304,MATCH(E576,DM_NL!$A$5:$A$304,0)),""))</f>
        <v/>
      </c>
      <c r="H576" s="39" t="str">
        <f>IF(OR(E576="",BOM!G570="KXDDM"),"",BOM!F570)</f>
        <v/>
      </c>
      <c r="I576" s="36" t="str">
        <f>IF(E576="","",BOM!G570&amp;"")</f>
        <v/>
      </c>
    </row>
    <row r="577" spans="1:9" x14ac:dyDescent="0.25">
      <c r="A577" s="36" t="str">
        <f>IF(B577="","",MAX($A$10:A576)+1)</f>
        <v/>
      </c>
      <c r="B577" s="35" t="str">
        <f>IF(BOM!A571="","",IF(BOM!A571=BOM!A570,"",BOM!A571))</f>
        <v/>
      </c>
      <c r="C577" s="35" t="str">
        <f>IF(B577="","",IFERROR(INDEX(DM_SP!$B$5:$B$304,MATCH(B577,DM_SP!$A$5:$A$304,0)),"(chưa có trong DM_SP)"))</f>
        <v/>
      </c>
      <c r="D577" s="35" t="str">
        <f>IF(B577="","",IFERROR(INDEX(DM_SP!$C$5:$C$304,MATCH(B577,DM_SP!$A$5:$A$304,0)),""))</f>
        <v/>
      </c>
      <c r="E577" s="35" t="str">
        <f>IF(BOM!A571="","",BOM!B571)</f>
        <v/>
      </c>
      <c r="F577" s="35" t="str">
        <f>IF(E577="","",IFERROR(INDEX(DM_NL!$B$5:$B$304,MATCH(E577,DM_NL!$A$5:$A$304,0)),"(chưa có trong DM_NL)"))</f>
        <v/>
      </c>
      <c r="G577" s="35" t="str">
        <f>IF(E577="","",IFERROR(INDEX(DM_NL!$C$5:$C$304,MATCH(E577,DM_NL!$A$5:$A$304,0)),""))</f>
        <v/>
      </c>
      <c r="H577" s="39" t="str">
        <f>IF(OR(E577="",BOM!G571="KXDDM"),"",BOM!F571)</f>
        <v/>
      </c>
      <c r="I577" s="36" t="str">
        <f>IF(E577="","",BOM!G571&amp;"")</f>
        <v/>
      </c>
    </row>
    <row r="578" spans="1:9" x14ac:dyDescent="0.25">
      <c r="A578" s="36" t="str">
        <f>IF(B578="","",MAX($A$10:A577)+1)</f>
        <v/>
      </c>
      <c r="B578" s="35" t="str">
        <f>IF(BOM!A572="","",IF(BOM!A572=BOM!A571,"",BOM!A572))</f>
        <v/>
      </c>
      <c r="C578" s="35" t="str">
        <f>IF(B578="","",IFERROR(INDEX(DM_SP!$B$5:$B$304,MATCH(B578,DM_SP!$A$5:$A$304,0)),"(chưa có trong DM_SP)"))</f>
        <v/>
      </c>
      <c r="D578" s="35" t="str">
        <f>IF(B578="","",IFERROR(INDEX(DM_SP!$C$5:$C$304,MATCH(B578,DM_SP!$A$5:$A$304,0)),""))</f>
        <v/>
      </c>
      <c r="E578" s="35" t="str">
        <f>IF(BOM!A572="","",BOM!B572)</f>
        <v/>
      </c>
      <c r="F578" s="35" t="str">
        <f>IF(E578="","",IFERROR(INDEX(DM_NL!$B$5:$B$304,MATCH(E578,DM_NL!$A$5:$A$304,0)),"(chưa có trong DM_NL)"))</f>
        <v/>
      </c>
      <c r="G578" s="35" t="str">
        <f>IF(E578="","",IFERROR(INDEX(DM_NL!$C$5:$C$304,MATCH(E578,DM_NL!$A$5:$A$304,0)),""))</f>
        <v/>
      </c>
      <c r="H578" s="39" t="str">
        <f>IF(OR(E578="",BOM!G572="KXDDM"),"",BOM!F572)</f>
        <v/>
      </c>
      <c r="I578" s="36" t="str">
        <f>IF(E578="","",BOM!G572&amp;"")</f>
        <v/>
      </c>
    </row>
    <row r="579" spans="1:9" x14ac:dyDescent="0.25">
      <c r="A579" s="36" t="str">
        <f>IF(B579="","",MAX($A$10:A578)+1)</f>
        <v/>
      </c>
      <c r="B579" s="35" t="str">
        <f>IF(BOM!A573="","",IF(BOM!A573=BOM!A572,"",BOM!A573))</f>
        <v/>
      </c>
      <c r="C579" s="35" t="str">
        <f>IF(B579="","",IFERROR(INDEX(DM_SP!$B$5:$B$304,MATCH(B579,DM_SP!$A$5:$A$304,0)),"(chưa có trong DM_SP)"))</f>
        <v/>
      </c>
      <c r="D579" s="35" t="str">
        <f>IF(B579="","",IFERROR(INDEX(DM_SP!$C$5:$C$304,MATCH(B579,DM_SP!$A$5:$A$304,0)),""))</f>
        <v/>
      </c>
      <c r="E579" s="35" t="str">
        <f>IF(BOM!A573="","",BOM!B573)</f>
        <v/>
      </c>
      <c r="F579" s="35" t="str">
        <f>IF(E579="","",IFERROR(INDEX(DM_NL!$B$5:$B$304,MATCH(E579,DM_NL!$A$5:$A$304,0)),"(chưa có trong DM_NL)"))</f>
        <v/>
      </c>
      <c r="G579" s="35" t="str">
        <f>IF(E579="","",IFERROR(INDEX(DM_NL!$C$5:$C$304,MATCH(E579,DM_NL!$A$5:$A$304,0)),""))</f>
        <v/>
      </c>
      <c r="H579" s="39" t="str">
        <f>IF(OR(E579="",BOM!G573="KXDDM"),"",BOM!F573)</f>
        <v/>
      </c>
      <c r="I579" s="36" t="str">
        <f>IF(E579="","",BOM!G573&amp;"")</f>
        <v/>
      </c>
    </row>
    <row r="580" spans="1:9" x14ac:dyDescent="0.25">
      <c r="A580" s="36" t="str">
        <f>IF(B580="","",MAX($A$10:A579)+1)</f>
        <v/>
      </c>
      <c r="B580" s="35" t="str">
        <f>IF(BOM!A574="","",IF(BOM!A574=BOM!A573,"",BOM!A574))</f>
        <v/>
      </c>
      <c r="C580" s="35" t="str">
        <f>IF(B580="","",IFERROR(INDEX(DM_SP!$B$5:$B$304,MATCH(B580,DM_SP!$A$5:$A$304,0)),"(chưa có trong DM_SP)"))</f>
        <v/>
      </c>
      <c r="D580" s="35" t="str">
        <f>IF(B580="","",IFERROR(INDEX(DM_SP!$C$5:$C$304,MATCH(B580,DM_SP!$A$5:$A$304,0)),""))</f>
        <v/>
      </c>
      <c r="E580" s="35" t="str">
        <f>IF(BOM!A574="","",BOM!B574)</f>
        <v/>
      </c>
      <c r="F580" s="35" t="str">
        <f>IF(E580="","",IFERROR(INDEX(DM_NL!$B$5:$B$304,MATCH(E580,DM_NL!$A$5:$A$304,0)),"(chưa có trong DM_NL)"))</f>
        <v/>
      </c>
      <c r="G580" s="35" t="str">
        <f>IF(E580="","",IFERROR(INDEX(DM_NL!$C$5:$C$304,MATCH(E580,DM_NL!$A$5:$A$304,0)),""))</f>
        <v/>
      </c>
      <c r="H580" s="39" t="str">
        <f>IF(OR(E580="",BOM!G574="KXDDM"),"",BOM!F574)</f>
        <v/>
      </c>
      <c r="I580" s="36" t="str">
        <f>IF(E580="","",BOM!G574&amp;"")</f>
        <v/>
      </c>
    </row>
    <row r="581" spans="1:9" x14ac:dyDescent="0.25">
      <c r="A581" s="36" t="str">
        <f>IF(B581="","",MAX($A$10:A580)+1)</f>
        <v/>
      </c>
      <c r="B581" s="35" t="str">
        <f>IF(BOM!A575="","",IF(BOM!A575=BOM!A574,"",BOM!A575))</f>
        <v/>
      </c>
      <c r="C581" s="35" t="str">
        <f>IF(B581="","",IFERROR(INDEX(DM_SP!$B$5:$B$304,MATCH(B581,DM_SP!$A$5:$A$304,0)),"(chưa có trong DM_SP)"))</f>
        <v/>
      </c>
      <c r="D581" s="35" t="str">
        <f>IF(B581="","",IFERROR(INDEX(DM_SP!$C$5:$C$304,MATCH(B581,DM_SP!$A$5:$A$304,0)),""))</f>
        <v/>
      </c>
      <c r="E581" s="35" t="str">
        <f>IF(BOM!A575="","",BOM!B575)</f>
        <v/>
      </c>
      <c r="F581" s="35" t="str">
        <f>IF(E581="","",IFERROR(INDEX(DM_NL!$B$5:$B$304,MATCH(E581,DM_NL!$A$5:$A$304,0)),"(chưa có trong DM_NL)"))</f>
        <v/>
      </c>
      <c r="G581" s="35" t="str">
        <f>IF(E581="","",IFERROR(INDEX(DM_NL!$C$5:$C$304,MATCH(E581,DM_NL!$A$5:$A$304,0)),""))</f>
        <v/>
      </c>
      <c r="H581" s="39" t="str">
        <f>IF(OR(E581="",BOM!G575="KXDDM"),"",BOM!F575)</f>
        <v/>
      </c>
      <c r="I581" s="36" t="str">
        <f>IF(E581="","",BOM!G575&amp;"")</f>
        <v/>
      </c>
    </row>
    <row r="582" spans="1:9" x14ac:dyDescent="0.25">
      <c r="A582" s="36" t="str">
        <f>IF(B582="","",MAX($A$10:A581)+1)</f>
        <v/>
      </c>
      <c r="B582" s="35" t="str">
        <f>IF(BOM!A576="","",IF(BOM!A576=BOM!A575,"",BOM!A576))</f>
        <v/>
      </c>
      <c r="C582" s="35" t="str">
        <f>IF(B582="","",IFERROR(INDEX(DM_SP!$B$5:$B$304,MATCH(B582,DM_SP!$A$5:$A$304,0)),"(chưa có trong DM_SP)"))</f>
        <v/>
      </c>
      <c r="D582" s="35" t="str">
        <f>IF(B582="","",IFERROR(INDEX(DM_SP!$C$5:$C$304,MATCH(B582,DM_SP!$A$5:$A$304,0)),""))</f>
        <v/>
      </c>
      <c r="E582" s="35" t="str">
        <f>IF(BOM!A576="","",BOM!B576)</f>
        <v/>
      </c>
      <c r="F582" s="35" t="str">
        <f>IF(E582="","",IFERROR(INDEX(DM_NL!$B$5:$B$304,MATCH(E582,DM_NL!$A$5:$A$304,0)),"(chưa có trong DM_NL)"))</f>
        <v/>
      </c>
      <c r="G582" s="35" t="str">
        <f>IF(E582="","",IFERROR(INDEX(DM_NL!$C$5:$C$304,MATCH(E582,DM_NL!$A$5:$A$304,0)),""))</f>
        <v/>
      </c>
      <c r="H582" s="39" t="str">
        <f>IF(OR(E582="",BOM!G576="KXDDM"),"",BOM!F576)</f>
        <v/>
      </c>
      <c r="I582" s="36" t="str">
        <f>IF(E582="","",BOM!G576&amp;"")</f>
        <v/>
      </c>
    </row>
    <row r="583" spans="1:9" x14ac:dyDescent="0.25">
      <c r="A583" s="36" t="str">
        <f>IF(B583="","",MAX($A$10:A582)+1)</f>
        <v/>
      </c>
      <c r="B583" s="35" t="str">
        <f>IF(BOM!A577="","",IF(BOM!A577=BOM!A576,"",BOM!A577))</f>
        <v/>
      </c>
      <c r="C583" s="35" t="str">
        <f>IF(B583="","",IFERROR(INDEX(DM_SP!$B$5:$B$304,MATCH(B583,DM_SP!$A$5:$A$304,0)),"(chưa có trong DM_SP)"))</f>
        <v/>
      </c>
      <c r="D583" s="35" t="str">
        <f>IF(B583="","",IFERROR(INDEX(DM_SP!$C$5:$C$304,MATCH(B583,DM_SP!$A$5:$A$304,0)),""))</f>
        <v/>
      </c>
      <c r="E583" s="35" t="str">
        <f>IF(BOM!A577="","",BOM!B577)</f>
        <v/>
      </c>
      <c r="F583" s="35" t="str">
        <f>IF(E583="","",IFERROR(INDEX(DM_NL!$B$5:$B$304,MATCH(E583,DM_NL!$A$5:$A$304,0)),"(chưa có trong DM_NL)"))</f>
        <v/>
      </c>
      <c r="G583" s="35" t="str">
        <f>IF(E583="","",IFERROR(INDEX(DM_NL!$C$5:$C$304,MATCH(E583,DM_NL!$A$5:$A$304,0)),""))</f>
        <v/>
      </c>
      <c r="H583" s="39" t="str">
        <f>IF(OR(E583="",BOM!G577="KXDDM"),"",BOM!F577)</f>
        <v/>
      </c>
      <c r="I583" s="36" t="str">
        <f>IF(E583="","",BOM!G577&amp;"")</f>
        <v/>
      </c>
    </row>
    <row r="584" spans="1:9" x14ac:dyDescent="0.25">
      <c r="A584" s="36" t="str">
        <f>IF(B584="","",MAX($A$10:A583)+1)</f>
        <v/>
      </c>
      <c r="B584" s="35" t="str">
        <f>IF(BOM!A578="","",IF(BOM!A578=BOM!A577,"",BOM!A578))</f>
        <v/>
      </c>
      <c r="C584" s="35" t="str">
        <f>IF(B584="","",IFERROR(INDEX(DM_SP!$B$5:$B$304,MATCH(B584,DM_SP!$A$5:$A$304,0)),"(chưa có trong DM_SP)"))</f>
        <v/>
      </c>
      <c r="D584" s="35" t="str">
        <f>IF(B584="","",IFERROR(INDEX(DM_SP!$C$5:$C$304,MATCH(B584,DM_SP!$A$5:$A$304,0)),""))</f>
        <v/>
      </c>
      <c r="E584" s="35" t="str">
        <f>IF(BOM!A578="","",BOM!B578)</f>
        <v/>
      </c>
      <c r="F584" s="35" t="str">
        <f>IF(E584="","",IFERROR(INDEX(DM_NL!$B$5:$B$304,MATCH(E584,DM_NL!$A$5:$A$304,0)),"(chưa có trong DM_NL)"))</f>
        <v/>
      </c>
      <c r="G584" s="35" t="str">
        <f>IF(E584="","",IFERROR(INDEX(DM_NL!$C$5:$C$304,MATCH(E584,DM_NL!$A$5:$A$304,0)),""))</f>
        <v/>
      </c>
      <c r="H584" s="39" t="str">
        <f>IF(OR(E584="",BOM!G578="KXDDM"),"",BOM!F578)</f>
        <v/>
      </c>
      <c r="I584" s="36" t="str">
        <f>IF(E584="","",BOM!G578&amp;"")</f>
        <v/>
      </c>
    </row>
    <row r="585" spans="1:9" x14ac:dyDescent="0.25">
      <c r="A585" s="36" t="str">
        <f>IF(B585="","",MAX($A$10:A584)+1)</f>
        <v/>
      </c>
      <c r="B585" s="35" t="str">
        <f>IF(BOM!A579="","",IF(BOM!A579=BOM!A578,"",BOM!A579))</f>
        <v/>
      </c>
      <c r="C585" s="35" t="str">
        <f>IF(B585="","",IFERROR(INDEX(DM_SP!$B$5:$B$304,MATCH(B585,DM_SP!$A$5:$A$304,0)),"(chưa có trong DM_SP)"))</f>
        <v/>
      </c>
      <c r="D585" s="35" t="str">
        <f>IF(B585="","",IFERROR(INDEX(DM_SP!$C$5:$C$304,MATCH(B585,DM_SP!$A$5:$A$304,0)),""))</f>
        <v/>
      </c>
      <c r="E585" s="35" t="str">
        <f>IF(BOM!A579="","",BOM!B579)</f>
        <v/>
      </c>
      <c r="F585" s="35" t="str">
        <f>IF(E585="","",IFERROR(INDEX(DM_NL!$B$5:$B$304,MATCH(E585,DM_NL!$A$5:$A$304,0)),"(chưa có trong DM_NL)"))</f>
        <v/>
      </c>
      <c r="G585" s="35" t="str">
        <f>IF(E585="","",IFERROR(INDEX(DM_NL!$C$5:$C$304,MATCH(E585,DM_NL!$A$5:$A$304,0)),""))</f>
        <v/>
      </c>
      <c r="H585" s="39" t="str">
        <f>IF(OR(E585="",BOM!G579="KXDDM"),"",BOM!F579)</f>
        <v/>
      </c>
      <c r="I585" s="36" t="str">
        <f>IF(E585="","",BOM!G579&amp;"")</f>
        <v/>
      </c>
    </row>
    <row r="586" spans="1:9" x14ac:dyDescent="0.25">
      <c r="A586" s="36" t="str">
        <f>IF(B586="","",MAX($A$10:A585)+1)</f>
        <v/>
      </c>
      <c r="B586" s="35" t="str">
        <f>IF(BOM!A580="","",IF(BOM!A580=BOM!A579,"",BOM!A580))</f>
        <v/>
      </c>
      <c r="C586" s="35" t="str">
        <f>IF(B586="","",IFERROR(INDEX(DM_SP!$B$5:$B$304,MATCH(B586,DM_SP!$A$5:$A$304,0)),"(chưa có trong DM_SP)"))</f>
        <v/>
      </c>
      <c r="D586" s="35" t="str">
        <f>IF(B586="","",IFERROR(INDEX(DM_SP!$C$5:$C$304,MATCH(B586,DM_SP!$A$5:$A$304,0)),""))</f>
        <v/>
      </c>
      <c r="E586" s="35" t="str">
        <f>IF(BOM!A580="","",BOM!B580)</f>
        <v/>
      </c>
      <c r="F586" s="35" t="str">
        <f>IF(E586="","",IFERROR(INDEX(DM_NL!$B$5:$B$304,MATCH(E586,DM_NL!$A$5:$A$304,0)),"(chưa có trong DM_NL)"))</f>
        <v/>
      </c>
      <c r="G586" s="35" t="str">
        <f>IF(E586="","",IFERROR(INDEX(DM_NL!$C$5:$C$304,MATCH(E586,DM_NL!$A$5:$A$304,0)),""))</f>
        <v/>
      </c>
      <c r="H586" s="39" t="str">
        <f>IF(OR(E586="",BOM!G580="KXDDM"),"",BOM!F580)</f>
        <v/>
      </c>
      <c r="I586" s="36" t="str">
        <f>IF(E586="","",BOM!G580&amp;"")</f>
        <v/>
      </c>
    </row>
    <row r="587" spans="1:9" x14ac:dyDescent="0.25">
      <c r="A587" s="36" t="str">
        <f>IF(B587="","",MAX($A$10:A586)+1)</f>
        <v/>
      </c>
      <c r="B587" s="35" t="str">
        <f>IF(BOM!A581="","",IF(BOM!A581=BOM!A580,"",BOM!A581))</f>
        <v/>
      </c>
      <c r="C587" s="35" t="str">
        <f>IF(B587="","",IFERROR(INDEX(DM_SP!$B$5:$B$304,MATCH(B587,DM_SP!$A$5:$A$304,0)),"(chưa có trong DM_SP)"))</f>
        <v/>
      </c>
      <c r="D587" s="35" t="str">
        <f>IF(B587="","",IFERROR(INDEX(DM_SP!$C$5:$C$304,MATCH(B587,DM_SP!$A$5:$A$304,0)),""))</f>
        <v/>
      </c>
      <c r="E587" s="35" t="str">
        <f>IF(BOM!A581="","",BOM!B581)</f>
        <v/>
      </c>
      <c r="F587" s="35" t="str">
        <f>IF(E587="","",IFERROR(INDEX(DM_NL!$B$5:$B$304,MATCH(E587,DM_NL!$A$5:$A$304,0)),"(chưa có trong DM_NL)"))</f>
        <v/>
      </c>
      <c r="G587" s="35" t="str">
        <f>IF(E587="","",IFERROR(INDEX(DM_NL!$C$5:$C$304,MATCH(E587,DM_NL!$A$5:$A$304,0)),""))</f>
        <v/>
      </c>
      <c r="H587" s="39" t="str">
        <f>IF(OR(E587="",BOM!G581="KXDDM"),"",BOM!F581)</f>
        <v/>
      </c>
      <c r="I587" s="36" t="str">
        <f>IF(E587="","",BOM!G581&amp;"")</f>
        <v/>
      </c>
    </row>
    <row r="588" spans="1:9" x14ac:dyDescent="0.25">
      <c r="A588" s="36" t="str">
        <f>IF(B588="","",MAX($A$10:A587)+1)</f>
        <v/>
      </c>
      <c r="B588" s="35" t="str">
        <f>IF(BOM!A582="","",IF(BOM!A582=BOM!A581,"",BOM!A582))</f>
        <v/>
      </c>
      <c r="C588" s="35" t="str">
        <f>IF(B588="","",IFERROR(INDEX(DM_SP!$B$5:$B$304,MATCH(B588,DM_SP!$A$5:$A$304,0)),"(chưa có trong DM_SP)"))</f>
        <v/>
      </c>
      <c r="D588" s="35" t="str">
        <f>IF(B588="","",IFERROR(INDEX(DM_SP!$C$5:$C$304,MATCH(B588,DM_SP!$A$5:$A$304,0)),""))</f>
        <v/>
      </c>
      <c r="E588" s="35" t="str">
        <f>IF(BOM!A582="","",BOM!B582)</f>
        <v/>
      </c>
      <c r="F588" s="35" t="str">
        <f>IF(E588="","",IFERROR(INDEX(DM_NL!$B$5:$B$304,MATCH(E588,DM_NL!$A$5:$A$304,0)),"(chưa có trong DM_NL)"))</f>
        <v/>
      </c>
      <c r="G588" s="35" t="str">
        <f>IF(E588="","",IFERROR(INDEX(DM_NL!$C$5:$C$304,MATCH(E588,DM_NL!$A$5:$A$304,0)),""))</f>
        <v/>
      </c>
      <c r="H588" s="39" t="str">
        <f>IF(OR(E588="",BOM!G582="KXDDM"),"",BOM!F582)</f>
        <v/>
      </c>
      <c r="I588" s="36" t="str">
        <f>IF(E588="","",BOM!G582&amp;"")</f>
        <v/>
      </c>
    </row>
    <row r="589" spans="1:9" x14ac:dyDescent="0.25">
      <c r="A589" s="36" t="str">
        <f>IF(B589="","",MAX($A$10:A588)+1)</f>
        <v/>
      </c>
      <c r="B589" s="35" t="str">
        <f>IF(BOM!A583="","",IF(BOM!A583=BOM!A582,"",BOM!A583))</f>
        <v/>
      </c>
      <c r="C589" s="35" t="str">
        <f>IF(B589="","",IFERROR(INDEX(DM_SP!$B$5:$B$304,MATCH(B589,DM_SP!$A$5:$A$304,0)),"(chưa có trong DM_SP)"))</f>
        <v/>
      </c>
      <c r="D589" s="35" t="str">
        <f>IF(B589="","",IFERROR(INDEX(DM_SP!$C$5:$C$304,MATCH(B589,DM_SP!$A$5:$A$304,0)),""))</f>
        <v/>
      </c>
      <c r="E589" s="35" t="str">
        <f>IF(BOM!A583="","",BOM!B583)</f>
        <v/>
      </c>
      <c r="F589" s="35" t="str">
        <f>IF(E589="","",IFERROR(INDEX(DM_NL!$B$5:$B$304,MATCH(E589,DM_NL!$A$5:$A$304,0)),"(chưa có trong DM_NL)"))</f>
        <v/>
      </c>
      <c r="G589" s="35" t="str">
        <f>IF(E589="","",IFERROR(INDEX(DM_NL!$C$5:$C$304,MATCH(E589,DM_NL!$A$5:$A$304,0)),""))</f>
        <v/>
      </c>
      <c r="H589" s="39" t="str">
        <f>IF(OR(E589="",BOM!G583="KXDDM"),"",BOM!F583)</f>
        <v/>
      </c>
      <c r="I589" s="36" t="str">
        <f>IF(E589="","",BOM!G583&amp;"")</f>
        <v/>
      </c>
    </row>
    <row r="590" spans="1:9" x14ac:dyDescent="0.25">
      <c r="A590" s="36" t="str">
        <f>IF(B590="","",MAX($A$10:A589)+1)</f>
        <v/>
      </c>
      <c r="B590" s="35" t="str">
        <f>IF(BOM!A584="","",IF(BOM!A584=BOM!A583,"",BOM!A584))</f>
        <v/>
      </c>
      <c r="C590" s="35" t="str">
        <f>IF(B590="","",IFERROR(INDEX(DM_SP!$B$5:$B$304,MATCH(B590,DM_SP!$A$5:$A$304,0)),"(chưa có trong DM_SP)"))</f>
        <v/>
      </c>
      <c r="D590" s="35" t="str">
        <f>IF(B590="","",IFERROR(INDEX(DM_SP!$C$5:$C$304,MATCH(B590,DM_SP!$A$5:$A$304,0)),""))</f>
        <v/>
      </c>
      <c r="E590" s="35" t="str">
        <f>IF(BOM!A584="","",BOM!B584)</f>
        <v/>
      </c>
      <c r="F590" s="35" t="str">
        <f>IF(E590="","",IFERROR(INDEX(DM_NL!$B$5:$B$304,MATCH(E590,DM_NL!$A$5:$A$304,0)),"(chưa có trong DM_NL)"))</f>
        <v/>
      </c>
      <c r="G590" s="35" t="str">
        <f>IF(E590="","",IFERROR(INDEX(DM_NL!$C$5:$C$304,MATCH(E590,DM_NL!$A$5:$A$304,0)),""))</f>
        <v/>
      </c>
      <c r="H590" s="39" t="str">
        <f>IF(OR(E590="",BOM!G584="KXDDM"),"",BOM!F584)</f>
        <v/>
      </c>
      <c r="I590" s="36" t="str">
        <f>IF(E590="","",BOM!G584&amp;"")</f>
        <v/>
      </c>
    </row>
    <row r="591" spans="1:9" x14ac:dyDescent="0.25">
      <c r="A591" s="36" t="str">
        <f>IF(B591="","",MAX($A$10:A590)+1)</f>
        <v/>
      </c>
      <c r="B591" s="35" t="str">
        <f>IF(BOM!A585="","",IF(BOM!A585=BOM!A584,"",BOM!A585))</f>
        <v/>
      </c>
      <c r="C591" s="35" t="str">
        <f>IF(B591="","",IFERROR(INDEX(DM_SP!$B$5:$B$304,MATCH(B591,DM_SP!$A$5:$A$304,0)),"(chưa có trong DM_SP)"))</f>
        <v/>
      </c>
      <c r="D591" s="35" t="str">
        <f>IF(B591="","",IFERROR(INDEX(DM_SP!$C$5:$C$304,MATCH(B591,DM_SP!$A$5:$A$304,0)),""))</f>
        <v/>
      </c>
      <c r="E591" s="35" t="str">
        <f>IF(BOM!A585="","",BOM!B585)</f>
        <v/>
      </c>
      <c r="F591" s="35" t="str">
        <f>IF(E591="","",IFERROR(INDEX(DM_NL!$B$5:$B$304,MATCH(E591,DM_NL!$A$5:$A$304,0)),"(chưa có trong DM_NL)"))</f>
        <v/>
      </c>
      <c r="G591" s="35" t="str">
        <f>IF(E591="","",IFERROR(INDEX(DM_NL!$C$5:$C$304,MATCH(E591,DM_NL!$A$5:$A$304,0)),""))</f>
        <v/>
      </c>
      <c r="H591" s="39" t="str">
        <f>IF(OR(E591="",BOM!G585="KXDDM"),"",BOM!F585)</f>
        <v/>
      </c>
      <c r="I591" s="36" t="str">
        <f>IF(E591="","",BOM!G585&amp;"")</f>
        <v/>
      </c>
    </row>
    <row r="592" spans="1:9" x14ac:dyDescent="0.25">
      <c r="A592" s="36" t="str">
        <f>IF(B592="","",MAX($A$10:A591)+1)</f>
        <v/>
      </c>
      <c r="B592" s="35" t="str">
        <f>IF(BOM!A586="","",IF(BOM!A586=BOM!A585,"",BOM!A586))</f>
        <v/>
      </c>
      <c r="C592" s="35" t="str">
        <f>IF(B592="","",IFERROR(INDEX(DM_SP!$B$5:$B$304,MATCH(B592,DM_SP!$A$5:$A$304,0)),"(chưa có trong DM_SP)"))</f>
        <v/>
      </c>
      <c r="D592" s="35" t="str">
        <f>IF(B592="","",IFERROR(INDEX(DM_SP!$C$5:$C$304,MATCH(B592,DM_SP!$A$5:$A$304,0)),""))</f>
        <v/>
      </c>
      <c r="E592" s="35" t="str">
        <f>IF(BOM!A586="","",BOM!B586)</f>
        <v/>
      </c>
      <c r="F592" s="35" t="str">
        <f>IF(E592="","",IFERROR(INDEX(DM_NL!$B$5:$B$304,MATCH(E592,DM_NL!$A$5:$A$304,0)),"(chưa có trong DM_NL)"))</f>
        <v/>
      </c>
      <c r="G592" s="35" t="str">
        <f>IF(E592="","",IFERROR(INDEX(DM_NL!$C$5:$C$304,MATCH(E592,DM_NL!$A$5:$A$304,0)),""))</f>
        <v/>
      </c>
      <c r="H592" s="39" t="str">
        <f>IF(OR(E592="",BOM!G586="KXDDM"),"",BOM!F586)</f>
        <v/>
      </c>
      <c r="I592" s="36" t="str">
        <f>IF(E592="","",BOM!G586&amp;"")</f>
        <v/>
      </c>
    </row>
    <row r="593" spans="1:9" x14ac:dyDescent="0.25">
      <c r="A593" s="36" t="str">
        <f>IF(B593="","",MAX($A$10:A592)+1)</f>
        <v/>
      </c>
      <c r="B593" s="35" t="str">
        <f>IF(BOM!A587="","",IF(BOM!A587=BOM!A586,"",BOM!A587))</f>
        <v/>
      </c>
      <c r="C593" s="35" t="str">
        <f>IF(B593="","",IFERROR(INDEX(DM_SP!$B$5:$B$304,MATCH(B593,DM_SP!$A$5:$A$304,0)),"(chưa có trong DM_SP)"))</f>
        <v/>
      </c>
      <c r="D593" s="35" t="str">
        <f>IF(B593="","",IFERROR(INDEX(DM_SP!$C$5:$C$304,MATCH(B593,DM_SP!$A$5:$A$304,0)),""))</f>
        <v/>
      </c>
      <c r="E593" s="35" t="str">
        <f>IF(BOM!A587="","",BOM!B587)</f>
        <v/>
      </c>
      <c r="F593" s="35" t="str">
        <f>IF(E593="","",IFERROR(INDEX(DM_NL!$B$5:$B$304,MATCH(E593,DM_NL!$A$5:$A$304,0)),"(chưa có trong DM_NL)"))</f>
        <v/>
      </c>
      <c r="G593" s="35" t="str">
        <f>IF(E593="","",IFERROR(INDEX(DM_NL!$C$5:$C$304,MATCH(E593,DM_NL!$A$5:$A$304,0)),""))</f>
        <v/>
      </c>
      <c r="H593" s="39" t="str">
        <f>IF(OR(E593="",BOM!G587="KXDDM"),"",BOM!F587)</f>
        <v/>
      </c>
      <c r="I593" s="36" t="str">
        <f>IF(E593="","",BOM!G587&amp;"")</f>
        <v/>
      </c>
    </row>
    <row r="594" spans="1:9" x14ac:dyDescent="0.25">
      <c r="A594" s="36" t="str">
        <f>IF(B594="","",MAX($A$10:A593)+1)</f>
        <v/>
      </c>
      <c r="B594" s="35" t="str">
        <f>IF(BOM!A588="","",IF(BOM!A588=BOM!A587,"",BOM!A588))</f>
        <v/>
      </c>
      <c r="C594" s="35" t="str">
        <f>IF(B594="","",IFERROR(INDEX(DM_SP!$B$5:$B$304,MATCH(B594,DM_SP!$A$5:$A$304,0)),"(chưa có trong DM_SP)"))</f>
        <v/>
      </c>
      <c r="D594" s="35" t="str">
        <f>IF(B594="","",IFERROR(INDEX(DM_SP!$C$5:$C$304,MATCH(B594,DM_SP!$A$5:$A$304,0)),""))</f>
        <v/>
      </c>
      <c r="E594" s="35" t="str">
        <f>IF(BOM!A588="","",BOM!B588)</f>
        <v/>
      </c>
      <c r="F594" s="35" t="str">
        <f>IF(E594="","",IFERROR(INDEX(DM_NL!$B$5:$B$304,MATCH(E594,DM_NL!$A$5:$A$304,0)),"(chưa có trong DM_NL)"))</f>
        <v/>
      </c>
      <c r="G594" s="35" t="str">
        <f>IF(E594="","",IFERROR(INDEX(DM_NL!$C$5:$C$304,MATCH(E594,DM_NL!$A$5:$A$304,0)),""))</f>
        <v/>
      </c>
      <c r="H594" s="39" t="str">
        <f>IF(OR(E594="",BOM!G588="KXDDM"),"",BOM!F588)</f>
        <v/>
      </c>
      <c r="I594" s="36" t="str">
        <f>IF(E594="","",BOM!G588&amp;"")</f>
        <v/>
      </c>
    </row>
    <row r="595" spans="1:9" x14ac:dyDescent="0.25">
      <c r="A595" s="36" t="str">
        <f>IF(B595="","",MAX($A$10:A594)+1)</f>
        <v/>
      </c>
      <c r="B595" s="35" t="str">
        <f>IF(BOM!A589="","",IF(BOM!A589=BOM!A588,"",BOM!A589))</f>
        <v/>
      </c>
      <c r="C595" s="35" t="str">
        <f>IF(B595="","",IFERROR(INDEX(DM_SP!$B$5:$B$304,MATCH(B595,DM_SP!$A$5:$A$304,0)),"(chưa có trong DM_SP)"))</f>
        <v/>
      </c>
      <c r="D595" s="35" t="str">
        <f>IF(B595="","",IFERROR(INDEX(DM_SP!$C$5:$C$304,MATCH(B595,DM_SP!$A$5:$A$304,0)),""))</f>
        <v/>
      </c>
      <c r="E595" s="35" t="str">
        <f>IF(BOM!A589="","",BOM!B589)</f>
        <v/>
      </c>
      <c r="F595" s="35" t="str">
        <f>IF(E595="","",IFERROR(INDEX(DM_NL!$B$5:$B$304,MATCH(E595,DM_NL!$A$5:$A$304,0)),"(chưa có trong DM_NL)"))</f>
        <v/>
      </c>
      <c r="G595" s="35" t="str">
        <f>IF(E595="","",IFERROR(INDEX(DM_NL!$C$5:$C$304,MATCH(E595,DM_NL!$A$5:$A$304,0)),""))</f>
        <v/>
      </c>
      <c r="H595" s="39" t="str">
        <f>IF(OR(E595="",BOM!G589="KXDDM"),"",BOM!F589)</f>
        <v/>
      </c>
      <c r="I595" s="36" t="str">
        <f>IF(E595="","",BOM!G589&amp;"")</f>
        <v/>
      </c>
    </row>
    <row r="596" spans="1:9" x14ac:dyDescent="0.25">
      <c r="A596" s="36" t="str">
        <f>IF(B596="","",MAX($A$10:A595)+1)</f>
        <v/>
      </c>
      <c r="B596" s="35" t="str">
        <f>IF(BOM!A590="","",IF(BOM!A590=BOM!A589,"",BOM!A590))</f>
        <v/>
      </c>
      <c r="C596" s="35" t="str">
        <f>IF(B596="","",IFERROR(INDEX(DM_SP!$B$5:$B$304,MATCH(B596,DM_SP!$A$5:$A$304,0)),"(chưa có trong DM_SP)"))</f>
        <v/>
      </c>
      <c r="D596" s="35" t="str">
        <f>IF(B596="","",IFERROR(INDEX(DM_SP!$C$5:$C$304,MATCH(B596,DM_SP!$A$5:$A$304,0)),""))</f>
        <v/>
      </c>
      <c r="E596" s="35" t="str">
        <f>IF(BOM!A590="","",BOM!B590)</f>
        <v/>
      </c>
      <c r="F596" s="35" t="str">
        <f>IF(E596="","",IFERROR(INDEX(DM_NL!$B$5:$B$304,MATCH(E596,DM_NL!$A$5:$A$304,0)),"(chưa có trong DM_NL)"))</f>
        <v/>
      </c>
      <c r="G596" s="35" t="str">
        <f>IF(E596="","",IFERROR(INDEX(DM_NL!$C$5:$C$304,MATCH(E596,DM_NL!$A$5:$A$304,0)),""))</f>
        <v/>
      </c>
      <c r="H596" s="39" t="str">
        <f>IF(OR(E596="",BOM!G590="KXDDM"),"",BOM!F590)</f>
        <v/>
      </c>
      <c r="I596" s="36" t="str">
        <f>IF(E596="","",BOM!G590&amp;"")</f>
        <v/>
      </c>
    </row>
    <row r="597" spans="1:9" x14ac:dyDescent="0.25">
      <c r="A597" s="36" t="str">
        <f>IF(B597="","",MAX($A$10:A596)+1)</f>
        <v/>
      </c>
      <c r="B597" s="35" t="str">
        <f>IF(BOM!A591="","",IF(BOM!A591=BOM!A590,"",BOM!A591))</f>
        <v/>
      </c>
      <c r="C597" s="35" t="str">
        <f>IF(B597="","",IFERROR(INDEX(DM_SP!$B$5:$B$304,MATCH(B597,DM_SP!$A$5:$A$304,0)),"(chưa có trong DM_SP)"))</f>
        <v/>
      </c>
      <c r="D597" s="35" t="str">
        <f>IF(B597="","",IFERROR(INDEX(DM_SP!$C$5:$C$304,MATCH(B597,DM_SP!$A$5:$A$304,0)),""))</f>
        <v/>
      </c>
      <c r="E597" s="35" t="str">
        <f>IF(BOM!A591="","",BOM!B591)</f>
        <v/>
      </c>
      <c r="F597" s="35" t="str">
        <f>IF(E597="","",IFERROR(INDEX(DM_NL!$B$5:$B$304,MATCH(E597,DM_NL!$A$5:$A$304,0)),"(chưa có trong DM_NL)"))</f>
        <v/>
      </c>
      <c r="G597" s="35" t="str">
        <f>IF(E597="","",IFERROR(INDEX(DM_NL!$C$5:$C$304,MATCH(E597,DM_NL!$A$5:$A$304,0)),""))</f>
        <v/>
      </c>
      <c r="H597" s="39" t="str">
        <f>IF(OR(E597="",BOM!G591="KXDDM"),"",BOM!F591)</f>
        <v/>
      </c>
      <c r="I597" s="36" t="str">
        <f>IF(E597="","",BOM!G591&amp;"")</f>
        <v/>
      </c>
    </row>
    <row r="598" spans="1:9" x14ac:dyDescent="0.25">
      <c r="A598" s="36" t="str">
        <f>IF(B598="","",MAX($A$10:A597)+1)</f>
        <v/>
      </c>
      <c r="B598" s="35" t="str">
        <f>IF(BOM!A592="","",IF(BOM!A592=BOM!A591,"",BOM!A592))</f>
        <v/>
      </c>
      <c r="C598" s="35" t="str">
        <f>IF(B598="","",IFERROR(INDEX(DM_SP!$B$5:$B$304,MATCH(B598,DM_SP!$A$5:$A$304,0)),"(chưa có trong DM_SP)"))</f>
        <v/>
      </c>
      <c r="D598" s="35" t="str">
        <f>IF(B598="","",IFERROR(INDEX(DM_SP!$C$5:$C$304,MATCH(B598,DM_SP!$A$5:$A$304,0)),""))</f>
        <v/>
      </c>
      <c r="E598" s="35" t="str">
        <f>IF(BOM!A592="","",BOM!B592)</f>
        <v/>
      </c>
      <c r="F598" s="35" t="str">
        <f>IF(E598="","",IFERROR(INDEX(DM_NL!$B$5:$B$304,MATCH(E598,DM_NL!$A$5:$A$304,0)),"(chưa có trong DM_NL)"))</f>
        <v/>
      </c>
      <c r="G598" s="35" t="str">
        <f>IF(E598="","",IFERROR(INDEX(DM_NL!$C$5:$C$304,MATCH(E598,DM_NL!$A$5:$A$304,0)),""))</f>
        <v/>
      </c>
      <c r="H598" s="39" t="str">
        <f>IF(OR(E598="",BOM!G592="KXDDM"),"",BOM!F592)</f>
        <v/>
      </c>
      <c r="I598" s="36" t="str">
        <f>IF(E598="","",BOM!G592&amp;"")</f>
        <v/>
      </c>
    </row>
    <row r="599" spans="1:9" x14ac:dyDescent="0.25">
      <c r="A599" s="36" t="str">
        <f>IF(B599="","",MAX($A$10:A598)+1)</f>
        <v/>
      </c>
      <c r="B599" s="35" t="str">
        <f>IF(BOM!A593="","",IF(BOM!A593=BOM!A592,"",BOM!A593))</f>
        <v/>
      </c>
      <c r="C599" s="35" t="str">
        <f>IF(B599="","",IFERROR(INDEX(DM_SP!$B$5:$B$304,MATCH(B599,DM_SP!$A$5:$A$304,0)),"(chưa có trong DM_SP)"))</f>
        <v/>
      </c>
      <c r="D599" s="35" t="str">
        <f>IF(B599="","",IFERROR(INDEX(DM_SP!$C$5:$C$304,MATCH(B599,DM_SP!$A$5:$A$304,0)),""))</f>
        <v/>
      </c>
      <c r="E599" s="35" t="str">
        <f>IF(BOM!A593="","",BOM!B593)</f>
        <v/>
      </c>
      <c r="F599" s="35" t="str">
        <f>IF(E599="","",IFERROR(INDEX(DM_NL!$B$5:$B$304,MATCH(E599,DM_NL!$A$5:$A$304,0)),"(chưa có trong DM_NL)"))</f>
        <v/>
      </c>
      <c r="G599" s="35" t="str">
        <f>IF(E599="","",IFERROR(INDEX(DM_NL!$C$5:$C$304,MATCH(E599,DM_NL!$A$5:$A$304,0)),""))</f>
        <v/>
      </c>
      <c r="H599" s="39" t="str">
        <f>IF(OR(E599="",BOM!G593="KXDDM"),"",BOM!F593)</f>
        <v/>
      </c>
      <c r="I599" s="36" t="str">
        <f>IF(E599="","",BOM!G593&amp;"")</f>
        <v/>
      </c>
    </row>
    <row r="600" spans="1:9" x14ac:dyDescent="0.25">
      <c r="A600" s="36" t="str">
        <f>IF(B600="","",MAX($A$10:A599)+1)</f>
        <v/>
      </c>
      <c r="B600" s="35" t="str">
        <f>IF(BOM!A594="","",IF(BOM!A594=BOM!A593,"",BOM!A594))</f>
        <v/>
      </c>
      <c r="C600" s="35" t="str">
        <f>IF(B600="","",IFERROR(INDEX(DM_SP!$B$5:$B$304,MATCH(B600,DM_SP!$A$5:$A$304,0)),"(chưa có trong DM_SP)"))</f>
        <v/>
      </c>
      <c r="D600" s="35" t="str">
        <f>IF(B600="","",IFERROR(INDEX(DM_SP!$C$5:$C$304,MATCH(B600,DM_SP!$A$5:$A$304,0)),""))</f>
        <v/>
      </c>
      <c r="E600" s="35" t="str">
        <f>IF(BOM!A594="","",BOM!B594)</f>
        <v/>
      </c>
      <c r="F600" s="35" t="str">
        <f>IF(E600="","",IFERROR(INDEX(DM_NL!$B$5:$B$304,MATCH(E600,DM_NL!$A$5:$A$304,0)),"(chưa có trong DM_NL)"))</f>
        <v/>
      </c>
      <c r="G600" s="35" t="str">
        <f>IF(E600="","",IFERROR(INDEX(DM_NL!$C$5:$C$304,MATCH(E600,DM_NL!$A$5:$A$304,0)),""))</f>
        <v/>
      </c>
      <c r="H600" s="39" t="str">
        <f>IF(OR(E600="",BOM!G594="KXDDM"),"",BOM!F594)</f>
        <v/>
      </c>
      <c r="I600" s="36" t="str">
        <f>IF(E600="","",BOM!G594&amp;"")</f>
        <v/>
      </c>
    </row>
    <row r="601" spans="1:9" x14ac:dyDescent="0.25">
      <c r="A601" s="36" t="str">
        <f>IF(B601="","",MAX($A$10:A600)+1)</f>
        <v/>
      </c>
      <c r="B601" s="35" t="str">
        <f>IF(BOM!A595="","",IF(BOM!A595=BOM!A594,"",BOM!A595))</f>
        <v/>
      </c>
      <c r="C601" s="35" t="str">
        <f>IF(B601="","",IFERROR(INDEX(DM_SP!$B$5:$B$304,MATCH(B601,DM_SP!$A$5:$A$304,0)),"(chưa có trong DM_SP)"))</f>
        <v/>
      </c>
      <c r="D601" s="35" t="str">
        <f>IF(B601="","",IFERROR(INDEX(DM_SP!$C$5:$C$304,MATCH(B601,DM_SP!$A$5:$A$304,0)),""))</f>
        <v/>
      </c>
      <c r="E601" s="35" t="str">
        <f>IF(BOM!A595="","",BOM!B595)</f>
        <v/>
      </c>
      <c r="F601" s="35" t="str">
        <f>IF(E601="","",IFERROR(INDEX(DM_NL!$B$5:$B$304,MATCH(E601,DM_NL!$A$5:$A$304,0)),"(chưa có trong DM_NL)"))</f>
        <v/>
      </c>
      <c r="G601" s="35" t="str">
        <f>IF(E601="","",IFERROR(INDEX(DM_NL!$C$5:$C$304,MATCH(E601,DM_NL!$A$5:$A$304,0)),""))</f>
        <v/>
      </c>
      <c r="H601" s="39" t="str">
        <f>IF(OR(E601="",BOM!G595="KXDDM"),"",BOM!F595)</f>
        <v/>
      </c>
      <c r="I601" s="36" t="str">
        <f>IF(E601="","",BOM!G595&amp;"")</f>
        <v/>
      </c>
    </row>
    <row r="602" spans="1:9" x14ac:dyDescent="0.25">
      <c r="A602" s="36" t="str">
        <f>IF(B602="","",MAX($A$10:A601)+1)</f>
        <v/>
      </c>
      <c r="B602" s="35" t="str">
        <f>IF(BOM!A596="","",IF(BOM!A596=BOM!A595,"",BOM!A596))</f>
        <v/>
      </c>
      <c r="C602" s="35" t="str">
        <f>IF(B602="","",IFERROR(INDEX(DM_SP!$B$5:$B$304,MATCH(B602,DM_SP!$A$5:$A$304,0)),"(chưa có trong DM_SP)"))</f>
        <v/>
      </c>
      <c r="D602" s="35" t="str">
        <f>IF(B602="","",IFERROR(INDEX(DM_SP!$C$5:$C$304,MATCH(B602,DM_SP!$A$5:$A$304,0)),""))</f>
        <v/>
      </c>
      <c r="E602" s="35" t="str">
        <f>IF(BOM!A596="","",BOM!B596)</f>
        <v/>
      </c>
      <c r="F602" s="35" t="str">
        <f>IF(E602="","",IFERROR(INDEX(DM_NL!$B$5:$B$304,MATCH(E602,DM_NL!$A$5:$A$304,0)),"(chưa có trong DM_NL)"))</f>
        <v/>
      </c>
      <c r="G602" s="35" t="str">
        <f>IF(E602="","",IFERROR(INDEX(DM_NL!$C$5:$C$304,MATCH(E602,DM_NL!$A$5:$A$304,0)),""))</f>
        <v/>
      </c>
      <c r="H602" s="39" t="str">
        <f>IF(OR(E602="",BOM!G596="KXDDM"),"",BOM!F596)</f>
        <v/>
      </c>
      <c r="I602" s="36" t="str">
        <f>IF(E602="","",BOM!G596&amp;"")</f>
        <v/>
      </c>
    </row>
    <row r="603" spans="1:9" x14ac:dyDescent="0.25">
      <c r="A603" s="36" t="str">
        <f>IF(B603="","",MAX($A$10:A602)+1)</f>
        <v/>
      </c>
      <c r="B603" s="35" t="str">
        <f>IF(BOM!A597="","",IF(BOM!A597=BOM!A596,"",BOM!A597))</f>
        <v/>
      </c>
      <c r="C603" s="35" t="str">
        <f>IF(B603="","",IFERROR(INDEX(DM_SP!$B$5:$B$304,MATCH(B603,DM_SP!$A$5:$A$304,0)),"(chưa có trong DM_SP)"))</f>
        <v/>
      </c>
      <c r="D603" s="35" t="str">
        <f>IF(B603="","",IFERROR(INDEX(DM_SP!$C$5:$C$304,MATCH(B603,DM_SP!$A$5:$A$304,0)),""))</f>
        <v/>
      </c>
      <c r="E603" s="35" t="str">
        <f>IF(BOM!A597="","",BOM!B597)</f>
        <v/>
      </c>
      <c r="F603" s="35" t="str">
        <f>IF(E603="","",IFERROR(INDEX(DM_NL!$B$5:$B$304,MATCH(E603,DM_NL!$A$5:$A$304,0)),"(chưa có trong DM_NL)"))</f>
        <v/>
      </c>
      <c r="G603" s="35" t="str">
        <f>IF(E603="","",IFERROR(INDEX(DM_NL!$C$5:$C$304,MATCH(E603,DM_NL!$A$5:$A$304,0)),""))</f>
        <v/>
      </c>
      <c r="H603" s="39" t="str">
        <f>IF(OR(E603="",BOM!G597="KXDDM"),"",BOM!F597)</f>
        <v/>
      </c>
      <c r="I603" s="36" t="str">
        <f>IF(E603="","",BOM!G597&amp;"")</f>
        <v/>
      </c>
    </row>
    <row r="604" spans="1:9" x14ac:dyDescent="0.25">
      <c r="A604" s="36" t="str">
        <f>IF(B604="","",MAX($A$10:A603)+1)</f>
        <v/>
      </c>
      <c r="B604" s="35" t="str">
        <f>IF(BOM!A598="","",IF(BOM!A598=BOM!A597,"",BOM!A598))</f>
        <v/>
      </c>
      <c r="C604" s="35" t="str">
        <f>IF(B604="","",IFERROR(INDEX(DM_SP!$B$5:$B$304,MATCH(B604,DM_SP!$A$5:$A$304,0)),"(chưa có trong DM_SP)"))</f>
        <v/>
      </c>
      <c r="D604" s="35" t="str">
        <f>IF(B604="","",IFERROR(INDEX(DM_SP!$C$5:$C$304,MATCH(B604,DM_SP!$A$5:$A$304,0)),""))</f>
        <v/>
      </c>
      <c r="E604" s="35" t="str">
        <f>IF(BOM!A598="","",BOM!B598)</f>
        <v/>
      </c>
      <c r="F604" s="35" t="str">
        <f>IF(E604="","",IFERROR(INDEX(DM_NL!$B$5:$B$304,MATCH(E604,DM_NL!$A$5:$A$304,0)),"(chưa có trong DM_NL)"))</f>
        <v/>
      </c>
      <c r="G604" s="35" t="str">
        <f>IF(E604="","",IFERROR(INDEX(DM_NL!$C$5:$C$304,MATCH(E604,DM_NL!$A$5:$A$304,0)),""))</f>
        <v/>
      </c>
      <c r="H604" s="39" t="str">
        <f>IF(OR(E604="",BOM!G598="KXDDM"),"",BOM!F598)</f>
        <v/>
      </c>
      <c r="I604" s="36" t="str">
        <f>IF(E604="","",BOM!G598&amp;"")</f>
        <v/>
      </c>
    </row>
    <row r="605" spans="1:9" x14ac:dyDescent="0.25">
      <c r="A605" s="36" t="str">
        <f>IF(B605="","",MAX($A$10:A604)+1)</f>
        <v/>
      </c>
      <c r="B605" s="35" t="str">
        <f>IF(BOM!A599="","",IF(BOM!A599=BOM!A598,"",BOM!A599))</f>
        <v/>
      </c>
      <c r="C605" s="35" t="str">
        <f>IF(B605="","",IFERROR(INDEX(DM_SP!$B$5:$B$304,MATCH(B605,DM_SP!$A$5:$A$304,0)),"(chưa có trong DM_SP)"))</f>
        <v/>
      </c>
      <c r="D605" s="35" t="str">
        <f>IF(B605="","",IFERROR(INDEX(DM_SP!$C$5:$C$304,MATCH(B605,DM_SP!$A$5:$A$304,0)),""))</f>
        <v/>
      </c>
      <c r="E605" s="35" t="str">
        <f>IF(BOM!A599="","",BOM!B599)</f>
        <v/>
      </c>
      <c r="F605" s="35" t="str">
        <f>IF(E605="","",IFERROR(INDEX(DM_NL!$B$5:$B$304,MATCH(E605,DM_NL!$A$5:$A$304,0)),"(chưa có trong DM_NL)"))</f>
        <v/>
      </c>
      <c r="G605" s="35" t="str">
        <f>IF(E605="","",IFERROR(INDEX(DM_NL!$C$5:$C$304,MATCH(E605,DM_NL!$A$5:$A$304,0)),""))</f>
        <v/>
      </c>
      <c r="H605" s="39" t="str">
        <f>IF(OR(E605="",BOM!G599="KXDDM"),"",BOM!F599)</f>
        <v/>
      </c>
      <c r="I605" s="36" t="str">
        <f>IF(E605="","",BOM!G599&amp;"")</f>
        <v/>
      </c>
    </row>
    <row r="606" spans="1:9" x14ac:dyDescent="0.25">
      <c r="A606" s="36" t="str">
        <f>IF(B606="","",MAX($A$10:A605)+1)</f>
        <v/>
      </c>
      <c r="B606" s="35" t="str">
        <f>IF(BOM!A600="","",IF(BOM!A600=BOM!A599,"",BOM!A600))</f>
        <v/>
      </c>
      <c r="C606" s="35" t="str">
        <f>IF(B606="","",IFERROR(INDEX(DM_SP!$B$5:$B$304,MATCH(B606,DM_SP!$A$5:$A$304,0)),"(chưa có trong DM_SP)"))</f>
        <v/>
      </c>
      <c r="D606" s="35" t="str">
        <f>IF(B606="","",IFERROR(INDEX(DM_SP!$C$5:$C$304,MATCH(B606,DM_SP!$A$5:$A$304,0)),""))</f>
        <v/>
      </c>
      <c r="E606" s="35" t="str">
        <f>IF(BOM!A600="","",BOM!B600)</f>
        <v/>
      </c>
      <c r="F606" s="35" t="str">
        <f>IF(E606="","",IFERROR(INDEX(DM_NL!$B$5:$B$304,MATCH(E606,DM_NL!$A$5:$A$304,0)),"(chưa có trong DM_NL)"))</f>
        <v/>
      </c>
      <c r="G606" s="35" t="str">
        <f>IF(E606="","",IFERROR(INDEX(DM_NL!$C$5:$C$304,MATCH(E606,DM_NL!$A$5:$A$304,0)),""))</f>
        <v/>
      </c>
      <c r="H606" s="39" t="str">
        <f>IF(OR(E606="",BOM!G600="KXDDM"),"",BOM!F600)</f>
        <v/>
      </c>
      <c r="I606" s="36" t="str">
        <f>IF(E606="","",BOM!G600&amp;"")</f>
        <v/>
      </c>
    </row>
    <row r="607" spans="1:9" x14ac:dyDescent="0.25">
      <c r="A607" s="36" t="str">
        <f>IF(B607="","",MAX($A$10:A606)+1)</f>
        <v/>
      </c>
      <c r="B607" s="35" t="str">
        <f>IF(BOM!A601="","",IF(BOM!A601=BOM!A600,"",BOM!A601))</f>
        <v/>
      </c>
      <c r="C607" s="35" t="str">
        <f>IF(B607="","",IFERROR(INDEX(DM_SP!$B$5:$B$304,MATCH(B607,DM_SP!$A$5:$A$304,0)),"(chưa có trong DM_SP)"))</f>
        <v/>
      </c>
      <c r="D607" s="35" t="str">
        <f>IF(B607="","",IFERROR(INDEX(DM_SP!$C$5:$C$304,MATCH(B607,DM_SP!$A$5:$A$304,0)),""))</f>
        <v/>
      </c>
      <c r="E607" s="35" t="str">
        <f>IF(BOM!A601="","",BOM!B601)</f>
        <v/>
      </c>
      <c r="F607" s="35" t="str">
        <f>IF(E607="","",IFERROR(INDEX(DM_NL!$B$5:$B$304,MATCH(E607,DM_NL!$A$5:$A$304,0)),"(chưa có trong DM_NL)"))</f>
        <v/>
      </c>
      <c r="G607" s="35" t="str">
        <f>IF(E607="","",IFERROR(INDEX(DM_NL!$C$5:$C$304,MATCH(E607,DM_NL!$A$5:$A$304,0)),""))</f>
        <v/>
      </c>
      <c r="H607" s="39" t="str">
        <f>IF(OR(E607="",BOM!G601="KXDDM"),"",BOM!F601)</f>
        <v/>
      </c>
      <c r="I607" s="36" t="str">
        <f>IF(E607="","",BOM!G601&amp;"")</f>
        <v/>
      </c>
    </row>
    <row r="608" spans="1:9" x14ac:dyDescent="0.25">
      <c r="A608" s="36" t="str">
        <f>IF(B608="","",MAX($A$10:A607)+1)</f>
        <v/>
      </c>
      <c r="B608" s="35" t="str">
        <f>IF(BOM!A602="","",IF(BOM!A602=BOM!A601,"",BOM!A602))</f>
        <v/>
      </c>
      <c r="C608" s="35" t="str">
        <f>IF(B608="","",IFERROR(INDEX(DM_SP!$B$5:$B$304,MATCH(B608,DM_SP!$A$5:$A$304,0)),"(chưa có trong DM_SP)"))</f>
        <v/>
      </c>
      <c r="D608" s="35" t="str">
        <f>IF(B608="","",IFERROR(INDEX(DM_SP!$C$5:$C$304,MATCH(B608,DM_SP!$A$5:$A$304,0)),""))</f>
        <v/>
      </c>
      <c r="E608" s="35" t="str">
        <f>IF(BOM!A602="","",BOM!B602)</f>
        <v/>
      </c>
      <c r="F608" s="35" t="str">
        <f>IF(E608="","",IFERROR(INDEX(DM_NL!$B$5:$B$304,MATCH(E608,DM_NL!$A$5:$A$304,0)),"(chưa có trong DM_NL)"))</f>
        <v/>
      </c>
      <c r="G608" s="35" t="str">
        <f>IF(E608="","",IFERROR(INDEX(DM_NL!$C$5:$C$304,MATCH(E608,DM_NL!$A$5:$A$304,0)),""))</f>
        <v/>
      </c>
      <c r="H608" s="39" t="str">
        <f>IF(OR(E608="",BOM!G602="KXDDM"),"",BOM!F602)</f>
        <v/>
      </c>
      <c r="I608" s="36" t="str">
        <f>IF(E608="","",BOM!G602&amp;"")</f>
        <v/>
      </c>
    </row>
    <row r="609" spans="1:9" x14ac:dyDescent="0.25">
      <c r="A609" s="36" t="str">
        <f>IF(B609="","",MAX($A$10:A608)+1)</f>
        <v/>
      </c>
      <c r="B609" s="35" t="str">
        <f>IF(BOM!A603="","",IF(BOM!A603=BOM!A602,"",BOM!A603))</f>
        <v/>
      </c>
      <c r="C609" s="35" t="str">
        <f>IF(B609="","",IFERROR(INDEX(DM_SP!$B$5:$B$304,MATCH(B609,DM_SP!$A$5:$A$304,0)),"(chưa có trong DM_SP)"))</f>
        <v/>
      </c>
      <c r="D609" s="35" t="str">
        <f>IF(B609="","",IFERROR(INDEX(DM_SP!$C$5:$C$304,MATCH(B609,DM_SP!$A$5:$A$304,0)),""))</f>
        <v/>
      </c>
      <c r="E609" s="35" t="str">
        <f>IF(BOM!A603="","",BOM!B603)</f>
        <v/>
      </c>
      <c r="F609" s="35" t="str">
        <f>IF(E609="","",IFERROR(INDEX(DM_NL!$B$5:$B$304,MATCH(E609,DM_NL!$A$5:$A$304,0)),"(chưa có trong DM_NL)"))</f>
        <v/>
      </c>
      <c r="G609" s="35" t="str">
        <f>IF(E609="","",IFERROR(INDEX(DM_NL!$C$5:$C$304,MATCH(E609,DM_NL!$A$5:$A$304,0)),""))</f>
        <v/>
      </c>
      <c r="H609" s="39" t="str">
        <f>IF(OR(E609="",BOM!G603="KXDDM"),"",BOM!F603)</f>
        <v/>
      </c>
      <c r="I609" s="36" t="str">
        <f>IF(E609="","",BOM!G603&amp;"")</f>
        <v/>
      </c>
    </row>
    <row r="610" spans="1:9" x14ac:dyDescent="0.25">
      <c r="A610" s="36" t="str">
        <f>IF(B610="","",MAX($A$10:A609)+1)</f>
        <v/>
      </c>
      <c r="B610" s="35" t="str">
        <f>IF(BOM!A604="","",IF(BOM!A604=BOM!A603,"",BOM!A604))</f>
        <v/>
      </c>
      <c r="C610" s="35" t="str">
        <f>IF(B610="","",IFERROR(INDEX(DM_SP!$B$5:$B$304,MATCH(B610,DM_SP!$A$5:$A$304,0)),"(chưa có trong DM_SP)"))</f>
        <v/>
      </c>
      <c r="D610" s="35" t="str">
        <f>IF(B610="","",IFERROR(INDEX(DM_SP!$C$5:$C$304,MATCH(B610,DM_SP!$A$5:$A$304,0)),""))</f>
        <v/>
      </c>
      <c r="E610" s="35" t="str">
        <f>IF(BOM!A604="","",BOM!B604)</f>
        <v/>
      </c>
      <c r="F610" s="35" t="str">
        <f>IF(E610="","",IFERROR(INDEX(DM_NL!$B$5:$B$304,MATCH(E610,DM_NL!$A$5:$A$304,0)),"(chưa có trong DM_NL)"))</f>
        <v/>
      </c>
      <c r="G610" s="35" t="str">
        <f>IF(E610="","",IFERROR(INDEX(DM_NL!$C$5:$C$304,MATCH(E610,DM_NL!$A$5:$A$304,0)),""))</f>
        <v/>
      </c>
      <c r="H610" s="39" t="str">
        <f>IF(OR(E610="",BOM!G604="KXDDM"),"",BOM!F604)</f>
        <v/>
      </c>
      <c r="I610" s="36" t="str">
        <f>IF(E610="","",BOM!G604&amp;"")</f>
        <v/>
      </c>
    </row>
    <row r="611" spans="1:9" x14ac:dyDescent="0.25">
      <c r="A611" s="36" t="str">
        <f>IF(B611="","",MAX($A$10:A610)+1)</f>
        <v/>
      </c>
      <c r="B611" s="35" t="str">
        <f>IF(BOM!A605="","",IF(BOM!A605=BOM!A604,"",BOM!A605))</f>
        <v/>
      </c>
      <c r="C611" s="35" t="str">
        <f>IF(B611="","",IFERROR(INDEX(DM_SP!$B$5:$B$304,MATCH(B611,DM_SP!$A$5:$A$304,0)),"(chưa có trong DM_SP)"))</f>
        <v/>
      </c>
      <c r="D611" s="35" t="str">
        <f>IF(B611="","",IFERROR(INDEX(DM_SP!$C$5:$C$304,MATCH(B611,DM_SP!$A$5:$A$304,0)),""))</f>
        <v/>
      </c>
      <c r="E611" s="35" t="str">
        <f>IF(BOM!A605="","",BOM!B605)</f>
        <v/>
      </c>
      <c r="F611" s="35" t="str">
        <f>IF(E611="","",IFERROR(INDEX(DM_NL!$B$5:$B$304,MATCH(E611,DM_NL!$A$5:$A$304,0)),"(chưa có trong DM_NL)"))</f>
        <v/>
      </c>
      <c r="G611" s="35" t="str">
        <f>IF(E611="","",IFERROR(INDEX(DM_NL!$C$5:$C$304,MATCH(E611,DM_NL!$A$5:$A$304,0)),""))</f>
        <v/>
      </c>
      <c r="H611" s="39" t="str">
        <f>IF(OR(E611="",BOM!G605="KXDDM"),"",BOM!F605)</f>
        <v/>
      </c>
      <c r="I611" s="36" t="str">
        <f>IF(E611="","",BOM!G605&amp;"")</f>
        <v/>
      </c>
    </row>
    <row r="612" spans="1:9" x14ac:dyDescent="0.25">
      <c r="A612" s="36" t="str">
        <f>IF(B612="","",MAX($A$10:A611)+1)</f>
        <v/>
      </c>
      <c r="B612" s="35" t="str">
        <f>IF(BOM!A606="","",IF(BOM!A606=BOM!A605,"",BOM!A606))</f>
        <v/>
      </c>
      <c r="C612" s="35" t="str">
        <f>IF(B612="","",IFERROR(INDEX(DM_SP!$B$5:$B$304,MATCH(B612,DM_SP!$A$5:$A$304,0)),"(chưa có trong DM_SP)"))</f>
        <v/>
      </c>
      <c r="D612" s="35" t="str">
        <f>IF(B612="","",IFERROR(INDEX(DM_SP!$C$5:$C$304,MATCH(B612,DM_SP!$A$5:$A$304,0)),""))</f>
        <v/>
      </c>
      <c r="E612" s="35" t="str">
        <f>IF(BOM!A606="","",BOM!B606)</f>
        <v/>
      </c>
      <c r="F612" s="35" t="str">
        <f>IF(E612="","",IFERROR(INDEX(DM_NL!$B$5:$B$304,MATCH(E612,DM_NL!$A$5:$A$304,0)),"(chưa có trong DM_NL)"))</f>
        <v/>
      </c>
      <c r="G612" s="35" t="str">
        <f>IF(E612="","",IFERROR(INDEX(DM_NL!$C$5:$C$304,MATCH(E612,DM_NL!$A$5:$A$304,0)),""))</f>
        <v/>
      </c>
      <c r="H612" s="39" t="str">
        <f>IF(OR(E612="",BOM!G606="KXDDM"),"",BOM!F606)</f>
        <v/>
      </c>
      <c r="I612" s="36" t="str">
        <f>IF(E612="","",BOM!G606&amp;"")</f>
        <v/>
      </c>
    </row>
    <row r="613" spans="1:9" x14ac:dyDescent="0.25">
      <c r="A613" s="36" t="str">
        <f>IF(B613="","",MAX($A$10:A612)+1)</f>
        <v/>
      </c>
      <c r="B613" s="35" t="str">
        <f>IF(BOM!A607="","",IF(BOM!A607=BOM!A606,"",BOM!A607))</f>
        <v/>
      </c>
      <c r="C613" s="35" t="str">
        <f>IF(B613="","",IFERROR(INDEX(DM_SP!$B$5:$B$304,MATCH(B613,DM_SP!$A$5:$A$304,0)),"(chưa có trong DM_SP)"))</f>
        <v/>
      </c>
      <c r="D613" s="35" t="str">
        <f>IF(B613="","",IFERROR(INDEX(DM_SP!$C$5:$C$304,MATCH(B613,DM_SP!$A$5:$A$304,0)),""))</f>
        <v/>
      </c>
      <c r="E613" s="35" t="str">
        <f>IF(BOM!A607="","",BOM!B607)</f>
        <v/>
      </c>
      <c r="F613" s="35" t="str">
        <f>IF(E613="","",IFERROR(INDEX(DM_NL!$B$5:$B$304,MATCH(E613,DM_NL!$A$5:$A$304,0)),"(chưa có trong DM_NL)"))</f>
        <v/>
      </c>
      <c r="G613" s="35" t="str">
        <f>IF(E613="","",IFERROR(INDEX(DM_NL!$C$5:$C$304,MATCH(E613,DM_NL!$A$5:$A$304,0)),""))</f>
        <v/>
      </c>
      <c r="H613" s="39" t="str">
        <f>IF(OR(E613="",BOM!G607="KXDDM"),"",BOM!F607)</f>
        <v/>
      </c>
      <c r="I613" s="36" t="str">
        <f>IF(E613="","",BOM!G607&amp;"")</f>
        <v/>
      </c>
    </row>
    <row r="614" spans="1:9" x14ac:dyDescent="0.25">
      <c r="A614" s="36" t="str">
        <f>IF(B614="","",MAX($A$10:A613)+1)</f>
        <v/>
      </c>
      <c r="B614" s="35" t="str">
        <f>IF(BOM!A608="","",IF(BOM!A608=BOM!A607,"",BOM!A608))</f>
        <v/>
      </c>
      <c r="C614" s="35" t="str">
        <f>IF(B614="","",IFERROR(INDEX(DM_SP!$B$5:$B$304,MATCH(B614,DM_SP!$A$5:$A$304,0)),"(chưa có trong DM_SP)"))</f>
        <v/>
      </c>
      <c r="D614" s="35" t="str">
        <f>IF(B614="","",IFERROR(INDEX(DM_SP!$C$5:$C$304,MATCH(B614,DM_SP!$A$5:$A$304,0)),""))</f>
        <v/>
      </c>
      <c r="E614" s="35" t="str">
        <f>IF(BOM!A608="","",BOM!B608)</f>
        <v/>
      </c>
      <c r="F614" s="35" t="str">
        <f>IF(E614="","",IFERROR(INDEX(DM_NL!$B$5:$B$304,MATCH(E614,DM_NL!$A$5:$A$304,0)),"(chưa có trong DM_NL)"))</f>
        <v/>
      </c>
      <c r="G614" s="35" t="str">
        <f>IF(E614="","",IFERROR(INDEX(DM_NL!$C$5:$C$304,MATCH(E614,DM_NL!$A$5:$A$304,0)),""))</f>
        <v/>
      </c>
      <c r="H614" s="39" t="str">
        <f>IF(OR(E614="",BOM!G608="KXDDM"),"",BOM!F608)</f>
        <v/>
      </c>
      <c r="I614" s="36" t="str">
        <f>IF(E614="","",BOM!G608&amp;"")</f>
        <v/>
      </c>
    </row>
    <row r="615" spans="1:9" x14ac:dyDescent="0.25">
      <c r="A615" s="36" t="str">
        <f>IF(B615="","",MAX($A$10:A614)+1)</f>
        <v/>
      </c>
      <c r="B615" s="35" t="str">
        <f>IF(BOM!A609="","",IF(BOM!A609=BOM!A608,"",BOM!A609))</f>
        <v/>
      </c>
      <c r="C615" s="35" t="str">
        <f>IF(B615="","",IFERROR(INDEX(DM_SP!$B$5:$B$304,MATCH(B615,DM_SP!$A$5:$A$304,0)),"(chưa có trong DM_SP)"))</f>
        <v/>
      </c>
      <c r="D615" s="35" t="str">
        <f>IF(B615="","",IFERROR(INDEX(DM_SP!$C$5:$C$304,MATCH(B615,DM_SP!$A$5:$A$304,0)),""))</f>
        <v/>
      </c>
      <c r="E615" s="35" t="str">
        <f>IF(BOM!A609="","",BOM!B609)</f>
        <v/>
      </c>
      <c r="F615" s="35" t="str">
        <f>IF(E615="","",IFERROR(INDEX(DM_NL!$B$5:$B$304,MATCH(E615,DM_NL!$A$5:$A$304,0)),"(chưa có trong DM_NL)"))</f>
        <v/>
      </c>
      <c r="G615" s="35" t="str">
        <f>IF(E615="","",IFERROR(INDEX(DM_NL!$C$5:$C$304,MATCH(E615,DM_NL!$A$5:$A$304,0)),""))</f>
        <v/>
      </c>
      <c r="H615" s="39" t="str">
        <f>IF(OR(E615="",BOM!G609="KXDDM"),"",BOM!F609)</f>
        <v/>
      </c>
      <c r="I615" s="36" t="str">
        <f>IF(E615="","",BOM!G609&amp;"")</f>
        <v/>
      </c>
    </row>
    <row r="616" spans="1:9" x14ac:dyDescent="0.25">
      <c r="A616" s="36" t="str">
        <f>IF(B616="","",MAX($A$10:A615)+1)</f>
        <v/>
      </c>
      <c r="B616" s="35" t="str">
        <f>IF(BOM!A610="","",IF(BOM!A610=BOM!A609,"",BOM!A610))</f>
        <v/>
      </c>
      <c r="C616" s="35" t="str">
        <f>IF(B616="","",IFERROR(INDEX(DM_SP!$B$5:$B$304,MATCH(B616,DM_SP!$A$5:$A$304,0)),"(chưa có trong DM_SP)"))</f>
        <v/>
      </c>
      <c r="D616" s="35" t="str">
        <f>IF(B616="","",IFERROR(INDEX(DM_SP!$C$5:$C$304,MATCH(B616,DM_SP!$A$5:$A$304,0)),""))</f>
        <v/>
      </c>
      <c r="E616" s="35" t="str">
        <f>IF(BOM!A610="","",BOM!B610)</f>
        <v/>
      </c>
      <c r="F616" s="35" t="str">
        <f>IF(E616="","",IFERROR(INDEX(DM_NL!$B$5:$B$304,MATCH(E616,DM_NL!$A$5:$A$304,0)),"(chưa có trong DM_NL)"))</f>
        <v/>
      </c>
      <c r="G616" s="35" t="str">
        <f>IF(E616="","",IFERROR(INDEX(DM_NL!$C$5:$C$304,MATCH(E616,DM_NL!$A$5:$A$304,0)),""))</f>
        <v/>
      </c>
      <c r="H616" s="39" t="str">
        <f>IF(OR(E616="",BOM!G610="KXDDM"),"",BOM!F610)</f>
        <v/>
      </c>
      <c r="I616" s="36" t="str">
        <f>IF(E616="","",BOM!G610&amp;"")</f>
        <v/>
      </c>
    </row>
    <row r="617" spans="1:9" x14ac:dyDescent="0.25">
      <c r="A617" s="36" t="str">
        <f>IF(B617="","",MAX($A$10:A616)+1)</f>
        <v/>
      </c>
      <c r="B617" s="35" t="str">
        <f>IF(BOM!A611="","",IF(BOM!A611=BOM!A610,"",BOM!A611))</f>
        <v/>
      </c>
      <c r="C617" s="35" t="str">
        <f>IF(B617="","",IFERROR(INDEX(DM_SP!$B$5:$B$304,MATCH(B617,DM_SP!$A$5:$A$304,0)),"(chưa có trong DM_SP)"))</f>
        <v/>
      </c>
      <c r="D617" s="35" t="str">
        <f>IF(B617="","",IFERROR(INDEX(DM_SP!$C$5:$C$304,MATCH(B617,DM_SP!$A$5:$A$304,0)),""))</f>
        <v/>
      </c>
      <c r="E617" s="35" t="str">
        <f>IF(BOM!A611="","",BOM!B611)</f>
        <v/>
      </c>
      <c r="F617" s="35" t="str">
        <f>IF(E617="","",IFERROR(INDEX(DM_NL!$B$5:$B$304,MATCH(E617,DM_NL!$A$5:$A$304,0)),"(chưa có trong DM_NL)"))</f>
        <v/>
      </c>
      <c r="G617" s="35" t="str">
        <f>IF(E617="","",IFERROR(INDEX(DM_NL!$C$5:$C$304,MATCH(E617,DM_NL!$A$5:$A$304,0)),""))</f>
        <v/>
      </c>
      <c r="H617" s="39" t="str">
        <f>IF(OR(E617="",BOM!G611="KXDDM"),"",BOM!F611)</f>
        <v/>
      </c>
      <c r="I617" s="36" t="str">
        <f>IF(E617="","",BOM!G611&amp;"")</f>
        <v/>
      </c>
    </row>
    <row r="618" spans="1:9" x14ac:dyDescent="0.25">
      <c r="A618" s="36" t="str">
        <f>IF(B618="","",MAX($A$10:A617)+1)</f>
        <v/>
      </c>
      <c r="B618" s="35" t="str">
        <f>IF(BOM!A612="","",IF(BOM!A612=BOM!A611,"",BOM!A612))</f>
        <v/>
      </c>
      <c r="C618" s="35" t="str">
        <f>IF(B618="","",IFERROR(INDEX(DM_SP!$B$5:$B$304,MATCH(B618,DM_SP!$A$5:$A$304,0)),"(chưa có trong DM_SP)"))</f>
        <v/>
      </c>
      <c r="D618" s="35" t="str">
        <f>IF(B618="","",IFERROR(INDEX(DM_SP!$C$5:$C$304,MATCH(B618,DM_SP!$A$5:$A$304,0)),""))</f>
        <v/>
      </c>
      <c r="E618" s="35" t="str">
        <f>IF(BOM!A612="","",BOM!B612)</f>
        <v/>
      </c>
      <c r="F618" s="35" t="str">
        <f>IF(E618="","",IFERROR(INDEX(DM_NL!$B$5:$B$304,MATCH(E618,DM_NL!$A$5:$A$304,0)),"(chưa có trong DM_NL)"))</f>
        <v/>
      </c>
      <c r="G618" s="35" t="str">
        <f>IF(E618="","",IFERROR(INDEX(DM_NL!$C$5:$C$304,MATCH(E618,DM_NL!$A$5:$A$304,0)),""))</f>
        <v/>
      </c>
      <c r="H618" s="39" t="str">
        <f>IF(OR(E618="",BOM!G612="KXDDM"),"",BOM!F612)</f>
        <v/>
      </c>
      <c r="I618" s="36" t="str">
        <f>IF(E618="","",BOM!G612&amp;"")</f>
        <v/>
      </c>
    </row>
    <row r="619" spans="1:9" x14ac:dyDescent="0.25">
      <c r="A619" s="36" t="str">
        <f>IF(B619="","",MAX($A$10:A618)+1)</f>
        <v/>
      </c>
      <c r="B619" s="35" t="str">
        <f>IF(BOM!A613="","",IF(BOM!A613=BOM!A612,"",BOM!A613))</f>
        <v/>
      </c>
      <c r="C619" s="35" t="str">
        <f>IF(B619="","",IFERROR(INDEX(DM_SP!$B$5:$B$304,MATCH(B619,DM_SP!$A$5:$A$304,0)),"(chưa có trong DM_SP)"))</f>
        <v/>
      </c>
      <c r="D619" s="35" t="str">
        <f>IF(B619="","",IFERROR(INDEX(DM_SP!$C$5:$C$304,MATCH(B619,DM_SP!$A$5:$A$304,0)),""))</f>
        <v/>
      </c>
      <c r="E619" s="35" t="str">
        <f>IF(BOM!A613="","",BOM!B613)</f>
        <v/>
      </c>
      <c r="F619" s="35" t="str">
        <f>IF(E619="","",IFERROR(INDEX(DM_NL!$B$5:$B$304,MATCH(E619,DM_NL!$A$5:$A$304,0)),"(chưa có trong DM_NL)"))</f>
        <v/>
      </c>
      <c r="G619" s="35" t="str">
        <f>IF(E619="","",IFERROR(INDEX(DM_NL!$C$5:$C$304,MATCH(E619,DM_NL!$A$5:$A$304,0)),""))</f>
        <v/>
      </c>
      <c r="H619" s="39" t="str">
        <f>IF(OR(E619="",BOM!G613="KXDDM"),"",BOM!F613)</f>
        <v/>
      </c>
      <c r="I619" s="36" t="str">
        <f>IF(E619="","",BOM!G613&amp;"")</f>
        <v/>
      </c>
    </row>
    <row r="620" spans="1:9" x14ac:dyDescent="0.25">
      <c r="A620" s="36" t="str">
        <f>IF(B620="","",MAX($A$10:A619)+1)</f>
        <v/>
      </c>
      <c r="B620" s="35" t="str">
        <f>IF(BOM!A614="","",IF(BOM!A614=BOM!A613,"",BOM!A614))</f>
        <v/>
      </c>
      <c r="C620" s="35" t="str">
        <f>IF(B620="","",IFERROR(INDEX(DM_SP!$B$5:$B$304,MATCH(B620,DM_SP!$A$5:$A$304,0)),"(chưa có trong DM_SP)"))</f>
        <v/>
      </c>
      <c r="D620" s="35" t="str">
        <f>IF(B620="","",IFERROR(INDEX(DM_SP!$C$5:$C$304,MATCH(B620,DM_SP!$A$5:$A$304,0)),""))</f>
        <v/>
      </c>
      <c r="E620" s="35" t="str">
        <f>IF(BOM!A614="","",BOM!B614)</f>
        <v/>
      </c>
      <c r="F620" s="35" t="str">
        <f>IF(E620="","",IFERROR(INDEX(DM_NL!$B$5:$B$304,MATCH(E620,DM_NL!$A$5:$A$304,0)),"(chưa có trong DM_NL)"))</f>
        <v/>
      </c>
      <c r="G620" s="35" t="str">
        <f>IF(E620="","",IFERROR(INDEX(DM_NL!$C$5:$C$304,MATCH(E620,DM_NL!$A$5:$A$304,0)),""))</f>
        <v/>
      </c>
      <c r="H620" s="39" t="str">
        <f>IF(OR(E620="",BOM!G614="KXDDM"),"",BOM!F614)</f>
        <v/>
      </c>
      <c r="I620" s="36" t="str">
        <f>IF(E620="","",BOM!G614&amp;"")</f>
        <v/>
      </c>
    </row>
    <row r="621" spans="1:9" x14ac:dyDescent="0.25">
      <c r="A621" s="36" t="str">
        <f>IF(B621="","",MAX($A$10:A620)+1)</f>
        <v/>
      </c>
      <c r="B621" s="35" t="str">
        <f>IF(BOM!A615="","",IF(BOM!A615=BOM!A614,"",BOM!A615))</f>
        <v/>
      </c>
      <c r="C621" s="35" t="str">
        <f>IF(B621="","",IFERROR(INDEX(DM_SP!$B$5:$B$304,MATCH(B621,DM_SP!$A$5:$A$304,0)),"(chưa có trong DM_SP)"))</f>
        <v/>
      </c>
      <c r="D621" s="35" t="str">
        <f>IF(B621="","",IFERROR(INDEX(DM_SP!$C$5:$C$304,MATCH(B621,DM_SP!$A$5:$A$304,0)),""))</f>
        <v/>
      </c>
      <c r="E621" s="35" t="str">
        <f>IF(BOM!A615="","",BOM!B615)</f>
        <v/>
      </c>
      <c r="F621" s="35" t="str">
        <f>IF(E621="","",IFERROR(INDEX(DM_NL!$B$5:$B$304,MATCH(E621,DM_NL!$A$5:$A$304,0)),"(chưa có trong DM_NL)"))</f>
        <v/>
      </c>
      <c r="G621" s="35" t="str">
        <f>IF(E621="","",IFERROR(INDEX(DM_NL!$C$5:$C$304,MATCH(E621,DM_NL!$A$5:$A$304,0)),""))</f>
        <v/>
      </c>
      <c r="H621" s="39" t="str">
        <f>IF(OR(E621="",BOM!G615="KXDDM"),"",BOM!F615)</f>
        <v/>
      </c>
      <c r="I621" s="36" t="str">
        <f>IF(E621="","",BOM!G615&amp;"")</f>
        <v/>
      </c>
    </row>
    <row r="622" spans="1:9" x14ac:dyDescent="0.25">
      <c r="A622" s="36" t="str">
        <f>IF(B622="","",MAX($A$10:A621)+1)</f>
        <v/>
      </c>
      <c r="B622" s="35" t="str">
        <f>IF(BOM!A616="","",IF(BOM!A616=BOM!A615,"",BOM!A616))</f>
        <v/>
      </c>
      <c r="C622" s="35" t="str">
        <f>IF(B622="","",IFERROR(INDEX(DM_SP!$B$5:$B$304,MATCH(B622,DM_SP!$A$5:$A$304,0)),"(chưa có trong DM_SP)"))</f>
        <v/>
      </c>
      <c r="D622" s="35" t="str">
        <f>IF(B622="","",IFERROR(INDEX(DM_SP!$C$5:$C$304,MATCH(B622,DM_SP!$A$5:$A$304,0)),""))</f>
        <v/>
      </c>
      <c r="E622" s="35" t="str">
        <f>IF(BOM!A616="","",BOM!B616)</f>
        <v/>
      </c>
      <c r="F622" s="35" t="str">
        <f>IF(E622="","",IFERROR(INDEX(DM_NL!$B$5:$B$304,MATCH(E622,DM_NL!$A$5:$A$304,0)),"(chưa có trong DM_NL)"))</f>
        <v/>
      </c>
      <c r="G622" s="35" t="str">
        <f>IF(E622="","",IFERROR(INDEX(DM_NL!$C$5:$C$304,MATCH(E622,DM_NL!$A$5:$A$304,0)),""))</f>
        <v/>
      </c>
      <c r="H622" s="39" t="str">
        <f>IF(OR(E622="",BOM!G616="KXDDM"),"",BOM!F616)</f>
        <v/>
      </c>
      <c r="I622" s="36" t="str">
        <f>IF(E622="","",BOM!G616&amp;"")</f>
        <v/>
      </c>
    </row>
    <row r="623" spans="1:9" x14ac:dyDescent="0.25">
      <c r="A623" s="36" t="str">
        <f>IF(B623="","",MAX($A$10:A622)+1)</f>
        <v/>
      </c>
      <c r="B623" s="35" t="str">
        <f>IF(BOM!A617="","",IF(BOM!A617=BOM!A616,"",BOM!A617))</f>
        <v/>
      </c>
      <c r="C623" s="35" t="str">
        <f>IF(B623="","",IFERROR(INDEX(DM_SP!$B$5:$B$304,MATCH(B623,DM_SP!$A$5:$A$304,0)),"(chưa có trong DM_SP)"))</f>
        <v/>
      </c>
      <c r="D623" s="35" t="str">
        <f>IF(B623="","",IFERROR(INDEX(DM_SP!$C$5:$C$304,MATCH(B623,DM_SP!$A$5:$A$304,0)),""))</f>
        <v/>
      </c>
      <c r="E623" s="35" t="str">
        <f>IF(BOM!A617="","",BOM!B617)</f>
        <v/>
      </c>
      <c r="F623" s="35" t="str">
        <f>IF(E623="","",IFERROR(INDEX(DM_NL!$B$5:$B$304,MATCH(E623,DM_NL!$A$5:$A$304,0)),"(chưa có trong DM_NL)"))</f>
        <v/>
      </c>
      <c r="G623" s="35" t="str">
        <f>IF(E623="","",IFERROR(INDEX(DM_NL!$C$5:$C$304,MATCH(E623,DM_NL!$A$5:$A$304,0)),""))</f>
        <v/>
      </c>
      <c r="H623" s="39" t="str">
        <f>IF(OR(E623="",BOM!G617="KXDDM"),"",BOM!F617)</f>
        <v/>
      </c>
      <c r="I623" s="36" t="str">
        <f>IF(E623="","",BOM!G617&amp;"")</f>
        <v/>
      </c>
    </row>
    <row r="624" spans="1:9" x14ac:dyDescent="0.25">
      <c r="A624" s="36" t="str">
        <f>IF(B624="","",MAX($A$10:A623)+1)</f>
        <v/>
      </c>
      <c r="B624" s="35" t="str">
        <f>IF(BOM!A618="","",IF(BOM!A618=BOM!A617,"",BOM!A618))</f>
        <v/>
      </c>
      <c r="C624" s="35" t="str">
        <f>IF(B624="","",IFERROR(INDEX(DM_SP!$B$5:$B$304,MATCH(B624,DM_SP!$A$5:$A$304,0)),"(chưa có trong DM_SP)"))</f>
        <v/>
      </c>
      <c r="D624" s="35" t="str">
        <f>IF(B624="","",IFERROR(INDEX(DM_SP!$C$5:$C$304,MATCH(B624,DM_SP!$A$5:$A$304,0)),""))</f>
        <v/>
      </c>
      <c r="E624" s="35" t="str">
        <f>IF(BOM!A618="","",BOM!B618)</f>
        <v/>
      </c>
      <c r="F624" s="35" t="str">
        <f>IF(E624="","",IFERROR(INDEX(DM_NL!$B$5:$B$304,MATCH(E624,DM_NL!$A$5:$A$304,0)),"(chưa có trong DM_NL)"))</f>
        <v/>
      </c>
      <c r="G624" s="35" t="str">
        <f>IF(E624="","",IFERROR(INDEX(DM_NL!$C$5:$C$304,MATCH(E624,DM_NL!$A$5:$A$304,0)),""))</f>
        <v/>
      </c>
      <c r="H624" s="39" t="str">
        <f>IF(OR(E624="",BOM!G618="KXDDM"),"",BOM!F618)</f>
        <v/>
      </c>
      <c r="I624" s="36" t="str">
        <f>IF(E624="","",BOM!G618&amp;"")</f>
        <v/>
      </c>
    </row>
    <row r="625" spans="1:9" x14ac:dyDescent="0.25">
      <c r="A625" s="36" t="str">
        <f>IF(B625="","",MAX($A$10:A624)+1)</f>
        <v/>
      </c>
      <c r="B625" s="35" t="str">
        <f>IF(BOM!A619="","",IF(BOM!A619=BOM!A618,"",BOM!A619))</f>
        <v/>
      </c>
      <c r="C625" s="35" t="str">
        <f>IF(B625="","",IFERROR(INDEX(DM_SP!$B$5:$B$304,MATCH(B625,DM_SP!$A$5:$A$304,0)),"(chưa có trong DM_SP)"))</f>
        <v/>
      </c>
      <c r="D625" s="35" t="str">
        <f>IF(B625="","",IFERROR(INDEX(DM_SP!$C$5:$C$304,MATCH(B625,DM_SP!$A$5:$A$304,0)),""))</f>
        <v/>
      </c>
      <c r="E625" s="35" t="str">
        <f>IF(BOM!A619="","",BOM!B619)</f>
        <v/>
      </c>
      <c r="F625" s="35" t="str">
        <f>IF(E625="","",IFERROR(INDEX(DM_NL!$B$5:$B$304,MATCH(E625,DM_NL!$A$5:$A$304,0)),"(chưa có trong DM_NL)"))</f>
        <v/>
      </c>
      <c r="G625" s="35" t="str">
        <f>IF(E625="","",IFERROR(INDEX(DM_NL!$C$5:$C$304,MATCH(E625,DM_NL!$A$5:$A$304,0)),""))</f>
        <v/>
      </c>
      <c r="H625" s="39" t="str">
        <f>IF(OR(E625="",BOM!G619="KXDDM"),"",BOM!F619)</f>
        <v/>
      </c>
      <c r="I625" s="36" t="str">
        <f>IF(E625="","",BOM!G619&amp;"")</f>
        <v/>
      </c>
    </row>
    <row r="626" spans="1:9" x14ac:dyDescent="0.25">
      <c r="A626" s="36" t="str">
        <f>IF(B626="","",MAX($A$10:A625)+1)</f>
        <v/>
      </c>
      <c r="B626" s="35" t="str">
        <f>IF(BOM!A620="","",IF(BOM!A620=BOM!A619,"",BOM!A620))</f>
        <v/>
      </c>
      <c r="C626" s="35" t="str">
        <f>IF(B626="","",IFERROR(INDEX(DM_SP!$B$5:$B$304,MATCH(B626,DM_SP!$A$5:$A$304,0)),"(chưa có trong DM_SP)"))</f>
        <v/>
      </c>
      <c r="D626" s="35" t="str">
        <f>IF(B626="","",IFERROR(INDEX(DM_SP!$C$5:$C$304,MATCH(B626,DM_SP!$A$5:$A$304,0)),""))</f>
        <v/>
      </c>
      <c r="E626" s="35" t="str">
        <f>IF(BOM!A620="","",BOM!B620)</f>
        <v/>
      </c>
      <c r="F626" s="35" t="str">
        <f>IF(E626="","",IFERROR(INDEX(DM_NL!$B$5:$B$304,MATCH(E626,DM_NL!$A$5:$A$304,0)),"(chưa có trong DM_NL)"))</f>
        <v/>
      </c>
      <c r="G626" s="35" t="str">
        <f>IF(E626="","",IFERROR(INDEX(DM_NL!$C$5:$C$304,MATCH(E626,DM_NL!$A$5:$A$304,0)),""))</f>
        <v/>
      </c>
      <c r="H626" s="39" t="str">
        <f>IF(OR(E626="",BOM!G620="KXDDM"),"",BOM!F620)</f>
        <v/>
      </c>
      <c r="I626" s="36" t="str">
        <f>IF(E626="","",BOM!G620&amp;"")</f>
        <v/>
      </c>
    </row>
    <row r="627" spans="1:9" x14ac:dyDescent="0.25">
      <c r="A627" s="36" t="str">
        <f>IF(B627="","",MAX($A$10:A626)+1)</f>
        <v/>
      </c>
      <c r="B627" s="35" t="str">
        <f>IF(BOM!A621="","",IF(BOM!A621=BOM!A620,"",BOM!A621))</f>
        <v/>
      </c>
      <c r="C627" s="35" t="str">
        <f>IF(B627="","",IFERROR(INDEX(DM_SP!$B$5:$B$304,MATCH(B627,DM_SP!$A$5:$A$304,0)),"(chưa có trong DM_SP)"))</f>
        <v/>
      </c>
      <c r="D627" s="35" t="str">
        <f>IF(B627="","",IFERROR(INDEX(DM_SP!$C$5:$C$304,MATCH(B627,DM_SP!$A$5:$A$304,0)),""))</f>
        <v/>
      </c>
      <c r="E627" s="35" t="str">
        <f>IF(BOM!A621="","",BOM!B621)</f>
        <v/>
      </c>
      <c r="F627" s="35" t="str">
        <f>IF(E627="","",IFERROR(INDEX(DM_NL!$B$5:$B$304,MATCH(E627,DM_NL!$A$5:$A$304,0)),"(chưa có trong DM_NL)"))</f>
        <v/>
      </c>
      <c r="G627" s="35" t="str">
        <f>IF(E627="","",IFERROR(INDEX(DM_NL!$C$5:$C$304,MATCH(E627,DM_NL!$A$5:$A$304,0)),""))</f>
        <v/>
      </c>
      <c r="H627" s="39" t="str">
        <f>IF(OR(E627="",BOM!G621="KXDDM"),"",BOM!F621)</f>
        <v/>
      </c>
      <c r="I627" s="36" t="str">
        <f>IF(E627="","",BOM!G621&amp;"")</f>
        <v/>
      </c>
    </row>
    <row r="628" spans="1:9" x14ac:dyDescent="0.25">
      <c r="A628" s="36" t="str">
        <f>IF(B628="","",MAX($A$10:A627)+1)</f>
        <v/>
      </c>
      <c r="B628" s="35" t="str">
        <f>IF(BOM!A622="","",IF(BOM!A622=BOM!A621,"",BOM!A622))</f>
        <v/>
      </c>
      <c r="C628" s="35" t="str">
        <f>IF(B628="","",IFERROR(INDEX(DM_SP!$B$5:$B$304,MATCH(B628,DM_SP!$A$5:$A$304,0)),"(chưa có trong DM_SP)"))</f>
        <v/>
      </c>
      <c r="D628" s="35" t="str">
        <f>IF(B628="","",IFERROR(INDEX(DM_SP!$C$5:$C$304,MATCH(B628,DM_SP!$A$5:$A$304,0)),""))</f>
        <v/>
      </c>
      <c r="E628" s="35" t="str">
        <f>IF(BOM!A622="","",BOM!B622)</f>
        <v/>
      </c>
      <c r="F628" s="35" t="str">
        <f>IF(E628="","",IFERROR(INDEX(DM_NL!$B$5:$B$304,MATCH(E628,DM_NL!$A$5:$A$304,0)),"(chưa có trong DM_NL)"))</f>
        <v/>
      </c>
      <c r="G628" s="35" t="str">
        <f>IF(E628="","",IFERROR(INDEX(DM_NL!$C$5:$C$304,MATCH(E628,DM_NL!$A$5:$A$304,0)),""))</f>
        <v/>
      </c>
      <c r="H628" s="39" t="str">
        <f>IF(OR(E628="",BOM!G622="KXDDM"),"",BOM!F622)</f>
        <v/>
      </c>
      <c r="I628" s="36" t="str">
        <f>IF(E628="","",BOM!G622&amp;"")</f>
        <v/>
      </c>
    </row>
    <row r="629" spans="1:9" x14ac:dyDescent="0.25">
      <c r="A629" s="36" t="str">
        <f>IF(B629="","",MAX($A$10:A628)+1)</f>
        <v/>
      </c>
      <c r="B629" s="35" t="str">
        <f>IF(BOM!A623="","",IF(BOM!A623=BOM!A622,"",BOM!A623))</f>
        <v/>
      </c>
      <c r="C629" s="35" t="str">
        <f>IF(B629="","",IFERROR(INDEX(DM_SP!$B$5:$B$304,MATCH(B629,DM_SP!$A$5:$A$304,0)),"(chưa có trong DM_SP)"))</f>
        <v/>
      </c>
      <c r="D629" s="35" t="str">
        <f>IF(B629="","",IFERROR(INDEX(DM_SP!$C$5:$C$304,MATCH(B629,DM_SP!$A$5:$A$304,0)),""))</f>
        <v/>
      </c>
      <c r="E629" s="35" t="str">
        <f>IF(BOM!A623="","",BOM!B623)</f>
        <v/>
      </c>
      <c r="F629" s="35" t="str">
        <f>IF(E629="","",IFERROR(INDEX(DM_NL!$B$5:$B$304,MATCH(E629,DM_NL!$A$5:$A$304,0)),"(chưa có trong DM_NL)"))</f>
        <v/>
      </c>
      <c r="G629" s="35" t="str">
        <f>IF(E629="","",IFERROR(INDEX(DM_NL!$C$5:$C$304,MATCH(E629,DM_NL!$A$5:$A$304,0)),""))</f>
        <v/>
      </c>
      <c r="H629" s="39" t="str">
        <f>IF(OR(E629="",BOM!G623="KXDDM"),"",BOM!F623)</f>
        <v/>
      </c>
      <c r="I629" s="36" t="str">
        <f>IF(E629="","",BOM!G623&amp;"")</f>
        <v/>
      </c>
    </row>
    <row r="630" spans="1:9" x14ac:dyDescent="0.25">
      <c r="A630" s="36" t="str">
        <f>IF(B630="","",MAX($A$10:A629)+1)</f>
        <v/>
      </c>
      <c r="B630" s="35" t="str">
        <f>IF(BOM!A624="","",IF(BOM!A624=BOM!A623,"",BOM!A624))</f>
        <v/>
      </c>
      <c r="C630" s="35" t="str">
        <f>IF(B630="","",IFERROR(INDEX(DM_SP!$B$5:$B$304,MATCH(B630,DM_SP!$A$5:$A$304,0)),"(chưa có trong DM_SP)"))</f>
        <v/>
      </c>
      <c r="D630" s="35" t="str">
        <f>IF(B630="","",IFERROR(INDEX(DM_SP!$C$5:$C$304,MATCH(B630,DM_SP!$A$5:$A$304,0)),""))</f>
        <v/>
      </c>
      <c r="E630" s="35" t="str">
        <f>IF(BOM!A624="","",BOM!B624)</f>
        <v/>
      </c>
      <c r="F630" s="35" t="str">
        <f>IF(E630="","",IFERROR(INDEX(DM_NL!$B$5:$B$304,MATCH(E630,DM_NL!$A$5:$A$304,0)),"(chưa có trong DM_NL)"))</f>
        <v/>
      </c>
      <c r="G630" s="35" t="str">
        <f>IF(E630="","",IFERROR(INDEX(DM_NL!$C$5:$C$304,MATCH(E630,DM_NL!$A$5:$A$304,0)),""))</f>
        <v/>
      </c>
      <c r="H630" s="39" t="str">
        <f>IF(OR(E630="",BOM!G624="KXDDM"),"",BOM!F624)</f>
        <v/>
      </c>
      <c r="I630" s="36" t="str">
        <f>IF(E630="","",BOM!G624&amp;"")</f>
        <v/>
      </c>
    </row>
    <row r="631" spans="1:9" x14ac:dyDescent="0.25">
      <c r="A631" s="36" t="str">
        <f>IF(B631="","",MAX($A$10:A630)+1)</f>
        <v/>
      </c>
      <c r="B631" s="35" t="str">
        <f>IF(BOM!A625="","",IF(BOM!A625=BOM!A624,"",BOM!A625))</f>
        <v/>
      </c>
      <c r="C631" s="35" t="str">
        <f>IF(B631="","",IFERROR(INDEX(DM_SP!$B$5:$B$304,MATCH(B631,DM_SP!$A$5:$A$304,0)),"(chưa có trong DM_SP)"))</f>
        <v/>
      </c>
      <c r="D631" s="35" t="str">
        <f>IF(B631="","",IFERROR(INDEX(DM_SP!$C$5:$C$304,MATCH(B631,DM_SP!$A$5:$A$304,0)),""))</f>
        <v/>
      </c>
      <c r="E631" s="35" t="str">
        <f>IF(BOM!A625="","",BOM!B625)</f>
        <v/>
      </c>
      <c r="F631" s="35" t="str">
        <f>IF(E631="","",IFERROR(INDEX(DM_NL!$B$5:$B$304,MATCH(E631,DM_NL!$A$5:$A$304,0)),"(chưa có trong DM_NL)"))</f>
        <v/>
      </c>
      <c r="G631" s="35" t="str">
        <f>IF(E631="","",IFERROR(INDEX(DM_NL!$C$5:$C$304,MATCH(E631,DM_NL!$A$5:$A$304,0)),""))</f>
        <v/>
      </c>
      <c r="H631" s="39" t="str">
        <f>IF(OR(E631="",BOM!G625="KXDDM"),"",BOM!F625)</f>
        <v/>
      </c>
      <c r="I631" s="36" t="str">
        <f>IF(E631="","",BOM!G625&amp;"")</f>
        <v/>
      </c>
    </row>
    <row r="632" spans="1:9" x14ac:dyDescent="0.25">
      <c r="A632" s="36" t="str">
        <f>IF(B632="","",MAX($A$10:A631)+1)</f>
        <v/>
      </c>
      <c r="B632" s="35" t="str">
        <f>IF(BOM!A626="","",IF(BOM!A626=BOM!A625,"",BOM!A626))</f>
        <v/>
      </c>
      <c r="C632" s="35" t="str">
        <f>IF(B632="","",IFERROR(INDEX(DM_SP!$B$5:$B$304,MATCH(B632,DM_SP!$A$5:$A$304,0)),"(chưa có trong DM_SP)"))</f>
        <v/>
      </c>
      <c r="D632" s="35" t="str">
        <f>IF(B632="","",IFERROR(INDEX(DM_SP!$C$5:$C$304,MATCH(B632,DM_SP!$A$5:$A$304,0)),""))</f>
        <v/>
      </c>
      <c r="E632" s="35" t="str">
        <f>IF(BOM!A626="","",BOM!B626)</f>
        <v/>
      </c>
      <c r="F632" s="35" t="str">
        <f>IF(E632="","",IFERROR(INDEX(DM_NL!$B$5:$B$304,MATCH(E632,DM_NL!$A$5:$A$304,0)),"(chưa có trong DM_NL)"))</f>
        <v/>
      </c>
      <c r="G632" s="35" t="str">
        <f>IF(E632="","",IFERROR(INDEX(DM_NL!$C$5:$C$304,MATCH(E632,DM_NL!$A$5:$A$304,0)),""))</f>
        <v/>
      </c>
      <c r="H632" s="39" t="str">
        <f>IF(OR(E632="",BOM!G626="KXDDM"),"",BOM!F626)</f>
        <v/>
      </c>
      <c r="I632" s="36" t="str">
        <f>IF(E632="","",BOM!G626&amp;"")</f>
        <v/>
      </c>
    </row>
    <row r="633" spans="1:9" x14ac:dyDescent="0.25">
      <c r="A633" s="36" t="str">
        <f>IF(B633="","",MAX($A$10:A632)+1)</f>
        <v/>
      </c>
      <c r="B633" s="35" t="str">
        <f>IF(BOM!A627="","",IF(BOM!A627=BOM!A626,"",BOM!A627))</f>
        <v/>
      </c>
      <c r="C633" s="35" t="str">
        <f>IF(B633="","",IFERROR(INDEX(DM_SP!$B$5:$B$304,MATCH(B633,DM_SP!$A$5:$A$304,0)),"(chưa có trong DM_SP)"))</f>
        <v/>
      </c>
      <c r="D633" s="35" t="str">
        <f>IF(B633="","",IFERROR(INDEX(DM_SP!$C$5:$C$304,MATCH(B633,DM_SP!$A$5:$A$304,0)),""))</f>
        <v/>
      </c>
      <c r="E633" s="35" t="str">
        <f>IF(BOM!A627="","",BOM!B627)</f>
        <v/>
      </c>
      <c r="F633" s="35" t="str">
        <f>IF(E633="","",IFERROR(INDEX(DM_NL!$B$5:$B$304,MATCH(E633,DM_NL!$A$5:$A$304,0)),"(chưa có trong DM_NL)"))</f>
        <v/>
      </c>
      <c r="G633" s="35" t="str">
        <f>IF(E633="","",IFERROR(INDEX(DM_NL!$C$5:$C$304,MATCH(E633,DM_NL!$A$5:$A$304,0)),""))</f>
        <v/>
      </c>
      <c r="H633" s="39" t="str">
        <f>IF(OR(E633="",BOM!G627="KXDDM"),"",BOM!F627)</f>
        <v/>
      </c>
      <c r="I633" s="36" t="str">
        <f>IF(E633="","",BOM!G627&amp;"")</f>
        <v/>
      </c>
    </row>
    <row r="634" spans="1:9" x14ac:dyDescent="0.25">
      <c r="A634" s="36" t="str">
        <f>IF(B634="","",MAX($A$10:A633)+1)</f>
        <v/>
      </c>
      <c r="B634" s="35" t="str">
        <f>IF(BOM!A628="","",IF(BOM!A628=BOM!A627,"",BOM!A628))</f>
        <v/>
      </c>
      <c r="C634" s="35" t="str">
        <f>IF(B634="","",IFERROR(INDEX(DM_SP!$B$5:$B$304,MATCH(B634,DM_SP!$A$5:$A$304,0)),"(chưa có trong DM_SP)"))</f>
        <v/>
      </c>
      <c r="D634" s="35" t="str">
        <f>IF(B634="","",IFERROR(INDEX(DM_SP!$C$5:$C$304,MATCH(B634,DM_SP!$A$5:$A$304,0)),""))</f>
        <v/>
      </c>
      <c r="E634" s="35" t="str">
        <f>IF(BOM!A628="","",BOM!B628)</f>
        <v/>
      </c>
      <c r="F634" s="35" t="str">
        <f>IF(E634="","",IFERROR(INDEX(DM_NL!$B$5:$B$304,MATCH(E634,DM_NL!$A$5:$A$304,0)),"(chưa có trong DM_NL)"))</f>
        <v/>
      </c>
      <c r="G634" s="35" t="str">
        <f>IF(E634="","",IFERROR(INDEX(DM_NL!$C$5:$C$304,MATCH(E634,DM_NL!$A$5:$A$304,0)),""))</f>
        <v/>
      </c>
      <c r="H634" s="39" t="str">
        <f>IF(OR(E634="",BOM!G628="KXDDM"),"",BOM!F628)</f>
        <v/>
      </c>
      <c r="I634" s="36" t="str">
        <f>IF(E634="","",BOM!G628&amp;"")</f>
        <v/>
      </c>
    </row>
    <row r="635" spans="1:9" x14ac:dyDescent="0.25">
      <c r="A635" s="36" t="str">
        <f>IF(B635="","",MAX($A$10:A634)+1)</f>
        <v/>
      </c>
      <c r="B635" s="35" t="str">
        <f>IF(BOM!A629="","",IF(BOM!A629=BOM!A628,"",BOM!A629))</f>
        <v/>
      </c>
      <c r="C635" s="35" t="str">
        <f>IF(B635="","",IFERROR(INDEX(DM_SP!$B$5:$B$304,MATCH(B635,DM_SP!$A$5:$A$304,0)),"(chưa có trong DM_SP)"))</f>
        <v/>
      </c>
      <c r="D635" s="35" t="str">
        <f>IF(B635="","",IFERROR(INDEX(DM_SP!$C$5:$C$304,MATCH(B635,DM_SP!$A$5:$A$304,0)),""))</f>
        <v/>
      </c>
      <c r="E635" s="35" t="str">
        <f>IF(BOM!A629="","",BOM!B629)</f>
        <v/>
      </c>
      <c r="F635" s="35" t="str">
        <f>IF(E635="","",IFERROR(INDEX(DM_NL!$B$5:$B$304,MATCH(E635,DM_NL!$A$5:$A$304,0)),"(chưa có trong DM_NL)"))</f>
        <v/>
      </c>
      <c r="G635" s="35" t="str">
        <f>IF(E635="","",IFERROR(INDEX(DM_NL!$C$5:$C$304,MATCH(E635,DM_NL!$A$5:$A$304,0)),""))</f>
        <v/>
      </c>
      <c r="H635" s="39" t="str">
        <f>IF(OR(E635="",BOM!G629="KXDDM"),"",BOM!F629)</f>
        <v/>
      </c>
      <c r="I635" s="36" t="str">
        <f>IF(E635="","",BOM!G629&amp;"")</f>
        <v/>
      </c>
    </row>
    <row r="636" spans="1:9" x14ac:dyDescent="0.25">
      <c r="A636" s="36" t="str">
        <f>IF(B636="","",MAX($A$10:A635)+1)</f>
        <v/>
      </c>
      <c r="B636" s="35" t="str">
        <f>IF(BOM!A630="","",IF(BOM!A630=BOM!A629,"",BOM!A630))</f>
        <v/>
      </c>
      <c r="C636" s="35" t="str">
        <f>IF(B636="","",IFERROR(INDEX(DM_SP!$B$5:$B$304,MATCH(B636,DM_SP!$A$5:$A$304,0)),"(chưa có trong DM_SP)"))</f>
        <v/>
      </c>
      <c r="D636" s="35" t="str">
        <f>IF(B636="","",IFERROR(INDEX(DM_SP!$C$5:$C$304,MATCH(B636,DM_SP!$A$5:$A$304,0)),""))</f>
        <v/>
      </c>
      <c r="E636" s="35" t="str">
        <f>IF(BOM!A630="","",BOM!B630)</f>
        <v/>
      </c>
      <c r="F636" s="35" t="str">
        <f>IF(E636="","",IFERROR(INDEX(DM_NL!$B$5:$B$304,MATCH(E636,DM_NL!$A$5:$A$304,0)),"(chưa có trong DM_NL)"))</f>
        <v/>
      </c>
      <c r="G636" s="35" t="str">
        <f>IF(E636="","",IFERROR(INDEX(DM_NL!$C$5:$C$304,MATCH(E636,DM_NL!$A$5:$A$304,0)),""))</f>
        <v/>
      </c>
      <c r="H636" s="39" t="str">
        <f>IF(OR(E636="",BOM!G630="KXDDM"),"",BOM!F630)</f>
        <v/>
      </c>
      <c r="I636" s="36" t="str">
        <f>IF(E636="","",BOM!G630&amp;"")</f>
        <v/>
      </c>
    </row>
    <row r="637" spans="1:9" x14ac:dyDescent="0.25">
      <c r="A637" s="36" t="str">
        <f>IF(B637="","",MAX($A$10:A636)+1)</f>
        <v/>
      </c>
      <c r="B637" s="35" t="str">
        <f>IF(BOM!A631="","",IF(BOM!A631=BOM!A630,"",BOM!A631))</f>
        <v/>
      </c>
      <c r="C637" s="35" t="str">
        <f>IF(B637="","",IFERROR(INDEX(DM_SP!$B$5:$B$304,MATCH(B637,DM_SP!$A$5:$A$304,0)),"(chưa có trong DM_SP)"))</f>
        <v/>
      </c>
      <c r="D637" s="35" t="str">
        <f>IF(B637="","",IFERROR(INDEX(DM_SP!$C$5:$C$304,MATCH(B637,DM_SP!$A$5:$A$304,0)),""))</f>
        <v/>
      </c>
      <c r="E637" s="35" t="str">
        <f>IF(BOM!A631="","",BOM!B631)</f>
        <v/>
      </c>
      <c r="F637" s="35" t="str">
        <f>IF(E637="","",IFERROR(INDEX(DM_NL!$B$5:$B$304,MATCH(E637,DM_NL!$A$5:$A$304,0)),"(chưa có trong DM_NL)"))</f>
        <v/>
      </c>
      <c r="G637" s="35" t="str">
        <f>IF(E637="","",IFERROR(INDEX(DM_NL!$C$5:$C$304,MATCH(E637,DM_NL!$A$5:$A$304,0)),""))</f>
        <v/>
      </c>
      <c r="H637" s="39" t="str">
        <f>IF(OR(E637="",BOM!G631="KXDDM"),"",BOM!F631)</f>
        <v/>
      </c>
      <c r="I637" s="36" t="str">
        <f>IF(E637="","",BOM!G631&amp;"")</f>
        <v/>
      </c>
    </row>
    <row r="638" spans="1:9" x14ac:dyDescent="0.25">
      <c r="A638" s="36" t="str">
        <f>IF(B638="","",MAX($A$10:A637)+1)</f>
        <v/>
      </c>
      <c r="B638" s="35" t="str">
        <f>IF(BOM!A632="","",IF(BOM!A632=BOM!A631,"",BOM!A632))</f>
        <v/>
      </c>
      <c r="C638" s="35" t="str">
        <f>IF(B638="","",IFERROR(INDEX(DM_SP!$B$5:$B$304,MATCH(B638,DM_SP!$A$5:$A$304,0)),"(chưa có trong DM_SP)"))</f>
        <v/>
      </c>
      <c r="D638" s="35" t="str">
        <f>IF(B638="","",IFERROR(INDEX(DM_SP!$C$5:$C$304,MATCH(B638,DM_SP!$A$5:$A$304,0)),""))</f>
        <v/>
      </c>
      <c r="E638" s="35" t="str">
        <f>IF(BOM!A632="","",BOM!B632)</f>
        <v/>
      </c>
      <c r="F638" s="35" t="str">
        <f>IF(E638="","",IFERROR(INDEX(DM_NL!$B$5:$B$304,MATCH(E638,DM_NL!$A$5:$A$304,0)),"(chưa có trong DM_NL)"))</f>
        <v/>
      </c>
      <c r="G638" s="35" t="str">
        <f>IF(E638="","",IFERROR(INDEX(DM_NL!$C$5:$C$304,MATCH(E638,DM_NL!$A$5:$A$304,0)),""))</f>
        <v/>
      </c>
      <c r="H638" s="39" t="str">
        <f>IF(OR(E638="",BOM!G632="KXDDM"),"",BOM!F632)</f>
        <v/>
      </c>
      <c r="I638" s="36" t="str">
        <f>IF(E638="","",BOM!G632&amp;"")</f>
        <v/>
      </c>
    </row>
    <row r="639" spans="1:9" x14ac:dyDescent="0.25">
      <c r="A639" s="36" t="str">
        <f>IF(B639="","",MAX($A$10:A638)+1)</f>
        <v/>
      </c>
      <c r="B639" s="35" t="str">
        <f>IF(BOM!A633="","",IF(BOM!A633=BOM!A632,"",BOM!A633))</f>
        <v/>
      </c>
      <c r="C639" s="35" t="str">
        <f>IF(B639="","",IFERROR(INDEX(DM_SP!$B$5:$B$304,MATCH(B639,DM_SP!$A$5:$A$304,0)),"(chưa có trong DM_SP)"))</f>
        <v/>
      </c>
      <c r="D639" s="35" t="str">
        <f>IF(B639="","",IFERROR(INDEX(DM_SP!$C$5:$C$304,MATCH(B639,DM_SP!$A$5:$A$304,0)),""))</f>
        <v/>
      </c>
      <c r="E639" s="35" t="str">
        <f>IF(BOM!A633="","",BOM!B633)</f>
        <v/>
      </c>
      <c r="F639" s="35" t="str">
        <f>IF(E639="","",IFERROR(INDEX(DM_NL!$B$5:$B$304,MATCH(E639,DM_NL!$A$5:$A$304,0)),"(chưa có trong DM_NL)"))</f>
        <v/>
      </c>
      <c r="G639" s="35" t="str">
        <f>IF(E639="","",IFERROR(INDEX(DM_NL!$C$5:$C$304,MATCH(E639,DM_NL!$A$5:$A$304,0)),""))</f>
        <v/>
      </c>
      <c r="H639" s="39" t="str">
        <f>IF(OR(E639="",BOM!G633="KXDDM"),"",BOM!F633)</f>
        <v/>
      </c>
      <c r="I639" s="36" t="str">
        <f>IF(E639="","",BOM!G633&amp;"")</f>
        <v/>
      </c>
    </row>
    <row r="640" spans="1:9" x14ac:dyDescent="0.25">
      <c r="A640" s="36" t="str">
        <f>IF(B640="","",MAX($A$10:A639)+1)</f>
        <v/>
      </c>
      <c r="B640" s="35" t="str">
        <f>IF(BOM!A634="","",IF(BOM!A634=BOM!A633,"",BOM!A634))</f>
        <v/>
      </c>
      <c r="C640" s="35" t="str">
        <f>IF(B640="","",IFERROR(INDEX(DM_SP!$B$5:$B$304,MATCH(B640,DM_SP!$A$5:$A$304,0)),"(chưa có trong DM_SP)"))</f>
        <v/>
      </c>
      <c r="D640" s="35" t="str">
        <f>IF(B640="","",IFERROR(INDEX(DM_SP!$C$5:$C$304,MATCH(B640,DM_SP!$A$5:$A$304,0)),""))</f>
        <v/>
      </c>
      <c r="E640" s="35" t="str">
        <f>IF(BOM!A634="","",BOM!B634)</f>
        <v/>
      </c>
      <c r="F640" s="35" t="str">
        <f>IF(E640="","",IFERROR(INDEX(DM_NL!$B$5:$B$304,MATCH(E640,DM_NL!$A$5:$A$304,0)),"(chưa có trong DM_NL)"))</f>
        <v/>
      </c>
      <c r="G640" s="35" t="str">
        <f>IF(E640="","",IFERROR(INDEX(DM_NL!$C$5:$C$304,MATCH(E640,DM_NL!$A$5:$A$304,0)),""))</f>
        <v/>
      </c>
      <c r="H640" s="39" t="str">
        <f>IF(OR(E640="",BOM!G634="KXDDM"),"",BOM!F634)</f>
        <v/>
      </c>
      <c r="I640" s="36" t="str">
        <f>IF(E640="","",BOM!G634&amp;"")</f>
        <v/>
      </c>
    </row>
    <row r="641" spans="1:9" x14ac:dyDescent="0.25">
      <c r="A641" s="36" t="str">
        <f>IF(B641="","",MAX($A$10:A640)+1)</f>
        <v/>
      </c>
      <c r="B641" s="35" t="str">
        <f>IF(BOM!A635="","",IF(BOM!A635=BOM!A634,"",BOM!A635))</f>
        <v/>
      </c>
      <c r="C641" s="35" t="str">
        <f>IF(B641="","",IFERROR(INDEX(DM_SP!$B$5:$B$304,MATCH(B641,DM_SP!$A$5:$A$304,0)),"(chưa có trong DM_SP)"))</f>
        <v/>
      </c>
      <c r="D641" s="35" t="str">
        <f>IF(B641="","",IFERROR(INDEX(DM_SP!$C$5:$C$304,MATCH(B641,DM_SP!$A$5:$A$304,0)),""))</f>
        <v/>
      </c>
      <c r="E641" s="35" t="str">
        <f>IF(BOM!A635="","",BOM!B635)</f>
        <v/>
      </c>
      <c r="F641" s="35" t="str">
        <f>IF(E641="","",IFERROR(INDEX(DM_NL!$B$5:$B$304,MATCH(E641,DM_NL!$A$5:$A$304,0)),"(chưa có trong DM_NL)"))</f>
        <v/>
      </c>
      <c r="G641" s="35" t="str">
        <f>IF(E641="","",IFERROR(INDEX(DM_NL!$C$5:$C$304,MATCH(E641,DM_NL!$A$5:$A$304,0)),""))</f>
        <v/>
      </c>
      <c r="H641" s="39" t="str">
        <f>IF(OR(E641="",BOM!G635="KXDDM"),"",BOM!F635)</f>
        <v/>
      </c>
      <c r="I641" s="36" t="str">
        <f>IF(E641="","",BOM!G635&amp;"")</f>
        <v/>
      </c>
    </row>
    <row r="642" spans="1:9" x14ac:dyDescent="0.25">
      <c r="A642" s="36" t="str">
        <f>IF(B642="","",MAX($A$10:A641)+1)</f>
        <v/>
      </c>
      <c r="B642" s="35" t="str">
        <f>IF(BOM!A636="","",IF(BOM!A636=BOM!A635,"",BOM!A636))</f>
        <v/>
      </c>
      <c r="C642" s="35" t="str">
        <f>IF(B642="","",IFERROR(INDEX(DM_SP!$B$5:$B$304,MATCH(B642,DM_SP!$A$5:$A$304,0)),"(chưa có trong DM_SP)"))</f>
        <v/>
      </c>
      <c r="D642" s="35" t="str">
        <f>IF(B642="","",IFERROR(INDEX(DM_SP!$C$5:$C$304,MATCH(B642,DM_SP!$A$5:$A$304,0)),""))</f>
        <v/>
      </c>
      <c r="E642" s="35" t="str">
        <f>IF(BOM!A636="","",BOM!B636)</f>
        <v/>
      </c>
      <c r="F642" s="35" t="str">
        <f>IF(E642="","",IFERROR(INDEX(DM_NL!$B$5:$B$304,MATCH(E642,DM_NL!$A$5:$A$304,0)),"(chưa có trong DM_NL)"))</f>
        <v/>
      </c>
      <c r="G642" s="35" t="str">
        <f>IF(E642="","",IFERROR(INDEX(DM_NL!$C$5:$C$304,MATCH(E642,DM_NL!$A$5:$A$304,0)),""))</f>
        <v/>
      </c>
      <c r="H642" s="39" t="str">
        <f>IF(OR(E642="",BOM!G636="KXDDM"),"",BOM!F636)</f>
        <v/>
      </c>
      <c r="I642" s="36" t="str">
        <f>IF(E642="","",BOM!G636&amp;"")</f>
        <v/>
      </c>
    </row>
    <row r="643" spans="1:9" x14ac:dyDescent="0.25">
      <c r="A643" s="36" t="str">
        <f>IF(B643="","",MAX($A$10:A642)+1)</f>
        <v/>
      </c>
      <c r="B643" s="35" t="str">
        <f>IF(BOM!A637="","",IF(BOM!A637=BOM!A636,"",BOM!A637))</f>
        <v/>
      </c>
      <c r="C643" s="35" t="str">
        <f>IF(B643="","",IFERROR(INDEX(DM_SP!$B$5:$B$304,MATCH(B643,DM_SP!$A$5:$A$304,0)),"(chưa có trong DM_SP)"))</f>
        <v/>
      </c>
      <c r="D643" s="35" t="str">
        <f>IF(B643="","",IFERROR(INDEX(DM_SP!$C$5:$C$304,MATCH(B643,DM_SP!$A$5:$A$304,0)),""))</f>
        <v/>
      </c>
      <c r="E643" s="35" t="str">
        <f>IF(BOM!A637="","",BOM!B637)</f>
        <v/>
      </c>
      <c r="F643" s="35" t="str">
        <f>IF(E643="","",IFERROR(INDEX(DM_NL!$B$5:$B$304,MATCH(E643,DM_NL!$A$5:$A$304,0)),"(chưa có trong DM_NL)"))</f>
        <v/>
      </c>
      <c r="G643" s="35" t="str">
        <f>IF(E643="","",IFERROR(INDEX(DM_NL!$C$5:$C$304,MATCH(E643,DM_NL!$A$5:$A$304,0)),""))</f>
        <v/>
      </c>
      <c r="H643" s="39" t="str">
        <f>IF(OR(E643="",BOM!G637="KXDDM"),"",BOM!F637)</f>
        <v/>
      </c>
      <c r="I643" s="36" t="str">
        <f>IF(E643="","",BOM!G637&amp;"")</f>
        <v/>
      </c>
    </row>
    <row r="644" spans="1:9" x14ac:dyDescent="0.25">
      <c r="A644" s="36" t="str">
        <f>IF(B644="","",MAX($A$10:A643)+1)</f>
        <v/>
      </c>
      <c r="B644" s="35" t="str">
        <f>IF(BOM!A638="","",IF(BOM!A638=BOM!A637,"",BOM!A638))</f>
        <v/>
      </c>
      <c r="C644" s="35" t="str">
        <f>IF(B644="","",IFERROR(INDEX(DM_SP!$B$5:$B$304,MATCH(B644,DM_SP!$A$5:$A$304,0)),"(chưa có trong DM_SP)"))</f>
        <v/>
      </c>
      <c r="D644" s="35" t="str">
        <f>IF(B644="","",IFERROR(INDEX(DM_SP!$C$5:$C$304,MATCH(B644,DM_SP!$A$5:$A$304,0)),""))</f>
        <v/>
      </c>
      <c r="E644" s="35" t="str">
        <f>IF(BOM!A638="","",BOM!B638)</f>
        <v/>
      </c>
      <c r="F644" s="35" t="str">
        <f>IF(E644="","",IFERROR(INDEX(DM_NL!$B$5:$B$304,MATCH(E644,DM_NL!$A$5:$A$304,0)),"(chưa có trong DM_NL)"))</f>
        <v/>
      </c>
      <c r="G644" s="35" t="str">
        <f>IF(E644="","",IFERROR(INDEX(DM_NL!$C$5:$C$304,MATCH(E644,DM_NL!$A$5:$A$304,0)),""))</f>
        <v/>
      </c>
      <c r="H644" s="39" t="str">
        <f>IF(OR(E644="",BOM!G638="KXDDM"),"",BOM!F638)</f>
        <v/>
      </c>
      <c r="I644" s="36" t="str">
        <f>IF(E644="","",BOM!G638&amp;"")</f>
        <v/>
      </c>
    </row>
    <row r="645" spans="1:9" x14ac:dyDescent="0.25">
      <c r="A645" s="36" t="str">
        <f>IF(B645="","",MAX($A$10:A644)+1)</f>
        <v/>
      </c>
      <c r="B645" s="35" t="str">
        <f>IF(BOM!A639="","",IF(BOM!A639=BOM!A638,"",BOM!A639))</f>
        <v/>
      </c>
      <c r="C645" s="35" t="str">
        <f>IF(B645="","",IFERROR(INDEX(DM_SP!$B$5:$B$304,MATCH(B645,DM_SP!$A$5:$A$304,0)),"(chưa có trong DM_SP)"))</f>
        <v/>
      </c>
      <c r="D645" s="35" t="str">
        <f>IF(B645="","",IFERROR(INDEX(DM_SP!$C$5:$C$304,MATCH(B645,DM_SP!$A$5:$A$304,0)),""))</f>
        <v/>
      </c>
      <c r="E645" s="35" t="str">
        <f>IF(BOM!A639="","",BOM!B639)</f>
        <v/>
      </c>
      <c r="F645" s="35" t="str">
        <f>IF(E645="","",IFERROR(INDEX(DM_NL!$B$5:$B$304,MATCH(E645,DM_NL!$A$5:$A$304,0)),"(chưa có trong DM_NL)"))</f>
        <v/>
      </c>
      <c r="G645" s="35" t="str">
        <f>IF(E645="","",IFERROR(INDEX(DM_NL!$C$5:$C$304,MATCH(E645,DM_NL!$A$5:$A$304,0)),""))</f>
        <v/>
      </c>
      <c r="H645" s="39" t="str">
        <f>IF(OR(E645="",BOM!G639="KXDDM"),"",BOM!F639)</f>
        <v/>
      </c>
      <c r="I645" s="36" t="str">
        <f>IF(E645="","",BOM!G639&amp;"")</f>
        <v/>
      </c>
    </row>
    <row r="646" spans="1:9" x14ac:dyDescent="0.25">
      <c r="A646" s="36" t="str">
        <f>IF(B646="","",MAX($A$10:A645)+1)</f>
        <v/>
      </c>
      <c r="B646" s="35" t="str">
        <f>IF(BOM!A640="","",IF(BOM!A640=BOM!A639,"",BOM!A640))</f>
        <v/>
      </c>
      <c r="C646" s="35" t="str">
        <f>IF(B646="","",IFERROR(INDEX(DM_SP!$B$5:$B$304,MATCH(B646,DM_SP!$A$5:$A$304,0)),"(chưa có trong DM_SP)"))</f>
        <v/>
      </c>
      <c r="D646" s="35" t="str">
        <f>IF(B646="","",IFERROR(INDEX(DM_SP!$C$5:$C$304,MATCH(B646,DM_SP!$A$5:$A$304,0)),""))</f>
        <v/>
      </c>
      <c r="E646" s="35" t="str">
        <f>IF(BOM!A640="","",BOM!B640)</f>
        <v/>
      </c>
      <c r="F646" s="35" t="str">
        <f>IF(E646="","",IFERROR(INDEX(DM_NL!$B$5:$B$304,MATCH(E646,DM_NL!$A$5:$A$304,0)),"(chưa có trong DM_NL)"))</f>
        <v/>
      </c>
      <c r="G646" s="35" t="str">
        <f>IF(E646="","",IFERROR(INDEX(DM_NL!$C$5:$C$304,MATCH(E646,DM_NL!$A$5:$A$304,0)),""))</f>
        <v/>
      </c>
      <c r="H646" s="39" t="str">
        <f>IF(OR(E646="",BOM!G640="KXDDM"),"",BOM!F640)</f>
        <v/>
      </c>
      <c r="I646" s="36" t="str">
        <f>IF(E646="","",BOM!G640&amp;"")</f>
        <v/>
      </c>
    </row>
    <row r="647" spans="1:9" x14ac:dyDescent="0.25">
      <c r="A647" s="36" t="str">
        <f>IF(B647="","",MAX($A$10:A646)+1)</f>
        <v/>
      </c>
      <c r="B647" s="35" t="str">
        <f>IF(BOM!A641="","",IF(BOM!A641=BOM!A640,"",BOM!A641))</f>
        <v/>
      </c>
      <c r="C647" s="35" t="str">
        <f>IF(B647="","",IFERROR(INDEX(DM_SP!$B$5:$B$304,MATCH(B647,DM_SP!$A$5:$A$304,0)),"(chưa có trong DM_SP)"))</f>
        <v/>
      </c>
      <c r="D647" s="35" t="str">
        <f>IF(B647="","",IFERROR(INDEX(DM_SP!$C$5:$C$304,MATCH(B647,DM_SP!$A$5:$A$304,0)),""))</f>
        <v/>
      </c>
      <c r="E647" s="35" t="str">
        <f>IF(BOM!A641="","",BOM!B641)</f>
        <v/>
      </c>
      <c r="F647" s="35" t="str">
        <f>IF(E647="","",IFERROR(INDEX(DM_NL!$B$5:$B$304,MATCH(E647,DM_NL!$A$5:$A$304,0)),"(chưa có trong DM_NL)"))</f>
        <v/>
      </c>
      <c r="G647" s="35" t="str">
        <f>IF(E647="","",IFERROR(INDEX(DM_NL!$C$5:$C$304,MATCH(E647,DM_NL!$A$5:$A$304,0)),""))</f>
        <v/>
      </c>
      <c r="H647" s="39" t="str">
        <f>IF(OR(E647="",BOM!G641="KXDDM"),"",BOM!F641)</f>
        <v/>
      </c>
      <c r="I647" s="36" t="str">
        <f>IF(E647="","",BOM!G641&amp;"")</f>
        <v/>
      </c>
    </row>
    <row r="648" spans="1:9" x14ac:dyDescent="0.25">
      <c r="A648" s="36" t="str">
        <f>IF(B648="","",MAX($A$10:A647)+1)</f>
        <v/>
      </c>
      <c r="B648" s="35" t="str">
        <f>IF(BOM!A642="","",IF(BOM!A642=BOM!A641,"",BOM!A642))</f>
        <v/>
      </c>
      <c r="C648" s="35" t="str">
        <f>IF(B648="","",IFERROR(INDEX(DM_SP!$B$5:$B$304,MATCH(B648,DM_SP!$A$5:$A$304,0)),"(chưa có trong DM_SP)"))</f>
        <v/>
      </c>
      <c r="D648" s="35" t="str">
        <f>IF(B648="","",IFERROR(INDEX(DM_SP!$C$5:$C$304,MATCH(B648,DM_SP!$A$5:$A$304,0)),""))</f>
        <v/>
      </c>
      <c r="E648" s="35" t="str">
        <f>IF(BOM!A642="","",BOM!B642)</f>
        <v/>
      </c>
      <c r="F648" s="35" t="str">
        <f>IF(E648="","",IFERROR(INDEX(DM_NL!$B$5:$B$304,MATCH(E648,DM_NL!$A$5:$A$304,0)),"(chưa có trong DM_NL)"))</f>
        <v/>
      </c>
      <c r="G648" s="35" t="str">
        <f>IF(E648="","",IFERROR(INDEX(DM_NL!$C$5:$C$304,MATCH(E648,DM_NL!$A$5:$A$304,0)),""))</f>
        <v/>
      </c>
      <c r="H648" s="39" t="str">
        <f>IF(OR(E648="",BOM!G642="KXDDM"),"",BOM!F642)</f>
        <v/>
      </c>
      <c r="I648" s="36" t="str">
        <f>IF(E648="","",BOM!G642&amp;"")</f>
        <v/>
      </c>
    </row>
    <row r="649" spans="1:9" x14ac:dyDescent="0.25">
      <c r="A649" s="36" t="str">
        <f>IF(B649="","",MAX($A$10:A648)+1)</f>
        <v/>
      </c>
      <c r="B649" s="35" t="str">
        <f>IF(BOM!A643="","",IF(BOM!A643=BOM!A642,"",BOM!A643))</f>
        <v/>
      </c>
      <c r="C649" s="35" t="str">
        <f>IF(B649="","",IFERROR(INDEX(DM_SP!$B$5:$B$304,MATCH(B649,DM_SP!$A$5:$A$304,0)),"(chưa có trong DM_SP)"))</f>
        <v/>
      </c>
      <c r="D649" s="35" t="str">
        <f>IF(B649="","",IFERROR(INDEX(DM_SP!$C$5:$C$304,MATCH(B649,DM_SP!$A$5:$A$304,0)),""))</f>
        <v/>
      </c>
      <c r="E649" s="35" t="str">
        <f>IF(BOM!A643="","",BOM!B643)</f>
        <v/>
      </c>
      <c r="F649" s="35" t="str">
        <f>IF(E649="","",IFERROR(INDEX(DM_NL!$B$5:$B$304,MATCH(E649,DM_NL!$A$5:$A$304,0)),"(chưa có trong DM_NL)"))</f>
        <v/>
      </c>
      <c r="G649" s="35" t="str">
        <f>IF(E649="","",IFERROR(INDEX(DM_NL!$C$5:$C$304,MATCH(E649,DM_NL!$A$5:$A$304,0)),""))</f>
        <v/>
      </c>
      <c r="H649" s="39" t="str">
        <f>IF(OR(E649="",BOM!G643="KXDDM"),"",BOM!F643)</f>
        <v/>
      </c>
      <c r="I649" s="36" t="str">
        <f>IF(E649="","",BOM!G643&amp;"")</f>
        <v/>
      </c>
    </row>
    <row r="650" spans="1:9" x14ac:dyDescent="0.25">
      <c r="A650" s="36" t="str">
        <f>IF(B650="","",MAX($A$10:A649)+1)</f>
        <v/>
      </c>
      <c r="B650" s="35" t="str">
        <f>IF(BOM!A644="","",IF(BOM!A644=BOM!A643,"",BOM!A644))</f>
        <v/>
      </c>
      <c r="C650" s="35" t="str">
        <f>IF(B650="","",IFERROR(INDEX(DM_SP!$B$5:$B$304,MATCH(B650,DM_SP!$A$5:$A$304,0)),"(chưa có trong DM_SP)"))</f>
        <v/>
      </c>
      <c r="D650" s="35" t="str">
        <f>IF(B650="","",IFERROR(INDEX(DM_SP!$C$5:$C$304,MATCH(B650,DM_SP!$A$5:$A$304,0)),""))</f>
        <v/>
      </c>
      <c r="E650" s="35" t="str">
        <f>IF(BOM!A644="","",BOM!B644)</f>
        <v/>
      </c>
      <c r="F650" s="35" t="str">
        <f>IF(E650="","",IFERROR(INDEX(DM_NL!$B$5:$B$304,MATCH(E650,DM_NL!$A$5:$A$304,0)),"(chưa có trong DM_NL)"))</f>
        <v/>
      </c>
      <c r="G650" s="35" t="str">
        <f>IF(E650="","",IFERROR(INDEX(DM_NL!$C$5:$C$304,MATCH(E650,DM_NL!$A$5:$A$304,0)),""))</f>
        <v/>
      </c>
      <c r="H650" s="39" t="str">
        <f>IF(OR(E650="",BOM!G644="KXDDM"),"",BOM!F644)</f>
        <v/>
      </c>
      <c r="I650" s="36" t="str">
        <f>IF(E650="","",BOM!G644&amp;"")</f>
        <v/>
      </c>
    </row>
    <row r="651" spans="1:9" x14ac:dyDescent="0.25">
      <c r="A651" s="36" t="str">
        <f>IF(B651="","",MAX($A$10:A650)+1)</f>
        <v/>
      </c>
      <c r="B651" s="35" t="str">
        <f>IF(BOM!A645="","",IF(BOM!A645=BOM!A644,"",BOM!A645))</f>
        <v/>
      </c>
      <c r="C651" s="35" t="str">
        <f>IF(B651="","",IFERROR(INDEX(DM_SP!$B$5:$B$304,MATCH(B651,DM_SP!$A$5:$A$304,0)),"(chưa có trong DM_SP)"))</f>
        <v/>
      </c>
      <c r="D651" s="35" t="str">
        <f>IF(B651="","",IFERROR(INDEX(DM_SP!$C$5:$C$304,MATCH(B651,DM_SP!$A$5:$A$304,0)),""))</f>
        <v/>
      </c>
      <c r="E651" s="35" t="str">
        <f>IF(BOM!A645="","",BOM!B645)</f>
        <v/>
      </c>
      <c r="F651" s="35" t="str">
        <f>IF(E651="","",IFERROR(INDEX(DM_NL!$B$5:$B$304,MATCH(E651,DM_NL!$A$5:$A$304,0)),"(chưa có trong DM_NL)"))</f>
        <v/>
      </c>
      <c r="G651" s="35" t="str">
        <f>IF(E651="","",IFERROR(INDEX(DM_NL!$C$5:$C$304,MATCH(E651,DM_NL!$A$5:$A$304,0)),""))</f>
        <v/>
      </c>
      <c r="H651" s="39" t="str">
        <f>IF(OR(E651="",BOM!G645="KXDDM"),"",BOM!F645)</f>
        <v/>
      </c>
      <c r="I651" s="36" t="str">
        <f>IF(E651="","",BOM!G645&amp;"")</f>
        <v/>
      </c>
    </row>
    <row r="652" spans="1:9" x14ac:dyDescent="0.25">
      <c r="A652" s="36" t="str">
        <f>IF(B652="","",MAX($A$10:A651)+1)</f>
        <v/>
      </c>
      <c r="B652" s="35" t="str">
        <f>IF(BOM!A646="","",IF(BOM!A646=BOM!A645,"",BOM!A646))</f>
        <v/>
      </c>
      <c r="C652" s="35" t="str">
        <f>IF(B652="","",IFERROR(INDEX(DM_SP!$B$5:$B$304,MATCH(B652,DM_SP!$A$5:$A$304,0)),"(chưa có trong DM_SP)"))</f>
        <v/>
      </c>
      <c r="D652" s="35" t="str">
        <f>IF(B652="","",IFERROR(INDEX(DM_SP!$C$5:$C$304,MATCH(B652,DM_SP!$A$5:$A$304,0)),""))</f>
        <v/>
      </c>
      <c r="E652" s="35" t="str">
        <f>IF(BOM!A646="","",BOM!B646)</f>
        <v/>
      </c>
      <c r="F652" s="35" t="str">
        <f>IF(E652="","",IFERROR(INDEX(DM_NL!$B$5:$B$304,MATCH(E652,DM_NL!$A$5:$A$304,0)),"(chưa có trong DM_NL)"))</f>
        <v/>
      </c>
      <c r="G652" s="35" t="str">
        <f>IF(E652="","",IFERROR(INDEX(DM_NL!$C$5:$C$304,MATCH(E652,DM_NL!$A$5:$A$304,0)),""))</f>
        <v/>
      </c>
      <c r="H652" s="39" t="str">
        <f>IF(OR(E652="",BOM!G646="KXDDM"),"",BOM!F646)</f>
        <v/>
      </c>
      <c r="I652" s="36" t="str">
        <f>IF(E652="","",BOM!G646&amp;"")</f>
        <v/>
      </c>
    </row>
    <row r="653" spans="1:9" x14ac:dyDescent="0.25">
      <c r="A653" s="36" t="str">
        <f>IF(B653="","",MAX($A$10:A652)+1)</f>
        <v/>
      </c>
      <c r="B653" s="35" t="str">
        <f>IF(BOM!A647="","",IF(BOM!A647=BOM!A646,"",BOM!A647))</f>
        <v/>
      </c>
      <c r="C653" s="35" t="str">
        <f>IF(B653="","",IFERROR(INDEX(DM_SP!$B$5:$B$304,MATCH(B653,DM_SP!$A$5:$A$304,0)),"(chưa có trong DM_SP)"))</f>
        <v/>
      </c>
      <c r="D653" s="35" t="str">
        <f>IF(B653="","",IFERROR(INDEX(DM_SP!$C$5:$C$304,MATCH(B653,DM_SP!$A$5:$A$304,0)),""))</f>
        <v/>
      </c>
      <c r="E653" s="35" t="str">
        <f>IF(BOM!A647="","",BOM!B647)</f>
        <v/>
      </c>
      <c r="F653" s="35" t="str">
        <f>IF(E653="","",IFERROR(INDEX(DM_NL!$B$5:$B$304,MATCH(E653,DM_NL!$A$5:$A$304,0)),"(chưa có trong DM_NL)"))</f>
        <v/>
      </c>
      <c r="G653" s="35" t="str">
        <f>IF(E653="","",IFERROR(INDEX(DM_NL!$C$5:$C$304,MATCH(E653,DM_NL!$A$5:$A$304,0)),""))</f>
        <v/>
      </c>
      <c r="H653" s="39" t="str">
        <f>IF(OR(E653="",BOM!G647="KXDDM"),"",BOM!F647)</f>
        <v/>
      </c>
      <c r="I653" s="36" t="str">
        <f>IF(E653="","",BOM!G647&amp;"")</f>
        <v/>
      </c>
    </row>
    <row r="654" spans="1:9" x14ac:dyDescent="0.25">
      <c r="A654" s="36" t="str">
        <f>IF(B654="","",MAX($A$10:A653)+1)</f>
        <v/>
      </c>
      <c r="B654" s="35" t="str">
        <f>IF(BOM!A648="","",IF(BOM!A648=BOM!A647,"",BOM!A648))</f>
        <v/>
      </c>
      <c r="C654" s="35" t="str">
        <f>IF(B654="","",IFERROR(INDEX(DM_SP!$B$5:$B$304,MATCH(B654,DM_SP!$A$5:$A$304,0)),"(chưa có trong DM_SP)"))</f>
        <v/>
      </c>
      <c r="D654" s="35" t="str">
        <f>IF(B654="","",IFERROR(INDEX(DM_SP!$C$5:$C$304,MATCH(B654,DM_SP!$A$5:$A$304,0)),""))</f>
        <v/>
      </c>
      <c r="E654" s="35" t="str">
        <f>IF(BOM!A648="","",BOM!B648)</f>
        <v/>
      </c>
      <c r="F654" s="35" t="str">
        <f>IF(E654="","",IFERROR(INDEX(DM_NL!$B$5:$B$304,MATCH(E654,DM_NL!$A$5:$A$304,0)),"(chưa có trong DM_NL)"))</f>
        <v/>
      </c>
      <c r="G654" s="35" t="str">
        <f>IF(E654="","",IFERROR(INDEX(DM_NL!$C$5:$C$304,MATCH(E654,DM_NL!$A$5:$A$304,0)),""))</f>
        <v/>
      </c>
      <c r="H654" s="39" t="str">
        <f>IF(OR(E654="",BOM!G648="KXDDM"),"",BOM!F648)</f>
        <v/>
      </c>
      <c r="I654" s="36" t="str">
        <f>IF(E654="","",BOM!G648&amp;"")</f>
        <v/>
      </c>
    </row>
    <row r="655" spans="1:9" x14ac:dyDescent="0.25">
      <c r="A655" s="36" t="str">
        <f>IF(B655="","",MAX($A$10:A654)+1)</f>
        <v/>
      </c>
      <c r="B655" s="35" t="str">
        <f>IF(BOM!A649="","",IF(BOM!A649=BOM!A648,"",BOM!A649))</f>
        <v/>
      </c>
      <c r="C655" s="35" t="str">
        <f>IF(B655="","",IFERROR(INDEX(DM_SP!$B$5:$B$304,MATCH(B655,DM_SP!$A$5:$A$304,0)),"(chưa có trong DM_SP)"))</f>
        <v/>
      </c>
      <c r="D655" s="35" t="str">
        <f>IF(B655="","",IFERROR(INDEX(DM_SP!$C$5:$C$304,MATCH(B655,DM_SP!$A$5:$A$304,0)),""))</f>
        <v/>
      </c>
      <c r="E655" s="35" t="str">
        <f>IF(BOM!A649="","",BOM!B649)</f>
        <v/>
      </c>
      <c r="F655" s="35" t="str">
        <f>IF(E655="","",IFERROR(INDEX(DM_NL!$B$5:$B$304,MATCH(E655,DM_NL!$A$5:$A$304,0)),"(chưa có trong DM_NL)"))</f>
        <v/>
      </c>
      <c r="G655" s="35" t="str">
        <f>IF(E655="","",IFERROR(INDEX(DM_NL!$C$5:$C$304,MATCH(E655,DM_NL!$A$5:$A$304,0)),""))</f>
        <v/>
      </c>
      <c r="H655" s="39" t="str">
        <f>IF(OR(E655="",BOM!G649="KXDDM"),"",BOM!F649)</f>
        <v/>
      </c>
      <c r="I655" s="36" t="str">
        <f>IF(E655="","",BOM!G649&amp;"")</f>
        <v/>
      </c>
    </row>
    <row r="656" spans="1:9" x14ac:dyDescent="0.25">
      <c r="A656" s="36" t="str">
        <f>IF(B656="","",MAX($A$10:A655)+1)</f>
        <v/>
      </c>
      <c r="B656" s="35" t="str">
        <f>IF(BOM!A650="","",IF(BOM!A650=BOM!A649,"",BOM!A650))</f>
        <v/>
      </c>
      <c r="C656" s="35" t="str">
        <f>IF(B656="","",IFERROR(INDEX(DM_SP!$B$5:$B$304,MATCH(B656,DM_SP!$A$5:$A$304,0)),"(chưa có trong DM_SP)"))</f>
        <v/>
      </c>
      <c r="D656" s="35" t="str">
        <f>IF(B656="","",IFERROR(INDEX(DM_SP!$C$5:$C$304,MATCH(B656,DM_SP!$A$5:$A$304,0)),""))</f>
        <v/>
      </c>
      <c r="E656" s="35" t="str">
        <f>IF(BOM!A650="","",BOM!B650)</f>
        <v/>
      </c>
      <c r="F656" s="35" t="str">
        <f>IF(E656="","",IFERROR(INDEX(DM_NL!$B$5:$B$304,MATCH(E656,DM_NL!$A$5:$A$304,0)),"(chưa có trong DM_NL)"))</f>
        <v/>
      </c>
      <c r="G656" s="35" t="str">
        <f>IF(E656="","",IFERROR(INDEX(DM_NL!$C$5:$C$304,MATCH(E656,DM_NL!$A$5:$A$304,0)),""))</f>
        <v/>
      </c>
      <c r="H656" s="39" t="str">
        <f>IF(OR(E656="",BOM!G650="KXDDM"),"",BOM!F650)</f>
        <v/>
      </c>
      <c r="I656" s="36" t="str">
        <f>IF(E656="","",BOM!G650&amp;"")</f>
        <v/>
      </c>
    </row>
    <row r="657" spans="1:9" x14ac:dyDescent="0.25">
      <c r="A657" s="36" t="str">
        <f>IF(B657="","",MAX($A$10:A656)+1)</f>
        <v/>
      </c>
      <c r="B657" s="35" t="str">
        <f>IF(BOM!A651="","",IF(BOM!A651=BOM!A650,"",BOM!A651))</f>
        <v/>
      </c>
      <c r="C657" s="35" t="str">
        <f>IF(B657="","",IFERROR(INDEX(DM_SP!$B$5:$B$304,MATCH(B657,DM_SP!$A$5:$A$304,0)),"(chưa có trong DM_SP)"))</f>
        <v/>
      </c>
      <c r="D657" s="35" t="str">
        <f>IF(B657="","",IFERROR(INDEX(DM_SP!$C$5:$C$304,MATCH(B657,DM_SP!$A$5:$A$304,0)),""))</f>
        <v/>
      </c>
      <c r="E657" s="35" t="str">
        <f>IF(BOM!A651="","",BOM!B651)</f>
        <v/>
      </c>
      <c r="F657" s="35" t="str">
        <f>IF(E657="","",IFERROR(INDEX(DM_NL!$B$5:$B$304,MATCH(E657,DM_NL!$A$5:$A$304,0)),"(chưa có trong DM_NL)"))</f>
        <v/>
      </c>
      <c r="G657" s="35" t="str">
        <f>IF(E657="","",IFERROR(INDEX(DM_NL!$C$5:$C$304,MATCH(E657,DM_NL!$A$5:$A$304,0)),""))</f>
        <v/>
      </c>
      <c r="H657" s="39" t="str">
        <f>IF(OR(E657="",BOM!G651="KXDDM"),"",BOM!F651)</f>
        <v/>
      </c>
      <c r="I657" s="36" t="str">
        <f>IF(E657="","",BOM!G651&amp;"")</f>
        <v/>
      </c>
    </row>
    <row r="658" spans="1:9" x14ac:dyDescent="0.25">
      <c r="A658" s="36" t="str">
        <f>IF(B658="","",MAX($A$10:A657)+1)</f>
        <v/>
      </c>
      <c r="B658" s="35" t="str">
        <f>IF(BOM!A652="","",IF(BOM!A652=BOM!A651,"",BOM!A652))</f>
        <v/>
      </c>
      <c r="C658" s="35" t="str">
        <f>IF(B658="","",IFERROR(INDEX(DM_SP!$B$5:$B$304,MATCH(B658,DM_SP!$A$5:$A$304,0)),"(chưa có trong DM_SP)"))</f>
        <v/>
      </c>
      <c r="D658" s="35" t="str">
        <f>IF(B658="","",IFERROR(INDEX(DM_SP!$C$5:$C$304,MATCH(B658,DM_SP!$A$5:$A$304,0)),""))</f>
        <v/>
      </c>
      <c r="E658" s="35" t="str">
        <f>IF(BOM!A652="","",BOM!B652)</f>
        <v/>
      </c>
      <c r="F658" s="35" t="str">
        <f>IF(E658="","",IFERROR(INDEX(DM_NL!$B$5:$B$304,MATCH(E658,DM_NL!$A$5:$A$304,0)),"(chưa có trong DM_NL)"))</f>
        <v/>
      </c>
      <c r="G658" s="35" t="str">
        <f>IF(E658="","",IFERROR(INDEX(DM_NL!$C$5:$C$304,MATCH(E658,DM_NL!$A$5:$A$304,0)),""))</f>
        <v/>
      </c>
      <c r="H658" s="39" t="str">
        <f>IF(OR(E658="",BOM!G652="KXDDM"),"",BOM!F652)</f>
        <v/>
      </c>
      <c r="I658" s="36" t="str">
        <f>IF(E658="","",BOM!G652&amp;"")</f>
        <v/>
      </c>
    </row>
    <row r="659" spans="1:9" x14ac:dyDescent="0.25">
      <c r="A659" s="36" t="str">
        <f>IF(B659="","",MAX($A$10:A658)+1)</f>
        <v/>
      </c>
      <c r="B659" s="35" t="str">
        <f>IF(BOM!A653="","",IF(BOM!A653=BOM!A652,"",BOM!A653))</f>
        <v/>
      </c>
      <c r="C659" s="35" t="str">
        <f>IF(B659="","",IFERROR(INDEX(DM_SP!$B$5:$B$304,MATCH(B659,DM_SP!$A$5:$A$304,0)),"(chưa có trong DM_SP)"))</f>
        <v/>
      </c>
      <c r="D659" s="35" t="str">
        <f>IF(B659="","",IFERROR(INDEX(DM_SP!$C$5:$C$304,MATCH(B659,DM_SP!$A$5:$A$304,0)),""))</f>
        <v/>
      </c>
      <c r="E659" s="35" t="str">
        <f>IF(BOM!A653="","",BOM!B653)</f>
        <v/>
      </c>
      <c r="F659" s="35" t="str">
        <f>IF(E659="","",IFERROR(INDEX(DM_NL!$B$5:$B$304,MATCH(E659,DM_NL!$A$5:$A$304,0)),"(chưa có trong DM_NL)"))</f>
        <v/>
      </c>
      <c r="G659" s="35" t="str">
        <f>IF(E659="","",IFERROR(INDEX(DM_NL!$C$5:$C$304,MATCH(E659,DM_NL!$A$5:$A$304,0)),""))</f>
        <v/>
      </c>
      <c r="H659" s="39" t="str">
        <f>IF(OR(E659="",BOM!G653="KXDDM"),"",BOM!F653)</f>
        <v/>
      </c>
      <c r="I659" s="36" t="str">
        <f>IF(E659="","",BOM!G653&amp;"")</f>
        <v/>
      </c>
    </row>
    <row r="660" spans="1:9" x14ac:dyDescent="0.25">
      <c r="A660" s="36" t="str">
        <f>IF(B660="","",MAX($A$10:A659)+1)</f>
        <v/>
      </c>
      <c r="B660" s="35" t="str">
        <f>IF(BOM!A654="","",IF(BOM!A654=BOM!A653,"",BOM!A654))</f>
        <v/>
      </c>
      <c r="C660" s="35" t="str">
        <f>IF(B660="","",IFERROR(INDEX(DM_SP!$B$5:$B$304,MATCH(B660,DM_SP!$A$5:$A$304,0)),"(chưa có trong DM_SP)"))</f>
        <v/>
      </c>
      <c r="D660" s="35" t="str">
        <f>IF(B660="","",IFERROR(INDEX(DM_SP!$C$5:$C$304,MATCH(B660,DM_SP!$A$5:$A$304,0)),""))</f>
        <v/>
      </c>
      <c r="E660" s="35" t="str">
        <f>IF(BOM!A654="","",BOM!B654)</f>
        <v/>
      </c>
      <c r="F660" s="35" t="str">
        <f>IF(E660="","",IFERROR(INDEX(DM_NL!$B$5:$B$304,MATCH(E660,DM_NL!$A$5:$A$304,0)),"(chưa có trong DM_NL)"))</f>
        <v/>
      </c>
      <c r="G660" s="35" t="str">
        <f>IF(E660="","",IFERROR(INDEX(DM_NL!$C$5:$C$304,MATCH(E660,DM_NL!$A$5:$A$304,0)),""))</f>
        <v/>
      </c>
      <c r="H660" s="39" t="str">
        <f>IF(OR(E660="",BOM!G654="KXDDM"),"",BOM!F654)</f>
        <v/>
      </c>
      <c r="I660" s="36" t="str">
        <f>IF(E660="","",BOM!G654&amp;"")</f>
        <v/>
      </c>
    </row>
    <row r="661" spans="1:9" x14ac:dyDescent="0.25">
      <c r="A661" s="36" t="str">
        <f>IF(B661="","",MAX($A$10:A660)+1)</f>
        <v/>
      </c>
      <c r="B661" s="35" t="str">
        <f>IF(BOM!A655="","",IF(BOM!A655=BOM!A654,"",BOM!A655))</f>
        <v/>
      </c>
      <c r="C661" s="35" t="str">
        <f>IF(B661="","",IFERROR(INDEX(DM_SP!$B$5:$B$304,MATCH(B661,DM_SP!$A$5:$A$304,0)),"(chưa có trong DM_SP)"))</f>
        <v/>
      </c>
      <c r="D661" s="35" t="str">
        <f>IF(B661="","",IFERROR(INDEX(DM_SP!$C$5:$C$304,MATCH(B661,DM_SP!$A$5:$A$304,0)),""))</f>
        <v/>
      </c>
      <c r="E661" s="35" t="str">
        <f>IF(BOM!A655="","",BOM!B655)</f>
        <v/>
      </c>
      <c r="F661" s="35" t="str">
        <f>IF(E661="","",IFERROR(INDEX(DM_NL!$B$5:$B$304,MATCH(E661,DM_NL!$A$5:$A$304,0)),"(chưa có trong DM_NL)"))</f>
        <v/>
      </c>
      <c r="G661" s="35" t="str">
        <f>IF(E661="","",IFERROR(INDEX(DM_NL!$C$5:$C$304,MATCH(E661,DM_NL!$A$5:$A$304,0)),""))</f>
        <v/>
      </c>
      <c r="H661" s="39" t="str">
        <f>IF(OR(E661="",BOM!G655="KXDDM"),"",BOM!F655)</f>
        <v/>
      </c>
      <c r="I661" s="36" t="str">
        <f>IF(E661="","",BOM!G655&amp;"")</f>
        <v/>
      </c>
    </row>
    <row r="662" spans="1:9" x14ac:dyDescent="0.25">
      <c r="A662" s="36" t="str">
        <f>IF(B662="","",MAX($A$10:A661)+1)</f>
        <v/>
      </c>
      <c r="B662" s="35" t="str">
        <f>IF(BOM!A656="","",IF(BOM!A656=BOM!A655,"",BOM!A656))</f>
        <v/>
      </c>
      <c r="C662" s="35" t="str">
        <f>IF(B662="","",IFERROR(INDEX(DM_SP!$B$5:$B$304,MATCH(B662,DM_SP!$A$5:$A$304,0)),"(chưa có trong DM_SP)"))</f>
        <v/>
      </c>
      <c r="D662" s="35" t="str">
        <f>IF(B662="","",IFERROR(INDEX(DM_SP!$C$5:$C$304,MATCH(B662,DM_SP!$A$5:$A$304,0)),""))</f>
        <v/>
      </c>
      <c r="E662" s="35" t="str">
        <f>IF(BOM!A656="","",BOM!B656)</f>
        <v/>
      </c>
      <c r="F662" s="35" t="str">
        <f>IF(E662="","",IFERROR(INDEX(DM_NL!$B$5:$B$304,MATCH(E662,DM_NL!$A$5:$A$304,0)),"(chưa có trong DM_NL)"))</f>
        <v/>
      </c>
      <c r="G662" s="35" t="str">
        <f>IF(E662="","",IFERROR(INDEX(DM_NL!$C$5:$C$304,MATCH(E662,DM_NL!$A$5:$A$304,0)),""))</f>
        <v/>
      </c>
      <c r="H662" s="39" t="str">
        <f>IF(OR(E662="",BOM!G656="KXDDM"),"",BOM!F656)</f>
        <v/>
      </c>
      <c r="I662" s="36" t="str">
        <f>IF(E662="","",BOM!G656&amp;"")</f>
        <v/>
      </c>
    </row>
    <row r="663" spans="1:9" x14ac:dyDescent="0.25">
      <c r="A663" s="36" t="str">
        <f>IF(B663="","",MAX($A$10:A662)+1)</f>
        <v/>
      </c>
      <c r="B663" s="35" t="str">
        <f>IF(BOM!A657="","",IF(BOM!A657=BOM!A656,"",BOM!A657))</f>
        <v/>
      </c>
      <c r="C663" s="35" t="str">
        <f>IF(B663="","",IFERROR(INDEX(DM_SP!$B$5:$B$304,MATCH(B663,DM_SP!$A$5:$A$304,0)),"(chưa có trong DM_SP)"))</f>
        <v/>
      </c>
      <c r="D663" s="35" t="str">
        <f>IF(B663="","",IFERROR(INDEX(DM_SP!$C$5:$C$304,MATCH(B663,DM_SP!$A$5:$A$304,0)),""))</f>
        <v/>
      </c>
      <c r="E663" s="35" t="str">
        <f>IF(BOM!A657="","",BOM!B657)</f>
        <v/>
      </c>
      <c r="F663" s="35" t="str">
        <f>IF(E663="","",IFERROR(INDEX(DM_NL!$B$5:$B$304,MATCH(E663,DM_NL!$A$5:$A$304,0)),"(chưa có trong DM_NL)"))</f>
        <v/>
      </c>
      <c r="G663" s="35" t="str">
        <f>IF(E663="","",IFERROR(INDEX(DM_NL!$C$5:$C$304,MATCH(E663,DM_NL!$A$5:$A$304,0)),""))</f>
        <v/>
      </c>
      <c r="H663" s="39" t="str">
        <f>IF(OR(E663="",BOM!G657="KXDDM"),"",BOM!F657)</f>
        <v/>
      </c>
      <c r="I663" s="36" t="str">
        <f>IF(E663="","",BOM!G657&amp;"")</f>
        <v/>
      </c>
    </row>
    <row r="664" spans="1:9" x14ac:dyDescent="0.25">
      <c r="A664" s="36" t="str">
        <f>IF(B664="","",MAX($A$10:A663)+1)</f>
        <v/>
      </c>
      <c r="B664" s="35" t="str">
        <f>IF(BOM!A658="","",IF(BOM!A658=BOM!A657,"",BOM!A658))</f>
        <v/>
      </c>
      <c r="C664" s="35" t="str">
        <f>IF(B664="","",IFERROR(INDEX(DM_SP!$B$5:$B$304,MATCH(B664,DM_SP!$A$5:$A$304,0)),"(chưa có trong DM_SP)"))</f>
        <v/>
      </c>
      <c r="D664" s="35" t="str">
        <f>IF(B664="","",IFERROR(INDEX(DM_SP!$C$5:$C$304,MATCH(B664,DM_SP!$A$5:$A$304,0)),""))</f>
        <v/>
      </c>
      <c r="E664" s="35" t="str">
        <f>IF(BOM!A658="","",BOM!B658)</f>
        <v/>
      </c>
      <c r="F664" s="35" t="str">
        <f>IF(E664="","",IFERROR(INDEX(DM_NL!$B$5:$B$304,MATCH(E664,DM_NL!$A$5:$A$304,0)),"(chưa có trong DM_NL)"))</f>
        <v/>
      </c>
      <c r="G664" s="35" t="str">
        <f>IF(E664="","",IFERROR(INDEX(DM_NL!$C$5:$C$304,MATCH(E664,DM_NL!$A$5:$A$304,0)),""))</f>
        <v/>
      </c>
      <c r="H664" s="39" t="str">
        <f>IF(OR(E664="",BOM!G658="KXDDM"),"",BOM!F658)</f>
        <v/>
      </c>
      <c r="I664" s="36" t="str">
        <f>IF(E664="","",BOM!G658&amp;"")</f>
        <v/>
      </c>
    </row>
    <row r="665" spans="1:9" x14ac:dyDescent="0.25">
      <c r="A665" s="36" t="str">
        <f>IF(B665="","",MAX($A$10:A664)+1)</f>
        <v/>
      </c>
      <c r="B665" s="35" t="str">
        <f>IF(BOM!A659="","",IF(BOM!A659=BOM!A658,"",BOM!A659))</f>
        <v/>
      </c>
      <c r="C665" s="35" t="str">
        <f>IF(B665="","",IFERROR(INDEX(DM_SP!$B$5:$B$304,MATCH(B665,DM_SP!$A$5:$A$304,0)),"(chưa có trong DM_SP)"))</f>
        <v/>
      </c>
      <c r="D665" s="35" t="str">
        <f>IF(B665="","",IFERROR(INDEX(DM_SP!$C$5:$C$304,MATCH(B665,DM_SP!$A$5:$A$304,0)),""))</f>
        <v/>
      </c>
      <c r="E665" s="35" t="str">
        <f>IF(BOM!A659="","",BOM!B659)</f>
        <v/>
      </c>
      <c r="F665" s="35" t="str">
        <f>IF(E665="","",IFERROR(INDEX(DM_NL!$B$5:$B$304,MATCH(E665,DM_NL!$A$5:$A$304,0)),"(chưa có trong DM_NL)"))</f>
        <v/>
      </c>
      <c r="G665" s="35" t="str">
        <f>IF(E665="","",IFERROR(INDEX(DM_NL!$C$5:$C$304,MATCH(E665,DM_NL!$A$5:$A$304,0)),""))</f>
        <v/>
      </c>
      <c r="H665" s="39" t="str">
        <f>IF(OR(E665="",BOM!G659="KXDDM"),"",BOM!F659)</f>
        <v/>
      </c>
      <c r="I665" s="36" t="str">
        <f>IF(E665="","",BOM!G659&amp;"")</f>
        <v/>
      </c>
    </row>
    <row r="666" spans="1:9" x14ac:dyDescent="0.25">
      <c r="A666" s="36" t="str">
        <f>IF(B666="","",MAX($A$10:A665)+1)</f>
        <v/>
      </c>
      <c r="B666" s="35" t="str">
        <f>IF(BOM!A660="","",IF(BOM!A660=BOM!A659,"",BOM!A660))</f>
        <v/>
      </c>
      <c r="C666" s="35" t="str">
        <f>IF(B666="","",IFERROR(INDEX(DM_SP!$B$5:$B$304,MATCH(B666,DM_SP!$A$5:$A$304,0)),"(chưa có trong DM_SP)"))</f>
        <v/>
      </c>
      <c r="D666" s="35" t="str">
        <f>IF(B666="","",IFERROR(INDEX(DM_SP!$C$5:$C$304,MATCH(B666,DM_SP!$A$5:$A$304,0)),""))</f>
        <v/>
      </c>
      <c r="E666" s="35" t="str">
        <f>IF(BOM!A660="","",BOM!B660)</f>
        <v/>
      </c>
      <c r="F666" s="35" t="str">
        <f>IF(E666="","",IFERROR(INDEX(DM_NL!$B$5:$B$304,MATCH(E666,DM_NL!$A$5:$A$304,0)),"(chưa có trong DM_NL)"))</f>
        <v/>
      </c>
      <c r="G666" s="35" t="str">
        <f>IF(E666="","",IFERROR(INDEX(DM_NL!$C$5:$C$304,MATCH(E666,DM_NL!$A$5:$A$304,0)),""))</f>
        <v/>
      </c>
      <c r="H666" s="39" t="str">
        <f>IF(OR(E666="",BOM!G660="KXDDM"),"",BOM!F660)</f>
        <v/>
      </c>
      <c r="I666" s="36" t="str">
        <f>IF(E666="","",BOM!G660&amp;"")</f>
        <v/>
      </c>
    </row>
    <row r="667" spans="1:9" x14ac:dyDescent="0.25">
      <c r="A667" s="36" t="str">
        <f>IF(B667="","",MAX($A$10:A666)+1)</f>
        <v/>
      </c>
      <c r="B667" s="35" t="str">
        <f>IF(BOM!A661="","",IF(BOM!A661=BOM!A660,"",BOM!A661))</f>
        <v/>
      </c>
      <c r="C667" s="35" t="str">
        <f>IF(B667="","",IFERROR(INDEX(DM_SP!$B$5:$B$304,MATCH(B667,DM_SP!$A$5:$A$304,0)),"(chưa có trong DM_SP)"))</f>
        <v/>
      </c>
      <c r="D667" s="35" t="str">
        <f>IF(B667="","",IFERROR(INDEX(DM_SP!$C$5:$C$304,MATCH(B667,DM_SP!$A$5:$A$304,0)),""))</f>
        <v/>
      </c>
      <c r="E667" s="35" t="str">
        <f>IF(BOM!A661="","",BOM!B661)</f>
        <v/>
      </c>
      <c r="F667" s="35" t="str">
        <f>IF(E667="","",IFERROR(INDEX(DM_NL!$B$5:$B$304,MATCH(E667,DM_NL!$A$5:$A$304,0)),"(chưa có trong DM_NL)"))</f>
        <v/>
      </c>
      <c r="G667" s="35" t="str">
        <f>IF(E667="","",IFERROR(INDEX(DM_NL!$C$5:$C$304,MATCH(E667,DM_NL!$A$5:$A$304,0)),""))</f>
        <v/>
      </c>
      <c r="H667" s="39" t="str">
        <f>IF(OR(E667="",BOM!G661="KXDDM"),"",BOM!F661)</f>
        <v/>
      </c>
      <c r="I667" s="36" t="str">
        <f>IF(E667="","",BOM!G661&amp;"")</f>
        <v/>
      </c>
    </row>
    <row r="668" spans="1:9" x14ac:dyDescent="0.25">
      <c r="A668" s="36" t="str">
        <f>IF(B668="","",MAX($A$10:A667)+1)</f>
        <v/>
      </c>
      <c r="B668" s="35" t="str">
        <f>IF(BOM!A662="","",IF(BOM!A662=BOM!A661,"",BOM!A662))</f>
        <v/>
      </c>
      <c r="C668" s="35" t="str">
        <f>IF(B668="","",IFERROR(INDEX(DM_SP!$B$5:$B$304,MATCH(B668,DM_SP!$A$5:$A$304,0)),"(chưa có trong DM_SP)"))</f>
        <v/>
      </c>
      <c r="D668" s="35" t="str">
        <f>IF(B668="","",IFERROR(INDEX(DM_SP!$C$5:$C$304,MATCH(B668,DM_SP!$A$5:$A$304,0)),""))</f>
        <v/>
      </c>
      <c r="E668" s="35" t="str">
        <f>IF(BOM!A662="","",BOM!B662)</f>
        <v/>
      </c>
      <c r="F668" s="35" t="str">
        <f>IF(E668="","",IFERROR(INDEX(DM_NL!$B$5:$B$304,MATCH(E668,DM_NL!$A$5:$A$304,0)),"(chưa có trong DM_NL)"))</f>
        <v/>
      </c>
      <c r="G668" s="35" t="str">
        <f>IF(E668="","",IFERROR(INDEX(DM_NL!$C$5:$C$304,MATCH(E668,DM_NL!$A$5:$A$304,0)),""))</f>
        <v/>
      </c>
      <c r="H668" s="39" t="str">
        <f>IF(OR(E668="",BOM!G662="KXDDM"),"",BOM!F662)</f>
        <v/>
      </c>
      <c r="I668" s="36" t="str">
        <f>IF(E668="","",BOM!G662&amp;"")</f>
        <v/>
      </c>
    </row>
    <row r="669" spans="1:9" x14ac:dyDescent="0.25">
      <c r="A669" s="36" t="str">
        <f>IF(B669="","",MAX($A$10:A668)+1)</f>
        <v/>
      </c>
      <c r="B669" s="35" t="str">
        <f>IF(BOM!A663="","",IF(BOM!A663=BOM!A662,"",BOM!A663))</f>
        <v/>
      </c>
      <c r="C669" s="35" t="str">
        <f>IF(B669="","",IFERROR(INDEX(DM_SP!$B$5:$B$304,MATCH(B669,DM_SP!$A$5:$A$304,0)),"(chưa có trong DM_SP)"))</f>
        <v/>
      </c>
      <c r="D669" s="35" t="str">
        <f>IF(B669="","",IFERROR(INDEX(DM_SP!$C$5:$C$304,MATCH(B669,DM_SP!$A$5:$A$304,0)),""))</f>
        <v/>
      </c>
      <c r="E669" s="35" t="str">
        <f>IF(BOM!A663="","",BOM!B663)</f>
        <v/>
      </c>
      <c r="F669" s="35" t="str">
        <f>IF(E669="","",IFERROR(INDEX(DM_NL!$B$5:$B$304,MATCH(E669,DM_NL!$A$5:$A$304,0)),"(chưa có trong DM_NL)"))</f>
        <v/>
      </c>
      <c r="G669" s="35" t="str">
        <f>IF(E669="","",IFERROR(INDEX(DM_NL!$C$5:$C$304,MATCH(E669,DM_NL!$A$5:$A$304,0)),""))</f>
        <v/>
      </c>
      <c r="H669" s="39" t="str">
        <f>IF(OR(E669="",BOM!G663="KXDDM"),"",BOM!F663)</f>
        <v/>
      </c>
      <c r="I669" s="36" t="str">
        <f>IF(E669="","",BOM!G663&amp;"")</f>
        <v/>
      </c>
    </row>
    <row r="670" spans="1:9" x14ac:dyDescent="0.25">
      <c r="A670" s="36" t="str">
        <f>IF(B670="","",MAX($A$10:A669)+1)</f>
        <v/>
      </c>
      <c r="B670" s="35" t="str">
        <f>IF(BOM!A664="","",IF(BOM!A664=BOM!A663,"",BOM!A664))</f>
        <v/>
      </c>
      <c r="C670" s="35" t="str">
        <f>IF(B670="","",IFERROR(INDEX(DM_SP!$B$5:$B$304,MATCH(B670,DM_SP!$A$5:$A$304,0)),"(chưa có trong DM_SP)"))</f>
        <v/>
      </c>
      <c r="D670" s="35" t="str">
        <f>IF(B670="","",IFERROR(INDEX(DM_SP!$C$5:$C$304,MATCH(B670,DM_SP!$A$5:$A$304,0)),""))</f>
        <v/>
      </c>
      <c r="E670" s="35" t="str">
        <f>IF(BOM!A664="","",BOM!B664)</f>
        <v/>
      </c>
      <c r="F670" s="35" t="str">
        <f>IF(E670="","",IFERROR(INDEX(DM_NL!$B$5:$B$304,MATCH(E670,DM_NL!$A$5:$A$304,0)),"(chưa có trong DM_NL)"))</f>
        <v/>
      </c>
      <c r="G670" s="35" t="str">
        <f>IF(E670="","",IFERROR(INDEX(DM_NL!$C$5:$C$304,MATCH(E670,DM_NL!$A$5:$A$304,0)),""))</f>
        <v/>
      </c>
      <c r="H670" s="39" t="str">
        <f>IF(OR(E670="",BOM!G664="KXDDM"),"",BOM!F664)</f>
        <v/>
      </c>
      <c r="I670" s="36" t="str">
        <f>IF(E670="","",BOM!G664&amp;"")</f>
        <v/>
      </c>
    </row>
    <row r="671" spans="1:9" x14ac:dyDescent="0.25">
      <c r="A671" s="36" t="str">
        <f>IF(B671="","",MAX($A$10:A670)+1)</f>
        <v/>
      </c>
      <c r="B671" s="35" t="str">
        <f>IF(BOM!A665="","",IF(BOM!A665=BOM!A664,"",BOM!A665))</f>
        <v/>
      </c>
      <c r="C671" s="35" t="str">
        <f>IF(B671="","",IFERROR(INDEX(DM_SP!$B$5:$B$304,MATCH(B671,DM_SP!$A$5:$A$304,0)),"(chưa có trong DM_SP)"))</f>
        <v/>
      </c>
      <c r="D671" s="35" t="str">
        <f>IF(B671="","",IFERROR(INDEX(DM_SP!$C$5:$C$304,MATCH(B671,DM_SP!$A$5:$A$304,0)),""))</f>
        <v/>
      </c>
      <c r="E671" s="35" t="str">
        <f>IF(BOM!A665="","",BOM!B665)</f>
        <v/>
      </c>
      <c r="F671" s="35" t="str">
        <f>IF(E671="","",IFERROR(INDEX(DM_NL!$B$5:$B$304,MATCH(E671,DM_NL!$A$5:$A$304,0)),"(chưa có trong DM_NL)"))</f>
        <v/>
      </c>
      <c r="G671" s="35" t="str">
        <f>IF(E671="","",IFERROR(INDEX(DM_NL!$C$5:$C$304,MATCH(E671,DM_NL!$A$5:$A$304,0)),""))</f>
        <v/>
      </c>
      <c r="H671" s="39" t="str">
        <f>IF(OR(E671="",BOM!G665="KXDDM"),"",BOM!F665)</f>
        <v/>
      </c>
      <c r="I671" s="36" t="str">
        <f>IF(E671="","",BOM!G665&amp;"")</f>
        <v/>
      </c>
    </row>
    <row r="672" spans="1:9" x14ac:dyDescent="0.25">
      <c r="A672" s="36" t="str">
        <f>IF(B672="","",MAX($A$10:A671)+1)</f>
        <v/>
      </c>
      <c r="B672" s="35" t="str">
        <f>IF(BOM!A666="","",IF(BOM!A666=BOM!A665,"",BOM!A666))</f>
        <v/>
      </c>
      <c r="C672" s="35" t="str">
        <f>IF(B672="","",IFERROR(INDEX(DM_SP!$B$5:$B$304,MATCH(B672,DM_SP!$A$5:$A$304,0)),"(chưa có trong DM_SP)"))</f>
        <v/>
      </c>
      <c r="D672" s="35" t="str">
        <f>IF(B672="","",IFERROR(INDEX(DM_SP!$C$5:$C$304,MATCH(B672,DM_SP!$A$5:$A$304,0)),""))</f>
        <v/>
      </c>
      <c r="E672" s="35" t="str">
        <f>IF(BOM!A666="","",BOM!B666)</f>
        <v/>
      </c>
      <c r="F672" s="35" t="str">
        <f>IF(E672="","",IFERROR(INDEX(DM_NL!$B$5:$B$304,MATCH(E672,DM_NL!$A$5:$A$304,0)),"(chưa có trong DM_NL)"))</f>
        <v/>
      </c>
      <c r="G672" s="35" t="str">
        <f>IF(E672="","",IFERROR(INDEX(DM_NL!$C$5:$C$304,MATCH(E672,DM_NL!$A$5:$A$304,0)),""))</f>
        <v/>
      </c>
      <c r="H672" s="39" t="str">
        <f>IF(OR(E672="",BOM!G666="KXDDM"),"",BOM!F666)</f>
        <v/>
      </c>
      <c r="I672" s="36" t="str">
        <f>IF(E672="","",BOM!G666&amp;"")</f>
        <v/>
      </c>
    </row>
    <row r="673" spans="1:9" x14ac:dyDescent="0.25">
      <c r="A673" s="36" t="str">
        <f>IF(B673="","",MAX($A$10:A672)+1)</f>
        <v/>
      </c>
      <c r="B673" s="35" t="str">
        <f>IF(BOM!A667="","",IF(BOM!A667=BOM!A666,"",BOM!A667))</f>
        <v/>
      </c>
      <c r="C673" s="35" t="str">
        <f>IF(B673="","",IFERROR(INDEX(DM_SP!$B$5:$B$304,MATCH(B673,DM_SP!$A$5:$A$304,0)),"(chưa có trong DM_SP)"))</f>
        <v/>
      </c>
      <c r="D673" s="35" t="str">
        <f>IF(B673="","",IFERROR(INDEX(DM_SP!$C$5:$C$304,MATCH(B673,DM_SP!$A$5:$A$304,0)),""))</f>
        <v/>
      </c>
      <c r="E673" s="35" t="str">
        <f>IF(BOM!A667="","",BOM!B667)</f>
        <v/>
      </c>
      <c r="F673" s="35" t="str">
        <f>IF(E673="","",IFERROR(INDEX(DM_NL!$B$5:$B$304,MATCH(E673,DM_NL!$A$5:$A$304,0)),"(chưa có trong DM_NL)"))</f>
        <v/>
      </c>
      <c r="G673" s="35" t="str">
        <f>IF(E673="","",IFERROR(INDEX(DM_NL!$C$5:$C$304,MATCH(E673,DM_NL!$A$5:$A$304,0)),""))</f>
        <v/>
      </c>
      <c r="H673" s="39" t="str">
        <f>IF(OR(E673="",BOM!G667="KXDDM"),"",BOM!F667)</f>
        <v/>
      </c>
      <c r="I673" s="36" t="str">
        <f>IF(E673="","",BOM!G667&amp;"")</f>
        <v/>
      </c>
    </row>
    <row r="674" spans="1:9" x14ac:dyDescent="0.25">
      <c r="A674" s="36" t="str">
        <f>IF(B674="","",MAX($A$10:A673)+1)</f>
        <v/>
      </c>
      <c r="B674" s="35" t="str">
        <f>IF(BOM!A668="","",IF(BOM!A668=BOM!A667,"",BOM!A668))</f>
        <v/>
      </c>
      <c r="C674" s="35" t="str">
        <f>IF(B674="","",IFERROR(INDEX(DM_SP!$B$5:$B$304,MATCH(B674,DM_SP!$A$5:$A$304,0)),"(chưa có trong DM_SP)"))</f>
        <v/>
      </c>
      <c r="D674" s="35" t="str">
        <f>IF(B674="","",IFERROR(INDEX(DM_SP!$C$5:$C$304,MATCH(B674,DM_SP!$A$5:$A$304,0)),""))</f>
        <v/>
      </c>
      <c r="E674" s="35" t="str">
        <f>IF(BOM!A668="","",BOM!B668)</f>
        <v/>
      </c>
      <c r="F674" s="35" t="str">
        <f>IF(E674="","",IFERROR(INDEX(DM_NL!$B$5:$B$304,MATCH(E674,DM_NL!$A$5:$A$304,0)),"(chưa có trong DM_NL)"))</f>
        <v/>
      </c>
      <c r="G674" s="35" t="str">
        <f>IF(E674="","",IFERROR(INDEX(DM_NL!$C$5:$C$304,MATCH(E674,DM_NL!$A$5:$A$304,0)),""))</f>
        <v/>
      </c>
      <c r="H674" s="39" t="str">
        <f>IF(OR(E674="",BOM!G668="KXDDM"),"",BOM!F668)</f>
        <v/>
      </c>
      <c r="I674" s="36" t="str">
        <f>IF(E674="","",BOM!G668&amp;"")</f>
        <v/>
      </c>
    </row>
    <row r="675" spans="1:9" x14ac:dyDescent="0.25">
      <c r="A675" s="36" t="str">
        <f>IF(B675="","",MAX($A$10:A674)+1)</f>
        <v/>
      </c>
      <c r="B675" s="35" t="str">
        <f>IF(BOM!A669="","",IF(BOM!A669=BOM!A668,"",BOM!A669))</f>
        <v/>
      </c>
      <c r="C675" s="35" t="str">
        <f>IF(B675="","",IFERROR(INDEX(DM_SP!$B$5:$B$304,MATCH(B675,DM_SP!$A$5:$A$304,0)),"(chưa có trong DM_SP)"))</f>
        <v/>
      </c>
      <c r="D675" s="35" t="str">
        <f>IF(B675="","",IFERROR(INDEX(DM_SP!$C$5:$C$304,MATCH(B675,DM_SP!$A$5:$A$304,0)),""))</f>
        <v/>
      </c>
      <c r="E675" s="35" t="str">
        <f>IF(BOM!A669="","",BOM!B669)</f>
        <v/>
      </c>
      <c r="F675" s="35" t="str">
        <f>IF(E675="","",IFERROR(INDEX(DM_NL!$B$5:$B$304,MATCH(E675,DM_NL!$A$5:$A$304,0)),"(chưa có trong DM_NL)"))</f>
        <v/>
      </c>
      <c r="G675" s="35" t="str">
        <f>IF(E675="","",IFERROR(INDEX(DM_NL!$C$5:$C$304,MATCH(E675,DM_NL!$A$5:$A$304,0)),""))</f>
        <v/>
      </c>
      <c r="H675" s="39" t="str">
        <f>IF(OR(E675="",BOM!G669="KXDDM"),"",BOM!F669)</f>
        <v/>
      </c>
      <c r="I675" s="36" t="str">
        <f>IF(E675="","",BOM!G669&amp;"")</f>
        <v/>
      </c>
    </row>
    <row r="676" spans="1:9" x14ac:dyDescent="0.25">
      <c r="A676" s="36" t="str">
        <f>IF(B676="","",MAX($A$10:A675)+1)</f>
        <v/>
      </c>
      <c r="B676" s="35" t="str">
        <f>IF(BOM!A670="","",IF(BOM!A670=BOM!A669,"",BOM!A670))</f>
        <v/>
      </c>
      <c r="C676" s="35" t="str">
        <f>IF(B676="","",IFERROR(INDEX(DM_SP!$B$5:$B$304,MATCH(B676,DM_SP!$A$5:$A$304,0)),"(chưa có trong DM_SP)"))</f>
        <v/>
      </c>
      <c r="D676" s="35" t="str">
        <f>IF(B676="","",IFERROR(INDEX(DM_SP!$C$5:$C$304,MATCH(B676,DM_SP!$A$5:$A$304,0)),""))</f>
        <v/>
      </c>
      <c r="E676" s="35" t="str">
        <f>IF(BOM!A670="","",BOM!B670)</f>
        <v/>
      </c>
      <c r="F676" s="35" t="str">
        <f>IF(E676="","",IFERROR(INDEX(DM_NL!$B$5:$B$304,MATCH(E676,DM_NL!$A$5:$A$304,0)),"(chưa có trong DM_NL)"))</f>
        <v/>
      </c>
      <c r="G676" s="35" t="str">
        <f>IF(E676="","",IFERROR(INDEX(DM_NL!$C$5:$C$304,MATCH(E676,DM_NL!$A$5:$A$304,0)),""))</f>
        <v/>
      </c>
      <c r="H676" s="39" t="str">
        <f>IF(OR(E676="",BOM!G670="KXDDM"),"",BOM!F670)</f>
        <v/>
      </c>
      <c r="I676" s="36" t="str">
        <f>IF(E676="","",BOM!G670&amp;"")</f>
        <v/>
      </c>
    </row>
    <row r="677" spans="1:9" x14ac:dyDescent="0.25">
      <c r="A677" s="36" t="str">
        <f>IF(B677="","",MAX($A$10:A676)+1)</f>
        <v/>
      </c>
      <c r="B677" s="35" t="str">
        <f>IF(BOM!A671="","",IF(BOM!A671=BOM!A670,"",BOM!A671))</f>
        <v/>
      </c>
      <c r="C677" s="35" t="str">
        <f>IF(B677="","",IFERROR(INDEX(DM_SP!$B$5:$B$304,MATCH(B677,DM_SP!$A$5:$A$304,0)),"(chưa có trong DM_SP)"))</f>
        <v/>
      </c>
      <c r="D677" s="35" t="str">
        <f>IF(B677="","",IFERROR(INDEX(DM_SP!$C$5:$C$304,MATCH(B677,DM_SP!$A$5:$A$304,0)),""))</f>
        <v/>
      </c>
      <c r="E677" s="35" t="str">
        <f>IF(BOM!A671="","",BOM!B671)</f>
        <v/>
      </c>
      <c r="F677" s="35" t="str">
        <f>IF(E677="","",IFERROR(INDEX(DM_NL!$B$5:$B$304,MATCH(E677,DM_NL!$A$5:$A$304,0)),"(chưa có trong DM_NL)"))</f>
        <v/>
      </c>
      <c r="G677" s="35" t="str">
        <f>IF(E677="","",IFERROR(INDEX(DM_NL!$C$5:$C$304,MATCH(E677,DM_NL!$A$5:$A$304,0)),""))</f>
        <v/>
      </c>
      <c r="H677" s="39" t="str">
        <f>IF(OR(E677="",BOM!G671="KXDDM"),"",BOM!F671)</f>
        <v/>
      </c>
      <c r="I677" s="36" t="str">
        <f>IF(E677="","",BOM!G671&amp;"")</f>
        <v/>
      </c>
    </row>
    <row r="678" spans="1:9" x14ac:dyDescent="0.25">
      <c r="A678" s="36" t="str">
        <f>IF(B678="","",MAX($A$10:A677)+1)</f>
        <v/>
      </c>
      <c r="B678" s="35" t="str">
        <f>IF(BOM!A672="","",IF(BOM!A672=BOM!A671,"",BOM!A672))</f>
        <v/>
      </c>
      <c r="C678" s="35" t="str">
        <f>IF(B678="","",IFERROR(INDEX(DM_SP!$B$5:$B$304,MATCH(B678,DM_SP!$A$5:$A$304,0)),"(chưa có trong DM_SP)"))</f>
        <v/>
      </c>
      <c r="D678" s="35" t="str">
        <f>IF(B678="","",IFERROR(INDEX(DM_SP!$C$5:$C$304,MATCH(B678,DM_SP!$A$5:$A$304,0)),""))</f>
        <v/>
      </c>
      <c r="E678" s="35" t="str">
        <f>IF(BOM!A672="","",BOM!B672)</f>
        <v/>
      </c>
      <c r="F678" s="35" t="str">
        <f>IF(E678="","",IFERROR(INDEX(DM_NL!$B$5:$B$304,MATCH(E678,DM_NL!$A$5:$A$304,0)),"(chưa có trong DM_NL)"))</f>
        <v/>
      </c>
      <c r="G678" s="35" t="str">
        <f>IF(E678="","",IFERROR(INDEX(DM_NL!$C$5:$C$304,MATCH(E678,DM_NL!$A$5:$A$304,0)),""))</f>
        <v/>
      </c>
      <c r="H678" s="39" t="str">
        <f>IF(OR(E678="",BOM!G672="KXDDM"),"",BOM!F672)</f>
        <v/>
      </c>
      <c r="I678" s="36" t="str">
        <f>IF(E678="","",BOM!G672&amp;"")</f>
        <v/>
      </c>
    </row>
    <row r="679" spans="1:9" x14ac:dyDescent="0.25">
      <c r="A679" s="36" t="str">
        <f>IF(B679="","",MAX($A$10:A678)+1)</f>
        <v/>
      </c>
      <c r="B679" s="35" t="str">
        <f>IF(BOM!A673="","",IF(BOM!A673=BOM!A672,"",BOM!A673))</f>
        <v/>
      </c>
      <c r="C679" s="35" t="str">
        <f>IF(B679="","",IFERROR(INDEX(DM_SP!$B$5:$B$304,MATCH(B679,DM_SP!$A$5:$A$304,0)),"(chưa có trong DM_SP)"))</f>
        <v/>
      </c>
      <c r="D679" s="35" t="str">
        <f>IF(B679="","",IFERROR(INDEX(DM_SP!$C$5:$C$304,MATCH(B679,DM_SP!$A$5:$A$304,0)),""))</f>
        <v/>
      </c>
      <c r="E679" s="35" t="str">
        <f>IF(BOM!A673="","",BOM!B673)</f>
        <v/>
      </c>
      <c r="F679" s="35" t="str">
        <f>IF(E679="","",IFERROR(INDEX(DM_NL!$B$5:$B$304,MATCH(E679,DM_NL!$A$5:$A$304,0)),"(chưa có trong DM_NL)"))</f>
        <v/>
      </c>
      <c r="G679" s="35" t="str">
        <f>IF(E679="","",IFERROR(INDEX(DM_NL!$C$5:$C$304,MATCH(E679,DM_NL!$A$5:$A$304,0)),""))</f>
        <v/>
      </c>
      <c r="H679" s="39" t="str">
        <f>IF(OR(E679="",BOM!G673="KXDDM"),"",BOM!F673)</f>
        <v/>
      </c>
      <c r="I679" s="36" t="str">
        <f>IF(E679="","",BOM!G673&amp;"")</f>
        <v/>
      </c>
    </row>
    <row r="680" spans="1:9" x14ac:dyDescent="0.25">
      <c r="A680" s="36" t="str">
        <f>IF(B680="","",MAX($A$10:A679)+1)</f>
        <v/>
      </c>
      <c r="B680" s="35" t="str">
        <f>IF(BOM!A674="","",IF(BOM!A674=BOM!A673,"",BOM!A674))</f>
        <v/>
      </c>
      <c r="C680" s="35" t="str">
        <f>IF(B680="","",IFERROR(INDEX(DM_SP!$B$5:$B$304,MATCH(B680,DM_SP!$A$5:$A$304,0)),"(chưa có trong DM_SP)"))</f>
        <v/>
      </c>
      <c r="D680" s="35" t="str">
        <f>IF(B680="","",IFERROR(INDEX(DM_SP!$C$5:$C$304,MATCH(B680,DM_SP!$A$5:$A$304,0)),""))</f>
        <v/>
      </c>
      <c r="E680" s="35" t="str">
        <f>IF(BOM!A674="","",BOM!B674)</f>
        <v/>
      </c>
      <c r="F680" s="35" t="str">
        <f>IF(E680="","",IFERROR(INDEX(DM_NL!$B$5:$B$304,MATCH(E680,DM_NL!$A$5:$A$304,0)),"(chưa có trong DM_NL)"))</f>
        <v/>
      </c>
      <c r="G680" s="35" t="str">
        <f>IF(E680="","",IFERROR(INDEX(DM_NL!$C$5:$C$304,MATCH(E680,DM_NL!$A$5:$A$304,0)),""))</f>
        <v/>
      </c>
      <c r="H680" s="39" t="str">
        <f>IF(OR(E680="",BOM!G674="KXDDM"),"",BOM!F674)</f>
        <v/>
      </c>
      <c r="I680" s="36" t="str">
        <f>IF(E680="","",BOM!G674&amp;"")</f>
        <v/>
      </c>
    </row>
    <row r="681" spans="1:9" x14ac:dyDescent="0.25">
      <c r="A681" s="36" t="str">
        <f>IF(B681="","",MAX($A$10:A680)+1)</f>
        <v/>
      </c>
      <c r="B681" s="35" t="str">
        <f>IF(BOM!A675="","",IF(BOM!A675=BOM!A674,"",BOM!A675))</f>
        <v/>
      </c>
      <c r="C681" s="35" t="str">
        <f>IF(B681="","",IFERROR(INDEX(DM_SP!$B$5:$B$304,MATCH(B681,DM_SP!$A$5:$A$304,0)),"(chưa có trong DM_SP)"))</f>
        <v/>
      </c>
      <c r="D681" s="35" t="str">
        <f>IF(B681="","",IFERROR(INDEX(DM_SP!$C$5:$C$304,MATCH(B681,DM_SP!$A$5:$A$304,0)),""))</f>
        <v/>
      </c>
      <c r="E681" s="35" t="str">
        <f>IF(BOM!A675="","",BOM!B675)</f>
        <v/>
      </c>
      <c r="F681" s="35" t="str">
        <f>IF(E681="","",IFERROR(INDEX(DM_NL!$B$5:$B$304,MATCH(E681,DM_NL!$A$5:$A$304,0)),"(chưa có trong DM_NL)"))</f>
        <v/>
      </c>
      <c r="G681" s="35" t="str">
        <f>IF(E681="","",IFERROR(INDEX(DM_NL!$C$5:$C$304,MATCH(E681,DM_NL!$A$5:$A$304,0)),""))</f>
        <v/>
      </c>
      <c r="H681" s="39" t="str">
        <f>IF(OR(E681="",BOM!G675="KXDDM"),"",BOM!F675)</f>
        <v/>
      </c>
      <c r="I681" s="36" t="str">
        <f>IF(E681="","",BOM!G675&amp;"")</f>
        <v/>
      </c>
    </row>
    <row r="682" spans="1:9" x14ac:dyDescent="0.25">
      <c r="A682" s="36" t="str">
        <f>IF(B682="","",MAX($A$10:A681)+1)</f>
        <v/>
      </c>
      <c r="B682" s="35" t="str">
        <f>IF(BOM!A676="","",IF(BOM!A676=BOM!A675,"",BOM!A676))</f>
        <v/>
      </c>
      <c r="C682" s="35" t="str">
        <f>IF(B682="","",IFERROR(INDEX(DM_SP!$B$5:$B$304,MATCH(B682,DM_SP!$A$5:$A$304,0)),"(chưa có trong DM_SP)"))</f>
        <v/>
      </c>
      <c r="D682" s="35" t="str">
        <f>IF(B682="","",IFERROR(INDEX(DM_SP!$C$5:$C$304,MATCH(B682,DM_SP!$A$5:$A$304,0)),""))</f>
        <v/>
      </c>
      <c r="E682" s="35" t="str">
        <f>IF(BOM!A676="","",BOM!B676)</f>
        <v/>
      </c>
      <c r="F682" s="35" t="str">
        <f>IF(E682="","",IFERROR(INDEX(DM_NL!$B$5:$B$304,MATCH(E682,DM_NL!$A$5:$A$304,0)),"(chưa có trong DM_NL)"))</f>
        <v/>
      </c>
      <c r="G682" s="35" t="str">
        <f>IF(E682="","",IFERROR(INDEX(DM_NL!$C$5:$C$304,MATCH(E682,DM_NL!$A$5:$A$304,0)),""))</f>
        <v/>
      </c>
      <c r="H682" s="39" t="str">
        <f>IF(OR(E682="",BOM!G676="KXDDM"),"",BOM!F676)</f>
        <v/>
      </c>
      <c r="I682" s="36" t="str">
        <f>IF(E682="","",BOM!G676&amp;"")</f>
        <v/>
      </c>
    </row>
    <row r="683" spans="1:9" x14ac:dyDescent="0.25">
      <c r="A683" s="36" t="str">
        <f>IF(B683="","",MAX($A$10:A682)+1)</f>
        <v/>
      </c>
      <c r="B683" s="35" t="str">
        <f>IF(BOM!A677="","",IF(BOM!A677=BOM!A676,"",BOM!A677))</f>
        <v/>
      </c>
      <c r="C683" s="35" t="str">
        <f>IF(B683="","",IFERROR(INDEX(DM_SP!$B$5:$B$304,MATCH(B683,DM_SP!$A$5:$A$304,0)),"(chưa có trong DM_SP)"))</f>
        <v/>
      </c>
      <c r="D683" s="35" t="str">
        <f>IF(B683="","",IFERROR(INDEX(DM_SP!$C$5:$C$304,MATCH(B683,DM_SP!$A$5:$A$304,0)),""))</f>
        <v/>
      </c>
      <c r="E683" s="35" t="str">
        <f>IF(BOM!A677="","",BOM!B677)</f>
        <v/>
      </c>
      <c r="F683" s="35" t="str">
        <f>IF(E683="","",IFERROR(INDEX(DM_NL!$B$5:$B$304,MATCH(E683,DM_NL!$A$5:$A$304,0)),"(chưa có trong DM_NL)"))</f>
        <v/>
      </c>
      <c r="G683" s="35" t="str">
        <f>IF(E683="","",IFERROR(INDEX(DM_NL!$C$5:$C$304,MATCH(E683,DM_NL!$A$5:$A$304,0)),""))</f>
        <v/>
      </c>
      <c r="H683" s="39" t="str">
        <f>IF(OR(E683="",BOM!G677="KXDDM"),"",BOM!F677)</f>
        <v/>
      </c>
      <c r="I683" s="36" t="str">
        <f>IF(E683="","",BOM!G677&amp;"")</f>
        <v/>
      </c>
    </row>
    <row r="684" spans="1:9" x14ac:dyDescent="0.25">
      <c r="A684" s="36" t="str">
        <f>IF(B684="","",MAX($A$10:A683)+1)</f>
        <v/>
      </c>
      <c r="B684" s="35" t="str">
        <f>IF(BOM!A678="","",IF(BOM!A678=BOM!A677,"",BOM!A678))</f>
        <v/>
      </c>
      <c r="C684" s="35" t="str">
        <f>IF(B684="","",IFERROR(INDEX(DM_SP!$B$5:$B$304,MATCH(B684,DM_SP!$A$5:$A$304,0)),"(chưa có trong DM_SP)"))</f>
        <v/>
      </c>
      <c r="D684" s="35" t="str">
        <f>IF(B684="","",IFERROR(INDEX(DM_SP!$C$5:$C$304,MATCH(B684,DM_SP!$A$5:$A$304,0)),""))</f>
        <v/>
      </c>
      <c r="E684" s="35" t="str">
        <f>IF(BOM!A678="","",BOM!B678)</f>
        <v/>
      </c>
      <c r="F684" s="35" t="str">
        <f>IF(E684="","",IFERROR(INDEX(DM_NL!$B$5:$B$304,MATCH(E684,DM_NL!$A$5:$A$304,0)),"(chưa có trong DM_NL)"))</f>
        <v/>
      </c>
      <c r="G684" s="35" t="str">
        <f>IF(E684="","",IFERROR(INDEX(DM_NL!$C$5:$C$304,MATCH(E684,DM_NL!$A$5:$A$304,0)),""))</f>
        <v/>
      </c>
      <c r="H684" s="39" t="str">
        <f>IF(OR(E684="",BOM!G678="KXDDM"),"",BOM!F678)</f>
        <v/>
      </c>
      <c r="I684" s="36" t="str">
        <f>IF(E684="","",BOM!G678&amp;"")</f>
        <v/>
      </c>
    </row>
    <row r="685" spans="1:9" x14ac:dyDescent="0.25">
      <c r="A685" s="36" t="str">
        <f>IF(B685="","",MAX($A$10:A684)+1)</f>
        <v/>
      </c>
      <c r="B685" s="35" t="str">
        <f>IF(BOM!A679="","",IF(BOM!A679=BOM!A678,"",BOM!A679))</f>
        <v/>
      </c>
      <c r="C685" s="35" t="str">
        <f>IF(B685="","",IFERROR(INDEX(DM_SP!$B$5:$B$304,MATCH(B685,DM_SP!$A$5:$A$304,0)),"(chưa có trong DM_SP)"))</f>
        <v/>
      </c>
      <c r="D685" s="35" t="str">
        <f>IF(B685="","",IFERROR(INDEX(DM_SP!$C$5:$C$304,MATCH(B685,DM_SP!$A$5:$A$304,0)),""))</f>
        <v/>
      </c>
      <c r="E685" s="35" t="str">
        <f>IF(BOM!A679="","",BOM!B679)</f>
        <v/>
      </c>
      <c r="F685" s="35" t="str">
        <f>IF(E685="","",IFERROR(INDEX(DM_NL!$B$5:$B$304,MATCH(E685,DM_NL!$A$5:$A$304,0)),"(chưa có trong DM_NL)"))</f>
        <v/>
      </c>
      <c r="G685" s="35" t="str">
        <f>IF(E685="","",IFERROR(INDEX(DM_NL!$C$5:$C$304,MATCH(E685,DM_NL!$A$5:$A$304,0)),""))</f>
        <v/>
      </c>
      <c r="H685" s="39" t="str">
        <f>IF(OR(E685="",BOM!G679="KXDDM"),"",BOM!F679)</f>
        <v/>
      </c>
      <c r="I685" s="36" t="str">
        <f>IF(E685="","",BOM!G679&amp;"")</f>
        <v/>
      </c>
    </row>
    <row r="686" spans="1:9" x14ac:dyDescent="0.25">
      <c r="A686" s="36" t="str">
        <f>IF(B686="","",MAX($A$10:A685)+1)</f>
        <v/>
      </c>
      <c r="B686" s="35" t="str">
        <f>IF(BOM!A680="","",IF(BOM!A680=BOM!A679,"",BOM!A680))</f>
        <v/>
      </c>
      <c r="C686" s="35" t="str">
        <f>IF(B686="","",IFERROR(INDEX(DM_SP!$B$5:$B$304,MATCH(B686,DM_SP!$A$5:$A$304,0)),"(chưa có trong DM_SP)"))</f>
        <v/>
      </c>
      <c r="D686" s="35" t="str">
        <f>IF(B686="","",IFERROR(INDEX(DM_SP!$C$5:$C$304,MATCH(B686,DM_SP!$A$5:$A$304,0)),""))</f>
        <v/>
      </c>
      <c r="E686" s="35" t="str">
        <f>IF(BOM!A680="","",BOM!B680)</f>
        <v/>
      </c>
      <c r="F686" s="35" t="str">
        <f>IF(E686="","",IFERROR(INDEX(DM_NL!$B$5:$B$304,MATCH(E686,DM_NL!$A$5:$A$304,0)),"(chưa có trong DM_NL)"))</f>
        <v/>
      </c>
      <c r="G686" s="35" t="str">
        <f>IF(E686="","",IFERROR(INDEX(DM_NL!$C$5:$C$304,MATCH(E686,DM_NL!$A$5:$A$304,0)),""))</f>
        <v/>
      </c>
      <c r="H686" s="39" t="str">
        <f>IF(OR(E686="",BOM!G680="KXDDM"),"",BOM!F680)</f>
        <v/>
      </c>
      <c r="I686" s="36" t="str">
        <f>IF(E686="","",BOM!G680&amp;"")</f>
        <v/>
      </c>
    </row>
    <row r="687" spans="1:9" x14ac:dyDescent="0.25">
      <c r="A687" s="36" t="str">
        <f>IF(B687="","",MAX($A$10:A686)+1)</f>
        <v/>
      </c>
      <c r="B687" s="35" t="str">
        <f>IF(BOM!A681="","",IF(BOM!A681=BOM!A680,"",BOM!A681))</f>
        <v/>
      </c>
      <c r="C687" s="35" t="str">
        <f>IF(B687="","",IFERROR(INDEX(DM_SP!$B$5:$B$304,MATCH(B687,DM_SP!$A$5:$A$304,0)),"(chưa có trong DM_SP)"))</f>
        <v/>
      </c>
      <c r="D687" s="35" t="str">
        <f>IF(B687="","",IFERROR(INDEX(DM_SP!$C$5:$C$304,MATCH(B687,DM_SP!$A$5:$A$304,0)),""))</f>
        <v/>
      </c>
      <c r="E687" s="35" t="str">
        <f>IF(BOM!A681="","",BOM!B681)</f>
        <v/>
      </c>
      <c r="F687" s="35" t="str">
        <f>IF(E687="","",IFERROR(INDEX(DM_NL!$B$5:$B$304,MATCH(E687,DM_NL!$A$5:$A$304,0)),"(chưa có trong DM_NL)"))</f>
        <v/>
      </c>
      <c r="G687" s="35" t="str">
        <f>IF(E687="","",IFERROR(INDEX(DM_NL!$C$5:$C$304,MATCH(E687,DM_NL!$A$5:$A$304,0)),""))</f>
        <v/>
      </c>
      <c r="H687" s="39" t="str">
        <f>IF(OR(E687="",BOM!G681="KXDDM"),"",BOM!F681)</f>
        <v/>
      </c>
      <c r="I687" s="36" t="str">
        <f>IF(E687="","",BOM!G681&amp;"")</f>
        <v/>
      </c>
    </row>
    <row r="688" spans="1:9" x14ac:dyDescent="0.25">
      <c r="A688" s="36" t="str">
        <f>IF(B688="","",MAX($A$10:A687)+1)</f>
        <v/>
      </c>
      <c r="B688" s="35" t="str">
        <f>IF(BOM!A682="","",IF(BOM!A682=BOM!A681,"",BOM!A682))</f>
        <v/>
      </c>
      <c r="C688" s="35" t="str">
        <f>IF(B688="","",IFERROR(INDEX(DM_SP!$B$5:$B$304,MATCH(B688,DM_SP!$A$5:$A$304,0)),"(chưa có trong DM_SP)"))</f>
        <v/>
      </c>
      <c r="D688" s="35" t="str">
        <f>IF(B688="","",IFERROR(INDEX(DM_SP!$C$5:$C$304,MATCH(B688,DM_SP!$A$5:$A$304,0)),""))</f>
        <v/>
      </c>
      <c r="E688" s="35" t="str">
        <f>IF(BOM!A682="","",BOM!B682)</f>
        <v/>
      </c>
      <c r="F688" s="35" t="str">
        <f>IF(E688="","",IFERROR(INDEX(DM_NL!$B$5:$B$304,MATCH(E688,DM_NL!$A$5:$A$304,0)),"(chưa có trong DM_NL)"))</f>
        <v/>
      </c>
      <c r="G688" s="35" t="str">
        <f>IF(E688="","",IFERROR(INDEX(DM_NL!$C$5:$C$304,MATCH(E688,DM_NL!$A$5:$A$304,0)),""))</f>
        <v/>
      </c>
      <c r="H688" s="39" t="str">
        <f>IF(OR(E688="",BOM!G682="KXDDM"),"",BOM!F682)</f>
        <v/>
      </c>
      <c r="I688" s="36" t="str">
        <f>IF(E688="","",BOM!G682&amp;"")</f>
        <v/>
      </c>
    </row>
    <row r="689" spans="1:9" x14ac:dyDescent="0.25">
      <c r="A689" s="36" t="str">
        <f>IF(B689="","",MAX($A$10:A688)+1)</f>
        <v/>
      </c>
      <c r="B689" s="35" t="str">
        <f>IF(BOM!A683="","",IF(BOM!A683=BOM!A682,"",BOM!A683))</f>
        <v/>
      </c>
      <c r="C689" s="35" t="str">
        <f>IF(B689="","",IFERROR(INDEX(DM_SP!$B$5:$B$304,MATCH(B689,DM_SP!$A$5:$A$304,0)),"(chưa có trong DM_SP)"))</f>
        <v/>
      </c>
      <c r="D689" s="35" t="str">
        <f>IF(B689="","",IFERROR(INDEX(DM_SP!$C$5:$C$304,MATCH(B689,DM_SP!$A$5:$A$304,0)),""))</f>
        <v/>
      </c>
      <c r="E689" s="35" t="str">
        <f>IF(BOM!A683="","",BOM!B683)</f>
        <v/>
      </c>
      <c r="F689" s="35" t="str">
        <f>IF(E689="","",IFERROR(INDEX(DM_NL!$B$5:$B$304,MATCH(E689,DM_NL!$A$5:$A$304,0)),"(chưa có trong DM_NL)"))</f>
        <v/>
      </c>
      <c r="G689" s="35" t="str">
        <f>IF(E689="","",IFERROR(INDEX(DM_NL!$C$5:$C$304,MATCH(E689,DM_NL!$A$5:$A$304,0)),""))</f>
        <v/>
      </c>
      <c r="H689" s="39" t="str">
        <f>IF(OR(E689="",BOM!G683="KXDDM"),"",BOM!F683)</f>
        <v/>
      </c>
      <c r="I689" s="36" t="str">
        <f>IF(E689="","",BOM!G683&amp;"")</f>
        <v/>
      </c>
    </row>
    <row r="690" spans="1:9" x14ac:dyDescent="0.25">
      <c r="A690" s="36" t="str">
        <f>IF(B690="","",MAX($A$10:A689)+1)</f>
        <v/>
      </c>
      <c r="B690" s="35" t="str">
        <f>IF(BOM!A684="","",IF(BOM!A684=BOM!A683,"",BOM!A684))</f>
        <v/>
      </c>
      <c r="C690" s="35" t="str">
        <f>IF(B690="","",IFERROR(INDEX(DM_SP!$B$5:$B$304,MATCH(B690,DM_SP!$A$5:$A$304,0)),"(chưa có trong DM_SP)"))</f>
        <v/>
      </c>
      <c r="D690" s="35" t="str">
        <f>IF(B690="","",IFERROR(INDEX(DM_SP!$C$5:$C$304,MATCH(B690,DM_SP!$A$5:$A$304,0)),""))</f>
        <v/>
      </c>
      <c r="E690" s="35" t="str">
        <f>IF(BOM!A684="","",BOM!B684)</f>
        <v/>
      </c>
      <c r="F690" s="35" t="str">
        <f>IF(E690="","",IFERROR(INDEX(DM_NL!$B$5:$B$304,MATCH(E690,DM_NL!$A$5:$A$304,0)),"(chưa có trong DM_NL)"))</f>
        <v/>
      </c>
      <c r="G690" s="35" t="str">
        <f>IF(E690="","",IFERROR(INDEX(DM_NL!$C$5:$C$304,MATCH(E690,DM_NL!$A$5:$A$304,0)),""))</f>
        <v/>
      </c>
      <c r="H690" s="39" t="str">
        <f>IF(OR(E690="",BOM!G684="KXDDM"),"",BOM!F684)</f>
        <v/>
      </c>
      <c r="I690" s="36" t="str">
        <f>IF(E690="","",BOM!G684&amp;"")</f>
        <v/>
      </c>
    </row>
    <row r="691" spans="1:9" x14ac:dyDescent="0.25">
      <c r="A691" s="36" t="str">
        <f>IF(B691="","",MAX($A$10:A690)+1)</f>
        <v/>
      </c>
      <c r="B691" s="35" t="str">
        <f>IF(BOM!A685="","",IF(BOM!A685=BOM!A684,"",BOM!A685))</f>
        <v/>
      </c>
      <c r="C691" s="35" t="str">
        <f>IF(B691="","",IFERROR(INDEX(DM_SP!$B$5:$B$304,MATCH(B691,DM_SP!$A$5:$A$304,0)),"(chưa có trong DM_SP)"))</f>
        <v/>
      </c>
      <c r="D691" s="35" t="str">
        <f>IF(B691="","",IFERROR(INDEX(DM_SP!$C$5:$C$304,MATCH(B691,DM_SP!$A$5:$A$304,0)),""))</f>
        <v/>
      </c>
      <c r="E691" s="35" t="str">
        <f>IF(BOM!A685="","",BOM!B685)</f>
        <v/>
      </c>
      <c r="F691" s="35" t="str">
        <f>IF(E691="","",IFERROR(INDEX(DM_NL!$B$5:$B$304,MATCH(E691,DM_NL!$A$5:$A$304,0)),"(chưa có trong DM_NL)"))</f>
        <v/>
      </c>
      <c r="G691" s="35" t="str">
        <f>IF(E691="","",IFERROR(INDEX(DM_NL!$C$5:$C$304,MATCH(E691,DM_NL!$A$5:$A$304,0)),""))</f>
        <v/>
      </c>
      <c r="H691" s="39" t="str">
        <f>IF(OR(E691="",BOM!G685="KXDDM"),"",BOM!F685)</f>
        <v/>
      </c>
      <c r="I691" s="36" t="str">
        <f>IF(E691="","",BOM!G685&amp;"")</f>
        <v/>
      </c>
    </row>
    <row r="692" spans="1:9" x14ac:dyDescent="0.25">
      <c r="A692" s="36" t="str">
        <f>IF(B692="","",MAX($A$10:A691)+1)</f>
        <v/>
      </c>
      <c r="B692" s="35" t="str">
        <f>IF(BOM!A686="","",IF(BOM!A686=BOM!A685,"",BOM!A686))</f>
        <v/>
      </c>
      <c r="C692" s="35" t="str">
        <f>IF(B692="","",IFERROR(INDEX(DM_SP!$B$5:$B$304,MATCH(B692,DM_SP!$A$5:$A$304,0)),"(chưa có trong DM_SP)"))</f>
        <v/>
      </c>
      <c r="D692" s="35" t="str">
        <f>IF(B692="","",IFERROR(INDEX(DM_SP!$C$5:$C$304,MATCH(B692,DM_SP!$A$5:$A$304,0)),""))</f>
        <v/>
      </c>
      <c r="E692" s="35" t="str">
        <f>IF(BOM!A686="","",BOM!B686)</f>
        <v/>
      </c>
      <c r="F692" s="35" t="str">
        <f>IF(E692="","",IFERROR(INDEX(DM_NL!$B$5:$B$304,MATCH(E692,DM_NL!$A$5:$A$304,0)),"(chưa có trong DM_NL)"))</f>
        <v/>
      </c>
      <c r="G692" s="35" t="str">
        <f>IF(E692="","",IFERROR(INDEX(DM_NL!$C$5:$C$304,MATCH(E692,DM_NL!$A$5:$A$304,0)),""))</f>
        <v/>
      </c>
      <c r="H692" s="39" t="str">
        <f>IF(OR(E692="",BOM!G686="KXDDM"),"",BOM!F686)</f>
        <v/>
      </c>
      <c r="I692" s="36" t="str">
        <f>IF(E692="","",BOM!G686&amp;"")</f>
        <v/>
      </c>
    </row>
    <row r="693" spans="1:9" x14ac:dyDescent="0.25">
      <c r="A693" s="36" t="str">
        <f>IF(B693="","",MAX($A$10:A692)+1)</f>
        <v/>
      </c>
      <c r="B693" s="35" t="str">
        <f>IF(BOM!A687="","",IF(BOM!A687=BOM!A686,"",BOM!A687))</f>
        <v/>
      </c>
      <c r="C693" s="35" t="str">
        <f>IF(B693="","",IFERROR(INDEX(DM_SP!$B$5:$B$304,MATCH(B693,DM_SP!$A$5:$A$304,0)),"(chưa có trong DM_SP)"))</f>
        <v/>
      </c>
      <c r="D693" s="35" t="str">
        <f>IF(B693="","",IFERROR(INDEX(DM_SP!$C$5:$C$304,MATCH(B693,DM_SP!$A$5:$A$304,0)),""))</f>
        <v/>
      </c>
      <c r="E693" s="35" t="str">
        <f>IF(BOM!A687="","",BOM!B687)</f>
        <v/>
      </c>
      <c r="F693" s="35" t="str">
        <f>IF(E693="","",IFERROR(INDEX(DM_NL!$B$5:$B$304,MATCH(E693,DM_NL!$A$5:$A$304,0)),"(chưa có trong DM_NL)"))</f>
        <v/>
      </c>
      <c r="G693" s="35" t="str">
        <f>IF(E693="","",IFERROR(INDEX(DM_NL!$C$5:$C$304,MATCH(E693,DM_NL!$A$5:$A$304,0)),""))</f>
        <v/>
      </c>
      <c r="H693" s="39" t="str">
        <f>IF(OR(E693="",BOM!G687="KXDDM"),"",BOM!F687)</f>
        <v/>
      </c>
      <c r="I693" s="36" t="str">
        <f>IF(E693="","",BOM!G687&amp;"")</f>
        <v/>
      </c>
    </row>
    <row r="694" spans="1:9" x14ac:dyDescent="0.25">
      <c r="A694" s="36" t="str">
        <f>IF(B694="","",MAX($A$10:A693)+1)</f>
        <v/>
      </c>
      <c r="B694" s="35" t="str">
        <f>IF(BOM!A688="","",IF(BOM!A688=BOM!A687,"",BOM!A688))</f>
        <v/>
      </c>
      <c r="C694" s="35" t="str">
        <f>IF(B694="","",IFERROR(INDEX(DM_SP!$B$5:$B$304,MATCH(B694,DM_SP!$A$5:$A$304,0)),"(chưa có trong DM_SP)"))</f>
        <v/>
      </c>
      <c r="D694" s="35" t="str">
        <f>IF(B694="","",IFERROR(INDEX(DM_SP!$C$5:$C$304,MATCH(B694,DM_SP!$A$5:$A$304,0)),""))</f>
        <v/>
      </c>
      <c r="E694" s="35" t="str">
        <f>IF(BOM!A688="","",BOM!B688)</f>
        <v/>
      </c>
      <c r="F694" s="35" t="str">
        <f>IF(E694="","",IFERROR(INDEX(DM_NL!$B$5:$B$304,MATCH(E694,DM_NL!$A$5:$A$304,0)),"(chưa có trong DM_NL)"))</f>
        <v/>
      </c>
      <c r="G694" s="35" t="str">
        <f>IF(E694="","",IFERROR(INDEX(DM_NL!$C$5:$C$304,MATCH(E694,DM_NL!$A$5:$A$304,0)),""))</f>
        <v/>
      </c>
      <c r="H694" s="39" t="str">
        <f>IF(OR(E694="",BOM!G688="KXDDM"),"",BOM!F688)</f>
        <v/>
      </c>
      <c r="I694" s="36" t="str">
        <f>IF(E694="","",BOM!G688&amp;"")</f>
        <v/>
      </c>
    </row>
    <row r="695" spans="1:9" x14ac:dyDescent="0.25">
      <c r="A695" s="36" t="str">
        <f>IF(B695="","",MAX($A$10:A694)+1)</f>
        <v/>
      </c>
      <c r="B695" s="35" t="str">
        <f>IF(BOM!A689="","",IF(BOM!A689=BOM!A688,"",BOM!A689))</f>
        <v/>
      </c>
      <c r="C695" s="35" t="str">
        <f>IF(B695="","",IFERROR(INDEX(DM_SP!$B$5:$B$304,MATCH(B695,DM_SP!$A$5:$A$304,0)),"(chưa có trong DM_SP)"))</f>
        <v/>
      </c>
      <c r="D695" s="35" t="str">
        <f>IF(B695="","",IFERROR(INDEX(DM_SP!$C$5:$C$304,MATCH(B695,DM_SP!$A$5:$A$304,0)),""))</f>
        <v/>
      </c>
      <c r="E695" s="35" t="str">
        <f>IF(BOM!A689="","",BOM!B689)</f>
        <v/>
      </c>
      <c r="F695" s="35" t="str">
        <f>IF(E695="","",IFERROR(INDEX(DM_NL!$B$5:$B$304,MATCH(E695,DM_NL!$A$5:$A$304,0)),"(chưa có trong DM_NL)"))</f>
        <v/>
      </c>
      <c r="G695" s="35" t="str">
        <f>IF(E695="","",IFERROR(INDEX(DM_NL!$C$5:$C$304,MATCH(E695,DM_NL!$A$5:$A$304,0)),""))</f>
        <v/>
      </c>
      <c r="H695" s="39" t="str">
        <f>IF(OR(E695="",BOM!G689="KXDDM"),"",BOM!F689)</f>
        <v/>
      </c>
      <c r="I695" s="36" t="str">
        <f>IF(E695="","",BOM!G689&amp;"")</f>
        <v/>
      </c>
    </row>
    <row r="696" spans="1:9" x14ac:dyDescent="0.25">
      <c r="A696" s="36" t="str">
        <f>IF(B696="","",MAX($A$10:A695)+1)</f>
        <v/>
      </c>
      <c r="B696" s="35" t="str">
        <f>IF(BOM!A690="","",IF(BOM!A690=BOM!A689,"",BOM!A690))</f>
        <v/>
      </c>
      <c r="C696" s="35" t="str">
        <f>IF(B696="","",IFERROR(INDEX(DM_SP!$B$5:$B$304,MATCH(B696,DM_SP!$A$5:$A$304,0)),"(chưa có trong DM_SP)"))</f>
        <v/>
      </c>
      <c r="D696" s="35" t="str">
        <f>IF(B696="","",IFERROR(INDEX(DM_SP!$C$5:$C$304,MATCH(B696,DM_SP!$A$5:$A$304,0)),""))</f>
        <v/>
      </c>
      <c r="E696" s="35" t="str">
        <f>IF(BOM!A690="","",BOM!B690)</f>
        <v/>
      </c>
      <c r="F696" s="35" t="str">
        <f>IF(E696="","",IFERROR(INDEX(DM_NL!$B$5:$B$304,MATCH(E696,DM_NL!$A$5:$A$304,0)),"(chưa có trong DM_NL)"))</f>
        <v/>
      </c>
      <c r="G696" s="35" t="str">
        <f>IF(E696="","",IFERROR(INDEX(DM_NL!$C$5:$C$304,MATCH(E696,DM_NL!$A$5:$A$304,0)),""))</f>
        <v/>
      </c>
      <c r="H696" s="39" t="str">
        <f>IF(OR(E696="",BOM!G690="KXDDM"),"",BOM!F690)</f>
        <v/>
      </c>
      <c r="I696" s="36" t="str">
        <f>IF(E696="","",BOM!G690&amp;"")</f>
        <v/>
      </c>
    </row>
    <row r="697" spans="1:9" x14ac:dyDescent="0.25">
      <c r="A697" s="36" t="str">
        <f>IF(B697="","",MAX($A$10:A696)+1)</f>
        <v/>
      </c>
      <c r="B697" s="35" t="str">
        <f>IF(BOM!A691="","",IF(BOM!A691=BOM!A690,"",BOM!A691))</f>
        <v/>
      </c>
      <c r="C697" s="35" t="str">
        <f>IF(B697="","",IFERROR(INDEX(DM_SP!$B$5:$B$304,MATCH(B697,DM_SP!$A$5:$A$304,0)),"(chưa có trong DM_SP)"))</f>
        <v/>
      </c>
      <c r="D697" s="35" t="str">
        <f>IF(B697="","",IFERROR(INDEX(DM_SP!$C$5:$C$304,MATCH(B697,DM_SP!$A$5:$A$304,0)),""))</f>
        <v/>
      </c>
      <c r="E697" s="35" t="str">
        <f>IF(BOM!A691="","",BOM!B691)</f>
        <v/>
      </c>
      <c r="F697" s="35" t="str">
        <f>IF(E697="","",IFERROR(INDEX(DM_NL!$B$5:$B$304,MATCH(E697,DM_NL!$A$5:$A$304,0)),"(chưa có trong DM_NL)"))</f>
        <v/>
      </c>
      <c r="G697" s="35" t="str">
        <f>IF(E697="","",IFERROR(INDEX(DM_NL!$C$5:$C$304,MATCH(E697,DM_NL!$A$5:$A$304,0)),""))</f>
        <v/>
      </c>
      <c r="H697" s="39" t="str">
        <f>IF(OR(E697="",BOM!G691="KXDDM"),"",BOM!F691)</f>
        <v/>
      </c>
      <c r="I697" s="36" t="str">
        <f>IF(E697="","",BOM!G691&amp;"")</f>
        <v/>
      </c>
    </row>
    <row r="698" spans="1:9" x14ac:dyDescent="0.25">
      <c r="A698" s="36" t="str">
        <f>IF(B698="","",MAX($A$10:A697)+1)</f>
        <v/>
      </c>
      <c r="B698" s="35" t="str">
        <f>IF(BOM!A692="","",IF(BOM!A692=BOM!A691,"",BOM!A692))</f>
        <v/>
      </c>
      <c r="C698" s="35" t="str">
        <f>IF(B698="","",IFERROR(INDEX(DM_SP!$B$5:$B$304,MATCH(B698,DM_SP!$A$5:$A$304,0)),"(chưa có trong DM_SP)"))</f>
        <v/>
      </c>
      <c r="D698" s="35" t="str">
        <f>IF(B698="","",IFERROR(INDEX(DM_SP!$C$5:$C$304,MATCH(B698,DM_SP!$A$5:$A$304,0)),""))</f>
        <v/>
      </c>
      <c r="E698" s="35" t="str">
        <f>IF(BOM!A692="","",BOM!B692)</f>
        <v/>
      </c>
      <c r="F698" s="35" t="str">
        <f>IF(E698="","",IFERROR(INDEX(DM_NL!$B$5:$B$304,MATCH(E698,DM_NL!$A$5:$A$304,0)),"(chưa có trong DM_NL)"))</f>
        <v/>
      </c>
      <c r="G698" s="35" t="str">
        <f>IF(E698="","",IFERROR(INDEX(DM_NL!$C$5:$C$304,MATCH(E698,DM_NL!$A$5:$A$304,0)),""))</f>
        <v/>
      </c>
      <c r="H698" s="39" t="str">
        <f>IF(OR(E698="",BOM!G692="KXDDM"),"",BOM!F692)</f>
        <v/>
      </c>
      <c r="I698" s="36" t="str">
        <f>IF(E698="","",BOM!G692&amp;"")</f>
        <v/>
      </c>
    </row>
    <row r="699" spans="1:9" x14ac:dyDescent="0.25">
      <c r="A699" s="36" t="str">
        <f>IF(B699="","",MAX($A$10:A698)+1)</f>
        <v/>
      </c>
      <c r="B699" s="35" t="str">
        <f>IF(BOM!A693="","",IF(BOM!A693=BOM!A692,"",BOM!A693))</f>
        <v/>
      </c>
      <c r="C699" s="35" t="str">
        <f>IF(B699="","",IFERROR(INDEX(DM_SP!$B$5:$B$304,MATCH(B699,DM_SP!$A$5:$A$304,0)),"(chưa có trong DM_SP)"))</f>
        <v/>
      </c>
      <c r="D699" s="35" t="str">
        <f>IF(B699="","",IFERROR(INDEX(DM_SP!$C$5:$C$304,MATCH(B699,DM_SP!$A$5:$A$304,0)),""))</f>
        <v/>
      </c>
      <c r="E699" s="35" t="str">
        <f>IF(BOM!A693="","",BOM!B693)</f>
        <v/>
      </c>
      <c r="F699" s="35" t="str">
        <f>IF(E699="","",IFERROR(INDEX(DM_NL!$B$5:$B$304,MATCH(E699,DM_NL!$A$5:$A$304,0)),"(chưa có trong DM_NL)"))</f>
        <v/>
      </c>
      <c r="G699" s="35" t="str">
        <f>IF(E699="","",IFERROR(INDEX(DM_NL!$C$5:$C$304,MATCH(E699,DM_NL!$A$5:$A$304,0)),""))</f>
        <v/>
      </c>
      <c r="H699" s="39" t="str">
        <f>IF(OR(E699="",BOM!G693="KXDDM"),"",BOM!F693)</f>
        <v/>
      </c>
      <c r="I699" s="36" t="str">
        <f>IF(E699="","",BOM!G693&amp;"")</f>
        <v/>
      </c>
    </row>
    <row r="700" spans="1:9" x14ac:dyDescent="0.25">
      <c r="A700" s="36" t="str">
        <f>IF(B700="","",MAX($A$10:A699)+1)</f>
        <v/>
      </c>
      <c r="B700" s="35" t="str">
        <f>IF(BOM!A694="","",IF(BOM!A694=BOM!A693,"",BOM!A694))</f>
        <v/>
      </c>
      <c r="C700" s="35" t="str">
        <f>IF(B700="","",IFERROR(INDEX(DM_SP!$B$5:$B$304,MATCH(B700,DM_SP!$A$5:$A$304,0)),"(chưa có trong DM_SP)"))</f>
        <v/>
      </c>
      <c r="D700" s="35" t="str">
        <f>IF(B700="","",IFERROR(INDEX(DM_SP!$C$5:$C$304,MATCH(B700,DM_SP!$A$5:$A$304,0)),""))</f>
        <v/>
      </c>
      <c r="E700" s="35" t="str">
        <f>IF(BOM!A694="","",BOM!B694)</f>
        <v/>
      </c>
      <c r="F700" s="35" t="str">
        <f>IF(E700="","",IFERROR(INDEX(DM_NL!$B$5:$B$304,MATCH(E700,DM_NL!$A$5:$A$304,0)),"(chưa có trong DM_NL)"))</f>
        <v/>
      </c>
      <c r="G700" s="35" t="str">
        <f>IF(E700="","",IFERROR(INDEX(DM_NL!$C$5:$C$304,MATCH(E700,DM_NL!$A$5:$A$304,0)),""))</f>
        <v/>
      </c>
      <c r="H700" s="39" t="str">
        <f>IF(OR(E700="",BOM!G694="KXDDM"),"",BOM!F694)</f>
        <v/>
      </c>
      <c r="I700" s="36" t="str">
        <f>IF(E700="","",BOM!G694&amp;"")</f>
        <v/>
      </c>
    </row>
    <row r="701" spans="1:9" x14ac:dyDescent="0.25">
      <c r="A701" s="36" t="str">
        <f>IF(B701="","",MAX($A$10:A700)+1)</f>
        <v/>
      </c>
      <c r="B701" s="35" t="str">
        <f>IF(BOM!A695="","",IF(BOM!A695=BOM!A694,"",BOM!A695))</f>
        <v/>
      </c>
      <c r="C701" s="35" t="str">
        <f>IF(B701="","",IFERROR(INDEX(DM_SP!$B$5:$B$304,MATCH(B701,DM_SP!$A$5:$A$304,0)),"(chưa có trong DM_SP)"))</f>
        <v/>
      </c>
      <c r="D701" s="35" t="str">
        <f>IF(B701="","",IFERROR(INDEX(DM_SP!$C$5:$C$304,MATCH(B701,DM_SP!$A$5:$A$304,0)),""))</f>
        <v/>
      </c>
      <c r="E701" s="35" t="str">
        <f>IF(BOM!A695="","",BOM!B695)</f>
        <v/>
      </c>
      <c r="F701" s="35" t="str">
        <f>IF(E701="","",IFERROR(INDEX(DM_NL!$B$5:$B$304,MATCH(E701,DM_NL!$A$5:$A$304,0)),"(chưa có trong DM_NL)"))</f>
        <v/>
      </c>
      <c r="G701" s="35" t="str">
        <f>IF(E701="","",IFERROR(INDEX(DM_NL!$C$5:$C$304,MATCH(E701,DM_NL!$A$5:$A$304,0)),""))</f>
        <v/>
      </c>
      <c r="H701" s="39" t="str">
        <f>IF(OR(E701="",BOM!G695="KXDDM"),"",BOM!F695)</f>
        <v/>
      </c>
      <c r="I701" s="36" t="str">
        <f>IF(E701="","",BOM!G695&amp;"")</f>
        <v/>
      </c>
    </row>
    <row r="702" spans="1:9" x14ac:dyDescent="0.25">
      <c r="A702" s="36" t="str">
        <f>IF(B702="","",MAX($A$10:A701)+1)</f>
        <v/>
      </c>
      <c r="B702" s="35" t="str">
        <f>IF(BOM!A696="","",IF(BOM!A696=BOM!A695,"",BOM!A696))</f>
        <v/>
      </c>
      <c r="C702" s="35" t="str">
        <f>IF(B702="","",IFERROR(INDEX(DM_SP!$B$5:$B$304,MATCH(B702,DM_SP!$A$5:$A$304,0)),"(chưa có trong DM_SP)"))</f>
        <v/>
      </c>
      <c r="D702" s="35" t="str">
        <f>IF(B702="","",IFERROR(INDEX(DM_SP!$C$5:$C$304,MATCH(B702,DM_SP!$A$5:$A$304,0)),""))</f>
        <v/>
      </c>
      <c r="E702" s="35" t="str">
        <f>IF(BOM!A696="","",BOM!B696)</f>
        <v/>
      </c>
      <c r="F702" s="35" t="str">
        <f>IF(E702="","",IFERROR(INDEX(DM_NL!$B$5:$B$304,MATCH(E702,DM_NL!$A$5:$A$304,0)),"(chưa có trong DM_NL)"))</f>
        <v/>
      </c>
      <c r="G702" s="35" t="str">
        <f>IF(E702="","",IFERROR(INDEX(DM_NL!$C$5:$C$304,MATCH(E702,DM_NL!$A$5:$A$304,0)),""))</f>
        <v/>
      </c>
      <c r="H702" s="39" t="str">
        <f>IF(OR(E702="",BOM!G696="KXDDM"),"",BOM!F696)</f>
        <v/>
      </c>
      <c r="I702" s="36" t="str">
        <f>IF(E702="","",BOM!G696&amp;"")</f>
        <v/>
      </c>
    </row>
    <row r="703" spans="1:9" x14ac:dyDescent="0.25">
      <c r="A703" s="36" t="str">
        <f>IF(B703="","",MAX($A$10:A702)+1)</f>
        <v/>
      </c>
      <c r="B703" s="35" t="str">
        <f>IF(BOM!A697="","",IF(BOM!A697=BOM!A696,"",BOM!A697))</f>
        <v/>
      </c>
      <c r="C703" s="35" t="str">
        <f>IF(B703="","",IFERROR(INDEX(DM_SP!$B$5:$B$304,MATCH(B703,DM_SP!$A$5:$A$304,0)),"(chưa có trong DM_SP)"))</f>
        <v/>
      </c>
      <c r="D703" s="35" t="str">
        <f>IF(B703="","",IFERROR(INDEX(DM_SP!$C$5:$C$304,MATCH(B703,DM_SP!$A$5:$A$304,0)),""))</f>
        <v/>
      </c>
      <c r="E703" s="35" t="str">
        <f>IF(BOM!A697="","",BOM!B697)</f>
        <v/>
      </c>
      <c r="F703" s="35" t="str">
        <f>IF(E703="","",IFERROR(INDEX(DM_NL!$B$5:$B$304,MATCH(E703,DM_NL!$A$5:$A$304,0)),"(chưa có trong DM_NL)"))</f>
        <v/>
      </c>
      <c r="G703" s="35" t="str">
        <f>IF(E703="","",IFERROR(INDEX(DM_NL!$C$5:$C$304,MATCH(E703,DM_NL!$A$5:$A$304,0)),""))</f>
        <v/>
      </c>
      <c r="H703" s="39" t="str">
        <f>IF(OR(E703="",BOM!G697="KXDDM"),"",BOM!F697)</f>
        <v/>
      </c>
      <c r="I703" s="36" t="str">
        <f>IF(E703="","",BOM!G697&amp;"")</f>
        <v/>
      </c>
    </row>
    <row r="704" spans="1:9" x14ac:dyDescent="0.25">
      <c r="A704" s="36" t="str">
        <f>IF(B704="","",MAX($A$10:A703)+1)</f>
        <v/>
      </c>
      <c r="B704" s="35" t="str">
        <f>IF(BOM!A698="","",IF(BOM!A698=BOM!A697,"",BOM!A698))</f>
        <v/>
      </c>
      <c r="C704" s="35" t="str">
        <f>IF(B704="","",IFERROR(INDEX(DM_SP!$B$5:$B$304,MATCH(B704,DM_SP!$A$5:$A$304,0)),"(chưa có trong DM_SP)"))</f>
        <v/>
      </c>
      <c r="D704" s="35" t="str">
        <f>IF(B704="","",IFERROR(INDEX(DM_SP!$C$5:$C$304,MATCH(B704,DM_SP!$A$5:$A$304,0)),""))</f>
        <v/>
      </c>
      <c r="E704" s="35" t="str">
        <f>IF(BOM!A698="","",BOM!B698)</f>
        <v/>
      </c>
      <c r="F704" s="35" t="str">
        <f>IF(E704="","",IFERROR(INDEX(DM_NL!$B$5:$B$304,MATCH(E704,DM_NL!$A$5:$A$304,0)),"(chưa có trong DM_NL)"))</f>
        <v/>
      </c>
      <c r="G704" s="35" t="str">
        <f>IF(E704="","",IFERROR(INDEX(DM_NL!$C$5:$C$304,MATCH(E704,DM_NL!$A$5:$A$304,0)),""))</f>
        <v/>
      </c>
      <c r="H704" s="39" t="str">
        <f>IF(OR(E704="",BOM!G698="KXDDM"),"",BOM!F698)</f>
        <v/>
      </c>
      <c r="I704" s="36" t="str">
        <f>IF(E704="","",BOM!G698&amp;"")</f>
        <v/>
      </c>
    </row>
    <row r="705" spans="1:9" x14ac:dyDescent="0.25">
      <c r="A705" s="36" t="str">
        <f>IF(B705="","",MAX($A$10:A704)+1)</f>
        <v/>
      </c>
      <c r="B705" s="35" t="str">
        <f>IF(BOM!A699="","",IF(BOM!A699=BOM!A698,"",BOM!A699))</f>
        <v/>
      </c>
      <c r="C705" s="35" t="str">
        <f>IF(B705="","",IFERROR(INDEX(DM_SP!$B$5:$B$304,MATCH(B705,DM_SP!$A$5:$A$304,0)),"(chưa có trong DM_SP)"))</f>
        <v/>
      </c>
      <c r="D705" s="35" t="str">
        <f>IF(B705="","",IFERROR(INDEX(DM_SP!$C$5:$C$304,MATCH(B705,DM_SP!$A$5:$A$304,0)),""))</f>
        <v/>
      </c>
      <c r="E705" s="35" t="str">
        <f>IF(BOM!A699="","",BOM!B699)</f>
        <v/>
      </c>
      <c r="F705" s="35" t="str">
        <f>IF(E705="","",IFERROR(INDEX(DM_NL!$B$5:$B$304,MATCH(E705,DM_NL!$A$5:$A$304,0)),"(chưa có trong DM_NL)"))</f>
        <v/>
      </c>
      <c r="G705" s="35" t="str">
        <f>IF(E705="","",IFERROR(INDEX(DM_NL!$C$5:$C$304,MATCH(E705,DM_NL!$A$5:$A$304,0)),""))</f>
        <v/>
      </c>
      <c r="H705" s="39" t="str">
        <f>IF(OR(E705="",BOM!G699="KXDDM"),"",BOM!F699)</f>
        <v/>
      </c>
      <c r="I705" s="36" t="str">
        <f>IF(E705="","",BOM!G699&amp;"")</f>
        <v/>
      </c>
    </row>
    <row r="706" spans="1:9" x14ac:dyDescent="0.25">
      <c r="A706" s="36" t="str">
        <f>IF(B706="","",MAX($A$10:A705)+1)</f>
        <v/>
      </c>
      <c r="B706" s="35" t="str">
        <f>IF(BOM!A700="","",IF(BOM!A700=BOM!A699,"",BOM!A700))</f>
        <v/>
      </c>
      <c r="C706" s="35" t="str">
        <f>IF(B706="","",IFERROR(INDEX(DM_SP!$B$5:$B$304,MATCH(B706,DM_SP!$A$5:$A$304,0)),"(chưa có trong DM_SP)"))</f>
        <v/>
      </c>
      <c r="D706" s="35" t="str">
        <f>IF(B706="","",IFERROR(INDEX(DM_SP!$C$5:$C$304,MATCH(B706,DM_SP!$A$5:$A$304,0)),""))</f>
        <v/>
      </c>
      <c r="E706" s="35" t="str">
        <f>IF(BOM!A700="","",BOM!B700)</f>
        <v/>
      </c>
      <c r="F706" s="35" t="str">
        <f>IF(E706="","",IFERROR(INDEX(DM_NL!$B$5:$B$304,MATCH(E706,DM_NL!$A$5:$A$304,0)),"(chưa có trong DM_NL)"))</f>
        <v/>
      </c>
      <c r="G706" s="35" t="str">
        <f>IF(E706="","",IFERROR(INDEX(DM_NL!$C$5:$C$304,MATCH(E706,DM_NL!$A$5:$A$304,0)),""))</f>
        <v/>
      </c>
      <c r="H706" s="39" t="str">
        <f>IF(OR(E706="",BOM!G700="KXDDM"),"",BOM!F700)</f>
        <v/>
      </c>
      <c r="I706" s="36" t="str">
        <f>IF(E706="","",BOM!G700&amp;"")</f>
        <v/>
      </c>
    </row>
    <row r="707" spans="1:9" x14ac:dyDescent="0.25">
      <c r="A707" s="36" t="str">
        <f>IF(B707="","",MAX($A$10:A706)+1)</f>
        <v/>
      </c>
      <c r="B707" s="35" t="str">
        <f>IF(BOM!A701="","",IF(BOM!A701=BOM!A700,"",BOM!A701))</f>
        <v/>
      </c>
      <c r="C707" s="35" t="str">
        <f>IF(B707="","",IFERROR(INDEX(DM_SP!$B$5:$B$304,MATCH(B707,DM_SP!$A$5:$A$304,0)),"(chưa có trong DM_SP)"))</f>
        <v/>
      </c>
      <c r="D707" s="35" t="str">
        <f>IF(B707="","",IFERROR(INDEX(DM_SP!$C$5:$C$304,MATCH(B707,DM_SP!$A$5:$A$304,0)),""))</f>
        <v/>
      </c>
      <c r="E707" s="35" t="str">
        <f>IF(BOM!A701="","",BOM!B701)</f>
        <v/>
      </c>
      <c r="F707" s="35" t="str">
        <f>IF(E707="","",IFERROR(INDEX(DM_NL!$B$5:$B$304,MATCH(E707,DM_NL!$A$5:$A$304,0)),"(chưa có trong DM_NL)"))</f>
        <v/>
      </c>
      <c r="G707" s="35" t="str">
        <f>IF(E707="","",IFERROR(INDEX(DM_NL!$C$5:$C$304,MATCH(E707,DM_NL!$A$5:$A$304,0)),""))</f>
        <v/>
      </c>
      <c r="H707" s="39" t="str">
        <f>IF(OR(E707="",BOM!G701="KXDDM"),"",BOM!F701)</f>
        <v/>
      </c>
      <c r="I707" s="36" t="str">
        <f>IF(E707="","",BOM!G701&amp;"")</f>
        <v/>
      </c>
    </row>
    <row r="708" spans="1:9" x14ac:dyDescent="0.25">
      <c r="A708" s="36" t="str">
        <f>IF(B708="","",MAX($A$10:A707)+1)</f>
        <v/>
      </c>
      <c r="B708" s="35" t="str">
        <f>IF(BOM!A702="","",IF(BOM!A702=BOM!A701,"",BOM!A702))</f>
        <v/>
      </c>
      <c r="C708" s="35" t="str">
        <f>IF(B708="","",IFERROR(INDEX(DM_SP!$B$5:$B$304,MATCH(B708,DM_SP!$A$5:$A$304,0)),"(chưa có trong DM_SP)"))</f>
        <v/>
      </c>
      <c r="D708" s="35" t="str">
        <f>IF(B708="","",IFERROR(INDEX(DM_SP!$C$5:$C$304,MATCH(B708,DM_SP!$A$5:$A$304,0)),""))</f>
        <v/>
      </c>
      <c r="E708" s="35" t="str">
        <f>IF(BOM!A702="","",BOM!B702)</f>
        <v/>
      </c>
      <c r="F708" s="35" t="str">
        <f>IF(E708="","",IFERROR(INDEX(DM_NL!$B$5:$B$304,MATCH(E708,DM_NL!$A$5:$A$304,0)),"(chưa có trong DM_NL)"))</f>
        <v/>
      </c>
      <c r="G708" s="35" t="str">
        <f>IF(E708="","",IFERROR(INDEX(DM_NL!$C$5:$C$304,MATCH(E708,DM_NL!$A$5:$A$304,0)),""))</f>
        <v/>
      </c>
      <c r="H708" s="39" t="str">
        <f>IF(OR(E708="",BOM!G702="KXDDM"),"",BOM!F702)</f>
        <v/>
      </c>
      <c r="I708" s="36" t="str">
        <f>IF(E708="","",BOM!G702&amp;"")</f>
        <v/>
      </c>
    </row>
    <row r="709" spans="1:9" x14ac:dyDescent="0.25">
      <c r="A709" s="36" t="str">
        <f>IF(B709="","",MAX($A$10:A708)+1)</f>
        <v/>
      </c>
      <c r="B709" s="35" t="str">
        <f>IF(BOM!A703="","",IF(BOM!A703=BOM!A702,"",BOM!A703))</f>
        <v/>
      </c>
      <c r="C709" s="35" t="str">
        <f>IF(B709="","",IFERROR(INDEX(DM_SP!$B$5:$B$304,MATCH(B709,DM_SP!$A$5:$A$304,0)),"(chưa có trong DM_SP)"))</f>
        <v/>
      </c>
      <c r="D709" s="35" t="str">
        <f>IF(B709="","",IFERROR(INDEX(DM_SP!$C$5:$C$304,MATCH(B709,DM_SP!$A$5:$A$304,0)),""))</f>
        <v/>
      </c>
      <c r="E709" s="35" t="str">
        <f>IF(BOM!A703="","",BOM!B703)</f>
        <v/>
      </c>
      <c r="F709" s="35" t="str">
        <f>IF(E709="","",IFERROR(INDEX(DM_NL!$B$5:$B$304,MATCH(E709,DM_NL!$A$5:$A$304,0)),"(chưa có trong DM_NL)"))</f>
        <v/>
      </c>
      <c r="G709" s="35" t="str">
        <f>IF(E709="","",IFERROR(INDEX(DM_NL!$C$5:$C$304,MATCH(E709,DM_NL!$A$5:$A$304,0)),""))</f>
        <v/>
      </c>
      <c r="H709" s="39" t="str">
        <f>IF(OR(E709="",BOM!G703="KXDDM"),"",BOM!F703)</f>
        <v/>
      </c>
      <c r="I709" s="36" t="str">
        <f>IF(E709="","",BOM!G703&amp;"")</f>
        <v/>
      </c>
    </row>
    <row r="710" spans="1:9" x14ac:dyDescent="0.25">
      <c r="A710" s="36" t="str">
        <f>IF(B710="","",MAX($A$10:A709)+1)</f>
        <v/>
      </c>
      <c r="B710" s="35" t="str">
        <f>IF(BOM!A704="","",IF(BOM!A704=BOM!A703,"",BOM!A704))</f>
        <v/>
      </c>
      <c r="C710" s="35" t="str">
        <f>IF(B710="","",IFERROR(INDEX(DM_SP!$B$5:$B$304,MATCH(B710,DM_SP!$A$5:$A$304,0)),"(chưa có trong DM_SP)"))</f>
        <v/>
      </c>
      <c r="D710" s="35" t="str">
        <f>IF(B710="","",IFERROR(INDEX(DM_SP!$C$5:$C$304,MATCH(B710,DM_SP!$A$5:$A$304,0)),""))</f>
        <v/>
      </c>
      <c r="E710" s="35" t="str">
        <f>IF(BOM!A704="","",BOM!B704)</f>
        <v/>
      </c>
      <c r="F710" s="35" t="str">
        <f>IF(E710="","",IFERROR(INDEX(DM_NL!$B$5:$B$304,MATCH(E710,DM_NL!$A$5:$A$304,0)),"(chưa có trong DM_NL)"))</f>
        <v/>
      </c>
      <c r="G710" s="35" t="str">
        <f>IF(E710="","",IFERROR(INDEX(DM_NL!$C$5:$C$304,MATCH(E710,DM_NL!$A$5:$A$304,0)),""))</f>
        <v/>
      </c>
      <c r="H710" s="39" t="str">
        <f>IF(OR(E710="",BOM!G704="KXDDM"),"",BOM!F704)</f>
        <v/>
      </c>
      <c r="I710" s="36" t="str">
        <f>IF(E710="","",BOM!G704&amp;"")</f>
        <v/>
      </c>
    </row>
    <row r="711" spans="1:9" x14ac:dyDescent="0.25">
      <c r="A711" s="36" t="str">
        <f>IF(B711="","",MAX($A$10:A710)+1)</f>
        <v/>
      </c>
      <c r="B711" s="35" t="str">
        <f>IF(BOM!A705="","",IF(BOM!A705=BOM!A704,"",BOM!A705))</f>
        <v/>
      </c>
      <c r="C711" s="35" t="str">
        <f>IF(B711="","",IFERROR(INDEX(DM_SP!$B$5:$B$304,MATCH(B711,DM_SP!$A$5:$A$304,0)),"(chưa có trong DM_SP)"))</f>
        <v/>
      </c>
      <c r="D711" s="35" t="str">
        <f>IF(B711="","",IFERROR(INDEX(DM_SP!$C$5:$C$304,MATCH(B711,DM_SP!$A$5:$A$304,0)),""))</f>
        <v/>
      </c>
      <c r="E711" s="35" t="str">
        <f>IF(BOM!A705="","",BOM!B705)</f>
        <v/>
      </c>
      <c r="F711" s="35" t="str">
        <f>IF(E711="","",IFERROR(INDEX(DM_NL!$B$5:$B$304,MATCH(E711,DM_NL!$A$5:$A$304,0)),"(chưa có trong DM_NL)"))</f>
        <v/>
      </c>
      <c r="G711" s="35" t="str">
        <f>IF(E711="","",IFERROR(INDEX(DM_NL!$C$5:$C$304,MATCH(E711,DM_NL!$A$5:$A$304,0)),""))</f>
        <v/>
      </c>
      <c r="H711" s="39" t="str">
        <f>IF(OR(E711="",BOM!G705="KXDDM"),"",BOM!F705)</f>
        <v/>
      </c>
      <c r="I711" s="36" t="str">
        <f>IF(E711="","",BOM!G705&amp;"")</f>
        <v/>
      </c>
    </row>
    <row r="712" spans="1:9" x14ac:dyDescent="0.25">
      <c r="A712" s="36" t="str">
        <f>IF(B712="","",MAX($A$10:A711)+1)</f>
        <v/>
      </c>
      <c r="B712" s="35" t="str">
        <f>IF(BOM!A706="","",IF(BOM!A706=BOM!A705,"",BOM!A706))</f>
        <v/>
      </c>
      <c r="C712" s="35" t="str">
        <f>IF(B712="","",IFERROR(INDEX(DM_SP!$B$5:$B$304,MATCH(B712,DM_SP!$A$5:$A$304,0)),"(chưa có trong DM_SP)"))</f>
        <v/>
      </c>
      <c r="D712" s="35" t="str">
        <f>IF(B712="","",IFERROR(INDEX(DM_SP!$C$5:$C$304,MATCH(B712,DM_SP!$A$5:$A$304,0)),""))</f>
        <v/>
      </c>
      <c r="E712" s="35" t="str">
        <f>IF(BOM!A706="","",BOM!B706)</f>
        <v/>
      </c>
      <c r="F712" s="35" t="str">
        <f>IF(E712="","",IFERROR(INDEX(DM_NL!$B$5:$B$304,MATCH(E712,DM_NL!$A$5:$A$304,0)),"(chưa có trong DM_NL)"))</f>
        <v/>
      </c>
      <c r="G712" s="35" t="str">
        <f>IF(E712="","",IFERROR(INDEX(DM_NL!$C$5:$C$304,MATCH(E712,DM_NL!$A$5:$A$304,0)),""))</f>
        <v/>
      </c>
      <c r="H712" s="39" t="str">
        <f>IF(OR(E712="",BOM!G706="KXDDM"),"",BOM!F706)</f>
        <v/>
      </c>
      <c r="I712" s="36" t="str">
        <f>IF(E712="","",BOM!G706&amp;"")</f>
        <v/>
      </c>
    </row>
    <row r="713" spans="1:9" x14ac:dyDescent="0.25">
      <c r="A713" s="36" t="str">
        <f>IF(B713="","",MAX($A$10:A712)+1)</f>
        <v/>
      </c>
      <c r="B713" s="35" t="str">
        <f>IF(BOM!A707="","",IF(BOM!A707=BOM!A706,"",BOM!A707))</f>
        <v/>
      </c>
      <c r="C713" s="35" t="str">
        <f>IF(B713="","",IFERROR(INDEX(DM_SP!$B$5:$B$304,MATCH(B713,DM_SP!$A$5:$A$304,0)),"(chưa có trong DM_SP)"))</f>
        <v/>
      </c>
      <c r="D713" s="35" t="str">
        <f>IF(B713="","",IFERROR(INDEX(DM_SP!$C$5:$C$304,MATCH(B713,DM_SP!$A$5:$A$304,0)),""))</f>
        <v/>
      </c>
      <c r="E713" s="35" t="str">
        <f>IF(BOM!A707="","",BOM!B707)</f>
        <v/>
      </c>
      <c r="F713" s="35" t="str">
        <f>IF(E713="","",IFERROR(INDEX(DM_NL!$B$5:$B$304,MATCH(E713,DM_NL!$A$5:$A$304,0)),"(chưa có trong DM_NL)"))</f>
        <v/>
      </c>
      <c r="G713" s="35" t="str">
        <f>IF(E713="","",IFERROR(INDEX(DM_NL!$C$5:$C$304,MATCH(E713,DM_NL!$A$5:$A$304,0)),""))</f>
        <v/>
      </c>
      <c r="H713" s="39" t="str">
        <f>IF(OR(E713="",BOM!G707="KXDDM"),"",BOM!F707)</f>
        <v/>
      </c>
      <c r="I713" s="36" t="str">
        <f>IF(E713="","",BOM!G707&amp;"")</f>
        <v/>
      </c>
    </row>
    <row r="714" spans="1:9" x14ac:dyDescent="0.25">
      <c r="A714" s="36" t="str">
        <f>IF(B714="","",MAX($A$10:A713)+1)</f>
        <v/>
      </c>
      <c r="B714" s="35" t="str">
        <f>IF(BOM!A708="","",IF(BOM!A708=BOM!A707,"",BOM!A708))</f>
        <v/>
      </c>
      <c r="C714" s="35" t="str">
        <f>IF(B714="","",IFERROR(INDEX(DM_SP!$B$5:$B$304,MATCH(B714,DM_SP!$A$5:$A$304,0)),"(chưa có trong DM_SP)"))</f>
        <v/>
      </c>
      <c r="D714" s="35" t="str">
        <f>IF(B714="","",IFERROR(INDEX(DM_SP!$C$5:$C$304,MATCH(B714,DM_SP!$A$5:$A$304,0)),""))</f>
        <v/>
      </c>
      <c r="E714" s="35" t="str">
        <f>IF(BOM!A708="","",BOM!B708)</f>
        <v/>
      </c>
      <c r="F714" s="35" t="str">
        <f>IF(E714="","",IFERROR(INDEX(DM_NL!$B$5:$B$304,MATCH(E714,DM_NL!$A$5:$A$304,0)),"(chưa có trong DM_NL)"))</f>
        <v/>
      </c>
      <c r="G714" s="35" t="str">
        <f>IF(E714="","",IFERROR(INDEX(DM_NL!$C$5:$C$304,MATCH(E714,DM_NL!$A$5:$A$304,0)),""))</f>
        <v/>
      </c>
      <c r="H714" s="39" t="str">
        <f>IF(OR(E714="",BOM!G708="KXDDM"),"",BOM!F708)</f>
        <v/>
      </c>
      <c r="I714" s="36" t="str">
        <f>IF(E714="","",BOM!G708&amp;"")</f>
        <v/>
      </c>
    </row>
    <row r="715" spans="1:9" x14ac:dyDescent="0.25">
      <c r="A715" s="36" t="str">
        <f>IF(B715="","",MAX($A$10:A714)+1)</f>
        <v/>
      </c>
      <c r="B715" s="35" t="str">
        <f>IF(BOM!A709="","",IF(BOM!A709=BOM!A708,"",BOM!A709))</f>
        <v/>
      </c>
      <c r="C715" s="35" t="str">
        <f>IF(B715="","",IFERROR(INDEX(DM_SP!$B$5:$B$304,MATCH(B715,DM_SP!$A$5:$A$304,0)),"(chưa có trong DM_SP)"))</f>
        <v/>
      </c>
      <c r="D715" s="35" t="str">
        <f>IF(B715="","",IFERROR(INDEX(DM_SP!$C$5:$C$304,MATCH(B715,DM_SP!$A$5:$A$304,0)),""))</f>
        <v/>
      </c>
      <c r="E715" s="35" t="str">
        <f>IF(BOM!A709="","",BOM!B709)</f>
        <v/>
      </c>
      <c r="F715" s="35" t="str">
        <f>IF(E715="","",IFERROR(INDEX(DM_NL!$B$5:$B$304,MATCH(E715,DM_NL!$A$5:$A$304,0)),"(chưa có trong DM_NL)"))</f>
        <v/>
      </c>
      <c r="G715" s="35" t="str">
        <f>IF(E715="","",IFERROR(INDEX(DM_NL!$C$5:$C$304,MATCH(E715,DM_NL!$A$5:$A$304,0)),""))</f>
        <v/>
      </c>
      <c r="H715" s="39" t="str">
        <f>IF(OR(E715="",BOM!G709="KXDDM"),"",BOM!F709)</f>
        <v/>
      </c>
      <c r="I715" s="36" t="str">
        <f>IF(E715="","",BOM!G709&amp;"")</f>
        <v/>
      </c>
    </row>
    <row r="716" spans="1:9" x14ac:dyDescent="0.25">
      <c r="A716" s="36" t="str">
        <f>IF(B716="","",MAX($A$10:A715)+1)</f>
        <v/>
      </c>
      <c r="B716" s="35" t="str">
        <f>IF(BOM!A710="","",IF(BOM!A710=BOM!A709,"",BOM!A710))</f>
        <v/>
      </c>
      <c r="C716" s="35" t="str">
        <f>IF(B716="","",IFERROR(INDEX(DM_SP!$B$5:$B$304,MATCH(B716,DM_SP!$A$5:$A$304,0)),"(chưa có trong DM_SP)"))</f>
        <v/>
      </c>
      <c r="D716" s="35" t="str">
        <f>IF(B716="","",IFERROR(INDEX(DM_SP!$C$5:$C$304,MATCH(B716,DM_SP!$A$5:$A$304,0)),""))</f>
        <v/>
      </c>
      <c r="E716" s="35" t="str">
        <f>IF(BOM!A710="","",BOM!B710)</f>
        <v/>
      </c>
      <c r="F716" s="35" t="str">
        <f>IF(E716="","",IFERROR(INDEX(DM_NL!$B$5:$B$304,MATCH(E716,DM_NL!$A$5:$A$304,0)),"(chưa có trong DM_NL)"))</f>
        <v/>
      </c>
      <c r="G716" s="35" t="str">
        <f>IF(E716="","",IFERROR(INDEX(DM_NL!$C$5:$C$304,MATCH(E716,DM_NL!$A$5:$A$304,0)),""))</f>
        <v/>
      </c>
      <c r="H716" s="39" t="str">
        <f>IF(OR(E716="",BOM!G710="KXDDM"),"",BOM!F710)</f>
        <v/>
      </c>
      <c r="I716" s="36" t="str">
        <f>IF(E716="","",BOM!G710&amp;"")</f>
        <v/>
      </c>
    </row>
    <row r="717" spans="1:9" x14ac:dyDescent="0.25">
      <c r="A717" s="36" t="str">
        <f>IF(B717="","",MAX($A$10:A716)+1)</f>
        <v/>
      </c>
      <c r="B717" s="35" t="str">
        <f>IF(BOM!A711="","",IF(BOM!A711=BOM!A710,"",BOM!A711))</f>
        <v/>
      </c>
      <c r="C717" s="35" t="str">
        <f>IF(B717="","",IFERROR(INDEX(DM_SP!$B$5:$B$304,MATCH(B717,DM_SP!$A$5:$A$304,0)),"(chưa có trong DM_SP)"))</f>
        <v/>
      </c>
      <c r="D717" s="35" t="str">
        <f>IF(B717="","",IFERROR(INDEX(DM_SP!$C$5:$C$304,MATCH(B717,DM_SP!$A$5:$A$304,0)),""))</f>
        <v/>
      </c>
      <c r="E717" s="35" t="str">
        <f>IF(BOM!A711="","",BOM!B711)</f>
        <v/>
      </c>
      <c r="F717" s="35" t="str">
        <f>IF(E717="","",IFERROR(INDEX(DM_NL!$B$5:$B$304,MATCH(E717,DM_NL!$A$5:$A$304,0)),"(chưa có trong DM_NL)"))</f>
        <v/>
      </c>
      <c r="G717" s="35" t="str">
        <f>IF(E717="","",IFERROR(INDEX(DM_NL!$C$5:$C$304,MATCH(E717,DM_NL!$A$5:$A$304,0)),""))</f>
        <v/>
      </c>
      <c r="H717" s="39" t="str">
        <f>IF(OR(E717="",BOM!G711="KXDDM"),"",BOM!F711)</f>
        <v/>
      </c>
      <c r="I717" s="36" t="str">
        <f>IF(E717="","",BOM!G711&amp;"")</f>
        <v/>
      </c>
    </row>
    <row r="718" spans="1:9" x14ac:dyDescent="0.25">
      <c r="A718" s="36" t="str">
        <f>IF(B718="","",MAX($A$10:A717)+1)</f>
        <v/>
      </c>
      <c r="B718" s="35" t="str">
        <f>IF(BOM!A712="","",IF(BOM!A712=BOM!A711,"",BOM!A712))</f>
        <v/>
      </c>
      <c r="C718" s="35" t="str">
        <f>IF(B718="","",IFERROR(INDEX(DM_SP!$B$5:$B$304,MATCH(B718,DM_SP!$A$5:$A$304,0)),"(chưa có trong DM_SP)"))</f>
        <v/>
      </c>
      <c r="D718" s="35" t="str">
        <f>IF(B718="","",IFERROR(INDEX(DM_SP!$C$5:$C$304,MATCH(B718,DM_SP!$A$5:$A$304,0)),""))</f>
        <v/>
      </c>
      <c r="E718" s="35" t="str">
        <f>IF(BOM!A712="","",BOM!B712)</f>
        <v/>
      </c>
      <c r="F718" s="35" t="str">
        <f>IF(E718="","",IFERROR(INDEX(DM_NL!$B$5:$B$304,MATCH(E718,DM_NL!$A$5:$A$304,0)),"(chưa có trong DM_NL)"))</f>
        <v/>
      </c>
      <c r="G718" s="35" t="str">
        <f>IF(E718="","",IFERROR(INDEX(DM_NL!$C$5:$C$304,MATCH(E718,DM_NL!$A$5:$A$304,0)),""))</f>
        <v/>
      </c>
      <c r="H718" s="39" t="str">
        <f>IF(OR(E718="",BOM!G712="KXDDM"),"",BOM!F712)</f>
        <v/>
      </c>
      <c r="I718" s="36" t="str">
        <f>IF(E718="","",BOM!G712&amp;"")</f>
        <v/>
      </c>
    </row>
    <row r="719" spans="1:9" x14ac:dyDescent="0.25">
      <c r="A719" s="36" t="str">
        <f>IF(B719="","",MAX($A$10:A718)+1)</f>
        <v/>
      </c>
      <c r="B719" s="35" t="str">
        <f>IF(BOM!A713="","",IF(BOM!A713=BOM!A712,"",BOM!A713))</f>
        <v/>
      </c>
      <c r="C719" s="35" t="str">
        <f>IF(B719="","",IFERROR(INDEX(DM_SP!$B$5:$B$304,MATCH(B719,DM_SP!$A$5:$A$304,0)),"(chưa có trong DM_SP)"))</f>
        <v/>
      </c>
      <c r="D719" s="35" t="str">
        <f>IF(B719="","",IFERROR(INDEX(DM_SP!$C$5:$C$304,MATCH(B719,DM_SP!$A$5:$A$304,0)),""))</f>
        <v/>
      </c>
      <c r="E719" s="35" t="str">
        <f>IF(BOM!A713="","",BOM!B713)</f>
        <v/>
      </c>
      <c r="F719" s="35" t="str">
        <f>IF(E719="","",IFERROR(INDEX(DM_NL!$B$5:$B$304,MATCH(E719,DM_NL!$A$5:$A$304,0)),"(chưa có trong DM_NL)"))</f>
        <v/>
      </c>
      <c r="G719" s="35" t="str">
        <f>IF(E719="","",IFERROR(INDEX(DM_NL!$C$5:$C$304,MATCH(E719,DM_NL!$A$5:$A$304,0)),""))</f>
        <v/>
      </c>
      <c r="H719" s="39" t="str">
        <f>IF(OR(E719="",BOM!G713="KXDDM"),"",BOM!F713)</f>
        <v/>
      </c>
      <c r="I719" s="36" t="str">
        <f>IF(E719="","",BOM!G713&amp;"")</f>
        <v/>
      </c>
    </row>
    <row r="720" spans="1:9" x14ac:dyDescent="0.25">
      <c r="A720" s="36" t="str">
        <f>IF(B720="","",MAX($A$10:A719)+1)</f>
        <v/>
      </c>
      <c r="B720" s="35" t="str">
        <f>IF(BOM!A714="","",IF(BOM!A714=BOM!A713,"",BOM!A714))</f>
        <v/>
      </c>
      <c r="C720" s="35" t="str">
        <f>IF(B720="","",IFERROR(INDEX(DM_SP!$B$5:$B$304,MATCH(B720,DM_SP!$A$5:$A$304,0)),"(chưa có trong DM_SP)"))</f>
        <v/>
      </c>
      <c r="D720" s="35" t="str">
        <f>IF(B720="","",IFERROR(INDEX(DM_SP!$C$5:$C$304,MATCH(B720,DM_SP!$A$5:$A$304,0)),""))</f>
        <v/>
      </c>
      <c r="E720" s="35" t="str">
        <f>IF(BOM!A714="","",BOM!B714)</f>
        <v/>
      </c>
      <c r="F720" s="35" t="str">
        <f>IF(E720="","",IFERROR(INDEX(DM_NL!$B$5:$B$304,MATCH(E720,DM_NL!$A$5:$A$304,0)),"(chưa có trong DM_NL)"))</f>
        <v/>
      </c>
      <c r="G720" s="35" t="str">
        <f>IF(E720="","",IFERROR(INDEX(DM_NL!$C$5:$C$304,MATCH(E720,DM_NL!$A$5:$A$304,0)),""))</f>
        <v/>
      </c>
      <c r="H720" s="39" t="str">
        <f>IF(OR(E720="",BOM!G714="KXDDM"),"",BOM!F714)</f>
        <v/>
      </c>
      <c r="I720" s="36" t="str">
        <f>IF(E720="","",BOM!G714&amp;"")</f>
        <v/>
      </c>
    </row>
    <row r="721" spans="1:9" x14ac:dyDescent="0.25">
      <c r="A721" s="36" t="str">
        <f>IF(B721="","",MAX($A$10:A720)+1)</f>
        <v/>
      </c>
      <c r="B721" s="35" t="str">
        <f>IF(BOM!A715="","",IF(BOM!A715=BOM!A714,"",BOM!A715))</f>
        <v/>
      </c>
      <c r="C721" s="35" t="str">
        <f>IF(B721="","",IFERROR(INDEX(DM_SP!$B$5:$B$304,MATCH(B721,DM_SP!$A$5:$A$304,0)),"(chưa có trong DM_SP)"))</f>
        <v/>
      </c>
      <c r="D721" s="35" t="str">
        <f>IF(B721="","",IFERROR(INDEX(DM_SP!$C$5:$C$304,MATCH(B721,DM_SP!$A$5:$A$304,0)),""))</f>
        <v/>
      </c>
      <c r="E721" s="35" t="str">
        <f>IF(BOM!A715="","",BOM!B715)</f>
        <v/>
      </c>
      <c r="F721" s="35" t="str">
        <f>IF(E721="","",IFERROR(INDEX(DM_NL!$B$5:$B$304,MATCH(E721,DM_NL!$A$5:$A$304,0)),"(chưa có trong DM_NL)"))</f>
        <v/>
      </c>
      <c r="G721" s="35" t="str">
        <f>IF(E721="","",IFERROR(INDEX(DM_NL!$C$5:$C$304,MATCH(E721,DM_NL!$A$5:$A$304,0)),""))</f>
        <v/>
      </c>
      <c r="H721" s="39" t="str">
        <f>IF(OR(E721="",BOM!G715="KXDDM"),"",BOM!F715)</f>
        <v/>
      </c>
      <c r="I721" s="36" t="str">
        <f>IF(E721="","",BOM!G715&amp;"")</f>
        <v/>
      </c>
    </row>
    <row r="722" spans="1:9" x14ac:dyDescent="0.25">
      <c r="A722" s="36" t="str">
        <f>IF(B722="","",MAX($A$10:A721)+1)</f>
        <v/>
      </c>
      <c r="B722" s="35" t="str">
        <f>IF(BOM!A716="","",IF(BOM!A716=BOM!A715,"",BOM!A716))</f>
        <v/>
      </c>
      <c r="C722" s="35" t="str">
        <f>IF(B722="","",IFERROR(INDEX(DM_SP!$B$5:$B$304,MATCH(B722,DM_SP!$A$5:$A$304,0)),"(chưa có trong DM_SP)"))</f>
        <v/>
      </c>
      <c r="D722" s="35" t="str">
        <f>IF(B722="","",IFERROR(INDEX(DM_SP!$C$5:$C$304,MATCH(B722,DM_SP!$A$5:$A$304,0)),""))</f>
        <v/>
      </c>
      <c r="E722" s="35" t="str">
        <f>IF(BOM!A716="","",BOM!B716)</f>
        <v/>
      </c>
      <c r="F722" s="35" t="str">
        <f>IF(E722="","",IFERROR(INDEX(DM_NL!$B$5:$B$304,MATCH(E722,DM_NL!$A$5:$A$304,0)),"(chưa có trong DM_NL)"))</f>
        <v/>
      </c>
      <c r="G722" s="35" t="str">
        <f>IF(E722="","",IFERROR(INDEX(DM_NL!$C$5:$C$304,MATCH(E722,DM_NL!$A$5:$A$304,0)),""))</f>
        <v/>
      </c>
      <c r="H722" s="39" t="str">
        <f>IF(OR(E722="",BOM!G716="KXDDM"),"",BOM!F716)</f>
        <v/>
      </c>
      <c r="I722" s="36" t="str">
        <f>IF(E722="","",BOM!G716&amp;"")</f>
        <v/>
      </c>
    </row>
    <row r="723" spans="1:9" x14ac:dyDescent="0.25">
      <c r="A723" s="36" t="str">
        <f>IF(B723="","",MAX($A$10:A722)+1)</f>
        <v/>
      </c>
      <c r="B723" s="35" t="str">
        <f>IF(BOM!A717="","",IF(BOM!A717=BOM!A716,"",BOM!A717))</f>
        <v/>
      </c>
      <c r="C723" s="35" t="str">
        <f>IF(B723="","",IFERROR(INDEX(DM_SP!$B$5:$B$304,MATCH(B723,DM_SP!$A$5:$A$304,0)),"(chưa có trong DM_SP)"))</f>
        <v/>
      </c>
      <c r="D723" s="35" t="str">
        <f>IF(B723="","",IFERROR(INDEX(DM_SP!$C$5:$C$304,MATCH(B723,DM_SP!$A$5:$A$304,0)),""))</f>
        <v/>
      </c>
      <c r="E723" s="35" t="str">
        <f>IF(BOM!A717="","",BOM!B717)</f>
        <v/>
      </c>
      <c r="F723" s="35" t="str">
        <f>IF(E723="","",IFERROR(INDEX(DM_NL!$B$5:$B$304,MATCH(E723,DM_NL!$A$5:$A$304,0)),"(chưa có trong DM_NL)"))</f>
        <v/>
      </c>
      <c r="G723" s="35" t="str">
        <f>IF(E723="","",IFERROR(INDEX(DM_NL!$C$5:$C$304,MATCH(E723,DM_NL!$A$5:$A$304,0)),""))</f>
        <v/>
      </c>
      <c r="H723" s="39" t="str">
        <f>IF(OR(E723="",BOM!G717="KXDDM"),"",BOM!F717)</f>
        <v/>
      </c>
      <c r="I723" s="36" t="str">
        <f>IF(E723="","",BOM!G717&amp;"")</f>
        <v/>
      </c>
    </row>
    <row r="724" spans="1:9" x14ac:dyDescent="0.25">
      <c r="A724" s="36" t="str">
        <f>IF(B724="","",MAX($A$10:A723)+1)</f>
        <v/>
      </c>
      <c r="B724" s="35" t="str">
        <f>IF(BOM!A718="","",IF(BOM!A718=BOM!A717,"",BOM!A718))</f>
        <v/>
      </c>
      <c r="C724" s="35" t="str">
        <f>IF(B724="","",IFERROR(INDEX(DM_SP!$B$5:$B$304,MATCH(B724,DM_SP!$A$5:$A$304,0)),"(chưa có trong DM_SP)"))</f>
        <v/>
      </c>
      <c r="D724" s="35" t="str">
        <f>IF(B724="","",IFERROR(INDEX(DM_SP!$C$5:$C$304,MATCH(B724,DM_SP!$A$5:$A$304,0)),""))</f>
        <v/>
      </c>
      <c r="E724" s="35" t="str">
        <f>IF(BOM!A718="","",BOM!B718)</f>
        <v/>
      </c>
      <c r="F724" s="35" t="str">
        <f>IF(E724="","",IFERROR(INDEX(DM_NL!$B$5:$B$304,MATCH(E724,DM_NL!$A$5:$A$304,0)),"(chưa có trong DM_NL)"))</f>
        <v/>
      </c>
      <c r="G724" s="35" t="str">
        <f>IF(E724="","",IFERROR(INDEX(DM_NL!$C$5:$C$304,MATCH(E724,DM_NL!$A$5:$A$304,0)),""))</f>
        <v/>
      </c>
      <c r="H724" s="39" t="str">
        <f>IF(OR(E724="",BOM!G718="KXDDM"),"",BOM!F718)</f>
        <v/>
      </c>
      <c r="I724" s="36" t="str">
        <f>IF(E724="","",BOM!G718&amp;"")</f>
        <v/>
      </c>
    </row>
    <row r="725" spans="1:9" x14ac:dyDescent="0.25">
      <c r="A725" s="36" t="str">
        <f>IF(B725="","",MAX($A$10:A724)+1)</f>
        <v/>
      </c>
      <c r="B725" s="35" t="str">
        <f>IF(BOM!A719="","",IF(BOM!A719=BOM!A718,"",BOM!A719))</f>
        <v/>
      </c>
      <c r="C725" s="35" t="str">
        <f>IF(B725="","",IFERROR(INDEX(DM_SP!$B$5:$B$304,MATCH(B725,DM_SP!$A$5:$A$304,0)),"(chưa có trong DM_SP)"))</f>
        <v/>
      </c>
      <c r="D725" s="35" t="str">
        <f>IF(B725="","",IFERROR(INDEX(DM_SP!$C$5:$C$304,MATCH(B725,DM_SP!$A$5:$A$304,0)),""))</f>
        <v/>
      </c>
      <c r="E725" s="35" t="str">
        <f>IF(BOM!A719="","",BOM!B719)</f>
        <v/>
      </c>
      <c r="F725" s="35" t="str">
        <f>IF(E725="","",IFERROR(INDEX(DM_NL!$B$5:$B$304,MATCH(E725,DM_NL!$A$5:$A$304,0)),"(chưa có trong DM_NL)"))</f>
        <v/>
      </c>
      <c r="G725" s="35" t="str">
        <f>IF(E725="","",IFERROR(INDEX(DM_NL!$C$5:$C$304,MATCH(E725,DM_NL!$A$5:$A$304,0)),""))</f>
        <v/>
      </c>
      <c r="H725" s="39" t="str">
        <f>IF(OR(E725="",BOM!G719="KXDDM"),"",BOM!F719)</f>
        <v/>
      </c>
      <c r="I725" s="36" t="str">
        <f>IF(E725="","",BOM!G719&amp;"")</f>
        <v/>
      </c>
    </row>
    <row r="726" spans="1:9" x14ac:dyDescent="0.25">
      <c r="A726" s="36" t="str">
        <f>IF(B726="","",MAX($A$10:A725)+1)</f>
        <v/>
      </c>
      <c r="B726" s="35" t="str">
        <f>IF(BOM!A720="","",IF(BOM!A720=BOM!A719,"",BOM!A720))</f>
        <v/>
      </c>
      <c r="C726" s="35" t="str">
        <f>IF(B726="","",IFERROR(INDEX(DM_SP!$B$5:$B$304,MATCH(B726,DM_SP!$A$5:$A$304,0)),"(chưa có trong DM_SP)"))</f>
        <v/>
      </c>
      <c r="D726" s="35" t="str">
        <f>IF(B726="","",IFERROR(INDEX(DM_SP!$C$5:$C$304,MATCH(B726,DM_SP!$A$5:$A$304,0)),""))</f>
        <v/>
      </c>
      <c r="E726" s="35" t="str">
        <f>IF(BOM!A720="","",BOM!B720)</f>
        <v/>
      </c>
      <c r="F726" s="35" t="str">
        <f>IF(E726="","",IFERROR(INDEX(DM_NL!$B$5:$B$304,MATCH(E726,DM_NL!$A$5:$A$304,0)),"(chưa có trong DM_NL)"))</f>
        <v/>
      </c>
      <c r="G726" s="35" t="str">
        <f>IF(E726="","",IFERROR(INDEX(DM_NL!$C$5:$C$304,MATCH(E726,DM_NL!$A$5:$A$304,0)),""))</f>
        <v/>
      </c>
      <c r="H726" s="39" t="str">
        <f>IF(OR(E726="",BOM!G720="KXDDM"),"",BOM!F720)</f>
        <v/>
      </c>
      <c r="I726" s="36" t="str">
        <f>IF(E726="","",BOM!G720&amp;"")</f>
        <v/>
      </c>
    </row>
    <row r="727" spans="1:9" x14ac:dyDescent="0.25">
      <c r="A727" s="36" t="str">
        <f>IF(B727="","",MAX($A$10:A726)+1)</f>
        <v/>
      </c>
      <c r="B727" s="35" t="str">
        <f>IF(BOM!A721="","",IF(BOM!A721=BOM!A720,"",BOM!A721))</f>
        <v/>
      </c>
      <c r="C727" s="35" t="str">
        <f>IF(B727="","",IFERROR(INDEX(DM_SP!$B$5:$B$304,MATCH(B727,DM_SP!$A$5:$A$304,0)),"(chưa có trong DM_SP)"))</f>
        <v/>
      </c>
      <c r="D727" s="35" t="str">
        <f>IF(B727="","",IFERROR(INDEX(DM_SP!$C$5:$C$304,MATCH(B727,DM_SP!$A$5:$A$304,0)),""))</f>
        <v/>
      </c>
      <c r="E727" s="35" t="str">
        <f>IF(BOM!A721="","",BOM!B721)</f>
        <v/>
      </c>
      <c r="F727" s="35" t="str">
        <f>IF(E727="","",IFERROR(INDEX(DM_NL!$B$5:$B$304,MATCH(E727,DM_NL!$A$5:$A$304,0)),"(chưa có trong DM_NL)"))</f>
        <v/>
      </c>
      <c r="G727" s="35" t="str">
        <f>IF(E727="","",IFERROR(INDEX(DM_NL!$C$5:$C$304,MATCH(E727,DM_NL!$A$5:$A$304,0)),""))</f>
        <v/>
      </c>
      <c r="H727" s="39" t="str">
        <f>IF(OR(E727="",BOM!G721="KXDDM"),"",BOM!F721)</f>
        <v/>
      </c>
      <c r="I727" s="36" t="str">
        <f>IF(E727="","",BOM!G721&amp;"")</f>
        <v/>
      </c>
    </row>
    <row r="728" spans="1:9" x14ac:dyDescent="0.25">
      <c r="A728" s="36" t="str">
        <f>IF(B728="","",MAX($A$10:A727)+1)</f>
        <v/>
      </c>
      <c r="B728" s="35" t="str">
        <f>IF(BOM!A722="","",IF(BOM!A722=BOM!A721,"",BOM!A722))</f>
        <v/>
      </c>
      <c r="C728" s="35" t="str">
        <f>IF(B728="","",IFERROR(INDEX(DM_SP!$B$5:$B$304,MATCH(B728,DM_SP!$A$5:$A$304,0)),"(chưa có trong DM_SP)"))</f>
        <v/>
      </c>
      <c r="D728" s="35" t="str">
        <f>IF(B728="","",IFERROR(INDEX(DM_SP!$C$5:$C$304,MATCH(B728,DM_SP!$A$5:$A$304,0)),""))</f>
        <v/>
      </c>
      <c r="E728" s="35" t="str">
        <f>IF(BOM!A722="","",BOM!B722)</f>
        <v/>
      </c>
      <c r="F728" s="35" t="str">
        <f>IF(E728="","",IFERROR(INDEX(DM_NL!$B$5:$B$304,MATCH(E728,DM_NL!$A$5:$A$304,0)),"(chưa có trong DM_NL)"))</f>
        <v/>
      </c>
      <c r="G728" s="35" t="str">
        <f>IF(E728="","",IFERROR(INDEX(DM_NL!$C$5:$C$304,MATCH(E728,DM_NL!$A$5:$A$304,0)),""))</f>
        <v/>
      </c>
      <c r="H728" s="39" t="str">
        <f>IF(OR(E728="",BOM!G722="KXDDM"),"",BOM!F722)</f>
        <v/>
      </c>
      <c r="I728" s="36" t="str">
        <f>IF(E728="","",BOM!G722&amp;"")</f>
        <v/>
      </c>
    </row>
    <row r="729" spans="1:9" x14ac:dyDescent="0.25">
      <c r="A729" s="36" t="str">
        <f>IF(B729="","",MAX($A$10:A728)+1)</f>
        <v/>
      </c>
      <c r="B729" s="35" t="str">
        <f>IF(BOM!A723="","",IF(BOM!A723=BOM!A722,"",BOM!A723))</f>
        <v/>
      </c>
      <c r="C729" s="35" t="str">
        <f>IF(B729="","",IFERROR(INDEX(DM_SP!$B$5:$B$304,MATCH(B729,DM_SP!$A$5:$A$304,0)),"(chưa có trong DM_SP)"))</f>
        <v/>
      </c>
      <c r="D729" s="35" t="str">
        <f>IF(B729="","",IFERROR(INDEX(DM_SP!$C$5:$C$304,MATCH(B729,DM_SP!$A$5:$A$304,0)),""))</f>
        <v/>
      </c>
      <c r="E729" s="35" t="str">
        <f>IF(BOM!A723="","",BOM!B723)</f>
        <v/>
      </c>
      <c r="F729" s="35" t="str">
        <f>IF(E729="","",IFERROR(INDEX(DM_NL!$B$5:$B$304,MATCH(E729,DM_NL!$A$5:$A$304,0)),"(chưa có trong DM_NL)"))</f>
        <v/>
      </c>
      <c r="G729" s="35" t="str">
        <f>IF(E729="","",IFERROR(INDEX(DM_NL!$C$5:$C$304,MATCH(E729,DM_NL!$A$5:$A$304,0)),""))</f>
        <v/>
      </c>
      <c r="H729" s="39" t="str">
        <f>IF(OR(E729="",BOM!G723="KXDDM"),"",BOM!F723)</f>
        <v/>
      </c>
      <c r="I729" s="36" t="str">
        <f>IF(E729="","",BOM!G723&amp;"")</f>
        <v/>
      </c>
    </row>
    <row r="730" spans="1:9" x14ac:dyDescent="0.25">
      <c r="A730" s="36" t="str">
        <f>IF(B730="","",MAX($A$10:A729)+1)</f>
        <v/>
      </c>
      <c r="B730" s="35" t="str">
        <f>IF(BOM!A724="","",IF(BOM!A724=BOM!A723,"",BOM!A724))</f>
        <v/>
      </c>
      <c r="C730" s="35" t="str">
        <f>IF(B730="","",IFERROR(INDEX(DM_SP!$B$5:$B$304,MATCH(B730,DM_SP!$A$5:$A$304,0)),"(chưa có trong DM_SP)"))</f>
        <v/>
      </c>
      <c r="D730" s="35" t="str">
        <f>IF(B730="","",IFERROR(INDEX(DM_SP!$C$5:$C$304,MATCH(B730,DM_SP!$A$5:$A$304,0)),""))</f>
        <v/>
      </c>
      <c r="E730" s="35" t="str">
        <f>IF(BOM!A724="","",BOM!B724)</f>
        <v/>
      </c>
      <c r="F730" s="35" t="str">
        <f>IF(E730="","",IFERROR(INDEX(DM_NL!$B$5:$B$304,MATCH(E730,DM_NL!$A$5:$A$304,0)),"(chưa có trong DM_NL)"))</f>
        <v/>
      </c>
      <c r="G730" s="35" t="str">
        <f>IF(E730="","",IFERROR(INDEX(DM_NL!$C$5:$C$304,MATCH(E730,DM_NL!$A$5:$A$304,0)),""))</f>
        <v/>
      </c>
      <c r="H730" s="39" t="str">
        <f>IF(OR(E730="",BOM!G724="KXDDM"),"",BOM!F724)</f>
        <v/>
      </c>
      <c r="I730" s="36" t="str">
        <f>IF(E730="","",BOM!G724&amp;"")</f>
        <v/>
      </c>
    </row>
    <row r="731" spans="1:9" x14ac:dyDescent="0.25">
      <c r="A731" s="36" t="str">
        <f>IF(B731="","",MAX($A$10:A730)+1)</f>
        <v/>
      </c>
      <c r="B731" s="35" t="str">
        <f>IF(BOM!A725="","",IF(BOM!A725=BOM!A724,"",BOM!A725))</f>
        <v/>
      </c>
      <c r="C731" s="35" t="str">
        <f>IF(B731="","",IFERROR(INDEX(DM_SP!$B$5:$B$304,MATCH(B731,DM_SP!$A$5:$A$304,0)),"(chưa có trong DM_SP)"))</f>
        <v/>
      </c>
      <c r="D731" s="35" t="str">
        <f>IF(B731="","",IFERROR(INDEX(DM_SP!$C$5:$C$304,MATCH(B731,DM_SP!$A$5:$A$304,0)),""))</f>
        <v/>
      </c>
      <c r="E731" s="35" t="str">
        <f>IF(BOM!A725="","",BOM!B725)</f>
        <v/>
      </c>
      <c r="F731" s="35" t="str">
        <f>IF(E731="","",IFERROR(INDEX(DM_NL!$B$5:$B$304,MATCH(E731,DM_NL!$A$5:$A$304,0)),"(chưa có trong DM_NL)"))</f>
        <v/>
      </c>
      <c r="G731" s="35" t="str">
        <f>IF(E731="","",IFERROR(INDEX(DM_NL!$C$5:$C$304,MATCH(E731,DM_NL!$A$5:$A$304,0)),""))</f>
        <v/>
      </c>
      <c r="H731" s="39" t="str">
        <f>IF(OR(E731="",BOM!G725="KXDDM"),"",BOM!F725)</f>
        <v/>
      </c>
      <c r="I731" s="36" t="str">
        <f>IF(E731="","",BOM!G725&amp;"")</f>
        <v/>
      </c>
    </row>
    <row r="732" spans="1:9" x14ac:dyDescent="0.25">
      <c r="A732" s="36" t="str">
        <f>IF(B732="","",MAX($A$10:A731)+1)</f>
        <v/>
      </c>
      <c r="B732" s="35" t="str">
        <f>IF(BOM!A726="","",IF(BOM!A726=BOM!A725,"",BOM!A726))</f>
        <v/>
      </c>
      <c r="C732" s="35" t="str">
        <f>IF(B732="","",IFERROR(INDEX(DM_SP!$B$5:$B$304,MATCH(B732,DM_SP!$A$5:$A$304,0)),"(chưa có trong DM_SP)"))</f>
        <v/>
      </c>
      <c r="D732" s="35" t="str">
        <f>IF(B732="","",IFERROR(INDEX(DM_SP!$C$5:$C$304,MATCH(B732,DM_SP!$A$5:$A$304,0)),""))</f>
        <v/>
      </c>
      <c r="E732" s="35" t="str">
        <f>IF(BOM!A726="","",BOM!B726)</f>
        <v/>
      </c>
      <c r="F732" s="35" t="str">
        <f>IF(E732="","",IFERROR(INDEX(DM_NL!$B$5:$B$304,MATCH(E732,DM_NL!$A$5:$A$304,0)),"(chưa có trong DM_NL)"))</f>
        <v/>
      </c>
      <c r="G732" s="35" t="str">
        <f>IF(E732="","",IFERROR(INDEX(DM_NL!$C$5:$C$304,MATCH(E732,DM_NL!$A$5:$A$304,0)),""))</f>
        <v/>
      </c>
      <c r="H732" s="39" t="str">
        <f>IF(OR(E732="",BOM!G726="KXDDM"),"",BOM!F726)</f>
        <v/>
      </c>
      <c r="I732" s="36" t="str">
        <f>IF(E732="","",BOM!G726&amp;"")</f>
        <v/>
      </c>
    </row>
    <row r="733" spans="1:9" x14ac:dyDescent="0.25">
      <c r="A733" s="36" t="str">
        <f>IF(B733="","",MAX($A$10:A732)+1)</f>
        <v/>
      </c>
      <c r="B733" s="35" t="str">
        <f>IF(BOM!A727="","",IF(BOM!A727=BOM!A726,"",BOM!A727))</f>
        <v/>
      </c>
      <c r="C733" s="35" t="str">
        <f>IF(B733="","",IFERROR(INDEX(DM_SP!$B$5:$B$304,MATCH(B733,DM_SP!$A$5:$A$304,0)),"(chưa có trong DM_SP)"))</f>
        <v/>
      </c>
      <c r="D733" s="35" t="str">
        <f>IF(B733="","",IFERROR(INDEX(DM_SP!$C$5:$C$304,MATCH(B733,DM_SP!$A$5:$A$304,0)),""))</f>
        <v/>
      </c>
      <c r="E733" s="35" t="str">
        <f>IF(BOM!A727="","",BOM!B727)</f>
        <v/>
      </c>
      <c r="F733" s="35" t="str">
        <f>IF(E733="","",IFERROR(INDEX(DM_NL!$B$5:$B$304,MATCH(E733,DM_NL!$A$5:$A$304,0)),"(chưa có trong DM_NL)"))</f>
        <v/>
      </c>
      <c r="G733" s="35" t="str">
        <f>IF(E733="","",IFERROR(INDEX(DM_NL!$C$5:$C$304,MATCH(E733,DM_NL!$A$5:$A$304,0)),""))</f>
        <v/>
      </c>
      <c r="H733" s="39" t="str">
        <f>IF(OR(E733="",BOM!G727="KXDDM"),"",BOM!F727)</f>
        <v/>
      </c>
      <c r="I733" s="36" t="str">
        <f>IF(E733="","",BOM!G727&amp;"")</f>
        <v/>
      </c>
    </row>
    <row r="734" spans="1:9" x14ac:dyDescent="0.25">
      <c r="A734" s="36" t="str">
        <f>IF(B734="","",MAX($A$10:A733)+1)</f>
        <v/>
      </c>
      <c r="B734" s="35" t="str">
        <f>IF(BOM!A728="","",IF(BOM!A728=BOM!A727,"",BOM!A728))</f>
        <v/>
      </c>
      <c r="C734" s="35" t="str">
        <f>IF(B734="","",IFERROR(INDEX(DM_SP!$B$5:$B$304,MATCH(B734,DM_SP!$A$5:$A$304,0)),"(chưa có trong DM_SP)"))</f>
        <v/>
      </c>
      <c r="D734" s="35" t="str">
        <f>IF(B734="","",IFERROR(INDEX(DM_SP!$C$5:$C$304,MATCH(B734,DM_SP!$A$5:$A$304,0)),""))</f>
        <v/>
      </c>
      <c r="E734" s="35" t="str">
        <f>IF(BOM!A728="","",BOM!B728)</f>
        <v/>
      </c>
      <c r="F734" s="35" t="str">
        <f>IF(E734="","",IFERROR(INDEX(DM_NL!$B$5:$B$304,MATCH(E734,DM_NL!$A$5:$A$304,0)),"(chưa có trong DM_NL)"))</f>
        <v/>
      </c>
      <c r="G734" s="35" t="str">
        <f>IF(E734="","",IFERROR(INDEX(DM_NL!$C$5:$C$304,MATCH(E734,DM_NL!$A$5:$A$304,0)),""))</f>
        <v/>
      </c>
      <c r="H734" s="39" t="str">
        <f>IF(OR(E734="",BOM!G728="KXDDM"),"",BOM!F728)</f>
        <v/>
      </c>
      <c r="I734" s="36" t="str">
        <f>IF(E734="","",BOM!G728&amp;"")</f>
        <v/>
      </c>
    </row>
    <row r="735" spans="1:9" x14ac:dyDescent="0.25">
      <c r="A735" s="36" t="str">
        <f>IF(B735="","",MAX($A$10:A734)+1)</f>
        <v/>
      </c>
      <c r="B735" s="35" t="str">
        <f>IF(BOM!A729="","",IF(BOM!A729=BOM!A728,"",BOM!A729))</f>
        <v/>
      </c>
      <c r="C735" s="35" t="str">
        <f>IF(B735="","",IFERROR(INDEX(DM_SP!$B$5:$B$304,MATCH(B735,DM_SP!$A$5:$A$304,0)),"(chưa có trong DM_SP)"))</f>
        <v/>
      </c>
      <c r="D735" s="35" t="str">
        <f>IF(B735="","",IFERROR(INDEX(DM_SP!$C$5:$C$304,MATCH(B735,DM_SP!$A$5:$A$304,0)),""))</f>
        <v/>
      </c>
      <c r="E735" s="35" t="str">
        <f>IF(BOM!A729="","",BOM!B729)</f>
        <v/>
      </c>
      <c r="F735" s="35" t="str">
        <f>IF(E735="","",IFERROR(INDEX(DM_NL!$B$5:$B$304,MATCH(E735,DM_NL!$A$5:$A$304,0)),"(chưa có trong DM_NL)"))</f>
        <v/>
      </c>
      <c r="G735" s="35" t="str">
        <f>IF(E735="","",IFERROR(INDEX(DM_NL!$C$5:$C$304,MATCH(E735,DM_NL!$A$5:$A$304,0)),""))</f>
        <v/>
      </c>
      <c r="H735" s="39" t="str">
        <f>IF(OR(E735="",BOM!G729="KXDDM"),"",BOM!F729)</f>
        <v/>
      </c>
      <c r="I735" s="36" t="str">
        <f>IF(E735="","",BOM!G729&amp;"")</f>
        <v/>
      </c>
    </row>
    <row r="736" spans="1:9" x14ac:dyDescent="0.25">
      <c r="A736" s="36" t="str">
        <f>IF(B736="","",MAX($A$10:A735)+1)</f>
        <v/>
      </c>
      <c r="B736" s="35" t="str">
        <f>IF(BOM!A730="","",IF(BOM!A730=BOM!A729,"",BOM!A730))</f>
        <v/>
      </c>
      <c r="C736" s="35" t="str">
        <f>IF(B736="","",IFERROR(INDEX(DM_SP!$B$5:$B$304,MATCH(B736,DM_SP!$A$5:$A$304,0)),"(chưa có trong DM_SP)"))</f>
        <v/>
      </c>
      <c r="D736" s="35" t="str">
        <f>IF(B736="","",IFERROR(INDEX(DM_SP!$C$5:$C$304,MATCH(B736,DM_SP!$A$5:$A$304,0)),""))</f>
        <v/>
      </c>
      <c r="E736" s="35" t="str">
        <f>IF(BOM!A730="","",BOM!B730)</f>
        <v/>
      </c>
      <c r="F736" s="35" t="str">
        <f>IF(E736="","",IFERROR(INDEX(DM_NL!$B$5:$B$304,MATCH(E736,DM_NL!$A$5:$A$304,0)),"(chưa có trong DM_NL)"))</f>
        <v/>
      </c>
      <c r="G736" s="35" t="str">
        <f>IF(E736="","",IFERROR(INDEX(DM_NL!$C$5:$C$304,MATCH(E736,DM_NL!$A$5:$A$304,0)),""))</f>
        <v/>
      </c>
      <c r="H736" s="39" t="str">
        <f>IF(OR(E736="",BOM!G730="KXDDM"),"",BOM!F730)</f>
        <v/>
      </c>
      <c r="I736" s="36" t="str">
        <f>IF(E736="","",BOM!G730&amp;"")</f>
        <v/>
      </c>
    </row>
    <row r="737" spans="1:9" x14ac:dyDescent="0.25">
      <c r="A737" s="36" t="str">
        <f>IF(B737="","",MAX($A$10:A736)+1)</f>
        <v/>
      </c>
      <c r="B737" s="35" t="str">
        <f>IF(BOM!A731="","",IF(BOM!A731=BOM!A730,"",BOM!A731))</f>
        <v/>
      </c>
      <c r="C737" s="35" t="str">
        <f>IF(B737="","",IFERROR(INDEX(DM_SP!$B$5:$B$304,MATCH(B737,DM_SP!$A$5:$A$304,0)),"(chưa có trong DM_SP)"))</f>
        <v/>
      </c>
      <c r="D737" s="35" t="str">
        <f>IF(B737="","",IFERROR(INDEX(DM_SP!$C$5:$C$304,MATCH(B737,DM_SP!$A$5:$A$304,0)),""))</f>
        <v/>
      </c>
      <c r="E737" s="35" t="str">
        <f>IF(BOM!A731="","",BOM!B731)</f>
        <v/>
      </c>
      <c r="F737" s="35" t="str">
        <f>IF(E737="","",IFERROR(INDEX(DM_NL!$B$5:$B$304,MATCH(E737,DM_NL!$A$5:$A$304,0)),"(chưa có trong DM_NL)"))</f>
        <v/>
      </c>
      <c r="G737" s="35" t="str">
        <f>IF(E737="","",IFERROR(INDEX(DM_NL!$C$5:$C$304,MATCH(E737,DM_NL!$A$5:$A$304,0)),""))</f>
        <v/>
      </c>
      <c r="H737" s="39" t="str">
        <f>IF(OR(E737="",BOM!G731="KXDDM"),"",BOM!F731)</f>
        <v/>
      </c>
      <c r="I737" s="36" t="str">
        <f>IF(E737="","",BOM!G731&amp;"")</f>
        <v/>
      </c>
    </row>
    <row r="738" spans="1:9" x14ac:dyDescent="0.25">
      <c r="A738" s="36" t="str">
        <f>IF(B738="","",MAX($A$10:A737)+1)</f>
        <v/>
      </c>
      <c r="B738" s="35" t="str">
        <f>IF(BOM!A732="","",IF(BOM!A732=BOM!A731,"",BOM!A732))</f>
        <v/>
      </c>
      <c r="C738" s="35" t="str">
        <f>IF(B738="","",IFERROR(INDEX(DM_SP!$B$5:$B$304,MATCH(B738,DM_SP!$A$5:$A$304,0)),"(chưa có trong DM_SP)"))</f>
        <v/>
      </c>
      <c r="D738" s="35" t="str">
        <f>IF(B738="","",IFERROR(INDEX(DM_SP!$C$5:$C$304,MATCH(B738,DM_SP!$A$5:$A$304,0)),""))</f>
        <v/>
      </c>
      <c r="E738" s="35" t="str">
        <f>IF(BOM!A732="","",BOM!B732)</f>
        <v/>
      </c>
      <c r="F738" s="35" t="str">
        <f>IF(E738="","",IFERROR(INDEX(DM_NL!$B$5:$B$304,MATCH(E738,DM_NL!$A$5:$A$304,0)),"(chưa có trong DM_NL)"))</f>
        <v/>
      </c>
      <c r="G738" s="35" t="str">
        <f>IF(E738="","",IFERROR(INDEX(DM_NL!$C$5:$C$304,MATCH(E738,DM_NL!$A$5:$A$304,0)),""))</f>
        <v/>
      </c>
      <c r="H738" s="39" t="str">
        <f>IF(OR(E738="",BOM!G732="KXDDM"),"",BOM!F732)</f>
        <v/>
      </c>
      <c r="I738" s="36" t="str">
        <f>IF(E738="","",BOM!G732&amp;"")</f>
        <v/>
      </c>
    </row>
    <row r="739" spans="1:9" x14ac:dyDescent="0.25">
      <c r="A739" s="36" t="str">
        <f>IF(B739="","",MAX($A$10:A738)+1)</f>
        <v/>
      </c>
      <c r="B739" s="35" t="str">
        <f>IF(BOM!A733="","",IF(BOM!A733=BOM!A732,"",BOM!A733))</f>
        <v/>
      </c>
      <c r="C739" s="35" t="str">
        <f>IF(B739="","",IFERROR(INDEX(DM_SP!$B$5:$B$304,MATCH(B739,DM_SP!$A$5:$A$304,0)),"(chưa có trong DM_SP)"))</f>
        <v/>
      </c>
      <c r="D739" s="35" t="str">
        <f>IF(B739="","",IFERROR(INDEX(DM_SP!$C$5:$C$304,MATCH(B739,DM_SP!$A$5:$A$304,0)),""))</f>
        <v/>
      </c>
      <c r="E739" s="35" t="str">
        <f>IF(BOM!A733="","",BOM!B733)</f>
        <v/>
      </c>
      <c r="F739" s="35" t="str">
        <f>IF(E739="","",IFERROR(INDEX(DM_NL!$B$5:$B$304,MATCH(E739,DM_NL!$A$5:$A$304,0)),"(chưa có trong DM_NL)"))</f>
        <v/>
      </c>
      <c r="G739" s="35" t="str">
        <f>IF(E739="","",IFERROR(INDEX(DM_NL!$C$5:$C$304,MATCH(E739,DM_NL!$A$5:$A$304,0)),""))</f>
        <v/>
      </c>
      <c r="H739" s="39" t="str">
        <f>IF(OR(E739="",BOM!G733="KXDDM"),"",BOM!F733)</f>
        <v/>
      </c>
      <c r="I739" s="36" t="str">
        <f>IF(E739="","",BOM!G733&amp;"")</f>
        <v/>
      </c>
    </row>
    <row r="740" spans="1:9" x14ac:dyDescent="0.25">
      <c r="A740" s="36" t="str">
        <f>IF(B740="","",MAX($A$10:A739)+1)</f>
        <v/>
      </c>
      <c r="B740" s="35" t="str">
        <f>IF(BOM!A734="","",IF(BOM!A734=BOM!A733,"",BOM!A734))</f>
        <v/>
      </c>
      <c r="C740" s="35" t="str">
        <f>IF(B740="","",IFERROR(INDEX(DM_SP!$B$5:$B$304,MATCH(B740,DM_SP!$A$5:$A$304,0)),"(chưa có trong DM_SP)"))</f>
        <v/>
      </c>
      <c r="D740" s="35" t="str">
        <f>IF(B740="","",IFERROR(INDEX(DM_SP!$C$5:$C$304,MATCH(B740,DM_SP!$A$5:$A$304,0)),""))</f>
        <v/>
      </c>
      <c r="E740" s="35" t="str">
        <f>IF(BOM!A734="","",BOM!B734)</f>
        <v/>
      </c>
      <c r="F740" s="35" t="str">
        <f>IF(E740="","",IFERROR(INDEX(DM_NL!$B$5:$B$304,MATCH(E740,DM_NL!$A$5:$A$304,0)),"(chưa có trong DM_NL)"))</f>
        <v/>
      </c>
      <c r="G740" s="35" t="str">
        <f>IF(E740="","",IFERROR(INDEX(DM_NL!$C$5:$C$304,MATCH(E740,DM_NL!$A$5:$A$304,0)),""))</f>
        <v/>
      </c>
      <c r="H740" s="39" t="str">
        <f>IF(OR(E740="",BOM!G734="KXDDM"),"",BOM!F734)</f>
        <v/>
      </c>
      <c r="I740" s="36" t="str">
        <f>IF(E740="","",BOM!G734&amp;"")</f>
        <v/>
      </c>
    </row>
    <row r="741" spans="1:9" x14ac:dyDescent="0.25">
      <c r="A741" s="36" t="str">
        <f>IF(B741="","",MAX($A$10:A740)+1)</f>
        <v/>
      </c>
      <c r="B741" s="35" t="str">
        <f>IF(BOM!A735="","",IF(BOM!A735=BOM!A734,"",BOM!A735))</f>
        <v/>
      </c>
      <c r="C741" s="35" t="str">
        <f>IF(B741="","",IFERROR(INDEX(DM_SP!$B$5:$B$304,MATCH(B741,DM_SP!$A$5:$A$304,0)),"(chưa có trong DM_SP)"))</f>
        <v/>
      </c>
      <c r="D741" s="35" t="str">
        <f>IF(B741="","",IFERROR(INDEX(DM_SP!$C$5:$C$304,MATCH(B741,DM_SP!$A$5:$A$304,0)),""))</f>
        <v/>
      </c>
      <c r="E741" s="35" t="str">
        <f>IF(BOM!A735="","",BOM!B735)</f>
        <v/>
      </c>
      <c r="F741" s="35" t="str">
        <f>IF(E741="","",IFERROR(INDEX(DM_NL!$B$5:$B$304,MATCH(E741,DM_NL!$A$5:$A$304,0)),"(chưa có trong DM_NL)"))</f>
        <v/>
      </c>
      <c r="G741" s="35" t="str">
        <f>IF(E741="","",IFERROR(INDEX(DM_NL!$C$5:$C$304,MATCH(E741,DM_NL!$A$5:$A$304,0)),""))</f>
        <v/>
      </c>
      <c r="H741" s="39" t="str">
        <f>IF(OR(E741="",BOM!G735="KXDDM"),"",BOM!F735)</f>
        <v/>
      </c>
      <c r="I741" s="36" t="str">
        <f>IF(E741="","",BOM!G735&amp;"")</f>
        <v/>
      </c>
    </row>
    <row r="742" spans="1:9" x14ac:dyDescent="0.25">
      <c r="A742" s="36" t="str">
        <f>IF(B742="","",MAX($A$10:A741)+1)</f>
        <v/>
      </c>
      <c r="B742" s="35" t="str">
        <f>IF(BOM!A736="","",IF(BOM!A736=BOM!A735,"",BOM!A736))</f>
        <v/>
      </c>
      <c r="C742" s="35" t="str">
        <f>IF(B742="","",IFERROR(INDEX(DM_SP!$B$5:$B$304,MATCH(B742,DM_SP!$A$5:$A$304,0)),"(chưa có trong DM_SP)"))</f>
        <v/>
      </c>
      <c r="D742" s="35" t="str">
        <f>IF(B742="","",IFERROR(INDEX(DM_SP!$C$5:$C$304,MATCH(B742,DM_SP!$A$5:$A$304,0)),""))</f>
        <v/>
      </c>
      <c r="E742" s="35" t="str">
        <f>IF(BOM!A736="","",BOM!B736)</f>
        <v/>
      </c>
      <c r="F742" s="35" t="str">
        <f>IF(E742="","",IFERROR(INDEX(DM_NL!$B$5:$B$304,MATCH(E742,DM_NL!$A$5:$A$304,0)),"(chưa có trong DM_NL)"))</f>
        <v/>
      </c>
      <c r="G742" s="35" t="str">
        <f>IF(E742="","",IFERROR(INDEX(DM_NL!$C$5:$C$304,MATCH(E742,DM_NL!$A$5:$A$304,0)),""))</f>
        <v/>
      </c>
      <c r="H742" s="39" t="str">
        <f>IF(OR(E742="",BOM!G736="KXDDM"),"",BOM!F736)</f>
        <v/>
      </c>
      <c r="I742" s="36" t="str">
        <f>IF(E742="","",BOM!G736&amp;"")</f>
        <v/>
      </c>
    </row>
    <row r="743" spans="1:9" x14ac:dyDescent="0.25">
      <c r="A743" s="36" t="str">
        <f>IF(B743="","",MAX($A$10:A742)+1)</f>
        <v/>
      </c>
      <c r="B743" s="35" t="str">
        <f>IF(BOM!A737="","",IF(BOM!A737=BOM!A736,"",BOM!A737))</f>
        <v/>
      </c>
      <c r="C743" s="35" t="str">
        <f>IF(B743="","",IFERROR(INDEX(DM_SP!$B$5:$B$304,MATCH(B743,DM_SP!$A$5:$A$304,0)),"(chưa có trong DM_SP)"))</f>
        <v/>
      </c>
      <c r="D743" s="35" t="str">
        <f>IF(B743="","",IFERROR(INDEX(DM_SP!$C$5:$C$304,MATCH(B743,DM_SP!$A$5:$A$304,0)),""))</f>
        <v/>
      </c>
      <c r="E743" s="35" t="str">
        <f>IF(BOM!A737="","",BOM!B737)</f>
        <v/>
      </c>
      <c r="F743" s="35" t="str">
        <f>IF(E743="","",IFERROR(INDEX(DM_NL!$B$5:$B$304,MATCH(E743,DM_NL!$A$5:$A$304,0)),"(chưa có trong DM_NL)"))</f>
        <v/>
      </c>
      <c r="G743" s="35" t="str">
        <f>IF(E743="","",IFERROR(INDEX(DM_NL!$C$5:$C$304,MATCH(E743,DM_NL!$A$5:$A$304,0)),""))</f>
        <v/>
      </c>
      <c r="H743" s="39" t="str">
        <f>IF(OR(E743="",BOM!G737="KXDDM"),"",BOM!F737)</f>
        <v/>
      </c>
      <c r="I743" s="36" t="str">
        <f>IF(E743="","",BOM!G737&amp;"")</f>
        <v/>
      </c>
    </row>
    <row r="744" spans="1:9" x14ac:dyDescent="0.25">
      <c r="A744" s="36" t="str">
        <f>IF(B744="","",MAX($A$10:A743)+1)</f>
        <v/>
      </c>
      <c r="B744" s="35" t="str">
        <f>IF(BOM!A738="","",IF(BOM!A738=BOM!A737,"",BOM!A738))</f>
        <v/>
      </c>
      <c r="C744" s="35" t="str">
        <f>IF(B744="","",IFERROR(INDEX(DM_SP!$B$5:$B$304,MATCH(B744,DM_SP!$A$5:$A$304,0)),"(chưa có trong DM_SP)"))</f>
        <v/>
      </c>
      <c r="D744" s="35" t="str">
        <f>IF(B744="","",IFERROR(INDEX(DM_SP!$C$5:$C$304,MATCH(B744,DM_SP!$A$5:$A$304,0)),""))</f>
        <v/>
      </c>
      <c r="E744" s="35" t="str">
        <f>IF(BOM!A738="","",BOM!B738)</f>
        <v/>
      </c>
      <c r="F744" s="35" t="str">
        <f>IF(E744="","",IFERROR(INDEX(DM_NL!$B$5:$B$304,MATCH(E744,DM_NL!$A$5:$A$304,0)),"(chưa có trong DM_NL)"))</f>
        <v/>
      </c>
      <c r="G744" s="35" t="str">
        <f>IF(E744="","",IFERROR(INDEX(DM_NL!$C$5:$C$304,MATCH(E744,DM_NL!$A$5:$A$304,0)),""))</f>
        <v/>
      </c>
      <c r="H744" s="39" t="str">
        <f>IF(OR(E744="",BOM!G738="KXDDM"),"",BOM!F738)</f>
        <v/>
      </c>
      <c r="I744" s="36" t="str">
        <f>IF(E744="","",BOM!G738&amp;"")</f>
        <v/>
      </c>
    </row>
    <row r="745" spans="1:9" x14ac:dyDescent="0.25">
      <c r="A745" s="36" t="str">
        <f>IF(B745="","",MAX($A$10:A744)+1)</f>
        <v/>
      </c>
      <c r="B745" s="35" t="str">
        <f>IF(BOM!A739="","",IF(BOM!A739=BOM!A738,"",BOM!A739))</f>
        <v/>
      </c>
      <c r="C745" s="35" t="str">
        <f>IF(B745="","",IFERROR(INDEX(DM_SP!$B$5:$B$304,MATCH(B745,DM_SP!$A$5:$A$304,0)),"(chưa có trong DM_SP)"))</f>
        <v/>
      </c>
      <c r="D745" s="35" t="str">
        <f>IF(B745="","",IFERROR(INDEX(DM_SP!$C$5:$C$304,MATCH(B745,DM_SP!$A$5:$A$304,0)),""))</f>
        <v/>
      </c>
      <c r="E745" s="35" t="str">
        <f>IF(BOM!A739="","",BOM!B739)</f>
        <v/>
      </c>
      <c r="F745" s="35" t="str">
        <f>IF(E745="","",IFERROR(INDEX(DM_NL!$B$5:$B$304,MATCH(E745,DM_NL!$A$5:$A$304,0)),"(chưa có trong DM_NL)"))</f>
        <v/>
      </c>
      <c r="G745" s="35" t="str">
        <f>IF(E745="","",IFERROR(INDEX(DM_NL!$C$5:$C$304,MATCH(E745,DM_NL!$A$5:$A$304,0)),""))</f>
        <v/>
      </c>
      <c r="H745" s="39" t="str">
        <f>IF(OR(E745="",BOM!G739="KXDDM"),"",BOM!F739)</f>
        <v/>
      </c>
      <c r="I745" s="36" t="str">
        <f>IF(E745="","",BOM!G739&amp;"")</f>
        <v/>
      </c>
    </row>
    <row r="746" spans="1:9" x14ac:dyDescent="0.25">
      <c r="A746" s="36" t="str">
        <f>IF(B746="","",MAX($A$10:A745)+1)</f>
        <v/>
      </c>
      <c r="B746" s="35" t="str">
        <f>IF(BOM!A740="","",IF(BOM!A740=BOM!A739,"",BOM!A740))</f>
        <v/>
      </c>
      <c r="C746" s="35" t="str">
        <f>IF(B746="","",IFERROR(INDEX(DM_SP!$B$5:$B$304,MATCH(B746,DM_SP!$A$5:$A$304,0)),"(chưa có trong DM_SP)"))</f>
        <v/>
      </c>
      <c r="D746" s="35" t="str">
        <f>IF(B746="","",IFERROR(INDEX(DM_SP!$C$5:$C$304,MATCH(B746,DM_SP!$A$5:$A$304,0)),""))</f>
        <v/>
      </c>
      <c r="E746" s="35" t="str">
        <f>IF(BOM!A740="","",BOM!B740)</f>
        <v/>
      </c>
      <c r="F746" s="35" t="str">
        <f>IF(E746="","",IFERROR(INDEX(DM_NL!$B$5:$B$304,MATCH(E746,DM_NL!$A$5:$A$304,0)),"(chưa có trong DM_NL)"))</f>
        <v/>
      </c>
      <c r="G746" s="35" t="str">
        <f>IF(E746="","",IFERROR(INDEX(DM_NL!$C$5:$C$304,MATCH(E746,DM_NL!$A$5:$A$304,0)),""))</f>
        <v/>
      </c>
      <c r="H746" s="39" t="str">
        <f>IF(OR(E746="",BOM!G740="KXDDM"),"",BOM!F740)</f>
        <v/>
      </c>
      <c r="I746" s="36" t="str">
        <f>IF(E746="","",BOM!G740&amp;"")</f>
        <v/>
      </c>
    </row>
    <row r="747" spans="1:9" x14ac:dyDescent="0.25">
      <c r="A747" s="36" t="str">
        <f>IF(B747="","",MAX($A$10:A746)+1)</f>
        <v/>
      </c>
      <c r="B747" s="35" t="str">
        <f>IF(BOM!A741="","",IF(BOM!A741=BOM!A740,"",BOM!A741))</f>
        <v/>
      </c>
      <c r="C747" s="35" t="str">
        <f>IF(B747="","",IFERROR(INDEX(DM_SP!$B$5:$B$304,MATCH(B747,DM_SP!$A$5:$A$304,0)),"(chưa có trong DM_SP)"))</f>
        <v/>
      </c>
      <c r="D747" s="35" t="str">
        <f>IF(B747="","",IFERROR(INDEX(DM_SP!$C$5:$C$304,MATCH(B747,DM_SP!$A$5:$A$304,0)),""))</f>
        <v/>
      </c>
      <c r="E747" s="35" t="str">
        <f>IF(BOM!A741="","",BOM!B741)</f>
        <v/>
      </c>
      <c r="F747" s="35" t="str">
        <f>IF(E747="","",IFERROR(INDEX(DM_NL!$B$5:$B$304,MATCH(E747,DM_NL!$A$5:$A$304,0)),"(chưa có trong DM_NL)"))</f>
        <v/>
      </c>
      <c r="G747" s="35" t="str">
        <f>IF(E747="","",IFERROR(INDEX(DM_NL!$C$5:$C$304,MATCH(E747,DM_NL!$A$5:$A$304,0)),""))</f>
        <v/>
      </c>
      <c r="H747" s="39" t="str">
        <f>IF(OR(E747="",BOM!G741="KXDDM"),"",BOM!F741)</f>
        <v/>
      </c>
      <c r="I747" s="36" t="str">
        <f>IF(E747="","",BOM!G741&amp;"")</f>
        <v/>
      </c>
    </row>
    <row r="748" spans="1:9" x14ac:dyDescent="0.25">
      <c r="A748" s="36" t="str">
        <f>IF(B748="","",MAX($A$10:A747)+1)</f>
        <v/>
      </c>
      <c r="B748" s="35" t="str">
        <f>IF(BOM!A742="","",IF(BOM!A742=BOM!A741,"",BOM!A742))</f>
        <v/>
      </c>
      <c r="C748" s="35" t="str">
        <f>IF(B748="","",IFERROR(INDEX(DM_SP!$B$5:$B$304,MATCH(B748,DM_SP!$A$5:$A$304,0)),"(chưa có trong DM_SP)"))</f>
        <v/>
      </c>
      <c r="D748" s="35" t="str">
        <f>IF(B748="","",IFERROR(INDEX(DM_SP!$C$5:$C$304,MATCH(B748,DM_SP!$A$5:$A$304,0)),""))</f>
        <v/>
      </c>
      <c r="E748" s="35" t="str">
        <f>IF(BOM!A742="","",BOM!B742)</f>
        <v/>
      </c>
      <c r="F748" s="35" t="str">
        <f>IF(E748="","",IFERROR(INDEX(DM_NL!$B$5:$B$304,MATCH(E748,DM_NL!$A$5:$A$304,0)),"(chưa có trong DM_NL)"))</f>
        <v/>
      </c>
      <c r="G748" s="35" t="str">
        <f>IF(E748="","",IFERROR(INDEX(DM_NL!$C$5:$C$304,MATCH(E748,DM_NL!$A$5:$A$304,0)),""))</f>
        <v/>
      </c>
      <c r="H748" s="39" t="str">
        <f>IF(OR(E748="",BOM!G742="KXDDM"),"",BOM!F742)</f>
        <v/>
      </c>
      <c r="I748" s="36" t="str">
        <f>IF(E748="","",BOM!G742&amp;"")</f>
        <v/>
      </c>
    </row>
    <row r="749" spans="1:9" x14ac:dyDescent="0.25">
      <c r="A749" s="36" t="str">
        <f>IF(B749="","",MAX($A$10:A748)+1)</f>
        <v/>
      </c>
      <c r="B749" s="35" t="str">
        <f>IF(BOM!A743="","",IF(BOM!A743=BOM!A742,"",BOM!A743))</f>
        <v/>
      </c>
      <c r="C749" s="35" t="str">
        <f>IF(B749="","",IFERROR(INDEX(DM_SP!$B$5:$B$304,MATCH(B749,DM_SP!$A$5:$A$304,0)),"(chưa có trong DM_SP)"))</f>
        <v/>
      </c>
      <c r="D749" s="35" t="str">
        <f>IF(B749="","",IFERROR(INDEX(DM_SP!$C$5:$C$304,MATCH(B749,DM_SP!$A$5:$A$304,0)),""))</f>
        <v/>
      </c>
      <c r="E749" s="35" t="str">
        <f>IF(BOM!A743="","",BOM!B743)</f>
        <v/>
      </c>
      <c r="F749" s="35" t="str">
        <f>IF(E749="","",IFERROR(INDEX(DM_NL!$B$5:$B$304,MATCH(E749,DM_NL!$A$5:$A$304,0)),"(chưa có trong DM_NL)"))</f>
        <v/>
      </c>
      <c r="G749" s="35" t="str">
        <f>IF(E749="","",IFERROR(INDEX(DM_NL!$C$5:$C$304,MATCH(E749,DM_NL!$A$5:$A$304,0)),""))</f>
        <v/>
      </c>
      <c r="H749" s="39" t="str">
        <f>IF(OR(E749="",BOM!G743="KXDDM"),"",BOM!F743)</f>
        <v/>
      </c>
      <c r="I749" s="36" t="str">
        <f>IF(E749="","",BOM!G743&amp;"")</f>
        <v/>
      </c>
    </row>
    <row r="750" spans="1:9" x14ac:dyDescent="0.25">
      <c r="A750" s="36" t="str">
        <f>IF(B750="","",MAX($A$10:A749)+1)</f>
        <v/>
      </c>
      <c r="B750" s="35" t="str">
        <f>IF(BOM!A744="","",IF(BOM!A744=BOM!A743,"",BOM!A744))</f>
        <v/>
      </c>
      <c r="C750" s="35" t="str">
        <f>IF(B750="","",IFERROR(INDEX(DM_SP!$B$5:$B$304,MATCH(B750,DM_SP!$A$5:$A$304,0)),"(chưa có trong DM_SP)"))</f>
        <v/>
      </c>
      <c r="D750" s="35" t="str">
        <f>IF(B750="","",IFERROR(INDEX(DM_SP!$C$5:$C$304,MATCH(B750,DM_SP!$A$5:$A$304,0)),""))</f>
        <v/>
      </c>
      <c r="E750" s="35" t="str">
        <f>IF(BOM!A744="","",BOM!B744)</f>
        <v/>
      </c>
      <c r="F750" s="35" t="str">
        <f>IF(E750="","",IFERROR(INDEX(DM_NL!$B$5:$B$304,MATCH(E750,DM_NL!$A$5:$A$304,0)),"(chưa có trong DM_NL)"))</f>
        <v/>
      </c>
      <c r="G750" s="35" t="str">
        <f>IF(E750="","",IFERROR(INDEX(DM_NL!$C$5:$C$304,MATCH(E750,DM_NL!$A$5:$A$304,0)),""))</f>
        <v/>
      </c>
      <c r="H750" s="39" t="str">
        <f>IF(OR(E750="",BOM!G744="KXDDM"),"",BOM!F744)</f>
        <v/>
      </c>
      <c r="I750" s="36" t="str">
        <f>IF(E750="","",BOM!G744&amp;"")</f>
        <v/>
      </c>
    </row>
    <row r="751" spans="1:9" x14ac:dyDescent="0.25">
      <c r="A751" s="36" t="str">
        <f>IF(B751="","",MAX($A$10:A750)+1)</f>
        <v/>
      </c>
      <c r="B751" s="35" t="str">
        <f>IF(BOM!A745="","",IF(BOM!A745=BOM!A744,"",BOM!A745))</f>
        <v/>
      </c>
      <c r="C751" s="35" t="str">
        <f>IF(B751="","",IFERROR(INDEX(DM_SP!$B$5:$B$304,MATCH(B751,DM_SP!$A$5:$A$304,0)),"(chưa có trong DM_SP)"))</f>
        <v/>
      </c>
      <c r="D751" s="35" t="str">
        <f>IF(B751="","",IFERROR(INDEX(DM_SP!$C$5:$C$304,MATCH(B751,DM_SP!$A$5:$A$304,0)),""))</f>
        <v/>
      </c>
      <c r="E751" s="35" t="str">
        <f>IF(BOM!A745="","",BOM!B745)</f>
        <v/>
      </c>
      <c r="F751" s="35" t="str">
        <f>IF(E751="","",IFERROR(INDEX(DM_NL!$B$5:$B$304,MATCH(E751,DM_NL!$A$5:$A$304,0)),"(chưa có trong DM_NL)"))</f>
        <v/>
      </c>
      <c r="G751" s="35" t="str">
        <f>IF(E751="","",IFERROR(INDEX(DM_NL!$C$5:$C$304,MATCH(E751,DM_NL!$A$5:$A$304,0)),""))</f>
        <v/>
      </c>
      <c r="H751" s="39" t="str">
        <f>IF(OR(E751="",BOM!G745="KXDDM"),"",BOM!F745)</f>
        <v/>
      </c>
      <c r="I751" s="36" t="str">
        <f>IF(E751="","",BOM!G745&amp;"")</f>
        <v/>
      </c>
    </row>
    <row r="752" spans="1:9" x14ac:dyDescent="0.25">
      <c r="A752" s="36" t="str">
        <f>IF(B752="","",MAX($A$10:A751)+1)</f>
        <v/>
      </c>
      <c r="B752" s="35" t="str">
        <f>IF(BOM!A746="","",IF(BOM!A746=BOM!A745,"",BOM!A746))</f>
        <v/>
      </c>
      <c r="C752" s="35" t="str">
        <f>IF(B752="","",IFERROR(INDEX(DM_SP!$B$5:$B$304,MATCH(B752,DM_SP!$A$5:$A$304,0)),"(chưa có trong DM_SP)"))</f>
        <v/>
      </c>
      <c r="D752" s="35" t="str">
        <f>IF(B752="","",IFERROR(INDEX(DM_SP!$C$5:$C$304,MATCH(B752,DM_SP!$A$5:$A$304,0)),""))</f>
        <v/>
      </c>
      <c r="E752" s="35" t="str">
        <f>IF(BOM!A746="","",BOM!B746)</f>
        <v/>
      </c>
      <c r="F752" s="35" t="str">
        <f>IF(E752="","",IFERROR(INDEX(DM_NL!$B$5:$B$304,MATCH(E752,DM_NL!$A$5:$A$304,0)),"(chưa có trong DM_NL)"))</f>
        <v/>
      </c>
      <c r="G752" s="35" t="str">
        <f>IF(E752="","",IFERROR(INDEX(DM_NL!$C$5:$C$304,MATCH(E752,DM_NL!$A$5:$A$304,0)),""))</f>
        <v/>
      </c>
      <c r="H752" s="39" t="str">
        <f>IF(OR(E752="",BOM!G746="KXDDM"),"",BOM!F746)</f>
        <v/>
      </c>
      <c r="I752" s="36" t="str">
        <f>IF(E752="","",BOM!G746&amp;"")</f>
        <v/>
      </c>
    </row>
    <row r="753" spans="1:9" x14ac:dyDescent="0.25">
      <c r="A753" s="36" t="str">
        <f>IF(B753="","",MAX($A$10:A752)+1)</f>
        <v/>
      </c>
      <c r="B753" s="35" t="str">
        <f>IF(BOM!A747="","",IF(BOM!A747=BOM!A746,"",BOM!A747))</f>
        <v/>
      </c>
      <c r="C753" s="35" t="str">
        <f>IF(B753="","",IFERROR(INDEX(DM_SP!$B$5:$B$304,MATCH(B753,DM_SP!$A$5:$A$304,0)),"(chưa có trong DM_SP)"))</f>
        <v/>
      </c>
      <c r="D753" s="35" t="str">
        <f>IF(B753="","",IFERROR(INDEX(DM_SP!$C$5:$C$304,MATCH(B753,DM_SP!$A$5:$A$304,0)),""))</f>
        <v/>
      </c>
      <c r="E753" s="35" t="str">
        <f>IF(BOM!A747="","",BOM!B747)</f>
        <v/>
      </c>
      <c r="F753" s="35" t="str">
        <f>IF(E753="","",IFERROR(INDEX(DM_NL!$B$5:$B$304,MATCH(E753,DM_NL!$A$5:$A$304,0)),"(chưa có trong DM_NL)"))</f>
        <v/>
      </c>
      <c r="G753" s="35" t="str">
        <f>IF(E753="","",IFERROR(INDEX(DM_NL!$C$5:$C$304,MATCH(E753,DM_NL!$A$5:$A$304,0)),""))</f>
        <v/>
      </c>
      <c r="H753" s="39" t="str">
        <f>IF(OR(E753="",BOM!G747="KXDDM"),"",BOM!F747)</f>
        <v/>
      </c>
      <c r="I753" s="36" t="str">
        <f>IF(E753="","",BOM!G747&amp;"")</f>
        <v/>
      </c>
    </row>
    <row r="754" spans="1:9" x14ac:dyDescent="0.25">
      <c r="A754" s="36" t="str">
        <f>IF(B754="","",MAX($A$10:A753)+1)</f>
        <v/>
      </c>
      <c r="B754" s="35" t="str">
        <f>IF(BOM!A748="","",IF(BOM!A748=BOM!A747,"",BOM!A748))</f>
        <v/>
      </c>
      <c r="C754" s="35" t="str">
        <f>IF(B754="","",IFERROR(INDEX(DM_SP!$B$5:$B$304,MATCH(B754,DM_SP!$A$5:$A$304,0)),"(chưa có trong DM_SP)"))</f>
        <v/>
      </c>
      <c r="D754" s="35" t="str">
        <f>IF(B754="","",IFERROR(INDEX(DM_SP!$C$5:$C$304,MATCH(B754,DM_SP!$A$5:$A$304,0)),""))</f>
        <v/>
      </c>
      <c r="E754" s="35" t="str">
        <f>IF(BOM!A748="","",BOM!B748)</f>
        <v/>
      </c>
      <c r="F754" s="35" t="str">
        <f>IF(E754="","",IFERROR(INDEX(DM_NL!$B$5:$B$304,MATCH(E754,DM_NL!$A$5:$A$304,0)),"(chưa có trong DM_NL)"))</f>
        <v/>
      </c>
      <c r="G754" s="35" t="str">
        <f>IF(E754="","",IFERROR(INDEX(DM_NL!$C$5:$C$304,MATCH(E754,DM_NL!$A$5:$A$304,0)),""))</f>
        <v/>
      </c>
      <c r="H754" s="39" t="str">
        <f>IF(OR(E754="",BOM!G748="KXDDM"),"",BOM!F748)</f>
        <v/>
      </c>
      <c r="I754" s="36" t="str">
        <f>IF(E754="","",BOM!G748&amp;"")</f>
        <v/>
      </c>
    </row>
    <row r="755" spans="1:9" x14ac:dyDescent="0.25">
      <c r="A755" s="36" t="str">
        <f>IF(B755="","",MAX($A$10:A754)+1)</f>
        <v/>
      </c>
      <c r="B755" s="35" t="str">
        <f>IF(BOM!A749="","",IF(BOM!A749=BOM!A748,"",BOM!A749))</f>
        <v/>
      </c>
      <c r="C755" s="35" t="str">
        <f>IF(B755="","",IFERROR(INDEX(DM_SP!$B$5:$B$304,MATCH(B755,DM_SP!$A$5:$A$304,0)),"(chưa có trong DM_SP)"))</f>
        <v/>
      </c>
      <c r="D755" s="35" t="str">
        <f>IF(B755="","",IFERROR(INDEX(DM_SP!$C$5:$C$304,MATCH(B755,DM_SP!$A$5:$A$304,0)),""))</f>
        <v/>
      </c>
      <c r="E755" s="35" t="str">
        <f>IF(BOM!A749="","",BOM!B749)</f>
        <v/>
      </c>
      <c r="F755" s="35" t="str">
        <f>IF(E755="","",IFERROR(INDEX(DM_NL!$B$5:$B$304,MATCH(E755,DM_NL!$A$5:$A$304,0)),"(chưa có trong DM_NL)"))</f>
        <v/>
      </c>
      <c r="G755" s="35" t="str">
        <f>IF(E755="","",IFERROR(INDEX(DM_NL!$C$5:$C$304,MATCH(E755,DM_NL!$A$5:$A$304,0)),""))</f>
        <v/>
      </c>
      <c r="H755" s="39" t="str">
        <f>IF(OR(E755="",BOM!G749="KXDDM"),"",BOM!F749)</f>
        <v/>
      </c>
      <c r="I755" s="36" t="str">
        <f>IF(E755="","",BOM!G749&amp;"")</f>
        <v/>
      </c>
    </row>
    <row r="756" spans="1:9" x14ac:dyDescent="0.25">
      <c r="A756" s="36" t="str">
        <f>IF(B756="","",MAX($A$10:A755)+1)</f>
        <v/>
      </c>
      <c r="B756" s="35" t="str">
        <f>IF(BOM!A750="","",IF(BOM!A750=BOM!A749,"",BOM!A750))</f>
        <v/>
      </c>
      <c r="C756" s="35" t="str">
        <f>IF(B756="","",IFERROR(INDEX(DM_SP!$B$5:$B$304,MATCH(B756,DM_SP!$A$5:$A$304,0)),"(chưa có trong DM_SP)"))</f>
        <v/>
      </c>
      <c r="D756" s="35" t="str">
        <f>IF(B756="","",IFERROR(INDEX(DM_SP!$C$5:$C$304,MATCH(B756,DM_SP!$A$5:$A$304,0)),""))</f>
        <v/>
      </c>
      <c r="E756" s="35" t="str">
        <f>IF(BOM!A750="","",BOM!B750)</f>
        <v/>
      </c>
      <c r="F756" s="35" t="str">
        <f>IF(E756="","",IFERROR(INDEX(DM_NL!$B$5:$B$304,MATCH(E756,DM_NL!$A$5:$A$304,0)),"(chưa có trong DM_NL)"))</f>
        <v/>
      </c>
      <c r="G756" s="35" t="str">
        <f>IF(E756="","",IFERROR(INDEX(DM_NL!$C$5:$C$304,MATCH(E756,DM_NL!$A$5:$A$304,0)),""))</f>
        <v/>
      </c>
      <c r="H756" s="39" t="str">
        <f>IF(OR(E756="",BOM!G750="KXDDM"),"",BOM!F750)</f>
        <v/>
      </c>
      <c r="I756" s="36" t="str">
        <f>IF(E756="","",BOM!G750&amp;"")</f>
        <v/>
      </c>
    </row>
    <row r="757" spans="1:9" x14ac:dyDescent="0.25">
      <c r="A757" s="36" t="str">
        <f>IF(B757="","",MAX($A$10:A756)+1)</f>
        <v/>
      </c>
      <c r="B757" s="35" t="str">
        <f>IF(BOM!A751="","",IF(BOM!A751=BOM!A750,"",BOM!A751))</f>
        <v/>
      </c>
      <c r="C757" s="35" t="str">
        <f>IF(B757="","",IFERROR(INDEX(DM_SP!$B$5:$B$304,MATCH(B757,DM_SP!$A$5:$A$304,0)),"(chưa có trong DM_SP)"))</f>
        <v/>
      </c>
      <c r="D757" s="35" t="str">
        <f>IF(B757="","",IFERROR(INDEX(DM_SP!$C$5:$C$304,MATCH(B757,DM_SP!$A$5:$A$304,0)),""))</f>
        <v/>
      </c>
      <c r="E757" s="35" t="str">
        <f>IF(BOM!A751="","",BOM!B751)</f>
        <v/>
      </c>
      <c r="F757" s="35" t="str">
        <f>IF(E757="","",IFERROR(INDEX(DM_NL!$B$5:$B$304,MATCH(E757,DM_NL!$A$5:$A$304,0)),"(chưa có trong DM_NL)"))</f>
        <v/>
      </c>
      <c r="G757" s="35" t="str">
        <f>IF(E757="","",IFERROR(INDEX(DM_NL!$C$5:$C$304,MATCH(E757,DM_NL!$A$5:$A$304,0)),""))</f>
        <v/>
      </c>
      <c r="H757" s="39" t="str">
        <f>IF(OR(E757="",BOM!G751="KXDDM"),"",BOM!F751)</f>
        <v/>
      </c>
      <c r="I757" s="36" t="str">
        <f>IF(E757="","",BOM!G751&amp;"")</f>
        <v/>
      </c>
    </row>
    <row r="758" spans="1:9" x14ac:dyDescent="0.25">
      <c r="A758" s="36" t="str">
        <f>IF(B758="","",MAX($A$10:A757)+1)</f>
        <v/>
      </c>
      <c r="B758" s="35" t="str">
        <f>IF(BOM!A752="","",IF(BOM!A752=BOM!A751,"",BOM!A752))</f>
        <v/>
      </c>
      <c r="C758" s="35" t="str">
        <f>IF(B758="","",IFERROR(INDEX(DM_SP!$B$5:$B$304,MATCH(B758,DM_SP!$A$5:$A$304,0)),"(chưa có trong DM_SP)"))</f>
        <v/>
      </c>
      <c r="D758" s="35" t="str">
        <f>IF(B758="","",IFERROR(INDEX(DM_SP!$C$5:$C$304,MATCH(B758,DM_SP!$A$5:$A$304,0)),""))</f>
        <v/>
      </c>
      <c r="E758" s="35" t="str">
        <f>IF(BOM!A752="","",BOM!B752)</f>
        <v/>
      </c>
      <c r="F758" s="35" t="str">
        <f>IF(E758="","",IFERROR(INDEX(DM_NL!$B$5:$B$304,MATCH(E758,DM_NL!$A$5:$A$304,0)),"(chưa có trong DM_NL)"))</f>
        <v/>
      </c>
      <c r="G758" s="35" t="str">
        <f>IF(E758="","",IFERROR(INDEX(DM_NL!$C$5:$C$304,MATCH(E758,DM_NL!$A$5:$A$304,0)),""))</f>
        <v/>
      </c>
      <c r="H758" s="39" t="str">
        <f>IF(OR(E758="",BOM!G752="KXDDM"),"",BOM!F752)</f>
        <v/>
      </c>
      <c r="I758" s="36" t="str">
        <f>IF(E758="","",BOM!G752&amp;"")</f>
        <v/>
      </c>
    </row>
    <row r="759" spans="1:9" x14ac:dyDescent="0.25">
      <c r="A759" s="36" t="str">
        <f>IF(B759="","",MAX($A$10:A758)+1)</f>
        <v/>
      </c>
      <c r="B759" s="35" t="str">
        <f>IF(BOM!A753="","",IF(BOM!A753=BOM!A752,"",BOM!A753))</f>
        <v/>
      </c>
      <c r="C759" s="35" t="str">
        <f>IF(B759="","",IFERROR(INDEX(DM_SP!$B$5:$B$304,MATCH(B759,DM_SP!$A$5:$A$304,0)),"(chưa có trong DM_SP)"))</f>
        <v/>
      </c>
      <c r="D759" s="35" t="str">
        <f>IF(B759="","",IFERROR(INDEX(DM_SP!$C$5:$C$304,MATCH(B759,DM_SP!$A$5:$A$304,0)),""))</f>
        <v/>
      </c>
      <c r="E759" s="35" t="str">
        <f>IF(BOM!A753="","",BOM!B753)</f>
        <v/>
      </c>
      <c r="F759" s="35" t="str">
        <f>IF(E759="","",IFERROR(INDEX(DM_NL!$B$5:$B$304,MATCH(E759,DM_NL!$A$5:$A$304,0)),"(chưa có trong DM_NL)"))</f>
        <v/>
      </c>
      <c r="G759" s="35" t="str">
        <f>IF(E759="","",IFERROR(INDEX(DM_NL!$C$5:$C$304,MATCH(E759,DM_NL!$A$5:$A$304,0)),""))</f>
        <v/>
      </c>
      <c r="H759" s="39" t="str">
        <f>IF(OR(E759="",BOM!G753="KXDDM"),"",BOM!F753)</f>
        <v/>
      </c>
      <c r="I759" s="36" t="str">
        <f>IF(E759="","",BOM!G753&amp;"")</f>
        <v/>
      </c>
    </row>
    <row r="760" spans="1:9" x14ac:dyDescent="0.25">
      <c r="A760" s="36" t="str">
        <f>IF(B760="","",MAX($A$10:A759)+1)</f>
        <v/>
      </c>
      <c r="B760" s="35" t="str">
        <f>IF(BOM!A754="","",IF(BOM!A754=BOM!A753,"",BOM!A754))</f>
        <v/>
      </c>
      <c r="C760" s="35" t="str">
        <f>IF(B760="","",IFERROR(INDEX(DM_SP!$B$5:$B$304,MATCH(B760,DM_SP!$A$5:$A$304,0)),"(chưa có trong DM_SP)"))</f>
        <v/>
      </c>
      <c r="D760" s="35" t="str">
        <f>IF(B760="","",IFERROR(INDEX(DM_SP!$C$5:$C$304,MATCH(B760,DM_SP!$A$5:$A$304,0)),""))</f>
        <v/>
      </c>
      <c r="E760" s="35" t="str">
        <f>IF(BOM!A754="","",BOM!B754)</f>
        <v/>
      </c>
      <c r="F760" s="35" t="str">
        <f>IF(E760="","",IFERROR(INDEX(DM_NL!$B$5:$B$304,MATCH(E760,DM_NL!$A$5:$A$304,0)),"(chưa có trong DM_NL)"))</f>
        <v/>
      </c>
      <c r="G760" s="35" t="str">
        <f>IF(E760="","",IFERROR(INDEX(DM_NL!$C$5:$C$304,MATCH(E760,DM_NL!$A$5:$A$304,0)),""))</f>
        <v/>
      </c>
      <c r="H760" s="39" t="str">
        <f>IF(OR(E760="",BOM!G754="KXDDM"),"",BOM!F754)</f>
        <v/>
      </c>
      <c r="I760" s="36" t="str">
        <f>IF(E760="","",BOM!G754&amp;"")</f>
        <v/>
      </c>
    </row>
    <row r="761" spans="1:9" x14ac:dyDescent="0.25">
      <c r="A761" s="36" t="str">
        <f>IF(B761="","",MAX($A$10:A760)+1)</f>
        <v/>
      </c>
      <c r="B761" s="35" t="str">
        <f>IF(BOM!A755="","",IF(BOM!A755=BOM!A754,"",BOM!A755))</f>
        <v/>
      </c>
      <c r="C761" s="35" t="str">
        <f>IF(B761="","",IFERROR(INDEX(DM_SP!$B$5:$B$304,MATCH(B761,DM_SP!$A$5:$A$304,0)),"(chưa có trong DM_SP)"))</f>
        <v/>
      </c>
      <c r="D761" s="35" t="str">
        <f>IF(B761="","",IFERROR(INDEX(DM_SP!$C$5:$C$304,MATCH(B761,DM_SP!$A$5:$A$304,0)),""))</f>
        <v/>
      </c>
      <c r="E761" s="35" t="str">
        <f>IF(BOM!A755="","",BOM!B755)</f>
        <v/>
      </c>
      <c r="F761" s="35" t="str">
        <f>IF(E761="","",IFERROR(INDEX(DM_NL!$B$5:$B$304,MATCH(E761,DM_NL!$A$5:$A$304,0)),"(chưa có trong DM_NL)"))</f>
        <v/>
      </c>
      <c r="G761" s="35" t="str">
        <f>IF(E761="","",IFERROR(INDEX(DM_NL!$C$5:$C$304,MATCH(E761,DM_NL!$A$5:$A$304,0)),""))</f>
        <v/>
      </c>
      <c r="H761" s="39" t="str">
        <f>IF(OR(E761="",BOM!G755="KXDDM"),"",BOM!F755)</f>
        <v/>
      </c>
      <c r="I761" s="36" t="str">
        <f>IF(E761="","",BOM!G755&amp;"")</f>
        <v/>
      </c>
    </row>
    <row r="762" spans="1:9" x14ac:dyDescent="0.25">
      <c r="A762" s="36" t="str">
        <f>IF(B762="","",MAX($A$10:A761)+1)</f>
        <v/>
      </c>
      <c r="B762" s="35" t="str">
        <f>IF(BOM!A756="","",IF(BOM!A756=BOM!A755,"",BOM!A756))</f>
        <v/>
      </c>
      <c r="C762" s="35" t="str">
        <f>IF(B762="","",IFERROR(INDEX(DM_SP!$B$5:$B$304,MATCH(B762,DM_SP!$A$5:$A$304,0)),"(chưa có trong DM_SP)"))</f>
        <v/>
      </c>
      <c r="D762" s="35" t="str">
        <f>IF(B762="","",IFERROR(INDEX(DM_SP!$C$5:$C$304,MATCH(B762,DM_SP!$A$5:$A$304,0)),""))</f>
        <v/>
      </c>
      <c r="E762" s="35" t="str">
        <f>IF(BOM!A756="","",BOM!B756)</f>
        <v/>
      </c>
      <c r="F762" s="35" t="str">
        <f>IF(E762="","",IFERROR(INDEX(DM_NL!$B$5:$B$304,MATCH(E762,DM_NL!$A$5:$A$304,0)),"(chưa có trong DM_NL)"))</f>
        <v/>
      </c>
      <c r="G762" s="35" t="str">
        <f>IF(E762="","",IFERROR(INDEX(DM_NL!$C$5:$C$304,MATCH(E762,DM_NL!$A$5:$A$304,0)),""))</f>
        <v/>
      </c>
      <c r="H762" s="39" t="str">
        <f>IF(OR(E762="",BOM!G756="KXDDM"),"",BOM!F756)</f>
        <v/>
      </c>
      <c r="I762" s="36" t="str">
        <f>IF(E762="","",BOM!G756&amp;"")</f>
        <v/>
      </c>
    </row>
    <row r="763" spans="1:9" x14ac:dyDescent="0.25">
      <c r="A763" s="36" t="str">
        <f>IF(B763="","",MAX($A$10:A762)+1)</f>
        <v/>
      </c>
      <c r="B763" s="35" t="str">
        <f>IF(BOM!A757="","",IF(BOM!A757=BOM!A756,"",BOM!A757))</f>
        <v/>
      </c>
      <c r="C763" s="35" t="str">
        <f>IF(B763="","",IFERROR(INDEX(DM_SP!$B$5:$B$304,MATCH(B763,DM_SP!$A$5:$A$304,0)),"(chưa có trong DM_SP)"))</f>
        <v/>
      </c>
      <c r="D763" s="35" t="str">
        <f>IF(B763="","",IFERROR(INDEX(DM_SP!$C$5:$C$304,MATCH(B763,DM_SP!$A$5:$A$304,0)),""))</f>
        <v/>
      </c>
      <c r="E763" s="35" t="str">
        <f>IF(BOM!A757="","",BOM!B757)</f>
        <v/>
      </c>
      <c r="F763" s="35" t="str">
        <f>IF(E763="","",IFERROR(INDEX(DM_NL!$B$5:$B$304,MATCH(E763,DM_NL!$A$5:$A$304,0)),"(chưa có trong DM_NL)"))</f>
        <v/>
      </c>
      <c r="G763" s="35" t="str">
        <f>IF(E763="","",IFERROR(INDEX(DM_NL!$C$5:$C$304,MATCH(E763,DM_NL!$A$5:$A$304,0)),""))</f>
        <v/>
      </c>
      <c r="H763" s="39" t="str">
        <f>IF(OR(E763="",BOM!G757="KXDDM"),"",BOM!F757)</f>
        <v/>
      </c>
      <c r="I763" s="36" t="str">
        <f>IF(E763="","",BOM!G757&amp;"")</f>
        <v/>
      </c>
    </row>
    <row r="764" spans="1:9" x14ac:dyDescent="0.25">
      <c r="A764" s="36" t="str">
        <f>IF(B764="","",MAX($A$10:A763)+1)</f>
        <v/>
      </c>
      <c r="B764" s="35" t="str">
        <f>IF(BOM!A758="","",IF(BOM!A758=BOM!A757,"",BOM!A758))</f>
        <v/>
      </c>
      <c r="C764" s="35" t="str">
        <f>IF(B764="","",IFERROR(INDEX(DM_SP!$B$5:$B$304,MATCH(B764,DM_SP!$A$5:$A$304,0)),"(chưa có trong DM_SP)"))</f>
        <v/>
      </c>
      <c r="D764" s="35" t="str">
        <f>IF(B764="","",IFERROR(INDEX(DM_SP!$C$5:$C$304,MATCH(B764,DM_SP!$A$5:$A$304,0)),""))</f>
        <v/>
      </c>
      <c r="E764" s="35" t="str">
        <f>IF(BOM!A758="","",BOM!B758)</f>
        <v/>
      </c>
      <c r="F764" s="35" t="str">
        <f>IF(E764="","",IFERROR(INDEX(DM_NL!$B$5:$B$304,MATCH(E764,DM_NL!$A$5:$A$304,0)),"(chưa có trong DM_NL)"))</f>
        <v/>
      </c>
      <c r="G764" s="35" t="str">
        <f>IF(E764="","",IFERROR(INDEX(DM_NL!$C$5:$C$304,MATCH(E764,DM_NL!$A$5:$A$304,0)),""))</f>
        <v/>
      </c>
      <c r="H764" s="39" t="str">
        <f>IF(OR(E764="",BOM!G758="KXDDM"),"",BOM!F758)</f>
        <v/>
      </c>
      <c r="I764" s="36" t="str">
        <f>IF(E764="","",BOM!G758&amp;"")</f>
        <v/>
      </c>
    </row>
    <row r="765" spans="1:9" x14ac:dyDescent="0.25">
      <c r="A765" s="36" t="str">
        <f>IF(B765="","",MAX($A$10:A764)+1)</f>
        <v/>
      </c>
      <c r="B765" s="35" t="str">
        <f>IF(BOM!A759="","",IF(BOM!A759=BOM!A758,"",BOM!A759))</f>
        <v/>
      </c>
      <c r="C765" s="35" t="str">
        <f>IF(B765="","",IFERROR(INDEX(DM_SP!$B$5:$B$304,MATCH(B765,DM_SP!$A$5:$A$304,0)),"(chưa có trong DM_SP)"))</f>
        <v/>
      </c>
      <c r="D765" s="35" t="str">
        <f>IF(B765="","",IFERROR(INDEX(DM_SP!$C$5:$C$304,MATCH(B765,DM_SP!$A$5:$A$304,0)),""))</f>
        <v/>
      </c>
      <c r="E765" s="35" t="str">
        <f>IF(BOM!A759="","",BOM!B759)</f>
        <v/>
      </c>
      <c r="F765" s="35" t="str">
        <f>IF(E765="","",IFERROR(INDEX(DM_NL!$B$5:$B$304,MATCH(E765,DM_NL!$A$5:$A$304,0)),"(chưa có trong DM_NL)"))</f>
        <v/>
      </c>
      <c r="G765" s="35" t="str">
        <f>IF(E765="","",IFERROR(INDEX(DM_NL!$C$5:$C$304,MATCH(E765,DM_NL!$A$5:$A$304,0)),""))</f>
        <v/>
      </c>
      <c r="H765" s="39" t="str">
        <f>IF(OR(E765="",BOM!G759="KXDDM"),"",BOM!F759)</f>
        <v/>
      </c>
      <c r="I765" s="36" t="str">
        <f>IF(E765="","",BOM!G759&amp;"")</f>
        <v/>
      </c>
    </row>
    <row r="766" spans="1:9" x14ac:dyDescent="0.25">
      <c r="A766" s="36" t="str">
        <f>IF(B766="","",MAX($A$10:A765)+1)</f>
        <v/>
      </c>
      <c r="B766" s="35" t="str">
        <f>IF(BOM!A760="","",IF(BOM!A760=BOM!A759,"",BOM!A760))</f>
        <v/>
      </c>
      <c r="C766" s="35" t="str">
        <f>IF(B766="","",IFERROR(INDEX(DM_SP!$B$5:$B$304,MATCH(B766,DM_SP!$A$5:$A$304,0)),"(chưa có trong DM_SP)"))</f>
        <v/>
      </c>
      <c r="D766" s="35" t="str">
        <f>IF(B766="","",IFERROR(INDEX(DM_SP!$C$5:$C$304,MATCH(B766,DM_SP!$A$5:$A$304,0)),""))</f>
        <v/>
      </c>
      <c r="E766" s="35" t="str">
        <f>IF(BOM!A760="","",BOM!B760)</f>
        <v/>
      </c>
      <c r="F766" s="35" t="str">
        <f>IF(E766="","",IFERROR(INDEX(DM_NL!$B$5:$B$304,MATCH(E766,DM_NL!$A$5:$A$304,0)),"(chưa có trong DM_NL)"))</f>
        <v/>
      </c>
      <c r="G766" s="35" t="str">
        <f>IF(E766="","",IFERROR(INDEX(DM_NL!$C$5:$C$304,MATCH(E766,DM_NL!$A$5:$A$304,0)),""))</f>
        <v/>
      </c>
      <c r="H766" s="39" t="str">
        <f>IF(OR(E766="",BOM!G760="KXDDM"),"",BOM!F760)</f>
        <v/>
      </c>
      <c r="I766" s="36" t="str">
        <f>IF(E766="","",BOM!G760&amp;"")</f>
        <v/>
      </c>
    </row>
    <row r="767" spans="1:9" x14ac:dyDescent="0.25">
      <c r="A767" s="36" t="str">
        <f>IF(B767="","",MAX($A$10:A766)+1)</f>
        <v/>
      </c>
      <c r="B767" s="35" t="str">
        <f>IF(BOM!A761="","",IF(BOM!A761=BOM!A760,"",BOM!A761))</f>
        <v/>
      </c>
      <c r="C767" s="35" t="str">
        <f>IF(B767="","",IFERROR(INDEX(DM_SP!$B$5:$B$304,MATCH(B767,DM_SP!$A$5:$A$304,0)),"(chưa có trong DM_SP)"))</f>
        <v/>
      </c>
      <c r="D767" s="35" t="str">
        <f>IF(B767="","",IFERROR(INDEX(DM_SP!$C$5:$C$304,MATCH(B767,DM_SP!$A$5:$A$304,0)),""))</f>
        <v/>
      </c>
      <c r="E767" s="35" t="str">
        <f>IF(BOM!A761="","",BOM!B761)</f>
        <v/>
      </c>
      <c r="F767" s="35" t="str">
        <f>IF(E767="","",IFERROR(INDEX(DM_NL!$B$5:$B$304,MATCH(E767,DM_NL!$A$5:$A$304,0)),"(chưa có trong DM_NL)"))</f>
        <v/>
      </c>
      <c r="G767" s="35" t="str">
        <f>IF(E767="","",IFERROR(INDEX(DM_NL!$C$5:$C$304,MATCH(E767,DM_NL!$A$5:$A$304,0)),""))</f>
        <v/>
      </c>
      <c r="H767" s="39" t="str">
        <f>IF(OR(E767="",BOM!G761="KXDDM"),"",BOM!F761)</f>
        <v/>
      </c>
      <c r="I767" s="36" t="str">
        <f>IF(E767="","",BOM!G761&amp;"")</f>
        <v/>
      </c>
    </row>
    <row r="768" spans="1:9" x14ac:dyDescent="0.25">
      <c r="A768" s="36" t="str">
        <f>IF(B768="","",MAX($A$10:A767)+1)</f>
        <v/>
      </c>
      <c r="B768" s="35" t="str">
        <f>IF(BOM!A762="","",IF(BOM!A762=BOM!A761,"",BOM!A762))</f>
        <v/>
      </c>
      <c r="C768" s="35" t="str">
        <f>IF(B768="","",IFERROR(INDEX(DM_SP!$B$5:$B$304,MATCH(B768,DM_SP!$A$5:$A$304,0)),"(chưa có trong DM_SP)"))</f>
        <v/>
      </c>
      <c r="D768" s="35" t="str">
        <f>IF(B768="","",IFERROR(INDEX(DM_SP!$C$5:$C$304,MATCH(B768,DM_SP!$A$5:$A$304,0)),""))</f>
        <v/>
      </c>
      <c r="E768" s="35" t="str">
        <f>IF(BOM!A762="","",BOM!B762)</f>
        <v/>
      </c>
      <c r="F768" s="35" t="str">
        <f>IF(E768="","",IFERROR(INDEX(DM_NL!$B$5:$B$304,MATCH(E768,DM_NL!$A$5:$A$304,0)),"(chưa có trong DM_NL)"))</f>
        <v/>
      </c>
      <c r="G768" s="35" t="str">
        <f>IF(E768="","",IFERROR(INDEX(DM_NL!$C$5:$C$304,MATCH(E768,DM_NL!$A$5:$A$304,0)),""))</f>
        <v/>
      </c>
      <c r="H768" s="39" t="str">
        <f>IF(OR(E768="",BOM!G762="KXDDM"),"",BOM!F762)</f>
        <v/>
      </c>
      <c r="I768" s="36" t="str">
        <f>IF(E768="","",BOM!G762&amp;"")</f>
        <v/>
      </c>
    </row>
    <row r="769" spans="1:9" x14ac:dyDescent="0.25">
      <c r="A769" s="36" t="str">
        <f>IF(B769="","",MAX($A$10:A768)+1)</f>
        <v/>
      </c>
      <c r="B769" s="35" t="str">
        <f>IF(BOM!A763="","",IF(BOM!A763=BOM!A762,"",BOM!A763))</f>
        <v/>
      </c>
      <c r="C769" s="35" t="str">
        <f>IF(B769="","",IFERROR(INDEX(DM_SP!$B$5:$B$304,MATCH(B769,DM_SP!$A$5:$A$304,0)),"(chưa có trong DM_SP)"))</f>
        <v/>
      </c>
      <c r="D769" s="35" t="str">
        <f>IF(B769="","",IFERROR(INDEX(DM_SP!$C$5:$C$304,MATCH(B769,DM_SP!$A$5:$A$304,0)),""))</f>
        <v/>
      </c>
      <c r="E769" s="35" t="str">
        <f>IF(BOM!A763="","",BOM!B763)</f>
        <v/>
      </c>
      <c r="F769" s="35" t="str">
        <f>IF(E769="","",IFERROR(INDEX(DM_NL!$B$5:$B$304,MATCH(E769,DM_NL!$A$5:$A$304,0)),"(chưa có trong DM_NL)"))</f>
        <v/>
      </c>
      <c r="G769" s="35" t="str">
        <f>IF(E769="","",IFERROR(INDEX(DM_NL!$C$5:$C$304,MATCH(E769,DM_NL!$A$5:$A$304,0)),""))</f>
        <v/>
      </c>
      <c r="H769" s="39" t="str">
        <f>IF(OR(E769="",BOM!G763="KXDDM"),"",BOM!F763)</f>
        <v/>
      </c>
      <c r="I769" s="36" t="str">
        <f>IF(E769="","",BOM!G763&amp;"")</f>
        <v/>
      </c>
    </row>
    <row r="770" spans="1:9" x14ac:dyDescent="0.25">
      <c r="A770" s="36" t="str">
        <f>IF(B770="","",MAX($A$10:A769)+1)</f>
        <v/>
      </c>
      <c r="B770" s="35" t="str">
        <f>IF(BOM!A764="","",IF(BOM!A764=BOM!A763,"",BOM!A764))</f>
        <v/>
      </c>
      <c r="C770" s="35" t="str">
        <f>IF(B770="","",IFERROR(INDEX(DM_SP!$B$5:$B$304,MATCH(B770,DM_SP!$A$5:$A$304,0)),"(chưa có trong DM_SP)"))</f>
        <v/>
      </c>
      <c r="D770" s="35" t="str">
        <f>IF(B770="","",IFERROR(INDEX(DM_SP!$C$5:$C$304,MATCH(B770,DM_SP!$A$5:$A$304,0)),""))</f>
        <v/>
      </c>
      <c r="E770" s="35" t="str">
        <f>IF(BOM!A764="","",BOM!B764)</f>
        <v/>
      </c>
      <c r="F770" s="35" t="str">
        <f>IF(E770="","",IFERROR(INDEX(DM_NL!$B$5:$B$304,MATCH(E770,DM_NL!$A$5:$A$304,0)),"(chưa có trong DM_NL)"))</f>
        <v/>
      </c>
      <c r="G770" s="35" t="str">
        <f>IF(E770="","",IFERROR(INDEX(DM_NL!$C$5:$C$304,MATCH(E770,DM_NL!$A$5:$A$304,0)),""))</f>
        <v/>
      </c>
      <c r="H770" s="39" t="str">
        <f>IF(OR(E770="",BOM!G764="KXDDM"),"",BOM!F764)</f>
        <v/>
      </c>
      <c r="I770" s="36" t="str">
        <f>IF(E770="","",BOM!G764&amp;"")</f>
        <v/>
      </c>
    </row>
    <row r="771" spans="1:9" x14ac:dyDescent="0.25">
      <c r="A771" s="36" t="str">
        <f>IF(B771="","",MAX($A$10:A770)+1)</f>
        <v/>
      </c>
      <c r="B771" s="35" t="str">
        <f>IF(BOM!A765="","",IF(BOM!A765=BOM!A764,"",BOM!A765))</f>
        <v/>
      </c>
      <c r="C771" s="35" t="str">
        <f>IF(B771="","",IFERROR(INDEX(DM_SP!$B$5:$B$304,MATCH(B771,DM_SP!$A$5:$A$304,0)),"(chưa có trong DM_SP)"))</f>
        <v/>
      </c>
      <c r="D771" s="35" t="str">
        <f>IF(B771="","",IFERROR(INDEX(DM_SP!$C$5:$C$304,MATCH(B771,DM_SP!$A$5:$A$304,0)),""))</f>
        <v/>
      </c>
      <c r="E771" s="35" t="str">
        <f>IF(BOM!A765="","",BOM!B765)</f>
        <v/>
      </c>
      <c r="F771" s="35" t="str">
        <f>IF(E771="","",IFERROR(INDEX(DM_NL!$B$5:$B$304,MATCH(E771,DM_NL!$A$5:$A$304,0)),"(chưa có trong DM_NL)"))</f>
        <v/>
      </c>
      <c r="G771" s="35" t="str">
        <f>IF(E771="","",IFERROR(INDEX(DM_NL!$C$5:$C$304,MATCH(E771,DM_NL!$A$5:$A$304,0)),""))</f>
        <v/>
      </c>
      <c r="H771" s="39" t="str">
        <f>IF(OR(E771="",BOM!G765="KXDDM"),"",BOM!F765)</f>
        <v/>
      </c>
      <c r="I771" s="36" t="str">
        <f>IF(E771="","",BOM!G765&amp;"")</f>
        <v/>
      </c>
    </row>
    <row r="772" spans="1:9" x14ac:dyDescent="0.25">
      <c r="A772" s="36" t="str">
        <f>IF(B772="","",MAX($A$10:A771)+1)</f>
        <v/>
      </c>
      <c r="B772" s="35" t="str">
        <f>IF(BOM!A766="","",IF(BOM!A766=BOM!A765,"",BOM!A766))</f>
        <v/>
      </c>
      <c r="C772" s="35" t="str">
        <f>IF(B772="","",IFERROR(INDEX(DM_SP!$B$5:$B$304,MATCH(B772,DM_SP!$A$5:$A$304,0)),"(chưa có trong DM_SP)"))</f>
        <v/>
      </c>
      <c r="D772" s="35" t="str">
        <f>IF(B772="","",IFERROR(INDEX(DM_SP!$C$5:$C$304,MATCH(B772,DM_SP!$A$5:$A$304,0)),""))</f>
        <v/>
      </c>
      <c r="E772" s="35" t="str">
        <f>IF(BOM!A766="","",BOM!B766)</f>
        <v/>
      </c>
      <c r="F772" s="35" t="str">
        <f>IF(E772="","",IFERROR(INDEX(DM_NL!$B$5:$B$304,MATCH(E772,DM_NL!$A$5:$A$304,0)),"(chưa có trong DM_NL)"))</f>
        <v/>
      </c>
      <c r="G772" s="35" t="str">
        <f>IF(E772="","",IFERROR(INDEX(DM_NL!$C$5:$C$304,MATCH(E772,DM_NL!$A$5:$A$304,0)),""))</f>
        <v/>
      </c>
      <c r="H772" s="39" t="str">
        <f>IF(OR(E772="",BOM!G766="KXDDM"),"",BOM!F766)</f>
        <v/>
      </c>
      <c r="I772" s="36" t="str">
        <f>IF(E772="","",BOM!G766&amp;"")</f>
        <v/>
      </c>
    </row>
    <row r="773" spans="1:9" x14ac:dyDescent="0.25">
      <c r="A773" s="36" t="str">
        <f>IF(B773="","",MAX($A$10:A772)+1)</f>
        <v/>
      </c>
      <c r="B773" s="35" t="str">
        <f>IF(BOM!A767="","",IF(BOM!A767=BOM!A766,"",BOM!A767))</f>
        <v/>
      </c>
      <c r="C773" s="35" t="str">
        <f>IF(B773="","",IFERROR(INDEX(DM_SP!$B$5:$B$304,MATCH(B773,DM_SP!$A$5:$A$304,0)),"(chưa có trong DM_SP)"))</f>
        <v/>
      </c>
      <c r="D773" s="35" t="str">
        <f>IF(B773="","",IFERROR(INDEX(DM_SP!$C$5:$C$304,MATCH(B773,DM_SP!$A$5:$A$304,0)),""))</f>
        <v/>
      </c>
      <c r="E773" s="35" t="str">
        <f>IF(BOM!A767="","",BOM!B767)</f>
        <v/>
      </c>
      <c r="F773" s="35" t="str">
        <f>IF(E773="","",IFERROR(INDEX(DM_NL!$B$5:$B$304,MATCH(E773,DM_NL!$A$5:$A$304,0)),"(chưa có trong DM_NL)"))</f>
        <v/>
      </c>
      <c r="G773" s="35" t="str">
        <f>IF(E773="","",IFERROR(INDEX(DM_NL!$C$5:$C$304,MATCH(E773,DM_NL!$A$5:$A$304,0)),""))</f>
        <v/>
      </c>
      <c r="H773" s="39" t="str">
        <f>IF(OR(E773="",BOM!G767="KXDDM"),"",BOM!F767)</f>
        <v/>
      </c>
      <c r="I773" s="36" t="str">
        <f>IF(E773="","",BOM!G767&amp;"")</f>
        <v/>
      </c>
    </row>
    <row r="774" spans="1:9" x14ac:dyDescent="0.25">
      <c r="A774" s="36" t="str">
        <f>IF(B774="","",MAX($A$10:A773)+1)</f>
        <v/>
      </c>
      <c r="B774" s="35" t="str">
        <f>IF(BOM!A768="","",IF(BOM!A768=BOM!A767,"",BOM!A768))</f>
        <v/>
      </c>
      <c r="C774" s="35" t="str">
        <f>IF(B774="","",IFERROR(INDEX(DM_SP!$B$5:$B$304,MATCH(B774,DM_SP!$A$5:$A$304,0)),"(chưa có trong DM_SP)"))</f>
        <v/>
      </c>
      <c r="D774" s="35" t="str">
        <f>IF(B774="","",IFERROR(INDEX(DM_SP!$C$5:$C$304,MATCH(B774,DM_SP!$A$5:$A$304,0)),""))</f>
        <v/>
      </c>
      <c r="E774" s="35" t="str">
        <f>IF(BOM!A768="","",BOM!B768)</f>
        <v/>
      </c>
      <c r="F774" s="35" t="str">
        <f>IF(E774="","",IFERROR(INDEX(DM_NL!$B$5:$B$304,MATCH(E774,DM_NL!$A$5:$A$304,0)),"(chưa có trong DM_NL)"))</f>
        <v/>
      </c>
      <c r="G774" s="35" t="str">
        <f>IF(E774="","",IFERROR(INDEX(DM_NL!$C$5:$C$304,MATCH(E774,DM_NL!$A$5:$A$304,0)),""))</f>
        <v/>
      </c>
      <c r="H774" s="39" t="str">
        <f>IF(OR(E774="",BOM!G768="KXDDM"),"",BOM!F768)</f>
        <v/>
      </c>
      <c r="I774" s="36" t="str">
        <f>IF(E774="","",BOM!G768&amp;"")</f>
        <v/>
      </c>
    </row>
    <row r="775" spans="1:9" x14ac:dyDescent="0.25">
      <c r="A775" s="36" t="str">
        <f>IF(B775="","",MAX($A$10:A774)+1)</f>
        <v/>
      </c>
      <c r="B775" s="35" t="str">
        <f>IF(BOM!A769="","",IF(BOM!A769=BOM!A768,"",BOM!A769))</f>
        <v/>
      </c>
      <c r="C775" s="35" t="str">
        <f>IF(B775="","",IFERROR(INDEX(DM_SP!$B$5:$B$304,MATCH(B775,DM_SP!$A$5:$A$304,0)),"(chưa có trong DM_SP)"))</f>
        <v/>
      </c>
      <c r="D775" s="35" t="str">
        <f>IF(B775="","",IFERROR(INDEX(DM_SP!$C$5:$C$304,MATCH(B775,DM_SP!$A$5:$A$304,0)),""))</f>
        <v/>
      </c>
      <c r="E775" s="35" t="str">
        <f>IF(BOM!A769="","",BOM!B769)</f>
        <v/>
      </c>
      <c r="F775" s="35" t="str">
        <f>IF(E775="","",IFERROR(INDEX(DM_NL!$B$5:$B$304,MATCH(E775,DM_NL!$A$5:$A$304,0)),"(chưa có trong DM_NL)"))</f>
        <v/>
      </c>
      <c r="G775" s="35" t="str">
        <f>IF(E775="","",IFERROR(INDEX(DM_NL!$C$5:$C$304,MATCH(E775,DM_NL!$A$5:$A$304,0)),""))</f>
        <v/>
      </c>
      <c r="H775" s="39" t="str">
        <f>IF(OR(E775="",BOM!G769="KXDDM"),"",BOM!F769)</f>
        <v/>
      </c>
      <c r="I775" s="36" t="str">
        <f>IF(E775="","",BOM!G769&amp;"")</f>
        <v/>
      </c>
    </row>
    <row r="776" spans="1:9" x14ac:dyDescent="0.25">
      <c r="A776" s="36" t="str">
        <f>IF(B776="","",MAX($A$10:A775)+1)</f>
        <v/>
      </c>
      <c r="B776" s="35" t="str">
        <f>IF(BOM!A770="","",IF(BOM!A770=BOM!A769,"",BOM!A770))</f>
        <v/>
      </c>
      <c r="C776" s="35" t="str">
        <f>IF(B776="","",IFERROR(INDEX(DM_SP!$B$5:$B$304,MATCH(B776,DM_SP!$A$5:$A$304,0)),"(chưa có trong DM_SP)"))</f>
        <v/>
      </c>
      <c r="D776" s="35" t="str">
        <f>IF(B776="","",IFERROR(INDEX(DM_SP!$C$5:$C$304,MATCH(B776,DM_SP!$A$5:$A$304,0)),""))</f>
        <v/>
      </c>
      <c r="E776" s="35" t="str">
        <f>IF(BOM!A770="","",BOM!B770)</f>
        <v/>
      </c>
      <c r="F776" s="35" t="str">
        <f>IF(E776="","",IFERROR(INDEX(DM_NL!$B$5:$B$304,MATCH(E776,DM_NL!$A$5:$A$304,0)),"(chưa có trong DM_NL)"))</f>
        <v/>
      </c>
      <c r="G776" s="35" t="str">
        <f>IF(E776="","",IFERROR(INDEX(DM_NL!$C$5:$C$304,MATCH(E776,DM_NL!$A$5:$A$304,0)),""))</f>
        <v/>
      </c>
      <c r="H776" s="39" t="str">
        <f>IF(OR(E776="",BOM!G770="KXDDM"),"",BOM!F770)</f>
        <v/>
      </c>
      <c r="I776" s="36" t="str">
        <f>IF(E776="","",BOM!G770&amp;"")</f>
        <v/>
      </c>
    </row>
    <row r="777" spans="1:9" x14ac:dyDescent="0.25">
      <c r="A777" s="36" t="str">
        <f>IF(B777="","",MAX($A$10:A776)+1)</f>
        <v/>
      </c>
      <c r="B777" s="35" t="str">
        <f>IF(BOM!A771="","",IF(BOM!A771=BOM!A770,"",BOM!A771))</f>
        <v/>
      </c>
      <c r="C777" s="35" t="str">
        <f>IF(B777="","",IFERROR(INDEX(DM_SP!$B$5:$B$304,MATCH(B777,DM_SP!$A$5:$A$304,0)),"(chưa có trong DM_SP)"))</f>
        <v/>
      </c>
      <c r="D777" s="35" t="str">
        <f>IF(B777="","",IFERROR(INDEX(DM_SP!$C$5:$C$304,MATCH(B777,DM_SP!$A$5:$A$304,0)),""))</f>
        <v/>
      </c>
      <c r="E777" s="35" t="str">
        <f>IF(BOM!A771="","",BOM!B771)</f>
        <v/>
      </c>
      <c r="F777" s="35" t="str">
        <f>IF(E777="","",IFERROR(INDEX(DM_NL!$B$5:$B$304,MATCH(E777,DM_NL!$A$5:$A$304,0)),"(chưa có trong DM_NL)"))</f>
        <v/>
      </c>
      <c r="G777" s="35" t="str">
        <f>IF(E777="","",IFERROR(INDEX(DM_NL!$C$5:$C$304,MATCH(E777,DM_NL!$A$5:$A$304,0)),""))</f>
        <v/>
      </c>
      <c r="H777" s="39" t="str">
        <f>IF(OR(E777="",BOM!G771="KXDDM"),"",BOM!F771)</f>
        <v/>
      </c>
      <c r="I777" s="36" t="str">
        <f>IF(E777="","",BOM!G771&amp;"")</f>
        <v/>
      </c>
    </row>
    <row r="778" spans="1:9" x14ac:dyDescent="0.25">
      <c r="A778" s="36" t="str">
        <f>IF(B778="","",MAX($A$10:A777)+1)</f>
        <v/>
      </c>
      <c r="B778" s="35" t="str">
        <f>IF(BOM!A772="","",IF(BOM!A772=BOM!A771,"",BOM!A772))</f>
        <v/>
      </c>
      <c r="C778" s="35" t="str">
        <f>IF(B778="","",IFERROR(INDEX(DM_SP!$B$5:$B$304,MATCH(B778,DM_SP!$A$5:$A$304,0)),"(chưa có trong DM_SP)"))</f>
        <v/>
      </c>
      <c r="D778" s="35" t="str">
        <f>IF(B778="","",IFERROR(INDEX(DM_SP!$C$5:$C$304,MATCH(B778,DM_SP!$A$5:$A$304,0)),""))</f>
        <v/>
      </c>
      <c r="E778" s="35" t="str">
        <f>IF(BOM!A772="","",BOM!B772)</f>
        <v/>
      </c>
      <c r="F778" s="35" t="str">
        <f>IF(E778="","",IFERROR(INDEX(DM_NL!$B$5:$B$304,MATCH(E778,DM_NL!$A$5:$A$304,0)),"(chưa có trong DM_NL)"))</f>
        <v/>
      </c>
      <c r="G778" s="35" t="str">
        <f>IF(E778="","",IFERROR(INDEX(DM_NL!$C$5:$C$304,MATCH(E778,DM_NL!$A$5:$A$304,0)),""))</f>
        <v/>
      </c>
      <c r="H778" s="39" t="str">
        <f>IF(OR(E778="",BOM!G772="KXDDM"),"",BOM!F772)</f>
        <v/>
      </c>
      <c r="I778" s="36" t="str">
        <f>IF(E778="","",BOM!G772&amp;"")</f>
        <v/>
      </c>
    </row>
    <row r="779" spans="1:9" x14ac:dyDescent="0.25">
      <c r="A779" s="36" t="str">
        <f>IF(B779="","",MAX($A$10:A778)+1)</f>
        <v/>
      </c>
      <c r="B779" s="35" t="str">
        <f>IF(BOM!A773="","",IF(BOM!A773=BOM!A772,"",BOM!A773))</f>
        <v/>
      </c>
      <c r="C779" s="35" t="str">
        <f>IF(B779="","",IFERROR(INDEX(DM_SP!$B$5:$B$304,MATCH(B779,DM_SP!$A$5:$A$304,0)),"(chưa có trong DM_SP)"))</f>
        <v/>
      </c>
      <c r="D779" s="35" t="str">
        <f>IF(B779="","",IFERROR(INDEX(DM_SP!$C$5:$C$304,MATCH(B779,DM_SP!$A$5:$A$304,0)),""))</f>
        <v/>
      </c>
      <c r="E779" s="35" t="str">
        <f>IF(BOM!A773="","",BOM!B773)</f>
        <v/>
      </c>
      <c r="F779" s="35" t="str">
        <f>IF(E779="","",IFERROR(INDEX(DM_NL!$B$5:$B$304,MATCH(E779,DM_NL!$A$5:$A$304,0)),"(chưa có trong DM_NL)"))</f>
        <v/>
      </c>
      <c r="G779" s="35" t="str">
        <f>IF(E779="","",IFERROR(INDEX(DM_NL!$C$5:$C$304,MATCH(E779,DM_NL!$A$5:$A$304,0)),""))</f>
        <v/>
      </c>
      <c r="H779" s="39" t="str">
        <f>IF(OR(E779="",BOM!G773="KXDDM"),"",BOM!F773)</f>
        <v/>
      </c>
      <c r="I779" s="36" t="str">
        <f>IF(E779="","",BOM!G773&amp;"")</f>
        <v/>
      </c>
    </row>
    <row r="780" spans="1:9" x14ac:dyDescent="0.25">
      <c r="A780" s="36" t="str">
        <f>IF(B780="","",MAX($A$10:A779)+1)</f>
        <v/>
      </c>
      <c r="B780" s="35" t="str">
        <f>IF(BOM!A774="","",IF(BOM!A774=BOM!A773,"",BOM!A774))</f>
        <v/>
      </c>
      <c r="C780" s="35" t="str">
        <f>IF(B780="","",IFERROR(INDEX(DM_SP!$B$5:$B$304,MATCH(B780,DM_SP!$A$5:$A$304,0)),"(chưa có trong DM_SP)"))</f>
        <v/>
      </c>
      <c r="D780" s="35" t="str">
        <f>IF(B780="","",IFERROR(INDEX(DM_SP!$C$5:$C$304,MATCH(B780,DM_SP!$A$5:$A$304,0)),""))</f>
        <v/>
      </c>
      <c r="E780" s="35" t="str">
        <f>IF(BOM!A774="","",BOM!B774)</f>
        <v/>
      </c>
      <c r="F780" s="35" t="str">
        <f>IF(E780="","",IFERROR(INDEX(DM_NL!$B$5:$B$304,MATCH(E780,DM_NL!$A$5:$A$304,0)),"(chưa có trong DM_NL)"))</f>
        <v/>
      </c>
      <c r="G780" s="35" t="str">
        <f>IF(E780="","",IFERROR(INDEX(DM_NL!$C$5:$C$304,MATCH(E780,DM_NL!$A$5:$A$304,0)),""))</f>
        <v/>
      </c>
      <c r="H780" s="39" t="str">
        <f>IF(OR(E780="",BOM!G774="KXDDM"),"",BOM!F774)</f>
        <v/>
      </c>
      <c r="I780" s="36" t="str">
        <f>IF(E780="","",BOM!G774&amp;"")</f>
        <v/>
      </c>
    </row>
    <row r="781" spans="1:9" x14ac:dyDescent="0.25">
      <c r="A781" s="36" t="str">
        <f>IF(B781="","",MAX($A$10:A780)+1)</f>
        <v/>
      </c>
      <c r="B781" s="35" t="str">
        <f>IF(BOM!A775="","",IF(BOM!A775=BOM!A774,"",BOM!A775))</f>
        <v/>
      </c>
      <c r="C781" s="35" t="str">
        <f>IF(B781="","",IFERROR(INDEX(DM_SP!$B$5:$B$304,MATCH(B781,DM_SP!$A$5:$A$304,0)),"(chưa có trong DM_SP)"))</f>
        <v/>
      </c>
      <c r="D781" s="35" t="str">
        <f>IF(B781="","",IFERROR(INDEX(DM_SP!$C$5:$C$304,MATCH(B781,DM_SP!$A$5:$A$304,0)),""))</f>
        <v/>
      </c>
      <c r="E781" s="35" t="str">
        <f>IF(BOM!A775="","",BOM!B775)</f>
        <v/>
      </c>
      <c r="F781" s="35" t="str">
        <f>IF(E781="","",IFERROR(INDEX(DM_NL!$B$5:$B$304,MATCH(E781,DM_NL!$A$5:$A$304,0)),"(chưa có trong DM_NL)"))</f>
        <v/>
      </c>
      <c r="G781" s="35" t="str">
        <f>IF(E781="","",IFERROR(INDEX(DM_NL!$C$5:$C$304,MATCH(E781,DM_NL!$A$5:$A$304,0)),""))</f>
        <v/>
      </c>
      <c r="H781" s="39" t="str">
        <f>IF(OR(E781="",BOM!G775="KXDDM"),"",BOM!F775)</f>
        <v/>
      </c>
      <c r="I781" s="36" t="str">
        <f>IF(E781="","",BOM!G775&amp;"")</f>
        <v/>
      </c>
    </row>
    <row r="782" spans="1:9" x14ac:dyDescent="0.25">
      <c r="A782" s="36" t="str">
        <f>IF(B782="","",MAX($A$10:A781)+1)</f>
        <v/>
      </c>
      <c r="B782" s="35" t="str">
        <f>IF(BOM!A776="","",IF(BOM!A776=BOM!A775,"",BOM!A776))</f>
        <v/>
      </c>
      <c r="C782" s="35" t="str">
        <f>IF(B782="","",IFERROR(INDEX(DM_SP!$B$5:$B$304,MATCH(B782,DM_SP!$A$5:$A$304,0)),"(chưa có trong DM_SP)"))</f>
        <v/>
      </c>
      <c r="D782" s="35" t="str">
        <f>IF(B782="","",IFERROR(INDEX(DM_SP!$C$5:$C$304,MATCH(B782,DM_SP!$A$5:$A$304,0)),""))</f>
        <v/>
      </c>
      <c r="E782" s="35" t="str">
        <f>IF(BOM!A776="","",BOM!B776)</f>
        <v/>
      </c>
      <c r="F782" s="35" t="str">
        <f>IF(E782="","",IFERROR(INDEX(DM_NL!$B$5:$B$304,MATCH(E782,DM_NL!$A$5:$A$304,0)),"(chưa có trong DM_NL)"))</f>
        <v/>
      </c>
      <c r="G782" s="35" t="str">
        <f>IF(E782="","",IFERROR(INDEX(DM_NL!$C$5:$C$304,MATCH(E782,DM_NL!$A$5:$A$304,0)),""))</f>
        <v/>
      </c>
      <c r="H782" s="39" t="str">
        <f>IF(OR(E782="",BOM!G776="KXDDM"),"",BOM!F776)</f>
        <v/>
      </c>
      <c r="I782" s="36" t="str">
        <f>IF(E782="","",BOM!G776&amp;"")</f>
        <v/>
      </c>
    </row>
    <row r="783" spans="1:9" x14ac:dyDescent="0.25">
      <c r="A783" s="36" t="str">
        <f>IF(B783="","",MAX($A$10:A782)+1)</f>
        <v/>
      </c>
      <c r="B783" s="35" t="str">
        <f>IF(BOM!A777="","",IF(BOM!A777=BOM!A776,"",BOM!A777))</f>
        <v/>
      </c>
      <c r="C783" s="35" t="str">
        <f>IF(B783="","",IFERROR(INDEX(DM_SP!$B$5:$B$304,MATCH(B783,DM_SP!$A$5:$A$304,0)),"(chưa có trong DM_SP)"))</f>
        <v/>
      </c>
      <c r="D783" s="35" t="str">
        <f>IF(B783="","",IFERROR(INDEX(DM_SP!$C$5:$C$304,MATCH(B783,DM_SP!$A$5:$A$304,0)),""))</f>
        <v/>
      </c>
      <c r="E783" s="35" t="str">
        <f>IF(BOM!A777="","",BOM!B777)</f>
        <v/>
      </c>
      <c r="F783" s="35" t="str">
        <f>IF(E783="","",IFERROR(INDEX(DM_NL!$B$5:$B$304,MATCH(E783,DM_NL!$A$5:$A$304,0)),"(chưa có trong DM_NL)"))</f>
        <v/>
      </c>
      <c r="G783" s="35" t="str">
        <f>IF(E783="","",IFERROR(INDEX(DM_NL!$C$5:$C$304,MATCH(E783,DM_NL!$A$5:$A$304,0)),""))</f>
        <v/>
      </c>
      <c r="H783" s="39" t="str">
        <f>IF(OR(E783="",BOM!G777="KXDDM"),"",BOM!F777)</f>
        <v/>
      </c>
      <c r="I783" s="36" t="str">
        <f>IF(E783="","",BOM!G777&amp;"")</f>
        <v/>
      </c>
    </row>
    <row r="784" spans="1:9" x14ac:dyDescent="0.25">
      <c r="A784" s="36" t="str">
        <f>IF(B784="","",MAX($A$10:A783)+1)</f>
        <v/>
      </c>
      <c r="B784" s="35" t="str">
        <f>IF(BOM!A778="","",IF(BOM!A778=BOM!A777,"",BOM!A778))</f>
        <v/>
      </c>
      <c r="C784" s="35" t="str">
        <f>IF(B784="","",IFERROR(INDEX(DM_SP!$B$5:$B$304,MATCH(B784,DM_SP!$A$5:$A$304,0)),"(chưa có trong DM_SP)"))</f>
        <v/>
      </c>
      <c r="D784" s="35" t="str">
        <f>IF(B784="","",IFERROR(INDEX(DM_SP!$C$5:$C$304,MATCH(B784,DM_SP!$A$5:$A$304,0)),""))</f>
        <v/>
      </c>
      <c r="E784" s="35" t="str">
        <f>IF(BOM!A778="","",BOM!B778)</f>
        <v/>
      </c>
      <c r="F784" s="35" t="str">
        <f>IF(E784="","",IFERROR(INDEX(DM_NL!$B$5:$B$304,MATCH(E784,DM_NL!$A$5:$A$304,0)),"(chưa có trong DM_NL)"))</f>
        <v/>
      </c>
      <c r="G784" s="35" t="str">
        <f>IF(E784="","",IFERROR(INDEX(DM_NL!$C$5:$C$304,MATCH(E784,DM_NL!$A$5:$A$304,0)),""))</f>
        <v/>
      </c>
      <c r="H784" s="39" t="str">
        <f>IF(OR(E784="",BOM!G778="KXDDM"),"",BOM!F778)</f>
        <v/>
      </c>
      <c r="I784" s="36" t="str">
        <f>IF(E784="","",BOM!G778&amp;"")</f>
        <v/>
      </c>
    </row>
    <row r="785" spans="1:9" x14ac:dyDescent="0.25">
      <c r="A785" s="36" t="str">
        <f>IF(B785="","",MAX($A$10:A784)+1)</f>
        <v/>
      </c>
      <c r="B785" s="35" t="str">
        <f>IF(BOM!A779="","",IF(BOM!A779=BOM!A778,"",BOM!A779))</f>
        <v/>
      </c>
      <c r="C785" s="35" t="str">
        <f>IF(B785="","",IFERROR(INDEX(DM_SP!$B$5:$B$304,MATCH(B785,DM_SP!$A$5:$A$304,0)),"(chưa có trong DM_SP)"))</f>
        <v/>
      </c>
      <c r="D785" s="35" t="str">
        <f>IF(B785="","",IFERROR(INDEX(DM_SP!$C$5:$C$304,MATCH(B785,DM_SP!$A$5:$A$304,0)),""))</f>
        <v/>
      </c>
      <c r="E785" s="35" t="str">
        <f>IF(BOM!A779="","",BOM!B779)</f>
        <v/>
      </c>
      <c r="F785" s="35" t="str">
        <f>IF(E785="","",IFERROR(INDEX(DM_NL!$B$5:$B$304,MATCH(E785,DM_NL!$A$5:$A$304,0)),"(chưa có trong DM_NL)"))</f>
        <v/>
      </c>
      <c r="G785" s="35" t="str">
        <f>IF(E785="","",IFERROR(INDEX(DM_NL!$C$5:$C$304,MATCH(E785,DM_NL!$A$5:$A$304,0)),""))</f>
        <v/>
      </c>
      <c r="H785" s="39" t="str">
        <f>IF(OR(E785="",BOM!G779="KXDDM"),"",BOM!F779)</f>
        <v/>
      </c>
      <c r="I785" s="36" t="str">
        <f>IF(E785="","",BOM!G779&amp;"")</f>
        <v/>
      </c>
    </row>
    <row r="786" spans="1:9" x14ac:dyDescent="0.25">
      <c r="A786" s="36" t="str">
        <f>IF(B786="","",MAX($A$10:A785)+1)</f>
        <v/>
      </c>
      <c r="B786" s="35" t="str">
        <f>IF(BOM!A780="","",IF(BOM!A780=BOM!A779,"",BOM!A780))</f>
        <v/>
      </c>
      <c r="C786" s="35" t="str">
        <f>IF(B786="","",IFERROR(INDEX(DM_SP!$B$5:$B$304,MATCH(B786,DM_SP!$A$5:$A$304,0)),"(chưa có trong DM_SP)"))</f>
        <v/>
      </c>
      <c r="D786" s="35" t="str">
        <f>IF(B786="","",IFERROR(INDEX(DM_SP!$C$5:$C$304,MATCH(B786,DM_SP!$A$5:$A$304,0)),""))</f>
        <v/>
      </c>
      <c r="E786" s="35" t="str">
        <f>IF(BOM!A780="","",BOM!B780)</f>
        <v/>
      </c>
      <c r="F786" s="35" t="str">
        <f>IF(E786="","",IFERROR(INDEX(DM_NL!$B$5:$B$304,MATCH(E786,DM_NL!$A$5:$A$304,0)),"(chưa có trong DM_NL)"))</f>
        <v/>
      </c>
      <c r="G786" s="35" t="str">
        <f>IF(E786="","",IFERROR(INDEX(DM_NL!$C$5:$C$304,MATCH(E786,DM_NL!$A$5:$A$304,0)),""))</f>
        <v/>
      </c>
      <c r="H786" s="39" t="str">
        <f>IF(OR(E786="",BOM!G780="KXDDM"),"",BOM!F780)</f>
        <v/>
      </c>
      <c r="I786" s="36" t="str">
        <f>IF(E786="","",BOM!G780&amp;"")</f>
        <v/>
      </c>
    </row>
    <row r="787" spans="1:9" x14ac:dyDescent="0.25">
      <c r="A787" s="36" t="str">
        <f>IF(B787="","",MAX($A$10:A786)+1)</f>
        <v/>
      </c>
      <c r="B787" s="35" t="str">
        <f>IF(BOM!A781="","",IF(BOM!A781=BOM!A780,"",BOM!A781))</f>
        <v/>
      </c>
      <c r="C787" s="35" t="str">
        <f>IF(B787="","",IFERROR(INDEX(DM_SP!$B$5:$B$304,MATCH(B787,DM_SP!$A$5:$A$304,0)),"(chưa có trong DM_SP)"))</f>
        <v/>
      </c>
      <c r="D787" s="35" t="str">
        <f>IF(B787="","",IFERROR(INDEX(DM_SP!$C$5:$C$304,MATCH(B787,DM_SP!$A$5:$A$304,0)),""))</f>
        <v/>
      </c>
      <c r="E787" s="35" t="str">
        <f>IF(BOM!A781="","",BOM!B781)</f>
        <v/>
      </c>
      <c r="F787" s="35" t="str">
        <f>IF(E787="","",IFERROR(INDEX(DM_NL!$B$5:$B$304,MATCH(E787,DM_NL!$A$5:$A$304,0)),"(chưa có trong DM_NL)"))</f>
        <v/>
      </c>
      <c r="G787" s="35" t="str">
        <f>IF(E787="","",IFERROR(INDEX(DM_NL!$C$5:$C$304,MATCH(E787,DM_NL!$A$5:$A$304,0)),""))</f>
        <v/>
      </c>
      <c r="H787" s="39" t="str">
        <f>IF(OR(E787="",BOM!G781="KXDDM"),"",BOM!F781)</f>
        <v/>
      </c>
      <c r="I787" s="36" t="str">
        <f>IF(E787="","",BOM!G781&amp;"")</f>
        <v/>
      </c>
    </row>
    <row r="788" spans="1:9" x14ac:dyDescent="0.25">
      <c r="A788" s="36" t="str">
        <f>IF(B788="","",MAX($A$10:A787)+1)</f>
        <v/>
      </c>
      <c r="B788" s="35" t="str">
        <f>IF(BOM!A782="","",IF(BOM!A782=BOM!A781,"",BOM!A782))</f>
        <v/>
      </c>
      <c r="C788" s="35" t="str">
        <f>IF(B788="","",IFERROR(INDEX(DM_SP!$B$5:$B$304,MATCH(B788,DM_SP!$A$5:$A$304,0)),"(chưa có trong DM_SP)"))</f>
        <v/>
      </c>
      <c r="D788" s="35" t="str">
        <f>IF(B788="","",IFERROR(INDEX(DM_SP!$C$5:$C$304,MATCH(B788,DM_SP!$A$5:$A$304,0)),""))</f>
        <v/>
      </c>
      <c r="E788" s="35" t="str">
        <f>IF(BOM!A782="","",BOM!B782)</f>
        <v/>
      </c>
      <c r="F788" s="35" t="str">
        <f>IF(E788="","",IFERROR(INDEX(DM_NL!$B$5:$B$304,MATCH(E788,DM_NL!$A$5:$A$304,0)),"(chưa có trong DM_NL)"))</f>
        <v/>
      </c>
      <c r="G788" s="35" t="str">
        <f>IF(E788="","",IFERROR(INDEX(DM_NL!$C$5:$C$304,MATCH(E788,DM_NL!$A$5:$A$304,0)),""))</f>
        <v/>
      </c>
      <c r="H788" s="39" t="str">
        <f>IF(OR(E788="",BOM!G782="KXDDM"),"",BOM!F782)</f>
        <v/>
      </c>
      <c r="I788" s="36" t="str">
        <f>IF(E788="","",BOM!G782&amp;"")</f>
        <v/>
      </c>
    </row>
    <row r="789" spans="1:9" x14ac:dyDescent="0.25">
      <c r="A789" s="36" t="str">
        <f>IF(B789="","",MAX($A$10:A788)+1)</f>
        <v/>
      </c>
      <c r="B789" s="35" t="str">
        <f>IF(BOM!A783="","",IF(BOM!A783=BOM!A782,"",BOM!A783))</f>
        <v/>
      </c>
      <c r="C789" s="35" t="str">
        <f>IF(B789="","",IFERROR(INDEX(DM_SP!$B$5:$B$304,MATCH(B789,DM_SP!$A$5:$A$304,0)),"(chưa có trong DM_SP)"))</f>
        <v/>
      </c>
      <c r="D789" s="35" t="str">
        <f>IF(B789="","",IFERROR(INDEX(DM_SP!$C$5:$C$304,MATCH(B789,DM_SP!$A$5:$A$304,0)),""))</f>
        <v/>
      </c>
      <c r="E789" s="35" t="str">
        <f>IF(BOM!A783="","",BOM!B783)</f>
        <v/>
      </c>
      <c r="F789" s="35" t="str">
        <f>IF(E789="","",IFERROR(INDEX(DM_NL!$B$5:$B$304,MATCH(E789,DM_NL!$A$5:$A$304,0)),"(chưa có trong DM_NL)"))</f>
        <v/>
      </c>
      <c r="G789" s="35" t="str">
        <f>IF(E789="","",IFERROR(INDEX(DM_NL!$C$5:$C$304,MATCH(E789,DM_NL!$A$5:$A$304,0)),""))</f>
        <v/>
      </c>
      <c r="H789" s="39" t="str">
        <f>IF(OR(E789="",BOM!G783="KXDDM"),"",BOM!F783)</f>
        <v/>
      </c>
      <c r="I789" s="36" t="str">
        <f>IF(E789="","",BOM!G783&amp;"")</f>
        <v/>
      </c>
    </row>
    <row r="790" spans="1:9" x14ac:dyDescent="0.25">
      <c r="A790" s="36" t="str">
        <f>IF(B790="","",MAX($A$10:A789)+1)</f>
        <v/>
      </c>
      <c r="B790" s="35" t="str">
        <f>IF(BOM!A784="","",IF(BOM!A784=BOM!A783,"",BOM!A784))</f>
        <v/>
      </c>
      <c r="C790" s="35" t="str">
        <f>IF(B790="","",IFERROR(INDEX(DM_SP!$B$5:$B$304,MATCH(B790,DM_SP!$A$5:$A$304,0)),"(chưa có trong DM_SP)"))</f>
        <v/>
      </c>
      <c r="D790" s="35" t="str">
        <f>IF(B790="","",IFERROR(INDEX(DM_SP!$C$5:$C$304,MATCH(B790,DM_SP!$A$5:$A$304,0)),""))</f>
        <v/>
      </c>
      <c r="E790" s="35" t="str">
        <f>IF(BOM!A784="","",BOM!B784)</f>
        <v/>
      </c>
      <c r="F790" s="35" t="str">
        <f>IF(E790="","",IFERROR(INDEX(DM_NL!$B$5:$B$304,MATCH(E790,DM_NL!$A$5:$A$304,0)),"(chưa có trong DM_NL)"))</f>
        <v/>
      </c>
      <c r="G790" s="35" t="str">
        <f>IF(E790="","",IFERROR(INDEX(DM_NL!$C$5:$C$304,MATCH(E790,DM_NL!$A$5:$A$304,0)),""))</f>
        <v/>
      </c>
      <c r="H790" s="39" t="str">
        <f>IF(OR(E790="",BOM!G784="KXDDM"),"",BOM!F784)</f>
        <v/>
      </c>
      <c r="I790" s="36" t="str">
        <f>IF(E790="","",BOM!G784&amp;"")</f>
        <v/>
      </c>
    </row>
    <row r="791" spans="1:9" x14ac:dyDescent="0.25">
      <c r="A791" s="36" t="str">
        <f>IF(B791="","",MAX($A$10:A790)+1)</f>
        <v/>
      </c>
      <c r="B791" s="35" t="str">
        <f>IF(BOM!A785="","",IF(BOM!A785=BOM!A784,"",BOM!A785))</f>
        <v/>
      </c>
      <c r="C791" s="35" t="str">
        <f>IF(B791="","",IFERROR(INDEX(DM_SP!$B$5:$B$304,MATCH(B791,DM_SP!$A$5:$A$304,0)),"(chưa có trong DM_SP)"))</f>
        <v/>
      </c>
      <c r="D791" s="35" t="str">
        <f>IF(B791="","",IFERROR(INDEX(DM_SP!$C$5:$C$304,MATCH(B791,DM_SP!$A$5:$A$304,0)),""))</f>
        <v/>
      </c>
      <c r="E791" s="35" t="str">
        <f>IF(BOM!A785="","",BOM!B785)</f>
        <v/>
      </c>
      <c r="F791" s="35" t="str">
        <f>IF(E791="","",IFERROR(INDEX(DM_NL!$B$5:$B$304,MATCH(E791,DM_NL!$A$5:$A$304,0)),"(chưa có trong DM_NL)"))</f>
        <v/>
      </c>
      <c r="G791" s="35" t="str">
        <f>IF(E791="","",IFERROR(INDEX(DM_NL!$C$5:$C$304,MATCH(E791,DM_NL!$A$5:$A$304,0)),""))</f>
        <v/>
      </c>
      <c r="H791" s="39" t="str">
        <f>IF(OR(E791="",BOM!G785="KXDDM"),"",BOM!F785)</f>
        <v/>
      </c>
      <c r="I791" s="36" t="str">
        <f>IF(E791="","",BOM!G785&amp;"")</f>
        <v/>
      </c>
    </row>
    <row r="792" spans="1:9" x14ac:dyDescent="0.25">
      <c r="A792" s="36" t="str">
        <f>IF(B792="","",MAX($A$10:A791)+1)</f>
        <v/>
      </c>
      <c r="B792" s="35" t="str">
        <f>IF(BOM!A786="","",IF(BOM!A786=BOM!A785,"",BOM!A786))</f>
        <v/>
      </c>
      <c r="C792" s="35" t="str">
        <f>IF(B792="","",IFERROR(INDEX(DM_SP!$B$5:$B$304,MATCH(B792,DM_SP!$A$5:$A$304,0)),"(chưa có trong DM_SP)"))</f>
        <v/>
      </c>
      <c r="D792" s="35" t="str">
        <f>IF(B792="","",IFERROR(INDEX(DM_SP!$C$5:$C$304,MATCH(B792,DM_SP!$A$5:$A$304,0)),""))</f>
        <v/>
      </c>
      <c r="E792" s="35" t="str">
        <f>IF(BOM!A786="","",BOM!B786)</f>
        <v/>
      </c>
      <c r="F792" s="35" t="str">
        <f>IF(E792="","",IFERROR(INDEX(DM_NL!$B$5:$B$304,MATCH(E792,DM_NL!$A$5:$A$304,0)),"(chưa có trong DM_NL)"))</f>
        <v/>
      </c>
      <c r="G792" s="35" t="str">
        <f>IF(E792="","",IFERROR(INDEX(DM_NL!$C$5:$C$304,MATCH(E792,DM_NL!$A$5:$A$304,0)),""))</f>
        <v/>
      </c>
      <c r="H792" s="39" t="str">
        <f>IF(OR(E792="",BOM!G786="KXDDM"),"",BOM!F786)</f>
        <v/>
      </c>
      <c r="I792" s="36" t="str">
        <f>IF(E792="","",BOM!G786&amp;"")</f>
        <v/>
      </c>
    </row>
    <row r="793" spans="1:9" x14ac:dyDescent="0.25">
      <c r="A793" s="36" t="str">
        <f>IF(B793="","",MAX($A$10:A792)+1)</f>
        <v/>
      </c>
      <c r="B793" s="35" t="str">
        <f>IF(BOM!A787="","",IF(BOM!A787=BOM!A786,"",BOM!A787))</f>
        <v/>
      </c>
      <c r="C793" s="35" t="str">
        <f>IF(B793="","",IFERROR(INDEX(DM_SP!$B$5:$B$304,MATCH(B793,DM_SP!$A$5:$A$304,0)),"(chưa có trong DM_SP)"))</f>
        <v/>
      </c>
      <c r="D793" s="35" t="str">
        <f>IF(B793="","",IFERROR(INDEX(DM_SP!$C$5:$C$304,MATCH(B793,DM_SP!$A$5:$A$304,0)),""))</f>
        <v/>
      </c>
      <c r="E793" s="35" t="str">
        <f>IF(BOM!A787="","",BOM!B787)</f>
        <v/>
      </c>
      <c r="F793" s="35" t="str">
        <f>IF(E793="","",IFERROR(INDEX(DM_NL!$B$5:$B$304,MATCH(E793,DM_NL!$A$5:$A$304,0)),"(chưa có trong DM_NL)"))</f>
        <v/>
      </c>
      <c r="G793" s="35" t="str">
        <f>IF(E793="","",IFERROR(INDEX(DM_NL!$C$5:$C$304,MATCH(E793,DM_NL!$A$5:$A$304,0)),""))</f>
        <v/>
      </c>
      <c r="H793" s="39" t="str">
        <f>IF(OR(E793="",BOM!G787="KXDDM"),"",BOM!F787)</f>
        <v/>
      </c>
      <c r="I793" s="36" t="str">
        <f>IF(E793="","",BOM!G787&amp;"")</f>
        <v/>
      </c>
    </row>
    <row r="794" spans="1:9" x14ac:dyDescent="0.25">
      <c r="A794" s="36" t="str">
        <f>IF(B794="","",MAX($A$10:A793)+1)</f>
        <v/>
      </c>
      <c r="B794" s="35" t="str">
        <f>IF(BOM!A788="","",IF(BOM!A788=BOM!A787,"",BOM!A788))</f>
        <v/>
      </c>
      <c r="C794" s="35" t="str">
        <f>IF(B794="","",IFERROR(INDEX(DM_SP!$B$5:$B$304,MATCH(B794,DM_SP!$A$5:$A$304,0)),"(chưa có trong DM_SP)"))</f>
        <v/>
      </c>
      <c r="D794" s="35" t="str">
        <f>IF(B794="","",IFERROR(INDEX(DM_SP!$C$5:$C$304,MATCH(B794,DM_SP!$A$5:$A$304,0)),""))</f>
        <v/>
      </c>
      <c r="E794" s="35" t="str">
        <f>IF(BOM!A788="","",BOM!B788)</f>
        <v/>
      </c>
      <c r="F794" s="35" t="str">
        <f>IF(E794="","",IFERROR(INDEX(DM_NL!$B$5:$B$304,MATCH(E794,DM_NL!$A$5:$A$304,0)),"(chưa có trong DM_NL)"))</f>
        <v/>
      </c>
      <c r="G794" s="35" t="str">
        <f>IF(E794="","",IFERROR(INDEX(DM_NL!$C$5:$C$304,MATCH(E794,DM_NL!$A$5:$A$304,0)),""))</f>
        <v/>
      </c>
      <c r="H794" s="39" t="str">
        <f>IF(OR(E794="",BOM!G788="KXDDM"),"",BOM!F788)</f>
        <v/>
      </c>
      <c r="I794" s="36" t="str">
        <f>IF(E794="","",BOM!G788&amp;"")</f>
        <v/>
      </c>
    </row>
    <row r="795" spans="1:9" x14ac:dyDescent="0.25">
      <c r="A795" s="36" t="str">
        <f>IF(B795="","",MAX($A$10:A794)+1)</f>
        <v/>
      </c>
      <c r="B795" s="35" t="str">
        <f>IF(BOM!A789="","",IF(BOM!A789=BOM!A788,"",BOM!A789))</f>
        <v/>
      </c>
      <c r="C795" s="35" t="str">
        <f>IF(B795="","",IFERROR(INDEX(DM_SP!$B$5:$B$304,MATCH(B795,DM_SP!$A$5:$A$304,0)),"(chưa có trong DM_SP)"))</f>
        <v/>
      </c>
      <c r="D795" s="35" t="str">
        <f>IF(B795="","",IFERROR(INDEX(DM_SP!$C$5:$C$304,MATCH(B795,DM_SP!$A$5:$A$304,0)),""))</f>
        <v/>
      </c>
      <c r="E795" s="35" t="str">
        <f>IF(BOM!A789="","",BOM!B789)</f>
        <v/>
      </c>
      <c r="F795" s="35" t="str">
        <f>IF(E795="","",IFERROR(INDEX(DM_NL!$B$5:$B$304,MATCH(E795,DM_NL!$A$5:$A$304,0)),"(chưa có trong DM_NL)"))</f>
        <v/>
      </c>
      <c r="G795" s="35" t="str">
        <f>IF(E795="","",IFERROR(INDEX(DM_NL!$C$5:$C$304,MATCH(E795,DM_NL!$A$5:$A$304,0)),""))</f>
        <v/>
      </c>
      <c r="H795" s="39" t="str">
        <f>IF(OR(E795="",BOM!G789="KXDDM"),"",BOM!F789)</f>
        <v/>
      </c>
      <c r="I795" s="36" t="str">
        <f>IF(E795="","",BOM!G789&amp;"")</f>
        <v/>
      </c>
    </row>
    <row r="796" spans="1:9" x14ac:dyDescent="0.25">
      <c r="A796" s="36" t="str">
        <f>IF(B796="","",MAX($A$10:A795)+1)</f>
        <v/>
      </c>
      <c r="B796" s="35" t="str">
        <f>IF(BOM!A790="","",IF(BOM!A790=BOM!A789,"",BOM!A790))</f>
        <v/>
      </c>
      <c r="C796" s="35" t="str">
        <f>IF(B796="","",IFERROR(INDEX(DM_SP!$B$5:$B$304,MATCH(B796,DM_SP!$A$5:$A$304,0)),"(chưa có trong DM_SP)"))</f>
        <v/>
      </c>
      <c r="D796" s="35" t="str">
        <f>IF(B796="","",IFERROR(INDEX(DM_SP!$C$5:$C$304,MATCH(B796,DM_SP!$A$5:$A$304,0)),""))</f>
        <v/>
      </c>
      <c r="E796" s="35" t="str">
        <f>IF(BOM!A790="","",BOM!B790)</f>
        <v/>
      </c>
      <c r="F796" s="35" t="str">
        <f>IF(E796="","",IFERROR(INDEX(DM_NL!$B$5:$B$304,MATCH(E796,DM_NL!$A$5:$A$304,0)),"(chưa có trong DM_NL)"))</f>
        <v/>
      </c>
      <c r="G796" s="35" t="str">
        <f>IF(E796="","",IFERROR(INDEX(DM_NL!$C$5:$C$304,MATCH(E796,DM_NL!$A$5:$A$304,0)),""))</f>
        <v/>
      </c>
      <c r="H796" s="39" t="str">
        <f>IF(OR(E796="",BOM!G790="KXDDM"),"",BOM!F790)</f>
        <v/>
      </c>
      <c r="I796" s="36" t="str">
        <f>IF(E796="","",BOM!G790&amp;"")</f>
        <v/>
      </c>
    </row>
    <row r="797" spans="1:9" x14ac:dyDescent="0.25">
      <c r="A797" s="36" t="str">
        <f>IF(B797="","",MAX($A$10:A796)+1)</f>
        <v/>
      </c>
      <c r="B797" s="35" t="str">
        <f>IF(BOM!A791="","",IF(BOM!A791=BOM!A790,"",BOM!A791))</f>
        <v/>
      </c>
      <c r="C797" s="35" t="str">
        <f>IF(B797="","",IFERROR(INDEX(DM_SP!$B$5:$B$304,MATCH(B797,DM_SP!$A$5:$A$304,0)),"(chưa có trong DM_SP)"))</f>
        <v/>
      </c>
      <c r="D797" s="35" t="str">
        <f>IF(B797="","",IFERROR(INDEX(DM_SP!$C$5:$C$304,MATCH(B797,DM_SP!$A$5:$A$304,0)),""))</f>
        <v/>
      </c>
      <c r="E797" s="35" t="str">
        <f>IF(BOM!A791="","",BOM!B791)</f>
        <v/>
      </c>
      <c r="F797" s="35" t="str">
        <f>IF(E797="","",IFERROR(INDEX(DM_NL!$B$5:$B$304,MATCH(E797,DM_NL!$A$5:$A$304,0)),"(chưa có trong DM_NL)"))</f>
        <v/>
      </c>
      <c r="G797" s="35" t="str">
        <f>IF(E797="","",IFERROR(INDEX(DM_NL!$C$5:$C$304,MATCH(E797,DM_NL!$A$5:$A$304,0)),""))</f>
        <v/>
      </c>
      <c r="H797" s="39" t="str">
        <f>IF(OR(E797="",BOM!G791="KXDDM"),"",BOM!F791)</f>
        <v/>
      </c>
      <c r="I797" s="36" t="str">
        <f>IF(E797="","",BOM!G791&amp;"")</f>
        <v/>
      </c>
    </row>
    <row r="798" spans="1:9" x14ac:dyDescent="0.25">
      <c r="A798" s="36" t="str">
        <f>IF(B798="","",MAX($A$10:A797)+1)</f>
        <v/>
      </c>
      <c r="B798" s="35" t="str">
        <f>IF(BOM!A792="","",IF(BOM!A792=BOM!A791,"",BOM!A792))</f>
        <v/>
      </c>
      <c r="C798" s="35" t="str">
        <f>IF(B798="","",IFERROR(INDEX(DM_SP!$B$5:$B$304,MATCH(B798,DM_SP!$A$5:$A$304,0)),"(chưa có trong DM_SP)"))</f>
        <v/>
      </c>
      <c r="D798" s="35" t="str">
        <f>IF(B798="","",IFERROR(INDEX(DM_SP!$C$5:$C$304,MATCH(B798,DM_SP!$A$5:$A$304,0)),""))</f>
        <v/>
      </c>
      <c r="E798" s="35" t="str">
        <f>IF(BOM!A792="","",BOM!B792)</f>
        <v/>
      </c>
      <c r="F798" s="35" t="str">
        <f>IF(E798="","",IFERROR(INDEX(DM_NL!$B$5:$B$304,MATCH(E798,DM_NL!$A$5:$A$304,0)),"(chưa có trong DM_NL)"))</f>
        <v/>
      </c>
      <c r="G798" s="35" t="str">
        <f>IF(E798="","",IFERROR(INDEX(DM_NL!$C$5:$C$304,MATCH(E798,DM_NL!$A$5:$A$304,0)),""))</f>
        <v/>
      </c>
      <c r="H798" s="39" t="str">
        <f>IF(OR(E798="",BOM!G792="KXDDM"),"",BOM!F792)</f>
        <v/>
      </c>
      <c r="I798" s="36" t="str">
        <f>IF(E798="","",BOM!G792&amp;"")</f>
        <v/>
      </c>
    </row>
    <row r="799" spans="1:9" x14ac:dyDescent="0.25">
      <c r="A799" s="36" t="str">
        <f>IF(B799="","",MAX($A$10:A798)+1)</f>
        <v/>
      </c>
      <c r="B799" s="35" t="str">
        <f>IF(BOM!A793="","",IF(BOM!A793=BOM!A792,"",BOM!A793))</f>
        <v/>
      </c>
      <c r="C799" s="35" t="str">
        <f>IF(B799="","",IFERROR(INDEX(DM_SP!$B$5:$B$304,MATCH(B799,DM_SP!$A$5:$A$304,0)),"(chưa có trong DM_SP)"))</f>
        <v/>
      </c>
      <c r="D799" s="35" t="str">
        <f>IF(B799="","",IFERROR(INDEX(DM_SP!$C$5:$C$304,MATCH(B799,DM_SP!$A$5:$A$304,0)),""))</f>
        <v/>
      </c>
      <c r="E799" s="35" t="str">
        <f>IF(BOM!A793="","",BOM!B793)</f>
        <v/>
      </c>
      <c r="F799" s="35" t="str">
        <f>IF(E799="","",IFERROR(INDEX(DM_NL!$B$5:$B$304,MATCH(E799,DM_NL!$A$5:$A$304,0)),"(chưa có trong DM_NL)"))</f>
        <v/>
      </c>
      <c r="G799" s="35" t="str">
        <f>IF(E799="","",IFERROR(INDEX(DM_NL!$C$5:$C$304,MATCH(E799,DM_NL!$A$5:$A$304,0)),""))</f>
        <v/>
      </c>
      <c r="H799" s="39" t="str">
        <f>IF(OR(E799="",BOM!G793="KXDDM"),"",BOM!F793)</f>
        <v/>
      </c>
      <c r="I799" s="36" t="str">
        <f>IF(E799="","",BOM!G793&amp;"")</f>
        <v/>
      </c>
    </row>
    <row r="800" spans="1:9" x14ac:dyDescent="0.25">
      <c r="A800" s="36" t="str">
        <f>IF(B800="","",MAX($A$10:A799)+1)</f>
        <v/>
      </c>
      <c r="B800" s="35" t="str">
        <f>IF(BOM!A794="","",IF(BOM!A794=BOM!A793,"",BOM!A794))</f>
        <v/>
      </c>
      <c r="C800" s="35" t="str">
        <f>IF(B800="","",IFERROR(INDEX(DM_SP!$B$5:$B$304,MATCH(B800,DM_SP!$A$5:$A$304,0)),"(chưa có trong DM_SP)"))</f>
        <v/>
      </c>
      <c r="D800" s="35" t="str">
        <f>IF(B800="","",IFERROR(INDEX(DM_SP!$C$5:$C$304,MATCH(B800,DM_SP!$A$5:$A$304,0)),""))</f>
        <v/>
      </c>
      <c r="E800" s="35" t="str">
        <f>IF(BOM!A794="","",BOM!B794)</f>
        <v/>
      </c>
      <c r="F800" s="35" t="str">
        <f>IF(E800="","",IFERROR(INDEX(DM_NL!$B$5:$B$304,MATCH(E800,DM_NL!$A$5:$A$304,0)),"(chưa có trong DM_NL)"))</f>
        <v/>
      </c>
      <c r="G800" s="35" t="str">
        <f>IF(E800="","",IFERROR(INDEX(DM_NL!$C$5:$C$304,MATCH(E800,DM_NL!$A$5:$A$304,0)),""))</f>
        <v/>
      </c>
      <c r="H800" s="39" t="str">
        <f>IF(OR(E800="",BOM!G794="KXDDM"),"",BOM!F794)</f>
        <v/>
      </c>
      <c r="I800" s="36" t="str">
        <f>IF(E800="","",BOM!G794&amp;"")</f>
        <v/>
      </c>
    </row>
    <row r="801" spans="1:9" x14ac:dyDescent="0.25">
      <c r="A801" s="36" t="str">
        <f>IF(B801="","",MAX($A$10:A800)+1)</f>
        <v/>
      </c>
      <c r="B801" s="35" t="str">
        <f>IF(BOM!A795="","",IF(BOM!A795=BOM!A794,"",BOM!A795))</f>
        <v/>
      </c>
      <c r="C801" s="35" t="str">
        <f>IF(B801="","",IFERROR(INDEX(DM_SP!$B$5:$B$304,MATCH(B801,DM_SP!$A$5:$A$304,0)),"(chưa có trong DM_SP)"))</f>
        <v/>
      </c>
      <c r="D801" s="35" t="str">
        <f>IF(B801="","",IFERROR(INDEX(DM_SP!$C$5:$C$304,MATCH(B801,DM_SP!$A$5:$A$304,0)),""))</f>
        <v/>
      </c>
      <c r="E801" s="35" t="str">
        <f>IF(BOM!A795="","",BOM!B795)</f>
        <v/>
      </c>
      <c r="F801" s="35" t="str">
        <f>IF(E801="","",IFERROR(INDEX(DM_NL!$B$5:$B$304,MATCH(E801,DM_NL!$A$5:$A$304,0)),"(chưa có trong DM_NL)"))</f>
        <v/>
      </c>
      <c r="G801" s="35" t="str">
        <f>IF(E801="","",IFERROR(INDEX(DM_NL!$C$5:$C$304,MATCH(E801,DM_NL!$A$5:$A$304,0)),""))</f>
        <v/>
      </c>
      <c r="H801" s="39" t="str">
        <f>IF(OR(E801="",BOM!G795="KXDDM"),"",BOM!F795)</f>
        <v/>
      </c>
      <c r="I801" s="36" t="str">
        <f>IF(E801="","",BOM!G795&amp;"")</f>
        <v/>
      </c>
    </row>
    <row r="802" spans="1:9" x14ac:dyDescent="0.25">
      <c r="A802" s="36" t="str">
        <f>IF(B802="","",MAX($A$10:A801)+1)</f>
        <v/>
      </c>
      <c r="B802" s="35" t="str">
        <f>IF(BOM!A796="","",IF(BOM!A796=BOM!A795,"",BOM!A796))</f>
        <v/>
      </c>
      <c r="C802" s="35" t="str">
        <f>IF(B802="","",IFERROR(INDEX(DM_SP!$B$5:$B$304,MATCH(B802,DM_SP!$A$5:$A$304,0)),"(chưa có trong DM_SP)"))</f>
        <v/>
      </c>
      <c r="D802" s="35" t="str">
        <f>IF(B802="","",IFERROR(INDEX(DM_SP!$C$5:$C$304,MATCH(B802,DM_SP!$A$5:$A$304,0)),""))</f>
        <v/>
      </c>
      <c r="E802" s="35" t="str">
        <f>IF(BOM!A796="","",BOM!B796)</f>
        <v/>
      </c>
      <c r="F802" s="35" t="str">
        <f>IF(E802="","",IFERROR(INDEX(DM_NL!$B$5:$B$304,MATCH(E802,DM_NL!$A$5:$A$304,0)),"(chưa có trong DM_NL)"))</f>
        <v/>
      </c>
      <c r="G802" s="35" t="str">
        <f>IF(E802="","",IFERROR(INDEX(DM_NL!$C$5:$C$304,MATCH(E802,DM_NL!$A$5:$A$304,0)),""))</f>
        <v/>
      </c>
      <c r="H802" s="39" t="str">
        <f>IF(OR(E802="",BOM!G796="KXDDM"),"",BOM!F796)</f>
        <v/>
      </c>
      <c r="I802" s="36" t="str">
        <f>IF(E802="","",BOM!G796&amp;"")</f>
        <v/>
      </c>
    </row>
    <row r="803" spans="1:9" x14ac:dyDescent="0.25">
      <c r="A803" s="36" t="str">
        <f>IF(B803="","",MAX($A$10:A802)+1)</f>
        <v/>
      </c>
      <c r="B803" s="35" t="str">
        <f>IF(BOM!A797="","",IF(BOM!A797=BOM!A796,"",BOM!A797))</f>
        <v/>
      </c>
      <c r="C803" s="35" t="str">
        <f>IF(B803="","",IFERROR(INDEX(DM_SP!$B$5:$B$304,MATCH(B803,DM_SP!$A$5:$A$304,0)),"(chưa có trong DM_SP)"))</f>
        <v/>
      </c>
      <c r="D803" s="35" t="str">
        <f>IF(B803="","",IFERROR(INDEX(DM_SP!$C$5:$C$304,MATCH(B803,DM_SP!$A$5:$A$304,0)),""))</f>
        <v/>
      </c>
      <c r="E803" s="35" t="str">
        <f>IF(BOM!A797="","",BOM!B797)</f>
        <v/>
      </c>
      <c r="F803" s="35" t="str">
        <f>IF(E803="","",IFERROR(INDEX(DM_NL!$B$5:$B$304,MATCH(E803,DM_NL!$A$5:$A$304,0)),"(chưa có trong DM_NL)"))</f>
        <v/>
      </c>
      <c r="G803" s="35" t="str">
        <f>IF(E803="","",IFERROR(INDEX(DM_NL!$C$5:$C$304,MATCH(E803,DM_NL!$A$5:$A$304,0)),""))</f>
        <v/>
      </c>
      <c r="H803" s="39" t="str">
        <f>IF(OR(E803="",BOM!G797="KXDDM"),"",BOM!F797)</f>
        <v/>
      </c>
      <c r="I803" s="36" t="str">
        <f>IF(E803="","",BOM!G797&amp;"")</f>
        <v/>
      </c>
    </row>
    <row r="804" spans="1:9" x14ac:dyDescent="0.25">
      <c r="A804" s="36" t="str">
        <f>IF(B804="","",MAX($A$10:A803)+1)</f>
        <v/>
      </c>
      <c r="B804" s="35" t="str">
        <f>IF(BOM!A798="","",IF(BOM!A798=BOM!A797,"",BOM!A798))</f>
        <v/>
      </c>
      <c r="C804" s="35" t="str">
        <f>IF(B804="","",IFERROR(INDEX(DM_SP!$B$5:$B$304,MATCH(B804,DM_SP!$A$5:$A$304,0)),"(chưa có trong DM_SP)"))</f>
        <v/>
      </c>
      <c r="D804" s="35" t="str">
        <f>IF(B804="","",IFERROR(INDEX(DM_SP!$C$5:$C$304,MATCH(B804,DM_SP!$A$5:$A$304,0)),""))</f>
        <v/>
      </c>
      <c r="E804" s="35" t="str">
        <f>IF(BOM!A798="","",BOM!B798)</f>
        <v/>
      </c>
      <c r="F804" s="35" t="str">
        <f>IF(E804="","",IFERROR(INDEX(DM_NL!$B$5:$B$304,MATCH(E804,DM_NL!$A$5:$A$304,0)),"(chưa có trong DM_NL)"))</f>
        <v/>
      </c>
      <c r="G804" s="35" t="str">
        <f>IF(E804="","",IFERROR(INDEX(DM_NL!$C$5:$C$304,MATCH(E804,DM_NL!$A$5:$A$304,0)),""))</f>
        <v/>
      </c>
      <c r="H804" s="39" t="str">
        <f>IF(OR(E804="",BOM!G798="KXDDM"),"",BOM!F798)</f>
        <v/>
      </c>
      <c r="I804" s="36" t="str">
        <f>IF(E804="","",BOM!G798&amp;"")</f>
        <v/>
      </c>
    </row>
    <row r="805" spans="1:9" x14ac:dyDescent="0.25">
      <c r="A805" s="36" t="str">
        <f>IF(B805="","",MAX($A$10:A804)+1)</f>
        <v/>
      </c>
      <c r="B805" s="35" t="str">
        <f>IF(BOM!A799="","",IF(BOM!A799=BOM!A798,"",BOM!A799))</f>
        <v/>
      </c>
      <c r="C805" s="35" t="str">
        <f>IF(B805="","",IFERROR(INDEX(DM_SP!$B$5:$B$304,MATCH(B805,DM_SP!$A$5:$A$304,0)),"(chưa có trong DM_SP)"))</f>
        <v/>
      </c>
      <c r="D805" s="35" t="str">
        <f>IF(B805="","",IFERROR(INDEX(DM_SP!$C$5:$C$304,MATCH(B805,DM_SP!$A$5:$A$304,0)),""))</f>
        <v/>
      </c>
      <c r="E805" s="35" t="str">
        <f>IF(BOM!A799="","",BOM!B799)</f>
        <v/>
      </c>
      <c r="F805" s="35" t="str">
        <f>IF(E805="","",IFERROR(INDEX(DM_NL!$B$5:$B$304,MATCH(E805,DM_NL!$A$5:$A$304,0)),"(chưa có trong DM_NL)"))</f>
        <v/>
      </c>
      <c r="G805" s="35" t="str">
        <f>IF(E805="","",IFERROR(INDEX(DM_NL!$C$5:$C$304,MATCH(E805,DM_NL!$A$5:$A$304,0)),""))</f>
        <v/>
      </c>
      <c r="H805" s="39" t="str">
        <f>IF(OR(E805="",BOM!G799="KXDDM"),"",BOM!F799)</f>
        <v/>
      </c>
      <c r="I805" s="36" t="str">
        <f>IF(E805="","",BOM!G799&amp;"")</f>
        <v/>
      </c>
    </row>
    <row r="806" spans="1:9" x14ac:dyDescent="0.25">
      <c r="A806" s="36" t="str">
        <f>IF(B806="","",MAX($A$10:A805)+1)</f>
        <v/>
      </c>
      <c r="B806" s="35" t="str">
        <f>IF(BOM!A800="","",IF(BOM!A800=BOM!A799,"",BOM!A800))</f>
        <v/>
      </c>
      <c r="C806" s="35" t="str">
        <f>IF(B806="","",IFERROR(INDEX(DM_SP!$B$5:$B$304,MATCH(B806,DM_SP!$A$5:$A$304,0)),"(chưa có trong DM_SP)"))</f>
        <v/>
      </c>
      <c r="D806" s="35" t="str">
        <f>IF(B806="","",IFERROR(INDEX(DM_SP!$C$5:$C$304,MATCH(B806,DM_SP!$A$5:$A$304,0)),""))</f>
        <v/>
      </c>
      <c r="E806" s="35" t="str">
        <f>IF(BOM!A800="","",BOM!B800)</f>
        <v/>
      </c>
      <c r="F806" s="35" t="str">
        <f>IF(E806="","",IFERROR(INDEX(DM_NL!$B$5:$B$304,MATCH(E806,DM_NL!$A$5:$A$304,0)),"(chưa có trong DM_NL)"))</f>
        <v/>
      </c>
      <c r="G806" s="35" t="str">
        <f>IF(E806="","",IFERROR(INDEX(DM_NL!$C$5:$C$304,MATCH(E806,DM_NL!$A$5:$A$304,0)),""))</f>
        <v/>
      </c>
      <c r="H806" s="39" t="str">
        <f>IF(OR(E806="",BOM!G800="KXDDM"),"",BOM!F800)</f>
        <v/>
      </c>
      <c r="I806" s="36" t="str">
        <f>IF(E806="","",BOM!G800&amp;"")</f>
        <v/>
      </c>
    </row>
    <row r="807" spans="1:9" x14ac:dyDescent="0.25">
      <c r="A807" s="36" t="str">
        <f>IF(B807="","",MAX($A$10:A806)+1)</f>
        <v/>
      </c>
      <c r="B807" s="35" t="str">
        <f>IF(BOM!A801="","",IF(BOM!A801=BOM!A800,"",BOM!A801))</f>
        <v/>
      </c>
      <c r="C807" s="35" t="str">
        <f>IF(B807="","",IFERROR(INDEX(DM_SP!$B$5:$B$304,MATCH(B807,DM_SP!$A$5:$A$304,0)),"(chưa có trong DM_SP)"))</f>
        <v/>
      </c>
      <c r="D807" s="35" t="str">
        <f>IF(B807="","",IFERROR(INDEX(DM_SP!$C$5:$C$304,MATCH(B807,DM_SP!$A$5:$A$304,0)),""))</f>
        <v/>
      </c>
      <c r="E807" s="35" t="str">
        <f>IF(BOM!A801="","",BOM!B801)</f>
        <v/>
      </c>
      <c r="F807" s="35" t="str">
        <f>IF(E807="","",IFERROR(INDEX(DM_NL!$B$5:$B$304,MATCH(E807,DM_NL!$A$5:$A$304,0)),"(chưa có trong DM_NL)"))</f>
        <v/>
      </c>
      <c r="G807" s="35" t="str">
        <f>IF(E807="","",IFERROR(INDEX(DM_NL!$C$5:$C$304,MATCH(E807,DM_NL!$A$5:$A$304,0)),""))</f>
        <v/>
      </c>
      <c r="H807" s="39" t="str">
        <f>IF(OR(E807="",BOM!G801="KXDDM"),"",BOM!F801)</f>
        <v/>
      </c>
      <c r="I807" s="36" t="str">
        <f>IF(E807="","",BOM!G801&amp;"")</f>
        <v/>
      </c>
    </row>
    <row r="808" spans="1:9" x14ac:dyDescent="0.25">
      <c r="A808" s="36" t="str">
        <f>IF(B808="","",MAX($A$10:A807)+1)</f>
        <v/>
      </c>
      <c r="B808" s="35" t="str">
        <f>IF(BOM!A802="","",IF(BOM!A802=BOM!A801,"",BOM!A802))</f>
        <v/>
      </c>
      <c r="C808" s="35" t="str">
        <f>IF(B808="","",IFERROR(INDEX(DM_SP!$B$5:$B$304,MATCH(B808,DM_SP!$A$5:$A$304,0)),"(chưa có trong DM_SP)"))</f>
        <v/>
      </c>
      <c r="D808" s="35" t="str">
        <f>IF(B808="","",IFERROR(INDEX(DM_SP!$C$5:$C$304,MATCH(B808,DM_SP!$A$5:$A$304,0)),""))</f>
        <v/>
      </c>
      <c r="E808" s="35" t="str">
        <f>IF(BOM!A802="","",BOM!B802)</f>
        <v/>
      </c>
      <c r="F808" s="35" t="str">
        <f>IF(E808="","",IFERROR(INDEX(DM_NL!$B$5:$B$304,MATCH(E808,DM_NL!$A$5:$A$304,0)),"(chưa có trong DM_NL)"))</f>
        <v/>
      </c>
      <c r="G808" s="35" t="str">
        <f>IF(E808="","",IFERROR(INDEX(DM_NL!$C$5:$C$304,MATCH(E808,DM_NL!$A$5:$A$304,0)),""))</f>
        <v/>
      </c>
      <c r="H808" s="39" t="str">
        <f>IF(OR(E808="",BOM!G802="KXDDM"),"",BOM!F802)</f>
        <v/>
      </c>
      <c r="I808" s="36" t="str">
        <f>IF(E808="","",BOM!G802&amp;"")</f>
        <v/>
      </c>
    </row>
    <row r="809" spans="1:9" x14ac:dyDescent="0.25">
      <c r="A809" s="36" t="str">
        <f>IF(B809="","",MAX($A$10:A808)+1)</f>
        <v/>
      </c>
      <c r="B809" s="35" t="str">
        <f>IF(BOM!A803="","",IF(BOM!A803=BOM!A802,"",BOM!A803))</f>
        <v/>
      </c>
      <c r="C809" s="35" t="str">
        <f>IF(B809="","",IFERROR(INDEX(DM_SP!$B$5:$B$304,MATCH(B809,DM_SP!$A$5:$A$304,0)),"(chưa có trong DM_SP)"))</f>
        <v/>
      </c>
      <c r="D809" s="35" t="str">
        <f>IF(B809="","",IFERROR(INDEX(DM_SP!$C$5:$C$304,MATCH(B809,DM_SP!$A$5:$A$304,0)),""))</f>
        <v/>
      </c>
      <c r="E809" s="35" t="str">
        <f>IF(BOM!A803="","",BOM!B803)</f>
        <v/>
      </c>
      <c r="F809" s="35" t="str">
        <f>IF(E809="","",IFERROR(INDEX(DM_NL!$B$5:$B$304,MATCH(E809,DM_NL!$A$5:$A$304,0)),"(chưa có trong DM_NL)"))</f>
        <v/>
      </c>
      <c r="G809" s="35" t="str">
        <f>IF(E809="","",IFERROR(INDEX(DM_NL!$C$5:$C$304,MATCH(E809,DM_NL!$A$5:$A$304,0)),""))</f>
        <v/>
      </c>
      <c r="H809" s="39" t="str">
        <f>IF(OR(E809="",BOM!G803="KXDDM"),"",BOM!F803)</f>
        <v/>
      </c>
      <c r="I809" s="36" t="str">
        <f>IF(E809="","",BOM!G803&amp;"")</f>
        <v/>
      </c>
    </row>
    <row r="810" spans="1:9" x14ac:dyDescent="0.25">
      <c r="A810" s="36" t="str">
        <f>IF(B810="","",MAX($A$10:A809)+1)</f>
        <v/>
      </c>
      <c r="B810" s="35" t="str">
        <f>IF(BOM!A804="","",IF(BOM!A804=BOM!A803,"",BOM!A804))</f>
        <v/>
      </c>
      <c r="C810" s="35" t="str">
        <f>IF(B810="","",IFERROR(INDEX(DM_SP!$B$5:$B$304,MATCH(B810,DM_SP!$A$5:$A$304,0)),"(chưa có trong DM_SP)"))</f>
        <v/>
      </c>
      <c r="D810" s="35" t="str">
        <f>IF(B810="","",IFERROR(INDEX(DM_SP!$C$5:$C$304,MATCH(B810,DM_SP!$A$5:$A$304,0)),""))</f>
        <v/>
      </c>
      <c r="E810" s="35" t="str">
        <f>IF(BOM!A804="","",BOM!B804)</f>
        <v/>
      </c>
      <c r="F810" s="35" t="str">
        <f>IF(E810="","",IFERROR(INDEX(DM_NL!$B$5:$B$304,MATCH(E810,DM_NL!$A$5:$A$304,0)),"(chưa có trong DM_NL)"))</f>
        <v/>
      </c>
      <c r="G810" s="35" t="str">
        <f>IF(E810="","",IFERROR(INDEX(DM_NL!$C$5:$C$304,MATCH(E810,DM_NL!$A$5:$A$304,0)),""))</f>
        <v/>
      </c>
      <c r="H810" s="39" t="str">
        <f>IF(OR(E810="",BOM!G804="KXDDM"),"",BOM!F804)</f>
        <v/>
      </c>
      <c r="I810" s="36" t="str">
        <f>IF(E810="","",BOM!G804&amp;"")</f>
        <v/>
      </c>
    </row>
    <row r="811" spans="1:9" x14ac:dyDescent="0.25">
      <c r="A811" s="36" t="str">
        <f>IF(B811="","",MAX($A$10:A810)+1)</f>
        <v/>
      </c>
      <c r="B811" s="35" t="str">
        <f>IF(BOM!A805="","",IF(BOM!A805=BOM!A804,"",BOM!A805))</f>
        <v/>
      </c>
      <c r="C811" s="35" t="str">
        <f>IF(B811="","",IFERROR(INDEX(DM_SP!$B$5:$B$304,MATCH(B811,DM_SP!$A$5:$A$304,0)),"(chưa có trong DM_SP)"))</f>
        <v/>
      </c>
      <c r="D811" s="35" t="str">
        <f>IF(B811="","",IFERROR(INDEX(DM_SP!$C$5:$C$304,MATCH(B811,DM_SP!$A$5:$A$304,0)),""))</f>
        <v/>
      </c>
      <c r="E811" s="35" t="str">
        <f>IF(BOM!A805="","",BOM!B805)</f>
        <v/>
      </c>
      <c r="F811" s="35" t="str">
        <f>IF(E811="","",IFERROR(INDEX(DM_NL!$B$5:$B$304,MATCH(E811,DM_NL!$A$5:$A$304,0)),"(chưa có trong DM_NL)"))</f>
        <v/>
      </c>
      <c r="G811" s="35" t="str">
        <f>IF(E811="","",IFERROR(INDEX(DM_NL!$C$5:$C$304,MATCH(E811,DM_NL!$A$5:$A$304,0)),""))</f>
        <v/>
      </c>
      <c r="H811" s="39" t="str">
        <f>IF(OR(E811="",BOM!G805="KXDDM"),"",BOM!F805)</f>
        <v/>
      </c>
      <c r="I811" s="36" t="str">
        <f>IF(E811="","",BOM!G805&amp;"")</f>
        <v/>
      </c>
    </row>
    <row r="812" spans="1:9" x14ac:dyDescent="0.25">
      <c r="A812" s="36" t="str">
        <f>IF(B812="","",MAX($A$10:A811)+1)</f>
        <v/>
      </c>
      <c r="B812" s="35" t="str">
        <f>IF(BOM!A806="","",IF(BOM!A806=BOM!A805,"",BOM!A806))</f>
        <v/>
      </c>
      <c r="C812" s="35" t="str">
        <f>IF(B812="","",IFERROR(INDEX(DM_SP!$B$5:$B$304,MATCH(B812,DM_SP!$A$5:$A$304,0)),"(chưa có trong DM_SP)"))</f>
        <v/>
      </c>
      <c r="D812" s="35" t="str">
        <f>IF(B812="","",IFERROR(INDEX(DM_SP!$C$5:$C$304,MATCH(B812,DM_SP!$A$5:$A$304,0)),""))</f>
        <v/>
      </c>
      <c r="E812" s="35" t="str">
        <f>IF(BOM!A806="","",BOM!B806)</f>
        <v/>
      </c>
      <c r="F812" s="35" t="str">
        <f>IF(E812="","",IFERROR(INDEX(DM_NL!$B$5:$B$304,MATCH(E812,DM_NL!$A$5:$A$304,0)),"(chưa có trong DM_NL)"))</f>
        <v/>
      </c>
      <c r="G812" s="35" t="str">
        <f>IF(E812="","",IFERROR(INDEX(DM_NL!$C$5:$C$304,MATCH(E812,DM_NL!$A$5:$A$304,0)),""))</f>
        <v/>
      </c>
      <c r="H812" s="39" t="str">
        <f>IF(OR(E812="",BOM!G806="KXDDM"),"",BOM!F806)</f>
        <v/>
      </c>
      <c r="I812" s="36" t="str">
        <f>IF(E812="","",BOM!G806&amp;"")</f>
        <v/>
      </c>
    </row>
    <row r="813" spans="1:9" x14ac:dyDescent="0.25">
      <c r="A813" s="36" t="str">
        <f>IF(B813="","",MAX($A$10:A812)+1)</f>
        <v/>
      </c>
      <c r="B813" s="35" t="str">
        <f>IF(BOM!A807="","",IF(BOM!A807=BOM!A806,"",BOM!A807))</f>
        <v/>
      </c>
      <c r="C813" s="35" t="str">
        <f>IF(B813="","",IFERROR(INDEX(DM_SP!$B$5:$B$304,MATCH(B813,DM_SP!$A$5:$A$304,0)),"(chưa có trong DM_SP)"))</f>
        <v/>
      </c>
      <c r="D813" s="35" t="str">
        <f>IF(B813="","",IFERROR(INDEX(DM_SP!$C$5:$C$304,MATCH(B813,DM_SP!$A$5:$A$304,0)),""))</f>
        <v/>
      </c>
      <c r="E813" s="35" t="str">
        <f>IF(BOM!A807="","",BOM!B807)</f>
        <v/>
      </c>
      <c r="F813" s="35" t="str">
        <f>IF(E813="","",IFERROR(INDEX(DM_NL!$B$5:$B$304,MATCH(E813,DM_NL!$A$5:$A$304,0)),"(chưa có trong DM_NL)"))</f>
        <v/>
      </c>
      <c r="G813" s="35" t="str">
        <f>IF(E813="","",IFERROR(INDEX(DM_NL!$C$5:$C$304,MATCH(E813,DM_NL!$A$5:$A$304,0)),""))</f>
        <v/>
      </c>
      <c r="H813" s="39" t="str">
        <f>IF(OR(E813="",BOM!G807="KXDDM"),"",BOM!F807)</f>
        <v/>
      </c>
      <c r="I813" s="36" t="str">
        <f>IF(E813="","",BOM!G807&amp;"")</f>
        <v/>
      </c>
    </row>
    <row r="814" spans="1:9" x14ac:dyDescent="0.25">
      <c r="A814" s="36" t="str">
        <f>IF(B814="","",MAX($A$10:A813)+1)</f>
        <v/>
      </c>
      <c r="B814" s="35" t="str">
        <f>IF(BOM!A808="","",IF(BOM!A808=BOM!A807,"",BOM!A808))</f>
        <v/>
      </c>
      <c r="C814" s="35" t="str">
        <f>IF(B814="","",IFERROR(INDEX(DM_SP!$B$5:$B$304,MATCH(B814,DM_SP!$A$5:$A$304,0)),"(chưa có trong DM_SP)"))</f>
        <v/>
      </c>
      <c r="D814" s="35" t="str">
        <f>IF(B814="","",IFERROR(INDEX(DM_SP!$C$5:$C$304,MATCH(B814,DM_SP!$A$5:$A$304,0)),""))</f>
        <v/>
      </c>
      <c r="E814" s="35" t="str">
        <f>IF(BOM!A808="","",BOM!B808)</f>
        <v/>
      </c>
      <c r="F814" s="35" t="str">
        <f>IF(E814="","",IFERROR(INDEX(DM_NL!$B$5:$B$304,MATCH(E814,DM_NL!$A$5:$A$304,0)),"(chưa có trong DM_NL)"))</f>
        <v/>
      </c>
      <c r="G814" s="35" t="str">
        <f>IF(E814="","",IFERROR(INDEX(DM_NL!$C$5:$C$304,MATCH(E814,DM_NL!$A$5:$A$304,0)),""))</f>
        <v/>
      </c>
      <c r="H814" s="39" t="str">
        <f>IF(OR(E814="",BOM!G808="KXDDM"),"",BOM!F808)</f>
        <v/>
      </c>
      <c r="I814" s="36" t="str">
        <f>IF(E814="","",BOM!G808&amp;"")</f>
        <v/>
      </c>
    </row>
    <row r="815" spans="1:9" x14ac:dyDescent="0.25">
      <c r="A815" s="36" t="str">
        <f>IF(B815="","",MAX($A$10:A814)+1)</f>
        <v/>
      </c>
      <c r="B815" s="35" t="str">
        <f>IF(BOM!A809="","",IF(BOM!A809=BOM!A808,"",BOM!A809))</f>
        <v/>
      </c>
      <c r="C815" s="35" t="str">
        <f>IF(B815="","",IFERROR(INDEX(DM_SP!$B$5:$B$304,MATCH(B815,DM_SP!$A$5:$A$304,0)),"(chưa có trong DM_SP)"))</f>
        <v/>
      </c>
      <c r="D815" s="35" t="str">
        <f>IF(B815="","",IFERROR(INDEX(DM_SP!$C$5:$C$304,MATCH(B815,DM_SP!$A$5:$A$304,0)),""))</f>
        <v/>
      </c>
      <c r="E815" s="35" t="str">
        <f>IF(BOM!A809="","",BOM!B809)</f>
        <v/>
      </c>
      <c r="F815" s="35" t="str">
        <f>IF(E815="","",IFERROR(INDEX(DM_NL!$B$5:$B$304,MATCH(E815,DM_NL!$A$5:$A$304,0)),"(chưa có trong DM_NL)"))</f>
        <v/>
      </c>
      <c r="G815" s="35" t="str">
        <f>IF(E815="","",IFERROR(INDEX(DM_NL!$C$5:$C$304,MATCH(E815,DM_NL!$A$5:$A$304,0)),""))</f>
        <v/>
      </c>
      <c r="H815" s="39" t="str">
        <f>IF(OR(E815="",BOM!G809="KXDDM"),"",BOM!F809)</f>
        <v/>
      </c>
      <c r="I815" s="36" t="str">
        <f>IF(E815="","",BOM!G809&amp;"")</f>
        <v/>
      </c>
    </row>
    <row r="816" spans="1:9" x14ac:dyDescent="0.25">
      <c r="A816" s="36" t="str">
        <f>IF(B816="","",MAX($A$10:A815)+1)</f>
        <v/>
      </c>
      <c r="B816" s="35" t="str">
        <f>IF(BOM!A810="","",IF(BOM!A810=BOM!A809,"",BOM!A810))</f>
        <v/>
      </c>
      <c r="C816" s="35" t="str">
        <f>IF(B816="","",IFERROR(INDEX(DM_SP!$B$5:$B$304,MATCH(B816,DM_SP!$A$5:$A$304,0)),"(chưa có trong DM_SP)"))</f>
        <v/>
      </c>
      <c r="D816" s="35" t="str">
        <f>IF(B816="","",IFERROR(INDEX(DM_SP!$C$5:$C$304,MATCH(B816,DM_SP!$A$5:$A$304,0)),""))</f>
        <v/>
      </c>
      <c r="E816" s="35" t="str">
        <f>IF(BOM!A810="","",BOM!B810)</f>
        <v/>
      </c>
      <c r="F816" s="35" t="str">
        <f>IF(E816="","",IFERROR(INDEX(DM_NL!$B$5:$B$304,MATCH(E816,DM_NL!$A$5:$A$304,0)),"(chưa có trong DM_NL)"))</f>
        <v/>
      </c>
      <c r="G816" s="35" t="str">
        <f>IF(E816="","",IFERROR(INDEX(DM_NL!$C$5:$C$304,MATCH(E816,DM_NL!$A$5:$A$304,0)),""))</f>
        <v/>
      </c>
      <c r="H816" s="39" t="str">
        <f>IF(OR(E816="",BOM!G810="KXDDM"),"",BOM!F810)</f>
        <v/>
      </c>
      <c r="I816" s="36" t="str">
        <f>IF(E816="","",BOM!G810&amp;"")</f>
        <v/>
      </c>
    </row>
    <row r="817" spans="1:9" x14ac:dyDescent="0.25">
      <c r="A817" s="36" t="str">
        <f>IF(B817="","",MAX($A$10:A816)+1)</f>
        <v/>
      </c>
      <c r="B817" s="35" t="str">
        <f>IF(BOM!A811="","",IF(BOM!A811=BOM!A810,"",BOM!A811))</f>
        <v/>
      </c>
      <c r="C817" s="35" t="str">
        <f>IF(B817="","",IFERROR(INDEX(DM_SP!$B$5:$B$304,MATCH(B817,DM_SP!$A$5:$A$304,0)),"(chưa có trong DM_SP)"))</f>
        <v/>
      </c>
      <c r="D817" s="35" t="str">
        <f>IF(B817="","",IFERROR(INDEX(DM_SP!$C$5:$C$304,MATCH(B817,DM_SP!$A$5:$A$304,0)),""))</f>
        <v/>
      </c>
      <c r="E817" s="35" t="str">
        <f>IF(BOM!A811="","",BOM!B811)</f>
        <v/>
      </c>
      <c r="F817" s="35" t="str">
        <f>IF(E817="","",IFERROR(INDEX(DM_NL!$B$5:$B$304,MATCH(E817,DM_NL!$A$5:$A$304,0)),"(chưa có trong DM_NL)"))</f>
        <v/>
      </c>
      <c r="G817" s="35" t="str">
        <f>IF(E817="","",IFERROR(INDEX(DM_NL!$C$5:$C$304,MATCH(E817,DM_NL!$A$5:$A$304,0)),""))</f>
        <v/>
      </c>
      <c r="H817" s="39" t="str">
        <f>IF(OR(E817="",BOM!G811="KXDDM"),"",BOM!F811)</f>
        <v/>
      </c>
      <c r="I817" s="36" t="str">
        <f>IF(E817="","",BOM!G811&amp;"")</f>
        <v/>
      </c>
    </row>
    <row r="818" spans="1:9" x14ac:dyDescent="0.25">
      <c r="A818" s="36" t="str">
        <f>IF(B818="","",MAX($A$10:A817)+1)</f>
        <v/>
      </c>
      <c r="B818" s="35" t="str">
        <f>IF(BOM!A812="","",IF(BOM!A812=BOM!A811,"",BOM!A812))</f>
        <v/>
      </c>
      <c r="C818" s="35" t="str">
        <f>IF(B818="","",IFERROR(INDEX(DM_SP!$B$5:$B$304,MATCH(B818,DM_SP!$A$5:$A$304,0)),"(chưa có trong DM_SP)"))</f>
        <v/>
      </c>
      <c r="D818" s="35" t="str">
        <f>IF(B818="","",IFERROR(INDEX(DM_SP!$C$5:$C$304,MATCH(B818,DM_SP!$A$5:$A$304,0)),""))</f>
        <v/>
      </c>
      <c r="E818" s="35" t="str">
        <f>IF(BOM!A812="","",BOM!B812)</f>
        <v/>
      </c>
      <c r="F818" s="35" t="str">
        <f>IF(E818="","",IFERROR(INDEX(DM_NL!$B$5:$B$304,MATCH(E818,DM_NL!$A$5:$A$304,0)),"(chưa có trong DM_NL)"))</f>
        <v/>
      </c>
      <c r="G818" s="35" t="str">
        <f>IF(E818="","",IFERROR(INDEX(DM_NL!$C$5:$C$304,MATCH(E818,DM_NL!$A$5:$A$304,0)),""))</f>
        <v/>
      </c>
      <c r="H818" s="39" t="str">
        <f>IF(OR(E818="",BOM!G812="KXDDM"),"",BOM!F812)</f>
        <v/>
      </c>
      <c r="I818" s="36" t="str">
        <f>IF(E818="","",BOM!G812&amp;"")</f>
        <v/>
      </c>
    </row>
    <row r="819" spans="1:9" x14ac:dyDescent="0.25">
      <c r="A819" s="36" t="str">
        <f>IF(B819="","",MAX($A$10:A818)+1)</f>
        <v/>
      </c>
      <c r="B819" s="35" t="str">
        <f>IF(BOM!A813="","",IF(BOM!A813=BOM!A812,"",BOM!A813))</f>
        <v/>
      </c>
      <c r="C819" s="35" t="str">
        <f>IF(B819="","",IFERROR(INDEX(DM_SP!$B$5:$B$304,MATCH(B819,DM_SP!$A$5:$A$304,0)),"(chưa có trong DM_SP)"))</f>
        <v/>
      </c>
      <c r="D819" s="35" t="str">
        <f>IF(B819="","",IFERROR(INDEX(DM_SP!$C$5:$C$304,MATCH(B819,DM_SP!$A$5:$A$304,0)),""))</f>
        <v/>
      </c>
      <c r="E819" s="35" t="str">
        <f>IF(BOM!A813="","",BOM!B813)</f>
        <v/>
      </c>
      <c r="F819" s="35" t="str">
        <f>IF(E819="","",IFERROR(INDEX(DM_NL!$B$5:$B$304,MATCH(E819,DM_NL!$A$5:$A$304,0)),"(chưa có trong DM_NL)"))</f>
        <v/>
      </c>
      <c r="G819" s="35" t="str">
        <f>IF(E819="","",IFERROR(INDEX(DM_NL!$C$5:$C$304,MATCH(E819,DM_NL!$A$5:$A$304,0)),""))</f>
        <v/>
      </c>
      <c r="H819" s="39" t="str">
        <f>IF(OR(E819="",BOM!G813="KXDDM"),"",BOM!F813)</f>
        <v/>
      </c>
      <c r="I819" s="36" t="str">
        <f>IF(E819="","",BOM!G813&amp;"")</f>
        <v/>
      </c>
    </row>
    <row r="820" spans="1:9" x14ac:dyDescent="0.25">
      <c r="A820" s="36" t="str">
        <f>IF(B820="","",MAX($A$10:A819)+1)</f>
        <v/>
      </c>
      <c r="B820" s="35" t="str">
        <f>IF(BOM!A814="","",IF(BOM!A814=BOM!A813,"",BOM!A814))</f>
        <v/>
      </c>
      <c r="C820" s="35" t="str">
        <f>IF(B820="","",IFERROR(INDEX(DM_SP!$B$5:$B$304,MATCH(B820,DM_SP!$A$5:$A$304,0)),"(chưa có trong DM_SP)"))</f>
        <v/>
      </c>
      <c r="D820" s="35" t="str">
        <f>IF(B820="","",IFERROR(INDEX(DM_SP!$C$5:$C$304,MATCH(B820,DM_SP!$A$5:$A$304,0)),""))</f>
        <v/>
      </c>
      <c r="E820" s="35" t="str">
        <f>IF(BOM!A814="","",BOM!B814)</f>
        <v/>
      </c>
      <c r="F820" s="35" t="str">
        <f>IF(E820="","",IFERROR(INDEX(DM_NL!$B$5:$B$304,MATCH(E820,DM_NL!$A$5:$A$304,0)),"(chưa có trong DM_NL)"))</f>
        <v/>
      </c>
      <c r="G820" s="35" t="str">
        <f>IF(E820="","",IFERROR(INDEX(DM_NL!$C$5:$C$304,MATCH(E820,DM_NL!$A$5:$A$304,0)),""))</f>
        <v/>
      </c>
      <c r="H820" s="39" t="str">
        <f>IF(OR(E820="",BOM!G814="KXDDM"),"",BOM!F814)</f>
        <v/>
      </c>
      <c r="I820" s="36" t="str">
        <f>IF(E820="","",BOM!G814&amp;"")</f>
        <v/>
      </c>
    </row>
    <row r="821" spans="1:9" x14ac:dyDescent="0.25">
      <c r="A821" s="36" t="str">
        <f>IF(B821="","",MAX($A$10:A820)+1)</f>
        <v/>
      </c>
      <c r="B821" s="35" t="str">
        <f>IF(BOM!A815="","",IF(BOM!A815=BOM!A814,"",BOM!A815))</f>
        <v/>
      </c>
      <c r="C821" s="35" t="str">
        <f>IF(B821="","",IFERROR(INDEX(DM_SP!$B$5:$B$304,MATCH(B821,DM_SP!$A$5:$A$304,0)),"(chưa có trong DM_SP)"))</f>
        <v/>
      </c>
      <c r="D821" s="35" t="str">
        <f>IF(B821="","",IFERROR(INDEX(DM_SP!$C$5:$C$304,MATCH(B821,DM_SP!$A$5:$A$304,0)),""))</f>
        <v/>
      </c>
      <c r="E821" s="35" t="str">
        <f>IF(BOM!A815="","",BOM!B815)</f>
        <v/>
      </c>
      <c r="F821" s="35" t="str">
        <f>IF(E821="","",IFERROR(INDEX(DM_NL!$B$5:$B$304,MATCH(E821,DM_NL!$A$5:$A$304,0)),"(chưa có trong DM_NL)"))</f>
        <v/>
      </c>
      <c r="G821" s="35" t="str">
        <f>IF(E821="","",IFERROR(INDEX(DM_NL!$C$5:$C$304,MATCH(E821,DM_NL!$A$5:$A$304,0)),""))</f>
        <v/>
      </c>
      <c r="H821" s="39" t="str">
        <f>IF(OR(E821="",BOM!G815="KXDDM"),"",BOM!F815)</f>
        <v/>
      </c>
      <c r="I821" s="36" t="str">
        <f>IF(E821="","",BOM!G815&amp;"")</f>
        <v/>
      </c>
    </row>
    <row r="822" spans="1:9" x14ac:dyDescent="0.25">
      <c r="A822" s="36" t="str">
        <f>IF(B822="","",MAX($A$10:A821)+1)</f>
        <v/>
      </c>
      <c r="B822" s="35" t="str">
        <f>IF(BOM!A816="","",IF(BOM!A816=BOM!A815,"",BOM!A816))</f>
        <v/>
      </c>
      <c r="C822" s="35" t="str">
        <f>IF(B822="","",IFERROR(INDEX(DM_SP!$B$5:$B$304,MATCH(B822,DM_SP!$A$5:$A$304,0)),"(chưa có trong DM_SP)"))</f>
        <v/>
      </c>
      <c r="D822" s="35" t="str">
        <f>IF(B822="","",IFERROR(INDEX(DM_SP!$C$5:$C$304,MATCH(B822,DM_SP!$A$5:$A$304,0)),""))</f>
        <v/>
      </c>
      <c r="E822" s="35" t="str">
        <f>IF(BOM!A816="","",BOM!B816)</f>
        <v/>
      </c>
      <c r="F822" s="35" t="str">
        <f>IF(E822="","",IFERROR(INDEX(DM_NL!$B$5:$B$304,MATCH(E822,DM_NL!$A$5:$A$304,0)),"(chưa có trong DM_NL)"))</f>
        <v/>
      </c>
      <c r="G822" s="35" t="str">
        <f>IF(E822="","",IFERROR(INDEX(DM_NL!$C$5:$C$304,MATCH(E822,DM_NL!$A$5:$A$304,0)),""))</f>
        <v/>
      </c>
      <c r="H822" s="39" t="str">
        <f>IF(OR(E822="",BOM!G816="KXDDM"),"",BOM!F816)</f>
        <v/>
      </c>
      <c r="I822" s="36" t="str">
        <f>IF(E822="","",BOM!G816&amp;"")</f>
        <v/>
      </c>
    </row>
    <row r="823" spans="1:9" x14ac:dyDescent="0.25">
      <c r="A823" s="36" t="str">
        <f>IF(B823="","",MAX($A$10:A822)+1)</f>
        <v/>
      </c>
      <c r="B823" s="35" t="str">
        <f>IF(BOM!A817="","",IF(BOM!A817=BOM!A816,"",BOM!A817))</f>
        <v/>
      </c>
      <c r="C823" s="35" t="str">
        <f>IF(B823="","",IFERROR(INDEX(DM_SP!$B$5:$B$304,MATCH(B823,DM_SP!$A$5:$A$304,0)),"(chưa có trong DM_SP)"))</f>
        <v/>
      </c>
      <c r="D823" s="35" t="str">
        <f>IF(B823="","",IFERROR(INDEX(DM_SP!$C$5:$C$304,MATCH(B823,DM_SP!$A$5:$A$304,0)),""))</f>
        <v/>
      </c>
      <c r="E823" s="35" t="str">
        <f>IF(BOM!A817="","",BOM!B817)</f>
        <v/>
      </c>
      <c r="F823" s="35" t="str">
        <f>IF(E823="","",IFERROR(INDEX(DM_NL!$B$5:$B$304,MATCH(E823,DM_NL!$A$5:$A$304,0)),"(chưa có trong DM_NL)"))</f>
        <v/>
      </c>
      <c r="G823" s="35" t="str">
        <f>IF(E823="","",IFERROR(INDEX(DM_NL!$C$5:$C$304,MATCH(E823,DM_NL!$A$5:$A$304,0)),""))</f>
        <v/>
      </c>
      <c r="H823" s="39" t="str">
        <f>IF(OR(E823="",BOM!G817="KXDDM"),"",BOM!F817)</f>
        <v/>
      </c>
      <c r="I823" s="36" t="str">
        <f>IF(E823="","",BOM!G817&amp;"")</f>
        <v/>
      </c>
    </row>
    <row r="824" spans="1:9" x14ac:dyDescent="0.25">
      <c r="A824" s="36" t="str">
        <f>IF(B824="","",MAX($A$10:A823)+1)</f>
        <v/>
      </c>
      <c r="B824" s="35" t="str">
        <f>IF(BOM!A818="","",IF(BOM!A818=BOM!A817,"",BOM!A818))</f>
        <v/>
      </c>
      <c r="C824" s="35" t="str">
        <f>IF(B824="","",IFERROR(INDEX(DM_SP!$B$5:$B$304,MATCH(B824,DM_SP!$A$5:$A$304,0)),"(chưa có trong DM_SP)"))</f>
        <v/>
      </c>
      <c r="D824" s="35" t="str">
        <f>IF(B824="","",IFERROR(INDEX(DM_SP!$C$5:$C$304,MATCH(B824,DM_SP!$A$5:$A$304,0)),""))</f>
        <v/>
      </c>
      <c r="E824" s="35" t="str">
        <f>IF(BOM!A818="","",BOM!B818)</f>
        <v/>
      </c>
      <c r="F824" s="35" t="str">
        <f>IF(E824="","",IFERROR(INDEX(DM_NL!$B$5:$B$304,MATCH(E824,DM_NL!$A$5:$A$304,0)),"(chưa có trong DM_NL)"))</f>
        <v/>
      </c>
      <c r="G824" s="35" t="str">
        <f>IF(E824="","",IFERROR(INDEX(DM_NL!$C$5:$C$304,MATCH(E824,DM_NL!$A$5:$A$304,0)),""))</f>
        <v/>
      </c>
      <c r="H824" s="39" t="str">
        <f>IF(OR(E824="",BOM!G818="KXDDM"),"",BOM!F818)</f>
        <v/>
      </c>
      <c r="I824" s="36" t="str">
        <f>IF(E824="","",BOM!G818&amp;"")</f>
        <v/>
      </c>
    </row>
    <row r="825" spans="1:9" x14ac:dyDescent="0.25">
      <c r="A825" s="36" t="str">
        <f>IF(B825="","",MAX($A$10:A824)+1)</f>
        <v/>
      </c>
      <c r="B825" s="35" t="str">
        <f>IF(BOM!A819="","",IF(BOM!A819=BOM!A818,"",BOM!A819))</f>
        <v/>
      </c>
      <c r="C825" s="35" t="str">
        <f>IF(B825="","",IFERROR(INDEX(DM_SP!$B$5:$B$304,MATCH(B825,DM_SP!$A$5:$A$304,0)),"(chưa có trong DM_SP)"))</f>
        <v/>
      </c>
      <c r="D825" s="35" t="str">
        <f>IF(B825="","",IFERROR(INDEX(DM_SP!$C$5:$C$304,MATCH(B825,DM_SP!$A$5:$A$304,0)),""))</f>
        <v/>
      </c>
      <c r="E825" s="35" t="str">
        <f>IF(BOM!A819="","",BOM!B819)</f>
        <v/>
      </c>
      <c r="F825" s="35" t="str">
        <f>IF(E825="","",IFERROR(INDEX(DM_NL!$B$5:$B$304,MATCH(E825,DM_NL!$A$5:$A$304,0)),"(chưa có trong DM_NL)"))</f>
        <v/>
      </c>
      <c r="G825" s="35" t="str">
        <f>IF(E825="","",IFERROR(INDEX(DM_NL!$C$5:$C$304,MATCH(E825,DM_NL!$A$5:$A$304,0)),""))</f>
        <v/>
      </c>
      <c r="H825" s="39" t="str">
        <f>IF(OR(E825="",BOM!G819="KXDDM"),"",BOM!F819)</f>
        <v/>
      </c>
      <c r="I825" s="36" t="str">
        <f>IF(E825="","",BOM!G819&amp;"")</f>
        <v/>
      </c>
    </row>
    <row r="826" spans="1:9" x14ac:dyDescent="0.25">
      <c r="A826" s="36" t="str">
        <f>IF(B826="","",MAX($A$10:A825)+1)</f>
        <v/>
      </c>
      <c r="B826" s="35" t="str">
        <f>IF(BOM!A820="","",IF(BOM!A820=BOM!A819,"",BOM!A820))</f>
        <v/>
      </c>
      <c r="C826" s="35" t="str">
        <f>IF(B826="","",IFERROR(INDEX(DM_SP!$B$5:$B$304,MATCH(B826,DM_SP!$A$5:$A$304,0)),"(chưa có trong DM_SP)"))</f>
        <v/>
      </c>
      <c r="D826" s="35" t="str">
        <f>IF(B826="","",IFERROR(INDEX(DM_SP!$C$5:$C$304,MATCH(B826,DM_SP!$A$5:$A$304,0)),""))</f>
        <v/>
      </c>
      <c r="E826" s="35" t="str">
        <f>IF(BOM!A820="","",BOM!B820)</f>
        <v/>
      </c>
      <c r="F826" s="35" t="str">
        <f>IF(E826="","",IFERROR(INDEX(DM_NL!$B$5:$B$304,MATCH(E826,DM_NL!$A$5:$A$304,0)),"(chưa có trong DM_NL)"))</f>
        <v/>
      </c>
      <c r="G826" s="35" t="str">
        <f>IF(E826="","",IFERROR(INDEX(DM_NL!$C$5:$C$304,MATCH(E826,DM_NL!$A$5:$A$304,0)),""))</f>
        <v/>
      </c>
      <c r="H826" s="39" t="str">
        <f>IF(OR(E826="",BOM!G820="KXDDM"),"",BOM!F820)</f>
        <v/>
      </c>
      <c r="I826" s="36" t="str">
        <f>IF(E826="","",BOM!G820&amp;"")</f>
        <v/>
      </c>
    </row>
    <row r="827" spans="1:9" x14ac:dyDescent="0.25">
      <c r="A827" s="36" t="str">
        <f>IF(B827="","",MAX($A$10:A826)+1)</f>
        <v/>
      </c>
      <c r="B827" s="35" t="str">
        <f>IF(BOM!A821="","",IF(BOM!A821=BOM!A820,"",BOM!A821))</f>
        <v/>
      </c>
      <c r="C827" s="35" t="str">
        <f>IF(B827="","",IFERROR(INDEX(DM_SP!$B$5:$B$304,MATCH(B827,DM_SP!$A$5:$A$304,0)),"(chưa có trong DM_SP)"))</f>
        <v/>
      </c>
      <c r="D827" s="35" t="str">
        <f>IF(B827="","",IFERROR(INDEX(DM_SP!$C$5:$C$304,MATCH(B827,DM_SP!$A$5:$A$304,0)),""))</f>
        <v/>
      </c>
      <c r="E827" s="35" t="str">
        <f>IF(BOM!A821="","",BOM!B821)</f>
        <v/>
      </c>
      <c r="F827" s="35" t="str">
        <f>IF(E827="","",IFERROR(INDEX(DM_NL!$B$5:$B$304,MATCH(E827,DM_NL!$A$5:$A$304,0)),"(chưa có trong DM_NL)"))</f>
        <v/>
      </c>
      <c r="G827" s="35" t="str">
        <f>IF(E827="","",IFERROR(INDEX(DM_NL!$C$5:$C$304,MATCH(E827,DM_NL!$A$5:$A$304,0)),""))</f>
        <v/>
      </c>
      <c r="H827" s="39" t="str">
        <f>IF(OR(E827="",BOM!G821="KXDDM"),"",BOM!F821)</f>
        <v/>
      </c>
      <c r="I827" s="36" t="str">
        <f>IF(E827="","",BOM!G821&amp;"")</f>
        <v/>
      </c>
    </row>
    <row r="828" spans="1:9" x14ac:dyDescent="0.25">
      <c r="A828" s="36" t="str">
        <f>IF(B828="","",MAX($A$10:A827)+1)</f>
        <v/>
      </c>
      <c r="B828" s="35" t="str">
        <f>IF(BOM!A822="","",IF(BOM!A822=BOM!A821,"",BOM!A822))</f>
        <v/>
      </c>
      <c r="C828" s="35" t="str">
        <f>IF(B828="","",IFERROR(INDEX(DM_SP!$B$5:$B$304,MATCH(B828,DM_SP!$A$5:$A$304,0)),"(chưa có trong DM_SP)"))</f>
        <v/>
      </c>
      <c r="D828" s="35" t="str">
        <f>IF(B828="","",IFERROR(INDEX(DM_SP!$C$5:$C$304,MATCH(B828,DM_SP!$A$5:$A$304,0)),""))</f>
        <v/>
      </c>
      <c r="E828" s="35" t="str">
        <f>IF(BOM!A822="","",BOM!B822)</f>
        <v/>
      </c>
      <c r="F828" s="35" t="str">
        <f>IF(E828="","",IFERROR(INDEX(DM_NL!$B$5:$B$304,MATCH(E828,DM_NL!$A$5:$A$304,0)),"(chưa có trong DM_NL)"))</f>
        <v/>
      </c>
      <c r="G828" s="35" t="str">
        <f>IF(E828="","",IFERROR(INDEX(DM_NL!$C$5:$C$304,MATCH(E828,DM_NL!$A$5:$A$304,0)),""))</f>
        <v/>
      </c>
      <c r="H828" s="39" t="str">
        <f>IF(OR(E828="",BOM!G822="KXDDM"),"",BOM!F822)</f>
        <v/>
      </c>
      <c r="I828" s="36" t="str">
        <f>IF(E828="","",BOM!G822&amp;"")</f>
        <v/>
      </c>
    </row>
    <row r="829" spans="1:9" x14ac:dyDescent="0.25">
      <c r="A829" s="36" t="str">
        <f>IF(B829="","",MAX($A$10:A828)+1)</f>
        <v/>
      </c>
      <c r="B829" s="35" t="str">
        <f>IF(BOM!A823="","",IF(BOM!A823=BOM!A822,"",BOM!A823))</f>
        <v/>
      </c>
      <c r="C829" s="35" t="str">
        <f>IF(B829="","",IFERROR(INDEX(DM_SP!$B$5:$B$304,MATCH(B829,DM_SP!$A$5:$A$304,0)),"(chưa có trong DM_SP)"))</f>
        <v/>
      </c>
      <c r="D829" s="35" t="str">
        <f>IF(B829="","",IFERROR(INDEX(DM_SP!$C$5:$C$304,MATCH(B829,DM_SP!$A$5:$A$304,0)),""))</f>
        <v/>
      </c>
      <c r="E829" s="35" t="str">
        <f>IF(BOM!A823="","",BOM!B823)</f>
        <v/>
      </c>
      <c r="F829" s="35" t="str">
        <f>IF(E829="","",IFERROR(INDEX(DM_NL!$B$5:$B$304,MATCH(E829,DM_NL!$A$5:$A$304,0)),"(chưa có trong DM_NL)"))</f>
        <v/>
      </c>
      <c r="G829" s="35" t="str">
        <f>IF(E829="","",IFERROR(INDEX(DM_NL!$C$5:$C$304,MATCH(E829,DM_NL!$A$5:$A$304,0)),""))</f>
        <v/>
      </c>
      <c r="H829" s="39" t="str">
        <f>IF(OR(E829="",BOM!G823="KXDDM"),"",BOM!F823)</f>
        <v/>
      </c>
      <c r="I829" s="36" t="str">
        <f>IF(E829="","",BOM!G823&amp;"")</f>
        <v/>
      </c>
    </row>
    <row r="830" spans="1:9" x14ac:dyDescent="0.25">
      <c r="A830" s="36" t="str">
        <f>IF(B830="","",MAX($A$10:A829)+1)</f>
        <v/>
      </c>
      <c r="B830" s="35" t="str">
        <f>IF(BOM!A824="","",IF(BOM!A824=BOM!A823,"",BOM!A824))</f>
        <v/>
      </c>
      <c r="C830" s="35" t="str">
        <f>IF(B830="","",IFERROR(INDEX(DM_SP!$B$5:$B$304,MATCH(B830,DM_SP!$A$5:$A$304,0)),"(chưa có trong DM_SP)"))</f>
        <v/>
      </c>
      <c r="D830" s="35" t="str">
        <f>IF(B830="","",IFERROR(INDEX(DM_SP!$C$5:$C$304,MATCH(B830,DM_SP!$A$5:$A$304,0)),""))</f>
        <v/>
      </c>
      <c r="E830" s="35" t="str">
        <f>IF(BOM!A824="","",BOM!B824)</f>
        <v/>
      </c>
      <c r="F830" s="35" t="str">
        <f>IF(E830="","",IFERROR(INDEX(DM_NL!$B$5:$B$304,MATCH(E830,DM_NL!$A$5:$A$304,0)),"(chưa có trong DM_NL)"))</f>
        <v/>
      </c>
      <c r="G830" s="35" t="str">
        <f>IF(E830="","",IFERROR(INDEX(DM_NL!$C$5:$C$304,MATCH(E830,DM_NL!$A$5:$A$304,0)),""))</f>
        <v/>
      </c>
      <c r="H830" s="39" t="str">
        <f>IF(OR(E830="",BOM!G824="KXDDM"),"",BOM!F824)</f>
        <v/>
      </c>
      <c r="I830" s="36" t="str">
        <f>IF(E830="","",BOM!G824&amp;"")</f>
        <v/>
      </c>
    </row>
    <row r="831" spans="1:9" x14ac:dyDescent="0.25">
      <c r="A831" s="36" t="str">
        <f>IF(B831="","",MAX($A$10:A830)+1)</f>
        <v/>
      </c>
      <c r="B831" s="35" t="str">
        <f>IF(BOM!A825="","",IF(BOM!A825=BOM!A824,"",BOM!A825))</f>
        <v/>
      </c>
      <c r="C831" s="35" t="str">
        <f>IF(B831="","",IFERROR(INDEX(DM_SP!$B$5:$B$304,MATCH(B831,DM_SP!$A$5:$A$304,0)),"(chưa có trong DM_SP)"))</f>
        <v/>
      </c>
      <c r="D831" s="35" t="str">
        <f>IF(B831="","",IFERROR(INDEX(DM_SP!$C$5:$C$304,MATCH(B831,DM_SP!$A$5:$A$304,0)),""))</f>
        <v/>
      </c>
      <c r="E831" s="35" t="str">
        <f>IF(BOM!A825="","",BOM!B825)</f>
        <v/>
      </c>
      <c r="F831" s="35" t="str">
        <f>IF(E831="","",IFERROR(INDEX(DM_NL!$B$5:$B$304,MATCH(E831,DM_NL!$A$5:$A$304,0)),"(chưa có trong DM_NL)"))</f>
        <v/>
      </c>
      <c r="G831" s="35" t="str">
        <f>IF(E831="","",IFERROR(INDEX(DM_NL!$C$5:$C$304,MATCH(E831,DM_NL!$A$5:$A$304,0)),""))</f>
        <v/>
      </c>
      <c r="H831" s="39" t="str">
        <f>IF(OR(E831="",BOM!G825="KXDDM"),"",BOM!F825)</f>
        <v/>
      </c>
      <c r="I831" s="36" t="str">
        <f>IF(E831="","",BOM!G825&amp;"")</f>
        <v/>
      </c>
    </row>
    <row r="832" spans="1:9" x14ac:dyDescent="0.25">
      <c r="A832" s="36" t="str">
        <f>IF(B832="","",MAX($A$10:A831)+1)</f>
        <v/>
      </c>
      <c r="B832" s="35" t="str">
        <f>IF(BOM!A826="","",IF(BOM!A826=BOM!A825,"",BOM!A826))</f>
        <v/>
      </c>
      <c r="C832" s="35" t="str">
        <f>IF(B832="","",IFERROR(INDEX(DM_SP!$B$5:$B$304,MATCH(B832,DM_SP!$A$5:$A$304,0)),"(chưa có trong DM_SP)"))</f>
        <v/>
      </c>
      <c r="D832" s="35" t="str">
        <f>IF(B832="","",IFERROR(INDEX(DM_SP!$C$5:$C$304,MATCH(B832,DM_SP!$A$5:$A$304,0)),""))</f>
        <v/>
      </c>
      <c r="E832" s="35" t="str">
        <f>IF(BOM!A826="","",BOM!B826)</f>
        <v/>
      </c>
      <c r="F832" s="35" t="str">
        <f>IF(E832="","",IFERROR(INDEX(DM_NL!$B$5:$B$304,MATCH(E832,DM_NL!$A$5:$A$304,0)),"(chưa có trong DM_NL)"))</f>
        <v/>
      </c>
      <c r="G832" s="35" t="str">
        <f>IF(E832="","",IFERROR(INDEX(DM_NL!$C$5:$C$304,MATCH(E832,DM_NL!$A$5:$A$304,0)),""))</f>
        <v/>
      </c>
      <c r="H832" s="39" t="str">
        <f>IF(OR(E832="",BOM!G826="KXDDM"),"",BOM!F826)</f>
        <v/>
      </c>
      <c r="I832" s="36" t="str">
        <f>IF(E832="","",BOM!G826&amp;"")</f>
        <v/>
      </c>
    </row>
    <row r="833" spans="1:9" x14ac:dyDescent="0.25">
      <c r="A833" s="36" t="str">
        <f>IF(B833="","",MAX($A$10:A832)+1)</f>
        <v/>
      </c>
      <c r="B833" s="35" t="str">
        <f>IF(BOM!A827="","",IF(BOM!A827=BOM!A826,"",BOM!A827))</f>
        <v/>
      </c>
      <c r="C833" s="35" t="str">
        <f>IF(B833="","",IFERROR(INDEX(DM_SP!$B$5:$B$304,MATCH(B833,DM_SP!$A$5:$A$304,0)),"(chưa có trong DM_SP)"))</f>
        <v/>
      </c>
      <c r="D833" s="35" t="str">
        <f>IF(B833="","",IFERROR(INDEX(DM_SP!$C$5:$C$304,MATCH(B833,DM_SP!$A$5:$A$304,0)),""))</f>
        <v/>
      </c>
      <c r="E833" s="35" t="str">
        <f>IF(BOM!A827="","",BOM!B827)</f>
        <v/>
      </c>
      <c r="F833" s="35" t="str">
        <f>IF(E833="","",IFERROR(INDEX(DM_NL!$B$5:$B$304,MATCH(E833,DM_NL!$A$5:$A$304,0)),"(chưa có trong DM_NL)"))</f>
        <v/>
      </c>
      <c r="G833" s="35" t="str">
        <f>IF(E833="","",IFERROR(INDEX(DM_NL!$C$5:$C$304,MATCH(E833,DM_NL!$A$5:$A$304,0)),""))</f>
        <v/>
      </c>
      <c r="H833" s="39" t="str">
        <f>IF(OR(E833="",BOM!G827="KXDDM"),"",BOM!F827)</f>
        <v/>
      </c>
      <c r="I833" s="36" t="str">
        <f>IF(E833="","",BOM!G827&amp;"")</f>
        <v/>
      </c>
    </row>
    <row r="834" spans="1:9" x14ac:dyDescent="0.25">
      <c r="A834" s="36" t="str">
        <f>IF(B834="","",MAX($A$10:A833)+1)</f>
        <v/>
      </c>
      <c r="B834" s="35" t="str">
        <f>IF(BOM!A828="","",IF(BOM!A828=BOM!A827,"",BOM!A828))</f>
        <v/>
      </c>
      <c r="C834" s="35" t="str">
        <f>IF(B834="","",IFERROR(INDEX(DM_SP!$B$5:$B$304,MATCH(B834,DM_SP!$A$5:$A$304,0)),"(chưa có trong DM_SP)"))</f>
        <v/>
      </c>
      <c r="D834" s="35" t="str">
        <f>IF(B834="","",IFERROR(INDEX(DM_SP!$C$5:$C$304,MATCH(B834,DM_SP!$A$5:$A$304,0)),""))</f>
        <v/>
      </c>
      <c r="E834" s="35" t="str">
        <f>IF(BOM!A828="","",BOM!B828)</f>
        <v/>
      </c>
      <c r="F834" s="35" t="str">
        <f>IF(E834="","",IFERROR(INDEX(DM_NL!$B$5:$B$304,MATCH(E834,DM_NL!$A$5:$A$304,0)),"(chưa có trong DM_NL)"))</f>
        <v/>
      </c>
      <c r="G834" s="35" t="str">
        <f>IF(E834="","",IFERROR(INDEX(DM_NL!$C$5:$C$304,MATCH(E834,DM_NL!$A$5:$A$304,0)),""))</f>
        <v/>
      </c>
      <c r="H834" s="39" t="str">
        <f>IF(OR(E834="",BOM!G828="KXDDM"),"",BOM!F828)</f>
        <v/>
      </c>
      <c r="I834" s="36" t="str">
        <f>IF(E834="","",BOM!G828&amp;"")</f>
        <v/>
      </c>
    </row>
    <row r="835" spans="1:9" x14ac:dyDescent="0.25">
      <c r="A835" s="36" t="str">
        <f>IF(B835="","",MAX($A$10:A834)+1)</f>
        <v/>
      </c>
      <c r="B835" s="35" t="str">
        <f>IF(BOM!A829="","",IF(BOM!A829=BOM!A828,"",BOM!A829))</f>
        <v/>
      </c>
      <c r="C835" s="35" t="str">
        <f>IF(B835="","",IFERROR(INDEX(DM_SP!$B$5:$B$304,MATCH(B835,DM_SP!$A$5:$A$304,0)),"(chưa có trong DM_SP)"))</f>
        <v/>
      </c>
      <c r="D835" s="35" t="str">
        <f>IF(B835="","",IFERROR(INDEX(DM_SP!$C$5:$C$304,MATCH(B835,DM_SP!$A$5:$A$304,0)),""))</f>
        <v/>
      </c>
      <c r="E835" s="35" t="str">
        <f>IF(BOM!A829="","",BOM!B829)</f>
        <v/>
      </c>
      <c r="F835" s="35" t="str">
        <f>IF(E835="","",IFERROR(INDEX(DM_NL!$B$5:$B$304,MATCH(E835,DM_NL!$A$5:$A$304,0)),"(chưa có trong DM_NL)"))</f>
        <v/>
      </c>
      <c r="G835" s="35" t="str">
        <f>IF(E835="","",IFERROR(INDEX(DM_NL!$C$5:$C$304,MATCH(E835,DM_NL!$A$5:$A$304,0)),""))</f>
        <v/>
      </c>
      <c r="H835" s="39" t="str">
        <f>IF(OR(E835="",BOM!G829="KXDDM"),"",BOM!F829)</f>
        <v/>
      </c>
      <c r="I835" s="36" t="str">
        <f>IF(E835="","",BOM!G829&amp;"")</f>
        <v/>
      </c>
    </row>
    <row r="836" spans="1:9" x14ac:dyDescent="0.25">
      <c r="A836" s="36" t="str">
        <f>IF(B836="","",MAX($A$10:A835)+1)</f>
        <v/>
      </c>
      <c r="B836" s="35" t="str">
        <f>IF(BOM!A830="","",IF(BOM!A830=BOM!A829,"",BOM!A830))</f>
        <v/>
      </c>
      <c r="C836" s="35" t="str">
        <f>IF(B836="","",IFERROR(INDEX(DM_SP!$B$5:$B$304,MATCH(B836,DM_SP!$A$5:$A$304,0)),"(chưa có trong DM_SP)"))</f>
        <v/>
      </c>
      <c r="D836" s="35" t="str">
        <f>IF(B836="","",IFERROR(INDEX(DM_SP!$C$5:$C$304,MATCH(B836,DM_SP!$A$5:$A$304,0)),""))</f>
        <v/>
      </c>
      <c r="E836" s="35" t="str">
        <f>IF(BOM!A830="","",BOM!B830)</f>
        <v/>
      </c>
      <c r="F836" s="35" t="str">
        <f>IF(E836="","",IFERROR(INDEX(DM_NL!$B$5:$B$304,MATCH(E836,DM_NL!$A$5:$A$304,0)),"(chưa có trong DM_NL)"))</f>
        <v/>
      </c>
      <c r="G836" s="35" t="str">
        <f>IF(E836="","",IFERROR(INDEX(DM_NL!$C$5:$C$304,MATCH(E836,DM_NL!$A$5:$A$304,0)),""))</f>
        <v/>
      </c>
      <c r="H836" s="39" t="str">
        <f>IF(OR(E836="",BOM!G830="KXDDM"),"",BOM!F830)</f>
        <v/>
      </c>
      <c r="I836" s="36" t="str">
        <f>IF(E836="","",BOM!G830&amp;"")</f>
        <v/>
      </c>
    </row>
    <row r="837" spans="1:9" x14ac:dyDescent="0.25">
      <c r="A837" s="36" t="str">
        <f>IF(B837="","",MAX($A$10:A836)+1)</f>
        <v/>
      </c>
      <c r="B837" s="35" t="str">
        <f>IF(BOM!A831="","",IF(BOM!A831=BOM!A830,"",BOM!A831))</f>
        <v/>
      </c>
      <c r="C837" s="35" t="str">
        <f>IF(B837="","",IFERROR(INDEX(DM_SP!$B$5:$B$304,MATCH(B837,DM_SP!$A$5:$A$304,0)),"(chưa có trong DM_SP)"))</f>
        <v/>
      </c>
      <c r="D837" s="35" t="str">
        <f>IF(B837="","",IFERROR(INDEX(DM_SP!$C$5:$C$304,MATCH(B837,DM_SP!$A$5:$A$304,0)),""))</f>
        <v/>
      </c>
      <c r="E837" s="35" t="str">
        <f>IF(BOM!A831="","",BOM!B831)</f>
        <v/>
      </c>
      <c r="F837" s="35" t="str">
        <f>IF(E837="","",IFERROR(INDEX(DM_NL!$B$5:$B$304,MATCH(E837,DM_NL!$A$5:$A$304,0)),"(chưa có trong DM_NL)"))</f>
        <v/>
      </c>
      <c r="G837" s="35" t="str">
        <f>IF(E837="","",IFERROR(INDEX(DM_NL!$C$5:$C$304,MATCH(E837,DM_NL!$A$5:$A$304,0)),""))</f>
        <v/>
      </c>
      <c r="H837" s="39" t="str">
        <f>IF(OR(E837="",BOM!G831="KXDDM"),"",BOM!F831)</f>
        <v/>
      </c>
      <c r="I837" s="36" t="str">
        <f>IF(E837="","",BOM!G831&amp;"")</f>
        <v/>
      </c>
    </row>
    <row r="838" spans="1:9" x14ac:dyDescent="0.25">
      <c r="A838" s="36" t="str">
        <f>IF(B838="","",MAX($A$10:A837)+1)</f>
        <v/>
      </c>
      <c r="B838" s="35" t="str">
        <f>IF(BOM!A832="","",IF(BOM!A832=BOM!A831,"",BOM!A832))</f>
        <v/>
      </c>
      <c r="C838" s="35" t="str">
        <f>IF(B838="","",IFERROR(INDEX(DM_SP!$B$5:$B$304,MATCH(B838,DM_SP!$A$5:$A$304,0)),"(chưa có trong DM_SP)"))</f>
        <v/>
      </c>
      <c r="D838" s="35" t="str">
        <f>IF(B838="","",IFERROR(INDEX(DM_SP!$C$5:$C$304,MATCH(B838,DM_SP!$A$5:$A$304,0)),""))</f>
        <v/>
      </c>
      <c r="E838" s="35" t="str">
        <f>IF(BOM!A832="","",BOM!B832)</f>
        <v/>
      </c>
      <c r="F838" s="35" t="str">
        <f>IF(E838="","",IFERROR(INDEX(DM_NL!$B$5:$B$304,MATCH(E838,DM_NL!$A$5:$A$304,0)),"(chưa có trong DM_NL)"))</f>
        <v/>
      </c>
      <c r="G838" s="35" t="str">
        <f>IF(E838="","",IFERROR(INDEX(DM_NL!$C$5:$C$304,MATCH(E838,DM_NL!$A$5:$A$304,0)),""))</f>
        <v/>
      </c>
      <c r="H838" s="39" t="str">
        <f>IF(OR(E838="",BOM!G832="KXDDM"),"",BOM!F832)</f>
        <v/>
      </c>
      <c r="I838" s="36" t="str">
        <f>IF(E838="","",BOM!G832&amp;"")</f>
        <v/>
      </c>
    </row>
    <row r="839" spans="1:9" x14ac:dyDescent="0.25">
      <c r="A839" s="36" t="str">
        <f>IF(B839="","",MAX($A$10:A838)+1)</f>
        <v/>
      </c>
      <c r="B839" s="35" t="str">
        <f>IF(BOM!A833="","",IF(BOM!A833=BOM!A832,"",BOM!A833))</f>
        <v/>
      </c>
      <c r="C839" s="35" t="str">
        <f>IF(B839="","",IFERROR(INDEX(DM_SP!$B$5:$B$304,MATCH(B839,DM_SP!$A$5:$A$304,0)),"(chưa có trong DM_SP)"))</f>
        <v/>
      </c>
      <c r="D839" s="35" t="str">
        <f>IF(B839="","",IFERROR(INDEX(DM_SP!$C$5:$C$304,MATCH(B839,DM_SP!$A$5:$A$304,0)),""))</f>
        <v/>
      </c>
      <c r="E839" s="35" t="str">
        <f>IF(BOM!A833="","",BOM!B833)</f>
        <v/>
      </c>
      <c r="F839" s="35" t="str">
        <f>IF(E839="","",IFERROR(INDEX(DM_NL!$B$5:$B$304,MATCH(E839,DM_NL!$A$5:$A$304,0)),"(chưa có trong DM_NL)"))</f>
        <v/>
      </c>
      <c r="G839" s="35" t="str">
        <f>IF(E839="","",IFERROR(INDEX(DM_NL!$C$5:$C$304,MATCH(E839,DM_NL!$A$5:$A$304,0)),""))</f>
        <v/>
      </c>
      <c r="H839" s="39" t="str">
        <f>IF(OR(E839="",BOM!G833="KXDDM"),"",BOM!F833)</f>
        <v/>
      </c>
      <c r="I839" s="36" t="str">
        <f>IF(E839="","",BOM!G833&amp;"")</f>
        <v/>
      </c>
    </row>
    <row r="840" spans="1:9" x14ac:dyDescent="0.25">
      <c r="A840" s="36" t="str">
        <f>IF(B840="","",MAX($A$10:A839)+1)</f>
        <v/>
      </c>
      <c r="B840" s="35" t="str">
        <f>IF(BOM!A834="","",IF(BOM!A834=BOM!A833,"",BOM!A834))</f>
        <v/>
      </c>
      <c r="C840" s="35" t="str">
        <f>IF(B840="","",IFERROR(INDEX(DM_SP!$B$5:$B$304,MATCH(B840,DM_SP!$A$5:$A$304,0)),"(chưa có trong DM_SP)"))</f>
        <v/>
      </c>
      <c r="D840" s="35" t="str">
        <f>IF(B840="","",IFERROR(INDEX(DM_SP!$C$5:$C$304,MATCH(B840,DM_SP!$A$5:$A$304,0)),""))</f>
        <v/>
      </c>
      <c r="E840" s="35" t="str">
        <f>IF(BOM!A834="","",BOM!B834)</f>
        <v/>
      </c>
      <c r="F840" s="35" t="str">
        <f>IF(E840="","",IFERROR(INDEX(DM_NL!$B$5:$B$304,MATCH(E840,DM_NL!$A$5:$A$304,0)),"(chưa có trong DM_NL)"))</f>
        <v/>
      </c>
      <c r="G840" s="35" t="str">
        <f>IF(E840="","",IFERROR(INDEX(DM_NL!$C$5:$C$304,MATCH(E840,DM_NL!$A$5:$A$304,0)),""))</f>
        <v/>
      </c>
      <c r="H840" s="39" t="str">
        <f>IF(OR(E840="",BOM!G834="KXDDM"),"",BOM!F834)</f>
        <v/>
      </c>
      <c r="I840" s="36" t="str">
        <f>IF(E840="","",BOM!G834&amp;"")</f>
        <v/>
      </c>
    </row>
    <row r="841" spans="1:9" x14ac:dyDescent="0.25">
      <c r="A841" s="36" t="str">
        <f>IF(B841="","",MAX($A$10:A840)+1)</f>
        <v/>
      </c>
      <c r="B841" s="35" t="str">
        <f>IF(BOM!A835="","",IF(BOM!A835=BOM!A834,"",BOM!A835))</f>
        <v/>
      </c>
      <c r="C841" s="35" t="str">
        <f>IF(B841="","",IFERROR(INDEX(DM_SP!$B$5:$B$304,MATCH(B841,DM_SP!$A$5:$A$304,0)),"(chưa có trong DM_SP)"))</f>
        <v/>
      </c>
      <c r="D841" s="35" t="str">
        <f>IF(B841="","",IFERROR(INDEX(DM_SP!$C$5:$C$304,MATCH(B841,DM_SP!$A$5:$A$304,0)),""))</f>
        <v/>
      </c>
      <c r="E841" s="35" t="str">
        <f>IF(BOM!A835="","",BOM!B835)</f>
        <v/>
      </c>
      <c r="F841" s="35" t="str">
        <f>IF(E841="","",IFERROR(INDEX(DM_NL!$B$5:$B$304,MATCH(E841,DM_NL!$A$5:$A$304,0)),"(chưa có trong DM_NL)"))</f>
        <v/>
      </c>
      <c r="G841" s="35" t="str">
        <f>IF(E841="","",IFERROR(INDEX(DM_NL!$C$5:$C$304,MATCH(E841,DM_NL!$A$5:$A$304,0)),""))</f>
        <v/>
      </c>
      <c r="H841" s="39" t="str">
        <f>IF(OR(E841="",BOM!G835="KXDDM"),"",BOM!F835)</f>
        <v/>
      </c>
      <c r="I841" s="36" t="str">
        <f>IF(E841="","",BOM!G835&amp;"")</f>
        <v/>
      </c>
    </row>
    <row r="842" spans="1:9" x14ac:dyDescent="0.25">
      <c r="A842" s="36" t="str">
        <f>IF(B842="","",MAX($A$10:A841)+1)</f>
        <v/>
      </c>
      <c r="B842" s="35" t="str">
        <f>IF(BOM!A836="","",IF(BOM!A836=BOM!A835,"",BOM!A836))</f>
        <v/>
      </c>
      <c r="C842" s="35" t="str">
        <f>IF(B842="","",IFERROR(INDEX(DM_SP!$B$5:$B$304,MATCH(B842,DM_SP!$A$5:$A$304,0)),"(chưa có trong DM_SP)"))</f>
        <v/>
      </c>
      <c r="D842" s="35" t="str">
        <f>IF(B842="","",IFERROR(INDEX(DM_SP!$C$5:$C$304,MATCH(B842,DM_SP!$A$5:$A$304,0)),""))</f>
        <v/>
      </c>
      <c r="E842" s="35" t="str">
        <f>IF(BOM!A836="","",BOM!B836)</f>
        <v/>
      </c>
      <c r="F842" s="35" t="str">
        <f>IF(E842="","",IFERROR(INDEX(DM_NL!$B$5:$B$304,MATCH(E842,DM_NL!$A$5:$A$304,0)),"(chưa có trong DM_NL)"))</f>
        <v/>
      </c>
      <c r="G842" s="35" t="str">
        <f>IF(E842="","",IFERROR(INDEX(DM_NL!$C$5:$C$304,MATCH(E842,DM_NL!$A$5:$A$304,0)),""))</f>
        <v/>
      </c>
      <c r="H842" s="39" t="str">
        <f>IF(OR(E842="",BOM!G836="KXDDM"),"",BOM!F836)</f>
        <v/>
      </c>
      <c r="I842" s="36" t="str">
        <f>IF(E842="","",BOM!G836&amp;"")</f>
        <v/>
      </c>
    </row>
    <row r="843" spans="1:9" x14ac:dyDescent="0.25">
      <c r="A843" s="36" t="str">
        <f>IF(B843="","",MAX($A$10:A842)+1)</f>
        <v/>
      </c>
      <c r="B843" s="35" t="str">
        <f>IF(BOM!A837="","",IF(BOM!A837=BOM!A836,"",BOM!A837))</f>
        <v/>
      </c>
      <c r="C843" s="35" t="str">
        <f>IF(B843="","",IFERROR(INDEX(DM_SP!$B$5:$B$304,MATCH(B843,DM_SP!$A$5:$A$304,0)),"(chưa có trong DM_SP)"))</f>
        <v/>
      </c>
      <c r="D843" s="35" t="str">
        <f>IF(B843="","",IFERROR(INDEX(DM_SP!$C$5:$C$304,MATCH(B843,DM_SP!$A$5:$A$304,0)),""))</f>
        <v/>
      </c>
      <c r="E843" s="35" t="str">
        <f>IF(BOM!A837="","",BOM!B837)</f>
        <v/>
      </c>
      <c r="F843" s="35" t="str">
        <f>IF(E843="","",IFERROR(INDEX(DM_NL!$B$5:$B$304,MATCH(E843,DM_NL!$A$5:$A$304,0)),"(chưa có trong DM_NL)"))</f>
        <v/>
      </c>
      <c r="G843" s="35" t="str">
        <f>IF(E843="","",IFERROR(INDEX(DM_NL!$C$5:$C$304,MATCH(E843,DM_NL!$A$5:$A$304,0)),""))</f>
        <v/>
      </c>
      <c r="H843" s="39" t="str">
        <f>IF(OR(E843="",BOM!G837="KXDDM"),"",BOM!F837)</f>
        <v/>
      </c>
      <c r="I843" s="36" t="str">
        <f>IF(E843="","",BOM!G837&amp;"")</f>
        <v/>
      </c>
    </row>
    <row r="844" spans="1:9" x14ac:dyDescent="0.25">
      <c r="A844" s="36" t="str">
        <f>IF(B844="","",MAX($A$10:A843)+1)</f>
        <v/>
      </c>
      <c r="B844" s="35" t="str">
        <f>IF(BOM!A838="","",IF(BOM!A838=BOM!A837,"",BOM!A838))</f>
        <v/>
      </c>
      <c r="C844" s="35" t="str">
        <f>IF(B844="","",IFERROR(INDEX(DM_SP!$B$5:$B$304,MATCH(B844,DM_SP!$A$5:$A$304,0)),"(chưa có trong DM_SP)"))</f>
        <v/>
      </c>
      <c r="D844" s="35" t="str">
        <f>IF(B844="","",IFERROR(INDEX(DM_SP!$C$5:$C$304,MATCH(B844,DM_SP!$A$5:$A$304,0)),""))</f>
        <v/>
      </c>
      <c r="E844" s="35" t="str">
        <f>IF(BOM!A838="","",BOM!B838)</f>
        <v/>
      </c>
      <c r="F844" s="35" t="str">
        <f>IF(E844="","",IFERROR(INDEX(DM_NL!$B$5:$B$304,MATCH(E844,DM_NL!$A$5:$A$304,0)),"(chưa có trong DM_NL)"))</f>
        <v/>
      </c>
      <c r="G844" s="35" t="str">
        <f>IF(E844="","",IFERROR(INDEX(DM_NL!$C$5:$C$304,MATCH(E844,DM_NL!$A$5:$A$304,0)),""))</f>
        <v/>
      </c>
      <c r="H844" s="39" t="str">
        <f>IF(OR(E844="",BOM!G838="KXDDM"),"",BOM!F838)</f>
        <v/>
      </c>
      <c r="I844" s="36" t="str">
        <f>IF(E844="","",BOM!G838&amp;"")</f>
        <v/>
      </c>
    </row>
    <row r="845" spans="1:9" x14ac:dyDescent="0.25">
      <c r="A845" s="36" t="str">
        <f>IF(B845="","",MAX($A$10:A844)+1)</f>
        <v/>
      </c>
      <c r="B845" s="35" t="str">
        <f>IF(BOM!A839="","",IF(BOM!A839=BOM!A838,"",BOM!A839))</f>
        <v/>
      </c>
      <c r="C845" s="35" t="str">
        <f>IF(B845="","",IFERROR(INDEX(DM_SP!$B$5:$B$304,MATCH(B845,DM_SP!$A$5:$A$304,0)),"(chưa có trong DM_SP)"))</f>
        <v/>
      </c>
      <c r="D845" s="35" t="str">
        <f>IF(B845="","",IFERROR(INDEX(DM_SP!$C$5:$C$304,MATCH(B845,DM_SP!$A$5:$A$304,0)),""))</f>
        <v/>
      </c>
      <c r="E845" s="35" t="str">
        <f>IF(BOM!A839="","",BOM!B839)</f>
        <v/>
      </c>
      <c r="F845" s="35" t="str">
        <f>IF(E845="","",IFERROR(INDEX(DM_NL!$B$5:$B$304,MATCH(E845,DM_NL!$A$5:$A$304,0)),"(chưa có trong DM_NL)"))</f>
        <v/>
      </c>
      <c r="G845" s="35" t="str">
        <f>IF(E845="","",IFERROR(INDEX(DM_NL!$C$5:$C$304,MATCH(E845,DM_NL!$A$5:$A$304,0)),""))</f>
        <v/>
      </c>
      <c r="H845" s="39" t="str">
        <f>IF(OR(E845="",BOM!G839="KXDDM"),"",BOM!F839)</f>
        <v/>
      </c>
      <c r="I845" s="36" t="str">
        <f>IF(E845="","",BOM!G839&amp;"")</f>
        <v/>
      </c>
    </row>
    <row r="846" spans="1:9" x14ac:dyDescent="0.25">
      <c r="A846" s="36" t="str">
        <f>IF(B846="","",MAX($A$10:A845)+1)</f>
        <v/>
      </c>
      <c r="B846" s="35" t="str">
        <f>IF(BOM!A840="","",IF(BOM!A840=BOM!A839,"",BOM!A840))</f>
        <v/>
      </c>
      <c r="C846" s="35" t="str">
        <f>IF(B846="","",IFERROR(INDEX(DM_SP!$B$5:$B$304,MATCH(B846,DM_SP!$A$5:$A$304,0)),"(chưa có trong DM_SP)"))</f>
        <v/>
      </c>
      <c r="D846" s="35" t="str">
        <f>IF(B846="","",IFERROR(INDEX(DM_SP!$C$5:$C$304,MATCH(B846,DM_SP!$A$5:$A$304,0)),""))</f>
        <v/>
      </c>
      <c r="E846" s="35" t="str">
        <f>IF(BOM!A840="","",BOM!B840)</f>
        <v/>
      </c>
      <c r="F846" s="35" t="str">
        <f>IF(E846="","",IFERROR(INDEX(DM_NL!$B$5:$B$304,MATCH(E846,DM_NL!$A$5:$A$304,0)),"(chưa có trong DM_NL)"))</f>
        <v/>
      </c>
      <c r="G846" s="35" t="str">
        <f>IF(E846="","",IFERROR(INDEX(DM_NL!$C$5:$C$304,MATCH(E846,DM_NL!$A$5:$A$304,0)),""))</f>
        <v/>
      </c>
      <c r="H846" s="39" t="str">
        <f>IF(OR(E846="",BOM!G840="KXDDM"),"",BOM!F840)</f>
        <v/>
      </c>
      <c r="I846" s="36" t="str">
        <f>IF(E846="","",BOM!G840&amp;"")</f>
        <v/>
      </c>
    </row>
    <row r="847" spans="1:9" x14ac:dyDescent="0.25">
      <c r="A847" s="36" t="str">
        <f>IF(B847="","",MAX($A$10:A846)+1)</f>
        <v/>
      </c>
      <c r="B847" s="35" t="str">
        <f>IF(BOM!A841="","",IF(BOM!A841=BOM!A840,"",BOM!A841))</f>
        <v/>
      </c>
      <c r="C847" s="35" t="str">
        <f>IF(B847="","",IFERROR(INDEX(DM_SP!$B$5:$B$304,MATCH(B847,DM_SP!$A$5:$A$304,0)),"(chưa có trong DM_SP)"))</f>
        <v/>
      </c>
      <c r="D847" s="35" t="str">
        <f>IF(B847="","",IFERROR(INDEX(DM_SP!$C$5:$C$304,MATCH(B847,DM_SP!$A$5:$A$304,0)),""))</f>
        <v/>
      </c>
      <c r="E847" s="35" t="str">
        <f>IF(BOM!A841="","",BOM!B841)</f>
        <v/>
      </c>
      <c r="F847" s="35" t="str">
        <f>IF(E847="","",IFERROR(INDEX(DM_NL!$B$5:$B$304,MATCH(E847,DM_NL!$A$5:$A$304,0)),"(chưa có trong DM_NL)"))</f>
        <v/>
      </c>
      <c r="G847" s="35" t="str">
        <f>IF(E847="","",IFERROR(INDEX(DM_NL!$C$5:$C$304,MATCH(E847,DM_NL!$A$5:$A$304,0)),""))</f>
        <v/>
      </c>
      <c r="H847" s="39" t="str">
        <f>IF(OR(E847="",BOM!G841="KXDDM"),"",BOM!F841)</f>
        <v/>
      </c>
      <c r="I847" s="36" t="str">
        <f>IF(E847="","",BOM!G841&amp;"")</f>
        <v/>
      </c>
    </row>
    <row r="848" spans="1:9" x14ac:dyDescent="0.25">
      <c r="A848" s="36" t="str">
        <f>IF(B848="","",MAX($A$10:A847)+1)</f>
        <v/>
      </c>
      <c r="B848" s="35" t="str">
        <f>IF(BOM!A842="","",IF(BOM!A842=BOM!A841,"",BOM!A842))</f>
        <v/>
      </c>
      <c r="C848" s="35" t="str">
        <f>IF(B848="","",IFERROR(INDEX(DM_SP!$B$5:$B$304,MATCH(B848,DM_SP!$A$5:$A$304,0)),"(chưa có trong DM_SP)"))</f>
        <v/>
      </c>
      <c r="D848" s="35" t="str">
        <f>IF(B848="","",IFERROR(INDEX(DM_SP!$C$5:$C$304,MATCH(B848,DM_SP!$A$5:$A$304,0)),""))</f>
        <v/>
      </c>
      <c r="E848" s="35" t="str">
        <f>IF(BOM!A842="","",BOM!B842)</f>
        <v/>
      </c>
      <c r="F848" s="35" t="str">
        <f>IF(E848="","",IFERROR(INDEX(DM_NL!$B$5:$B$304,MATCH(E848,DM_NL!$A$5:$A$304,0)),"(chưa có trong DM_NL)"))</f>
        <v/>
      </c>
      <c r="G848" s="35" t="str">
        <f>IF(E848="","",IFERROR(INDEX(DM_NL!$C$5:$C$304,MATCH(E848,DM_NL!$A$5:$A$304,0)),""))</f>
        <v/>
      </c>
      <c r="H848" s="39" t="str">
        <f>IF(OR(E848="",BOM!G842="KXDDM"),"",BOM!F842)</f>
        <v/>
      </c>
      <c r="I848" s="36" t="str">
        <f>IF(E848="","",BOM!G842&amp;"")</f>
        <v/>
      </c>
    </row>
    <row r="849" spans="1:9" x14ac:dyDescent="0.25">
      <c r="A849" s="36" t="str">
        <f>IF(B849="","",MAX($A$10:A848)+1)</f>
        <v/>
      </c>
      <c r="B849" s="35" t="str">
        <f>IF(BOM!A843="","",IF(BOM!A843=BOM!A842,"",BOM!A843))</f>
        <v/>
      </c>
      <c r="C849" s="35" t="str">
        <f>IF(B849="","",IFERROR(INDEX(DM_SP!$B$5:$B$304,MATCH(B849,DM_SP!$A$5:$A$304,0)),"(chưa có trong DM_SP)"))</f>
        <v/>
      </c>
      <c r="D849" s="35" t="str">
        <f>IF(B849="","",IFERROR(INDEX(DM_SP!$C$5:$C$304,MATCH(B849,DM_SP!$A$5:$A$304,0)),""))</f>
        <v/>
      </c>
      <c r="E849" s="35" t="str">
        <f>IF(BOM!A843="","",BOM!B843)</f>
        <v/>
      </c>
      <c r="F849" s="35" t="str">
        <f>IF(E849="","",IFERROR(INDEX(DM_NL!$B$5:$B$304,MATCH(E849,DM_NL!$A$5:$A$304,0)),"(chưa có trong DM_NL)"))</f>
        <v/>
      </c>
      <c r="G849" s="35" t="str">
        <f>IF(E849="","",IFERROR(INDEX(DM_NL!$C$5:$C$304,MATCH(E849,DM_NL!$A$5:$A$304,0)),""))</f>
        <v/>
      </c>
      <c r="H849" s="39" t="str">
        <f>IF(OR(E849="",BOM!G843="KXDDM"),"",BOM!F843)</f>
        <v/>
      </c>
      <c r="I849" s="36" t="str">
        <f>IF(E849="","",BOM!G843&amp;"")</f>
        <v/>
      </c>
    </row>
    <row r="850" spans="1:9" x14ac:dyDescent="0.25">
      <c r="A850" s="36" t="str">
        <f>IF(B850="","",MAX($A$10:A849)+1)</f>
        <v/>
      </c>
      <c r="B850" s="35" t="str">
        <f>IF(BOM!A844="","",IF(BOM!A844=BOM!A843,"",BOM!A844))</f>
        <v/>
      </c>
      <c r="C850" s="35" t="str">
        <f>IF(B850="","",IFERROR(INDEX(DM_SP!$B$5:$B$304,MATCH(B850,DM_SP!$A$5:$A$304,0)),"(chưa có trong DM_SP)"))</f>
        <v/>
      </c>
      <c r="D850" s="35" t="str">
        <f>IF(B850="","",IFERROR(INDEX(DM_SP!$C$5:$C$304,MATCH(B850,DM_SP!$A$5:$A$304,0)),""))</f>
        <v/>
      </c>
      <c r="E850" s="35" t="str">
        <f>IF(BOM!A844="","",BOM!B844)</f>
        <v/>
      </c>
      <c r="F850" s="35" t="str">
        <f>IF(E850="","",IFERROR(INDEX(DM_NL!$B$5:$B$304,MATCH(E850,DM_NL!$A$5:$A$304,0)),"(chưa có trong DM_NL)"))</f>
        <v/>
      </c>
      <c r="G850" s="35" t="str">
        <f>IF(E850="","",IFERROR(INDEX(DM_NL!$C$5:$C$304,MATCH(E850,DM_NL!$A$5:$A$304,0)),""))</f>
        <v/>
      </c>
      <c r="H850" s="39" t="str">
        <f>IF(OR(E850="",BOM!G844="KXDDM"),"",BOM!F844)</f>
        <v/>
      </c>
      <c r="I850" s="36" t="str">
        <f>IF(E850="","",BOM!G844&amp;"")</f>
        <v/>
      </c>
    </row>
    <row r="851" spans="1:9" x14ac:dyDescent="0.25">
      <c r="A851" s="36" t="str">
        <f>IF(B851="","",MAX($A$10:A850)+1)</f>
        <v/>
      </c>
      <c r="B851" s="35" t="str">
        <f>IF(BOM!A845="","",IF(BOM!A845=BOM!A844,"",BOM!A845))</f>
        <v/>
      </c>
      <c r="C851" s="35" t="str">
        <f>IF(B851="","",IFERROR(INDEX(DM_SP!$B$5:$B$304,MATCH(B851,DM_SP!$A$5:$A$304,0)),"(chưa có trong DM_SP)"))</f>
        <v/>
      </c>
      <c r="D851" s="35" t="str">
        <f>IF(B851="","",IFERROR(INDEX(DM_SP!$C$5:$C$304,MATCH(B851,DM_SP!$A$5:$A$304,0)),""))</f>
        <v/>
      </c>
      <c r="E851" s="35" t="str">
        <f>IF(BOM!A845="","",BOM!B845)</f>
        <v/>
      </c>
      <c r="F851" s="35" t="str">
        <f>IF(E851="","",IFERROR(INDEX(DM_NL!$B$5:$B$304,MATCH(E851,DM_NL!$A$5:$A$304,0)),"(chưa có trong DM_NL)"))</f>
        <v/>
      </c>
      <c r="G851" s="35" t="str">
        <f>IF(E851="","",IFERROR(INDEX(DM_NL!$C$5:$C$304,MATCH(E851,DM_NL!$A$5:$A$304,0)),""))</f>
        <v/>
      </c>
      <c r="H851" s="39" t="str">
        <f>IF(OR(E851="",BOM!G845="KXDDM"),"",BOM!F845)</f>
        <v/>
      </c>
      <c r="I851" s="36" t="str">
        <f>IF(E851="","",BOM!G845&amp;"")</f>
        <v/>
      </c>
    </row>
    <row r="852" spans="1:9" x14ac:dyDescent="0.25">
      <c r="A852" s="36" t="str">
        <f>IF(B852="","",MAX($A$10:A851)+1)</f>
        <v/>
      </c>
      <c r="B852" s="35" t="str">
        <f>IF(BOM!A846="","",IF(BOM!A846=BOM!A845,"",BOM!A846))</f>
        <v/>
      </c>
      <c r="C852" s="35" t="str">
        <f>IF(B852="","",IFERROR(INDEX(DM_SP!$B$5:$B$304,MATCH(B852,DM_SP!$A$5:$A$304,0)),"(chưa có trong DM_SP)"))</f>
        <v/>
      </c>
      <c r="D852" s="35" t="str">
        <f>IF(B852="","",IFERROR(INDEX(DM_SP!$C$5:$C$304,MATCH(B852,DM_SP!$A$5:$A$304,0)),""))</f>
        <v/>
      </c>
      <c r="E852" s="35" t="str">
        <f>IF(BOM!A846="","",BOM!B846)</f>
        <v/>
      </c>
      <c r="F852" s="35" t="str">
        <f>IF(E852="","",IFERROR(INDEX(DM_NL!$B$5:$B$304,MATCH(E852,DM_NL!$A$5:$A$304,0)),"(chưa có trong DM_NL)"))</f>
        <v/>
      </c>
      <c r="G852" s="35" t="str">
        <f>IF(E852="","",IFERROR(INDEX(DM_NL!$C$5:$C$304,MATCH(E852,DM_NL!$A$5:$A$304,0)),""))</f>
        <v/>
      </c>
      <c r="H852" s="39" t="str">
        <f>IF(OR(E852="",BOM!G846="KXDDM"),"",BOM!F846)</f>
        <v/>
      </c>
      <c r="I852" s="36" t="str">
        <f>IF(E852="","",BOM!G846&amp;"")</f>
        <v/>
      </c>
    </row>
    <row r="853" spans="1:9" x14ac:dyDescent="0.25">
      <c r="A853" s="36" t="str">
        <f>IF(B853="","",MAX($A$10:A852)+1)</f>
        <v/>
      </c>
      <c r="B853" s="35" t="str">
        <f>IF(BOM!A847="","",IF(BOM!A847=BOM!A846,"",BOM!A847))</f>
        <v/>
      </c>
      <c r="C853" s="35" t="str">
        <f>IF(B853="","",IFERROR(INDEX(DM_SP!$B$5:$B$304,MATCH(B853,DM_SP!$A$5:$A$304,0)),"(chưa có trong DM_SP)"))</f>
        <v/>
      </c>
      <c r="D853" s="35" t="str">
        <f>IF(B853="","",IFERROR(INDEX(DM_SP!$C$5:$C$304,MATCH(B853,DM_SP!$A$5:$A$304,0)),""))</f>
        <v/>
      </c>
      <c r="E853" s="35" t="str">
        <f>IF(BOM!A847="","",BOM!B847)</f>
        <v/>
      </c>
      <c r="F853" s="35" t="str">
        <f>IF(E853="","",IFERROR(INDEX(DM_NL!$B$5:$B$304,MATCH(E853,DM_NL!$A$5:$A$304,0)),"(chưa có trong DM_NL)"))</f>
        <v/>
      </c>
      <c r="G853" s="35" t="str">
        <f>IF(E853="","",IFERROR(INDEX(DM_NL!$C$5:$C$304,MATCH(E853,DM_NL!$A$5:$A$304,0)),""))</f>
        <v/>
      </c>
      <c r="H853" s="39" t="str">
        <f>IF(OR(E853="",BOM!G847="KXDDM"),"",BOM!F847)</f>
        <v/>
      </c>
      <c r="I853" s="36" t="str">
        <f>IF(E853="","",BOM!G847&amp;"")</f>
        <v/>
      </c>
    </row>
    <row r="854" spans="1:9" x14ac:dyDescent="0.25">
      <c r="A854" s="36" t="str">
        <f>IF(B854="","",MAX($A$10:A853)+1)</f>
        <v/>
      </c>
      <c r="B854" s="35" t="str">
        <f>IF(BOM!A848="","",IF(BOM!A848=BOM!A847,"",BOM!A848))</f>
        <v/>
      </c>
      <c r="C854" s="35" t="str">
        <f>IF(B854="","",IFERROR(INDEX(DM_SP!$B$5:$B$304,MATCH(B854,DM_SP!$A$5:$A$304,0)),"(chưa có trong DM_SP)"))</f>
        <v/>
      </c>
      <c r="D854" s="35" t="str">
        <f>IF(B854="","",IFERROR(INDEX(DM_SP!$C$5:$C$304,MATCH(B854,DM_SP!$A$5:$A$304,0)),""))</f>
        <v/>
      </c>
      <c r="E854" s="35" t="str">
        <f>IF(BOM!A848="","",BOM!B848)</f>
        <v/>
      </c>
      <c r="F854" s="35" t="str">
        <f>IF(E854="","",IFERROR(INDEX(DM_NL!$B$5:$B$304,MATCH(E854,DM_NL!$A$5:$A$304,0)),"(chưa có trong DM_NL)"))</f>
        <v/>
      </c>
      <c r="G854" s="35" t="str">
        <f>IF(E854="","",IFERROR(INDEX(DM_NL!$C$5:$C$304,MATCH(E854,DM_NL!$A$5:$A$304,0)),""))</f>
        <v/>
      </c>
      <c r="H854" s="39" t="str">
        <f>IF(OR(E854="",BOM!G848="KXDDM"),"",BOM!F848)</f>
        <v/>
      </c>
      <c r="I854" s="36" t="str">
        <f>IF(E854="","",BOM!G848&amp;"")</f>
        <v/>
      </c>
    </row>
    <row r="855" spans="1:9" x14ac:dyDescent="0.25">
      <c r="A855" s="36" t="str">
        <f>IF(B855="","",MAX($A$10:A854)+1)</f>
        <v/>
      </c>
      <c r="B855" s="35" t="str">
        <f>IF(BOM!A849="","",IF(BOM!A849=BOM!A848,"",BOM!A849))</f>
        <v/>
      </c>
      <c r="C855" s="35" t="str">
        <f>IF(B855="","",IFERROR(INDEX(DM_SP!$B$5:$B$304,MATCH(B855,DM_SP!$A$5:$A$304,0)),"(chưa có trong DM_SP)"))</f>
        <v/>
      </c>
      <c r="D855" s="35" t="str">
        <f>IF(B855="","",IFERROR(INDEX(DM_SP!$C$5:$C$304,MATCH(B855,DM_SP!$A$5:$A$304,0)),""))</f>
        <v/>
      </c>
      <c r="E855" s="35" t="str">
        <f>IF(BOM!A849="","",BOM!B849)</f>
        <v/>
      </c>
      <c r="F855" s="35" t="str">
        <f>IF(E855="","",IFERROR(INDEX(DM_NL!$B$5:$B$304,MATCH(E855,DM_NL!$A$5:$A$304,0)),"(chưa có trong DM_NL)"))</f>
        <v/>
      </c>
      <c r="G855" s="35" t="str">
        <f>IF(E855="","",IFERROR(INDEX(DM_NL!$C$5:$C$304,MATCH(E855,DM_NL!$A$5:$A$304,0)),""))</f>
        <v/>
      </c>
      <c r="H855" s="39" t="str">
        <f>IF(OR(E855="",BOM!G849="KXDDM"),"",BOM!F849)</f>
        <v/>
      </c>
      <c r="I855" s="36" t="str">
        <f>IF(E855="","",BOM!G849&amp;"")</f>
        <v/>
      </c>
    </row>
    <row r="856" spans="1:9" x14ac:dyDescent="0.25">
      <c r="A856" s="36" t="str">
        <f>IF(B856="","",MAX($A$10:A855)+1)</f>
        <v/>
      </c>
      <c r="B856" s="35" t="str">
        <f>IF(BOM!A850="","",IF(BOM!A850=BOM!A849,"",BOM!A850))</f>
        <v/>
      </c>
      <c r="C856" s="35" t="str">
        <f>IF(B856="","",IFERROR(INDEX(DM_SP!$B$5:$B$304,MATCH(B856,DM_SP!$A$5:$A$304,0)),"(chưa có trong DM_SP)"))</f>
        <v/>
      </c>
      <c r="D856" s="35" t="str">
        <f>IF(B856="","",IFERROR(INDEX(DM_SP!$C$5:$C$304,MATCH(B856,DM_SP!$A$5:$A$304,0)),""))</f>
        <v/>
      </c>
      <c r="E856" s="35" t="str">
        <f>IF(BOM!A850="","",BOM!B850)</f>
        <v/>
      </c>
      <c r="F856" s="35" t="str">
        <f>IF(E856="","",IFERROR(INDEX(DM_NL!$B$5:$B$304,MATCH(E856,DM_NL!$A$5:$A$304,0)),"(chưa có trong DM_NL)"))</f>
        <v/>
      </c>
      <c r="G856" s="35" t="str">
        <f>IF(E856="","",IFERROR(INDEX(DM_NL!$C$5:$C$304,MATCH(E856,DM_NL!$A$5:$A$304,0)),""))</f>
        <v/>
      </c>
      <c r="H856" s="39" t="str">
        <f>IF(OR(E856="",BOM!G850="KXDDM"),"",BOM!F850)</f>
        <v/>
      </c>
      <c r="I856" s="36" t="str">
        <f>IF(E856="","",BOM!G850&amp;"")</f>
        <v/>
      </c>
    </row>
    <row r="857" spans="1:9" x14ac:dyDescent="0.25">
      <c r="A857" s="36" t="str">
        <f>IF(B857="","",MAX($A$10:A856)+1)</f>
        <v/>
      </c>
      <c r="B857" s="35" t="str">
        <f>IF(BOM!A851="","",IF(BOM!A851=BOM!A850,"",BOM!A851))</f>
        <v/>
      </c>
      <c r="C857" s="35" t="str">
        <f>IF(B857="","",IFERROR(INDEX(DM_SP!$B$5:$B$304,MATCH(B857,DM_SP!$A$5:$A$304,0)),"(chưa có trong DM_SP)"))</f>
        <v/>
      </c>
      <c r="D857" s="35" t="str">
        <f>IF(B857="","",IFERROR(INDEX(DM_SP!$C$5:$C$304,MATCH(B857,DM_SP!$A$5:$A$304,0)),""))</f>
        <v/>
      </c>
      <c r="E857" s="35" t="str">
        <f>IF(BOM!A851="","",BOM!B851)</f>
        <v/>
      </c>
      <c r="F857" s="35" t="str">
        <f>IF(E857="","",IFERROR(INDEX(DM_NL!$B$5:$B$304,MATCH(E857,DM_NL!$A$5:$A$304,0)),"(chưa có trong DM_NL)"))</f>
        <v/>
      </c>
      <c r="G857" s="35" t="str">
        <f>IF(E857="","",IFERROR(INDEX(DM_NL!$C$5:$C$304,MATCH(E857,DM_NL!$A$5:$A$304,0)),""))</f>
        <v/>
      </c>
      <c r="H857" s="39" t="str">
        <f>IF(OR(E857="",BOM!G851="KXDDM"),"",BOM!F851)</f>
        <v/>
      </c>
      <c r="I857" s="36" t="str">
        <f>IF(E857="","",BOM!G851&amp;"")</f>
        <v/>
      </c>
    </row>
    <row r="858" spans="1:9" x14ac:dyDescent="0.25">
      <c r="A858" s="36" t="str">
        <f>IF(B858="","",MAX($A$10:A857)+1)</f>
        <v/>
      </c>
      <c r="B858" s="35" t="str">
        <f>IF(BOM!A852="","",IF(BOM!A852=BOM!A851,"",BOM!A852))</f>
        <v/>
      </c>
      <c r="C858" s="35" t="str">
        <f>IF(B858="","",IFERROR(INDEX(DM_SP!$B$5:$B$304,MATCH(B858,DM_SP!$A$5:$A$304,0)),"(chưa có trong DM_SP)"))</f>
        <v/>
      </c>
      <c r="D858" s="35" t="str">
        <f>IF(B858="","",IFERROR(INDEX(DM_SP!$C$5:$C$304,MATCH(B858,DM_SP!$A$5:$A$304,0)),""))</f>
        <v/>
      </c>
      <c r="E858" s="35" t="str">
        <f>IF(BOM!A852="","",BOM!B852)</f>
        <v/>
      </c>
      <c r="F858" s="35" t="str">
        <f>IF(E858="","",IFERROR(INDEX(DM_NL!$B$5:$B$304,MATCH(E858,DM_NL!$A$5:$A$304,0)),"(chưa có trong DM_NL)"))</f>
        <v/>
      </c>
      <c r="G858" s="35" t="str">
        <f>IF(E858="","",IFERROR(INDEX(DM_NL!$C$5:$C$304,MATCH(E858,DM_NL!$A$5:$A$304,0)),""))</f>
        <v/>
      </c>
      <c r="H858" s="39" t="str">
        <f>IF(OR(E858="",BOM!G852="KXDDM"),"",BOM!F852)</f>
        <v/>
      </c>
      <c r="I858" s="36" t="str">
        <f>IF(E858="","",BOM!G852&amp;"")</f>
        <v/>
      </c>
    </row>
    <row r="859" spans="1:9" x14ac:dyDescent="0.25">
      <c r="A859" s="36" t="str">
        <f>IF(B859="","",MAX($A$10:A858)+1)</f>
        <v/>
      </c>
      <c r="B859" s="35" t="str">
        <f>IF(BOM!A853="","",IF(BOM!A853=BOM!A852,"",BOM!A853))</f>
        <v/>
      </c>
      <c r="C859" s="35" t="str">
        <f>IF(B859="","",IFERROR(INDEX(DM_SP!$B$5:$B$304,MATCH(B859,DM_SP!$A$5:$A$304,0)),"(chưa có trong DM_SP)"))</f>
        <v/>
      </c>
      <c r="D859" s="35" t="str">
        <f>IF(B859="","",IFERROR(INDEX(DM_SP!$C$5:$C$304,MATCH(B859,DM_SP!$A$5:$A$304,0)),""))</f>
        <v/>
      </c>
      <c r="E859" s="35" t="str">
        <f>IF(BOM!A853="","",BOM!B853)</f>
        <v/>
      </c>
      <c r="F859" s="35" t="str">
        <f>IF(E859="","",IFERROR(INDEX(DM_NL!$B$5:$B$304,MATCH(E859,DM_NL!$A$5:$A$304,0)),"(chưa có trong DM_NL)"))</f>
        <v/>
      </c>
      <c r="G859" s="35" t="str">
        <f>IF(E859="","",IFERROR(INDEX(DM_NL!$C$5:$C$304,MATCH(E859,DM_NL!$A$5:$A$304,0)),""))</f>
        <v/>
      </c>
      <c r="H859" s="39" t="str">
        <f>IF(OR(E859="",BOM!G853="KXDDM"),"",BOM!F853)</f>
        <v/>
      </c>
      <c r="I859" s="36" t="str">
        <f>IF(E859="","",BOM!G853&amp;"")</f>
        <v/>
      </c>
    </row>
    <row r="860" spans="1:9" x14ac:dyDescent="0.25">
      <c r="A860" s="36" t="str">
        <f>IF(B860="","",MAX($A$10:A859)+1)</f>
        <v/>
      </c>
      <c r="B860" s="35" t="str">
        <f>IF(BOM!A854="","",IF(BOM!A854=BOM!A853,"",BOM!A854))</f>
        <v/>
      </c>
      <c r="C860" s="35" t="str">
        <f>IF(B860="","",IFERROR(INDEX(DM_SP!$B$5:$B$304,MATCH(B860,DM_SP!$A$5:$A$304,0)),"(chưa có trong DM_SP)"))</f>
        <v/>
      </c>
      <c r="D860" s="35" t="str">
        <f>IF(B860="","",IFERROR(INDEX(DM_SP!$C$5:$C$304,MATCH(B860,DM_SP!$A$5:$A$304,0)),""))</f>
        <v/>
      </c>
      <c r="E860" s="35" t="str">
        <f>IF(BOM!A854="","",BOM!B854)</f>
        <v/>
      </c>
      <c r="F860" s="35" t="str">
        <f>IF(E860="","",IFERROR(INDEX(DM_NL!$B$5:$B$304,MATCH(E860,DM_NL!$A$5:$A$304,0)),"(chưa có trong DM_NL)"))</f>
        <v/>
      </c>
      <c r="G860" s="35" t="str">
        <f>IF(E860="","",IFERROR(INDEX(DM_NL!$C$5:$C$304,MATCH(E860,DM_NL!$A$5:$A$304,0)),""))</f>
        <v/>
      </c>
      <c r="H860" s="39" t="str">
        <f>IF(OR(E860="",BOM!G854="KXDDM"),"",BOM!F854)</f>
        <v/>
      </c>
      <c r="I860" s="36" t="str">
        <f>IF(E860="","",BOM!G854&amp;"")</f>
        <v/>
      </c>
    </row>
    <row r="861" spans="1:9" x14ac:dyDescent="0.25">
      <c r="A861" s="36" t="str">
        <f>IF(B861="","",MAX($A$10:A860)+1)</f>
        <v/>
      </c>
      <c r="B861" s="35" t="str">
        <f>IF(BOM!A855="","",IF(BOM!A855=BOM!A854,"",BOM!A855))</f>
        <v/>
      </c>
      <c r="C861" s="35" t="str">
        <f>IF(B861="","",IFERROR(INDEX(DM_SP!$B$5:$B$304,MATCH(B861,DM_SP!$A$5:$A$304,0)),"(chưa có trong DM_SP)"))</f>
        <v/>
      </c>
      <c r="D861" s="35" t="str">
        <f>IF(B861="","",IFERROR(INDEX(DM_SP!$C$5:$C$304,MATCH(B861,DM_SP!$A$5:$A$304,0)),""))</f>
        <v/>
      </c>
      <c r="E861" s="35" t="str">
        <f>IF(BOM!A855="","",BOM!B855)</f>
        <v/>
      </c>
      <c r="F861" s="35" t="str">
        <f>IF(E861="","",IFERROR(INDEX(DM_NL!$B$5:$B$304,MATCH(E861,DM_NL!$A$5:$A$304,0)),"(chưa có trong DM_NL)"))</f>
        <v/>
      </c>
      <c r="G861" s="35" t="str">
        <f>IF(E861="","",IFERROR(INDEX(DM_NL!$C$5:$C$304,MATCH(E861,DM_NL!$A$5:$A$304,0)),""))</f>
        <v/>
      </c>
      <c r="H861" s="39" t="str">
        <f>IF(OR(E861="",BOM!G855="KXDDM"),"",BOM!F855)</f>
        <v/>
      </c>
      <c r="I861" s="36" t="str">
        <f>IF(E861="","",BOM!G855&amp;"")</f>
        <v/>
      </c>
    </row>
    <row r="862" spans="1:9" x14ac:dyDescent="0.25">
      <c r="A862" s="36" t="str">
        <f>IF(B862="","",MAX($A$10:A861)+1)</f>
        <v/>
      </c>
      <c r="B862" s="35" t="str">
        <f>IF(BOM!A856="","",IF(BOM!A856=BOM!A855,"",BOM!A856))</f>
        <v/>
      </c>
      <c r="C862" s="35" t="str">
        <f>IF(B862="","",IFERROR(INDEX(DM_SP!$B$5:$B$304,MATCH(B862,DM_SP!$A$5:$A$304,0)),"(chưa có trong DM_SP)"))</f>
        <v/>
      </c>
      <c r="D862" s="35" t="str">
        <f>IF(B862="","",IFERROR(INDEX(DM_SP!$C$5:$C$304,MATCH(B862,DM_SP!$A$5:$A$304,0)),""))</f>
        <v/>
      </c>
      <c r="E862" s="35" t="str">
        <f>IF(BOM!A856="","",BOM!B856)</f>
        <v/>
      </c>
      <c r="F862" s="35" t="str">
        <f>IF(E862="","",IFERROR(INDEX(DM_NL!$B$5:$B$304,MATCH(E862,DM_NL!$A$5:$A$304,0)),"(chưa có trong DM_NL)"))</f>
        <v/>
      </c>
      <c r="G862" s="35" t="str">
        <f>IF(E862="","",IFERROR(INDEX(DM_NL!$C$5:$C$304,MATCH(E862,DM_NL!$A$5:$A$304,0)),""))</f>
        <v/>
      </c>
      <c r="H862" s="39" t="str">
        <f>IF(OR(E862="",BOM!G856="KXDDM"),"",BOM!F856)</f>
        <v/>
      </c>
      <c r="I862" s="36" t="str">
        <f>IF(E862="","",BOM!G856&amp;"")</f>
        <v/>
      </c>
    </row>
    <row r="863" spans="1:9" x14ac:dyDescent="0.25">
      <c r="A863" s="36" t="str">
        <f>IF(B863="","",MAX($A$10:A862)+1)</f>
        <v/>
      </c>
      <c r="B863" s="35" t="str">
        <f>IF(BOM!A857="","",IF(BOM!A857=BOM!A856,"",BOM!A857))</f>
        <v/>
      </c>
      <c r="C863" s="35" t="str">
        <f>IF(B863="","",IFERROR(INDEX(DM_SP!$B$5:$B$304,MATCH(B863,DM_SP!$A$5:$A$304,0)),"(chưa có trong DM_SP)"))</f>
        <v/>
      </c>
      <c r="D863" s="35" t="str">
        <f>IF(B863="","",IFERROR(INDEX(DM_SP!$C$5:$C$304,MATCH(B863,DM_SP!$A$5:$A$304,0)),""))</f>
        <v/>
      </c>
      <c r="E863" s="35" t="str">
        <f>IF(BOM!A857="","",BOM!B857)</f>
        <v/>
      </c>
      <c r="F863" s="35" t="str">
        <f>IF(E863="","",IFERROR(INDEX(DM_NL!$B$5:$B$304,MATCH(E863,DM_NL!$A$5:$A$304,0)),"(chưa có trong DM_NL)"))</f>
        <v/>
      </c>
      <c r="G863" s="35" t="str">
        <f>IF(E863="","",IFERROR(INDEX(DM_NL!$C$5:$C$304,MATCH(E863,DM_NL!$A$5:$A$304,0)),""))</f>
        <v/>
      </c>
      <c r="H863" s="39" t="str">
        <f>IF(OR(E863="",BOM!G857="KXDDM"),"",BOM!F857)</f>
        <v/>
      </c>
      <c r="I863" s="36" t="str">
        <f>IF(E863="","",BOM!G857&amp;"")</f>
        <v/>
      </c>
    </row>
    <row r="864" spans="1:9" x14ac:dyDescent="0.25">
      <c r="A864" s="36" t="str">
        <f>IF(B864="","",MAX($A$10:A863)+1)</f>
        <v/>
      </c>
      <c r="B864" s="35" t="str">
        <f>IF(BOM!A858="","",IF(BOM!A858=BOM!A857,"",BOM!A858))</f>
        <v/>
      </c>
      <c r="C864" s="35" t="str">
        <f>IF(B864="","",IFERROR(INDEX(DM_SP!$B$5:$B$304,MATCH(B864,DM_SP!$A$5:$A$304,0)),"(chưa có trong DM_SP)"))</f>
        <v/>
      </c>
      <c r="D864" s="35" t="str">
        <f>IF(B864="","",IFERROR(INDEX(DM_SP!$C$5:$C$304,MATCH(B864,DM_SP!$A$5:$A$304,0)),""))</f>
        <v/>
      </c>
      <c r="E864" s="35" t="str">
        <f>IF(BOM!A858="","",BOM!B858)</f>
        <v/>
      </c>
      <c r="F864" s="35" t="str">
        <f>IF(E864="","",IFERROR(INDEX(DM_NL!$B$5:$B$304,MATCH(E864,DM_NL!$A$5:$A$304,0)),"(chưa có trong DM_NL)"))</f>
        <v/>
      </c>
      <c r="G864" s="35" t="str">
        <f>IF(E864="","",IFERROR(INDEX(DM_NL!$C$5:$C$304,MATCH(E864,DM_NL!$A$5:$A$304,0)),""))</f>
        <v/>
      </c>
      <c r="H864" s="39" t="str">
        <f>IF(OR(E864="",BOM!G858="KXDDM"),"",BOM!F858)</f>
        <v/>
      </c>
      <c r="I864" s="36" t="str">
        <f>IF(E864="","",BOM!G858&amp;"")</f>
        <v/>
      </c>
    </row>
    <row r="865" spans="1:9" x14ac:dyDescent="0.25">
      <c r="A865" s="36" t="str">
        <f>IF(B865="","",MAX($A$10:A864)+1)</f>
        <v/>
      </c>
      <c r="B865" s="35" t="str">
        <f>IF(BOM!A859="","",IF(BOM!A859=BOM!A858,"",BOM!A859))</f>
        <v/>
      </c>
      <c r="C865" s="35" t="str">
        <f>IF(B865="","",IFERROR(INDEX(DM_SP!$B$5:$B$304,MATCH(B865,DM_SP!$A$5:$A$304,0)),"(chưa có trong DM_SP)"))</f>
        <v/>
      </c>
      <c r="D865" s="35" t="str">
        <f>IF(B865="","",IFERROR(INDEX(DM_SP!$C$5:$C$304,MATCH(B865,DM_SP!$A$5:$A$304,0)),""))</f>
        <v/>
      </c>
      <c r="E865" s="35" t="str">
        <f>IF(BOM!A859="","",BOM!B859)</f>
        <v/>
      </c>
      <c r="F865" s="35" t="str">
        <f>IF(E865="","",IFERROR(INDEX(DM_NL!$B$5:$B$304,MATCH(E865,DM_NL!$A$5:$A$304,0)),"(chưa có trong DM_NL)"))</f>
        <v/>
      </c>
      <c r="G865" s="35" t="str">
        <f>IF(E865="","",IFERROR(INDEX(DM_NL!$C$5:$C$304,MATCH(E865,DM_NL!$A$5:$A$304,0)),""))</f>
        <v/>
      </c>
      <c r="H865" s="39" t="str">
        <f>IF(OR(E865="",BOM!G859="KXDDM"),"",BOM!F859)</f>
        <v/>
      </c>
      <c r="I865" s="36" t="str">
        <f>IF(E865="","",BOM!G859&amp;"")</f>
        <v/>
      </c>
    </row>
    <row r="866" spans="1:9" x14ac:dyDescent="0.25">
      <c r="A866" s="36" t="str">
        <f>IF(B866="","",MAX($A$10:A865)+1)</f>
        <v/>
      </c>
      <c r="B866" s="35" t="str">
        <f>IF(BOM!A860="","",IF(BOM!A860=BOM!A859,"",BOM!A860))</f>
        <v/>
      </c>
      <c r="C866" s="35" t="str">
        <f>IF(B866="","",IFERROR(INDEX(DM_SP!$B$5:$B$304,MATCH(B866,DM_SP!$A$5:$A$304,0)),"(chưa có trong DM_SP)"))</f>
        <v/>
      </c>
      <c r="D866" s="35" t="str">
        <f>IF(B866="","",IFERROR(INDEX(DM_SP!$C$5:$C$304,MATCH(B866,DM_SP!$A$5:$A$304,0)),""))</f>
        <v/>
      </c>
      <c r="E866" s="35" t="str">
        <f>IF(BOM!A860="","",BOM!B860)</f>
        <v/>
      </c>
      <c r="F866" s="35" t="str">
        <f>IF(E866="","",IFERROR(INDEX(DM_NL!$B$5:$B$304,MATCH(E866,DM_NL!$A$5:$A$304,0)),"(chưa có trong DM_NL)"))</f>
        <v/>
      </c>
      <c r="G866" s="35" t="str">
        <f>IF(E866="","",IFERROR(INDEX(DM_NL!$C$5:$C$304,MATCH(E866,DM_NL!$A$5:$A$304,0)),""))</f>
        <v/>
      </c>
      <c r="H866" s="39" t="str">
        <f>IF(OR(E866="",BOM!G860="KXDDM"),"",BOM!F860)</f>
        <v/>
      </c>
      <c r="I866" s="36" t="str">
        <f>IF(E866="","",BOM!G860&amp;"")</f>
        <v/>
      </c>
    </row>
    <row r="867" spans="1:9" x14ac:dyDescent="0.25">
      <c r="A867" s="36" t="str">
        <f>IF(B867="","",MAX($A$10:A866)+1)</f>
        <v/>
      </c>
      <c r="B867" s="35" t="str">
        <f>IF(BOM!A861="","",IF(BOM!A861=BOM!A860,"",BOM!A861))</f>
        <v/>
      </c>
      <c r="C867" s="35" t="str">
        <f>IF(B867="","",IFERROR(INDEX(DM_SP!$B$5:$B$304,MATCH(B867,DM_SP!$A$5:$A$304,0)),"(chưa có trong DM_SP)"))</f>
        <v/>
      </c>
      <c r="D867" s="35" t="str">
        <f>IF(B867="","",IFERROR(INDEX(DM_SP!$C$5:$C$304,MATCH(B867,DM_SP!$A$5:$A$304,0)),""))</f>
        <v/>
      </c>
      <c r="E867" s="35" t="str">
        <f>IF(BOM!A861="","",BOM!B861)</f>
        <v/>
      </c>
      <c r="F867" s="35" t="str">
        <f>IF(E867="","",IFERROR(INDEX(DM_NL!$B$5:$B$304,MATCH(E867,DM_NL!$A$5:$A$304,0)),"(chưa có trong DM_NL)"))</f>
        <v/>
      </c>
      <c r="G867" s="35" t="str">
        <f>IF(E867="","",IFERROR(INDEX(DM_NL!$C$5:$C$304,MATCH(E867,DM_NL!$A$5:$A$304,0)),""))</f>
        <v/>
      </c>
      <c r="H867" s="39" t="str">
        <f>IF(OR(E867="",BOM!G861="KXDDM"),"",BOM!F861)</f>
        <v/>
      </c>
      <c r="I867" s="36" t="str">
        <f>IF(E867="","",BOM!G861&amp;"")</f>
        <v/>
      </c>
    </row>
    <row r="868" spans="1:9" x14ac:dyDescent="0.25">
      <c r="A868" s="36" t="str">
        <f>IF(B868="","",MAX($A$10:A867)+1)</f>
        <v/>
      </c>
      <c r="B868" s="35" t="str">
        <f>IF(BOM!A862="","",IF(BOM!A862=BOM!A861,"",BOM!A862))</f>
        <v/>
      </c>
      <c r="C868" s="35" t="str">
        <f>IF(B868="","",IFERROR(INDEX(DM_SP!$B$5:$B$304,MATCH(B868,DM_SP!$A$5:$A$304,0)),"(chưa có trong DM_SP)"))</f>
        <v/>
      </c>
      <c r="D868" s="35" t="str">
        <f>IF(B868="","",IFERROR(INDEX(DM_SP!$C$5:$C$304,MATCH(B868,DM_SP!$A$5:$A$304,0)),""))</f>
        <v/>
      </c>
      <c r="E868" s="35" t="str">
        <f>IF(BOM!A862="","",BOM!B862)</f>
        <v/>
      </c>
      <c r="F868" s="35" t="str">
        <f>IF(E868="","",IFERROR(INDEX(DM_NL!$B$5:$B$304,MATCH(E868,DM_NL!$A$5:$A$304,0)),"(chưa có trong DM_NL)"))</f>
        <v/>
      </c>
      <c r="G868" s="35" t="str">
        <f>IF(E868="","",IFERROR(INDEX(DM_NL!$C$5:$C$304,MATCH(E868,DM_NL!$A$5:$A$304,0)),""))</f>
        <v/>
      </c>
      <c r="H868" s="39" t="str">
        <f>IF(OR(E868="",BOM!G862="KXDDM"),"",BOM!F862)</f>
        <v/>
      </c>
      <c r="I868" s="36" t="str">
        <f>IF(E868="","",BOM!G862&amp;"")</f>
        <v/>
      </c>
    </row>
    <row r="869" spans="1:9" x14ac:dyDescent="0.25">
      <c r="A869" s="36" t="str">
        <f>IF(B869="","",MAX($A$10:A868)+1)</f>
        <v/>
      </c>
      <c r="B869" s="35" t="str">
        <f>IF(BOM!A863="","",IF(BOM!A863=BOM!A862,"",BOM!A863))</f>
        <v/>
      </c>
      <c r="C869" s="35" t="str">
        <f>IF(B869="","",IFERROR(INDEX(DM_SP!$B$5:$B$304,MATCH(B869,DM_SP!$A$5:$A$304,0)),"(chưa có trong DM_SP)"))</f>
        <v/>
      </c>
      <c r="D869" s="35" t="str">
        <f>IF(B869="","",IFERROR(INDEX(DM_SP!$C$5:$C$304,MATCH(B869,DM_SP!$A$5:$A$304,0)),""))</f>
        <v/>
      </c>
      <c r="E869" s="35" t="str">
        <f>IF(BOM!A863="","",BOM!B863)</f>
        <v/>
      </c>
      <c r="F869" s="35" t="str">
        <f>IF(E869="","",IFERROR(INDEX(DM_NL!$B$5:$B$304,MATCH(E869,DM_NL!$A$5:$A$304,0)),"(chưa có trong DM_NL)"))</f>
        <v/>
      </c>
      <c r="G869" s="35" t="str">
        <f>IF(E869="","",IFERROR(INDEX(DM_NL!$C$5:$C$304,MATCH(E869,DM_NL!$A$5:$A$304,0)),""))</f>
        <v/>
      </c>
      <c r="H869" s="39" t="str">
        <f>IF(OR(E869="",BOM!G863="KXDDM"),"",BOM!F863)</f>
        <v/>
      </c>
      <c r="I869" s="36" t="str">
        <f>IF(E869="","",BOM!G863&amp;"")</f>
        <v/>
      </c>
    </row>
    <row r="870" spans="1:9" x14ac:dyDescent="0.25">
      <c r="A870" s="36" t="str">
        <f>IF(B870="","",MAX($A$10:A869)+1)</f>
        <v/>
      </c>
      <c r="B870" s="35" t="str">
        <f>IF(BOM!A864="","",IF(BOM!A864=BOM!A863,"",BOM!A864))</f>
        <v/>
      </c>
      <c r="C870" s="35" t="str">
        <f>IF(B870="","",IFERROR(INDEX(DM_SP!$B$5:$B$304,MATCH(B870,DM_SP!$A$5:$A$304,0)),"(chưa có trong DM_SP)"))</f>
        <v/>
      </c>
      <c r="D870" s="35" t="str">
        <f>IF(B870="","",IFERROR(INDEX(DM_SP!$C$5:$C$304,MATCH(B870,DM_SP!$A$5:$A$304,0)),""))</f>
        <v/>
      </c>
      <c r="E870" s="35" t="str">
        <f>IF(BOM!A864="","",BOM!B864)</f>
        <v/>
      </c>
      <c r="F870" s="35" t="str">
        <f>IF(E870="","",IFERROR(INDEX(DM_NL!$B$5:$B$304,MATCH(E870,DM_NL!$A$5:$A$304,0)),"(chưa có trong DM_NL)"))</f>
        <v/>
      </c>
      <c r="G870" s="35" t="str">
        <f>IF(E870="","",IFERROR(INDEX(DM_NL!$C$5:$C$304,MATCH(E870,DM_NL!$A$5:$A$304,0)),""))</f>
        <v/>
      </c>
      <c r="H870" s="39" t="str">
        <f>IF(OR(E870="",BOM!G864="KXDDM"),"",BOM!F864)</f>
        <v/>
      </c>
      <c r="I870" s="36" t="str">
        <f>IF(E870="","",BOM!G864&amp;"")</f>
        <v/>
      </c>
    </row>
    <row r="871" spans="1:9" x14ac:dyDescent="0.25">
      <c r="A871" s="36" t="str">
        <f>IF(B871="","",MAX($A$10:A870)+1)</f>
        <v/>
      </c>
      <c r="B871" s="35" t="str">
        <f>IF(BOM!A865="","",IF(BOM!A865=BOM!A864,"",BOM!A865))</f>
        <v/>
      </c>
      <c r="C871" s="35" t="str">
        <f>IF(B871="","",IFERROR(INDEX(DM_SP!$B$5:$B$304,MATCH(B871,DM_SP!$A$5:$A$304,0)),"(chưa có trong DM_SP)"))</f>
        <v/>
      </c>
      <c r="D871" s="35" t="str">
        <f>IF(B871="","",IFERROR(INDEX(DM_SP!$C$5:$C$304,MATCH(B871,DM_SP!$A$5:$A$304,0)),""))</f>
        <v/>
      </c>
      <c r="E871" s="35" t="str">
        <f>IF(BOM!A865="","",BOM!B865)</f>
        <v/>
      </c>
      <c r="F871" s="35" t="str">
        <f>IF(E871="","",IFERROR(INDEX(DM_NL!$B$5:$B$304,MATCH(E871,DM_NL!$A$5:$A$304,0)),"(chưa có trong DM_NL)"))</f>
        <v/>
      </c>
      <c r="G871" s="35" t="str">
        <f>IF(E871="","",IFERROR(INDEX(DM_NL!$C$5:$C$304,MATCH(E871,DM_NL!$A$5:$A$304,0)),""))</f>
        <v/>
      </c>
      <c r="H871" s="39" t="str">
        <f>IF(OR(E871="",BOM!G865="KXDDM"),"",BOM!F865)</f>
        <v/>
      </c>
      <c r="I871" s="36" t="str">
        <f>IF(E871="","",BOM!G865&amp;"")</f>
        <v/>
      </c>
    </row>
    <row r="872" spans="1:9" x14ac:dyDescent="0.25">
      <c r="A872" s="36" t="str">
        <f>IF(B872="","",MAX($A$10:A871)+1)</f>
        <v/>
      </c>
      <c r="B872" s="35" t="str">
        <f>IF(BOM!A866="","",IF(BOM!A866=BOM!A865,"",BOM!A866))</f>
        <v/>
      </c>
      <c r="C872" s="35" t="str">
        <f>IF(B872="","",IFERROR(INDEX(DM_SP!$B$5:$B$304,MATCH(B872,DM_SP!$A$5:$A$304,0)),"(chưa có trong DM_SP)"))</f>
        <v/>
      </c>
      <c r="D872" s="35" t="str">
        <f>IF(B872="","",IFERROR(INDEX(DM_SP!$C$5:$C$304,MATCH(B872,DM_SP!$A$5:$A$304,0)),""))</f>
        <v/>
      </c>
      <c r="E872" s="35" t="str">
        <f>IF(BOM!A866="","",BOM!B866)</f>
        <v/>
      </c>
      <c r="F872" s="35" t="str">
        <f>IF(E872="","",IFERROR(INDEX(DM_NL!$B$5:$B$304,MATCH(E872,DM_NL!$A$5:$A$304,0)),"(chưa có trong DM_NL)"))</f>
        <v/>
      </c>
      <c r="G872" s="35" t="str">
        <f>IF(E872="","",IFERROR(INDEX(DM_NL!$C$5:$C$304,MATCH(E872,DM_NL!$A$5:$A$304,0)),""))</f>
        <v/>
      </c>
      <c r="H872" s="39" t="str">
        <f>IF(OR(E872="",BOM!G866="KXDDM"),"",BOM!F866)</f>
        <v/>
      </c>
      <c r="I872" s="36" t="str">
        <f>IF(E872="","",BOM!G866&amp;"")</f>
        <v/>
      </c>
    </row>
    <row r="873" spans="1:9" x14ac:dyDescent="0.25">
      <c r="A873" s="36" t="str">
        <f>IF(B873="","",MAX($A$10:A872)+1)</f>
        <v/>
      </c>
      <c r="B873" s="35" t="str">
        <f>IF(BOM!A867="","",IF(BOM!A867=BOM!A866,"",BOM!A867))</f>
        <v/>
      </c>
      <c r="C873" s="35" t="str">
        <f>IF(B873="","",IFERROR(INDEX(DM_SP!$B$5:$B$304,MATCH(B873,DM_SP!$A$5:$A$304,0)),"(chưa có trong DM_SP)"))</f>
        <v/>
      </c>
      <c r="D873" s="35" t="str">
        <f>IF(B873="","",IFERROR(INDEX(DM_SP!$C$5:$C$304,MATCH(B873,DM_SP!$A$5:$A$304,0)),""))</f>
        <v/>
      </c>
      <c r="E873" s="35" t="str">
        <f>IF(BOM!A867="","",BOM!B867)</f>
        <v/>
      </c>
      <c r="F873" s="35" t="str">
        <f>IF(E873="","",IFERROR(INDEX(DM_NL!$B$5:$B$304,MATCH(E873,DM_NL!$A$5:$A$304,0)),"(chưa có trong DM_NL)"))</f>
        <v/>
      </c>
      <c r="G873" s="35" t="str">
        <f>IF(E873="","",IFERROR(INDEX(DM_NL!$C$5:$C$304,MATCH(E873,DM_NL!$A$5:$A$304,0)),""))</f>
        <v/>
      </c>
      <c r="H873" s="39" t="str">
        <f>IF(OR(E873="",BOM!G867="KXDDM"),"",BOM!F867)</f>
        <v/>
      </c>
      <c r="I873" s="36" t="str">
        <f>IF(E873="","",BOM!G867&amp;"")</f>
        <v/>
      </c>
    </row>
    <row r="874" spans="1:9" x14ac:dyDescent="0.25">
      <c r="A874" s="36" t="str">
        <f>IF(B874="","",MAX($A$10:A873)+1)</f>
        <v/>
      </c>
      <c r="B874" s="35" t="str">
        <f>IF(BOM!A868="","",IF(BOM!A868=BOM!A867,"",BOM!A868))</f>
        <v/>
      </c>
      <c r="C874" s="35" t="str">
        <f>IF(B874="","",IFERROR(INDEX(DM_SP!$B$5:$B$304,MATCH(B874,DM_SP!$A$5:$A$304,0)),"(chưa có trong DM_SP)"))</f>
        <v/>
      </c>
      <c r="D874" s="35" t="str">
        <f>IF(B874="","",IFERROR(INDEX(DM_SP!$C$5:$C$304,MATCH(B874,DM_SP!$A$5:$A$304,0)),""))</f>
        <v/>
      </c>
      <c r="E874" s="35" t="str">
        <f>IF(BOM!A868="","",BOM!B868)</f>
        <v/>
      </c>
      <c r="F874" s="35" t="str">
        <f>IF(E874="","",IFERROR(INDEX(DM_NL!$B$5:$B$304,MATCH(E874,DM_NL!$A$5:$A$304,0)),"(chưa có trong DM_NL)"))</f>
        <v/>
      </c>
      <c r="G874" s="35" t="str">
        <f>IF(E874="","",IFERROR(INDEX(DM_NL!$C$5:$C$304,MATCH(E874,DM_NL!$A$5:$A$304,0)),""))</f>
        <v/>
      </c>
      <c r="H874" s="39" t="str">
        <f>IF(OR(E874="",BOM!G868="KXDDM"),"",BOM!F868)</f>
        <v/>
      </c>
      <c r="I874" s="36" t="str">
        <f>IF(E874="","",BOM!G868&amp;"")</f>
        <v/>
      </c>
    </row>
    <row r="875" spans="1:9" x14ac:dyDescent="0.25">
      <c r="A875" s="36" t="str">
        <f>IF(B875="","",MAX($A$10:A874)+1)</f>
        <v/>
      </c>
      <c r="B875" s="35" t="str">
        <f>IF(BOM!A869="","",IF(BOM!A869=BOM!A868,"",BOM!A869))</f>
        <v/>
      </c>
      <c r="C875" s="35" t="str">
        <f>IF(B875="","",IFERROR(INDEX(DM_SP!$B$5:$B$304,MATCH(B875,DM_SP!$A$5:$A$304,0)),"(chưa có trong DM_SP)"))</f>
        <v/>
      </c>
      <c r="D875" s="35" t="str">
        <f>IF(B875="","",IFERROR(INDEX(DM_SP!$C$5:$C$304,MATCH(B875,DM_SP!$A$5:$A$304,0)),""))</f>
        <v/>
      </c>
      <c r="E875" s="35" t="str">
        <f>IF(BOM!A869="","",BOM!B869)</f>
        <v/>
      </c>
      <c r="F875" s="35" t="str">
        <f>IF(E875="","",IFERROR(INDEX(DM_NL!$B$5:$B$304,MATCH(E875,DM_NL!$A$5:$A$304,0)),"(chưa có trong DM_NL)"))</f>
        <v/>
      </c>
      <c r="G875" s="35" t="str">
        <f>IF(E875="","",IFERROR(INDEX(DM_NL!$C$5:$C$304,MATCH(E875,DM_NL!$A$5:$A$304,0)),""))</f>
        <v/>
      </c>
      <c r="H875" s="39" t="str">
        <f>IF(OR(E875="",BOM!G869="KXDDM"),"",BOM!F869)</f>
        <v/>
      </c>
      <c r="I875" s="36" t="str">
        <f>IF(E875="","",BOM!G869&amp;"")</f>
        <v/>
      </c>
    </row>
    <row r="876" spans="1:9" x14ac:dyDescent="0.25">
      <c r="A876" s="36" t="str">
        <f>IF(B876="","",MAX($A$10:A875)+1)</f>
        <v/>
      </c>
      <c r="B876" s="35" t="str">
        <f>IF(BOM!A870="","",IF(BOM!A870=BOM!A869,"",BOM!A870))</f>
        <v/>
      </c>
      <c r="C876" s="35" t="str">
        <f>IF(B876="","",IFERROR(INDEX(DM_SP!$B$5:$B$304,MATCH(B876,DM_SP!$A$5:$A$304,0)),"(chưa có trong DM_SP)"))</f>
        <v/>
      </c>
      <c r="D876" s="35" t="str">
        <f>IF(B876="","",IFERROR(INDEX(DM_SP!$C$5:$C$304,MATCH(B876,DM_SP!$A$5:$A$304,0)),""))</f>
        <v/>
      </c>
      <c r="E876" s="35" t="str">
        <f>IF(BOM!A870="","",BOM!B870)</f>
        <v/>
      </c>
      <c r="F876" s="35" t="str">
        <f>IF(E876="","",IFERROR(INDEX(DM_NL!$B$5:$B$304,MATCH(E876,DM_NL!$A$5:$A$304,0)),"(chưa có trong DM_NL)"))</f>
        <v/>
      </c>
      <c r="G876" s="35" t="str">
        <f>IF(E876="","",IFERROR(INDEX(DM_NL!$C$5:$C$304,MATCH(E876,DM_NL!$A$5:$A$304,0)),""))</f>
        <v/>
      </c>
      <c r="H876" s="39" t="str">
        <f>IF(OR(E876="",BOM!G870="KXDDM"),"",BOM!F870)</f>
        <v/>
      </c>
      <c r="I876" s="36" t="str">
        <f>IF(E876="","",BOM!G870&amp;"")</f>
        <v/>
      </c>
    </row>
    <row r="877" spans="1:9" x14ac:dyDescent="0.25">
      <c r="A877" s="36" t="str">
        <f>IF(B877="","",MAX($A$10:A876)+1)</f>
        <v/>
      </c>
      <c r="B877" s="35" t="str">
        <f>IF(BOM!A871="","",IF(BOM!A871=BOM!A870,"",BOM!A871))</f>
        <v/>
      </c>
      <c r="C877" s="35" t="str">
        <f>IF(B877="","",IFERROR(INDEX(DM_SP!$B$5:$B$304,MATCH(B877,DM_SP!$A$5:$A$304,0)),"(chưa có trong DM_SP)"))</f>
        <v/>
      </c>
      <c r="D877" s="35" t="str">
        <f>IF(B877="","",IFERROR(INDEX(DM_SP!$C$5:$C$304,MATCH(B877,DM_SP!$A$5:$A$304,0)),""))</f>
        <v/>
      </c>
      <c r="E877" s="35" t="str">
        <f>IF(BOM!A871="","",BOM!B871)</f>
        <v/>
      </c>
      <c r="F877" s="35" t="str">
        <f>IF(E877="","",IFERROR(INDEX(DM_NL!$B$5:$B$304,MATCH(E877,DM_NL!$A$5:$A$304,0)),"(chưa có trong DM_NL)"))</f>
        <v/>
      </c>
      <c r="G877" s="35" t="str">
        <f>IF(E877="","",IFERROR(INDEX(DM_NL!$C$5:$C$304,MATCH(E877,DM_NL!$A$5:$A$304,0)),""))</f>
        <v/>
      </c>
      <c r="H877" s="39" t="str">
        <f>IF(OR(E877="",BOM!G871="KXDDM"),"",BOM!F871)</f>
        <v/>
      </c>
      <c r="I877" s="36" t="str">
        <f>IF(E877="","",BOM!G871&amp;"")</f>
        <v/>
      </c>
    </row>
    <row r="878" spans="1:9" x14ac:dyDescent="0.25">
      <c r="A878" s="36" t="str">
        <f>IF(B878="","",MAX($A$10:A877)+1)</f>
        <v/>
      </c>
      <c r="B878" s="35" t="str">
        <f>IF(BOM!A872="","",IF(BOM!A872=BOM!A871,"",BOM!A872))</f>
        <v/>
      </c>
      <c r="C878" s="35" t="str">
        <f>IF(B878="","",IFERROR(INDEX(DM_SP!$B$5:$B$304,MATCH(B878,DM_SP!$A$5:$A$304,0)),"(chưa có trong DM_SP)"))</f>
        <v/>
      </c>
      <c r="D878" s="35" t="str">
        <f>IF(B878="","",IFERROR(INDEX(DM_SP!$C$5:$C$304,MATCH(B878,DM_SP!$A$5:$A$304,0)),""))</f>
        <v/>
      </c>
      <c r="E878" s="35" t="str">
        <f>IF(BOM!A872="","",BOM!B872)</f>
        <v/>
      </c>
      <c r="F878" s="35" t="str">
        <f>IF(E878="","",IFERROR(INDEX(DM_NL!$B$5:$B$304,MATCH(E878,DM_NL!$A$5:$A$304,0)),"(chưa có trong DM_NL)"))</f>
        <v/>
      </c>
      <c r="G878" s="35" t="str">
        <f>IF(E878="","",IFERROR(INDEX(DM_NL!$C$5:$C$304,MATCH(E878,DM_NL!$A$5:$A$304,0)),""))</f>
        <v/>
      </c>
      <c r="H878" s="39" t="str">
        <f>IF(OR(E878="",BOM!G872="KXDDM"),"",BOM!F872)</f>
        <v/>
      </c>
      <c r="I878" s="36" t="str">
        <f>IF(E878="","",BOM!G872&amp;"")</f>
        <v/>
      </c>
    </row>
    <row r="879" spans="1:9" x14ac:dyDescent="0.25">
      <c r="A879" s="36" t="str">
        <f>IF(B879="","",MAX($A$10:A878)+1)</f>
        <v/>
      </c>
      <c r="B879" s="35" t="str">
        <f>IF(BOM!A873="","",IF(BOM!A873=BOM!A872,"",BOM!A873))</f>
        <v/>
      </c>
      <c r="C879" s="35" t="str">
        <f>IF(B879="","",IFERROR(INDEX(DM_SP!$B$5:$B$304,MATCH(B879,DM_SP!$A$5:$A$304,0)),"(chưa có trong DM_SP)"))</f>
        <v/>
      </c>
      <c r="D879" s="35" t="str">
        <f>IF(B879="","",IFERROR(INDEX(DM_SP!$C$5:$C$304,MATCH(B879,DM_SP!$A$5:$A$304,0)),""))</f>
        <v/>
      </c>
      <c r="E879" s="35" t="str">
        <f>IF(BOM!A873="","",BOM!B873)</f>
        <v/>
      </c>
      <c r="F879" s="35" t="str">
        <f>IF(E879="","",IFERROR(INDEX(DM_NL!$B$5:$B$304,MATCH(E879,DM_NL!$A$5:$A$304,0)),"(chưa có trong DM_NL)"))</f>
        <v/>
      </c>
      <c r="G879" s="35" t="str">
        <f>IF(E879="","",IFERROR(INDEX(DM_NL!$C$5:$C$304,MATCH(E879,DM_NL!$A$5:$A$304,0)),""))</f>
        <v/>
      </c>
      <c r="H879" s="39" t="str">
        <f>IF(OR(E879="",BOM!G873="KXDDM"),"",BOM!F873)</f>
        <v/>
      </c>
      <c r="I879" s="36" t="str">
        <f>IF(E879="","",BOM!G873&amp;"")</f>
        <v/>
      </c>
    </row>
    <row r="880" spans="1:9" x14ac:dyDescent="0.25">
      <c r="A880" s="36" t="str">
        <f>IF(B880="","",MAX($A$10:A879)+1)</f>
        <v/>
      </c>
      <c r="B880" s="35" t="str">
        <f>IF(BOM!A874="","",IF(BOM!A874=BOM!A873,"",BOM!A874))</f>
        <v/>
      </c>
      <c r="C880" s="35" t="str">
        <f>IF(B880="","",IFERROR(INDEX(DM_SP!$B$5:$B$304,MATCH(B880,DM_SP!$A$5:$A$304,0)),"(chưa có trong DM_SP)"))</f>
        <v/>
      </c>
      <c r="D880" s="35" t="str">
        <f>IF(B880="","",IFERROR(INDEX(DM_SP!$C$5:$C$304,MATCH(B880,DM_SP!$A$5:$A$304,0)),""))</f>
        <v/>
      </c>
      <c r="E880" s="35" t="str">
        <f>IF(BOM!A874="","",BOM!B874)</f>
        <v/>
      </c>
      <c r="F880" s="35" t="str">
        <f>IF(E880="","",IFERROR(INDEX(DM_NL!$B$5:$B$304,MATCH(E880,DM_NL!$A$5:$A$304,0)),"(chưa có trong DM_NL)"))</f>
        <v/>
      </c>
      <c r="G880" s="35" t="str">
        <f>IF(E880="","",IFERROR(INDEX(DM_NL!$C$5:$C$304,MATCH(E880,DM_NL!$A$5:$A$304,0)),""))</f>
        <v/>
      </c>
      <c r="H880" s="39" t="str">
        <f>IF(OR(E880="",BOM!G874="KXDDM"),"",BOM!F874)</f>
        <v/>
      </c>
      <c r="I880" s="36" t="str">
        <f>IF(E880="","",BOM!G874&amp;"")</f>
        <v/>
      </c>
    </row>
    <row r="881" spans="1:9" x14ac:dyDescent="0.25">
      <c r="A881" s="36" t="str">
        <f>IF(B881="","",MAX($A$10:A880)+1)</f>
        <v/>
      </c>
      <c r="B881" s="35" t="str">
        <f>IF(BOM!A875="","",IF(BOM!A875=BOM!A874,"",BOM!A875))</f>
        <v/>
      </c>
      <c r="C881" s="35" t="str">
        <f>IF(B881="","",IFERROR(INDEX(DM_SP!$B$5:$B$304,MATCH(B881,DM_SP!$A$5:$A$304,0)),"(chưa có trong DM_SP)"))</f>
        <v/>
      </c>
      <c r="D881" s="35" t="str">
        <f>IF(B881="","",IFERROR(INDEX(DM_SP!$C$5:$C$304,MATCH(B881,DM_SP!$A$5:$A$304,0)),""))</f>
        <v/>
      </c>
      <c r="E881" s="35" t="str">
        <f>IF(BOM!A875="","",BOM!B875)</f>
        <v/>
      </c>
      <c r="F881" s="35" t="str">
        <f>IF(E881="","",IFERROR(INDEX(DM_NL!$B$5:$B$304,MATCH(E881,DM_NL!$A$5:$A$304,0)),"(chưa có trong DM_NL)"))</f>
        <v/>
      </c>
      <c r="G881" s="35" t="str">
        <f>IF(E881="","",IFERROR(INDEX(DM_NL!$C$5:$C$304,MATCH(E881,DM_NL!$A$5:$A$304,0)),""))</f>
        <v/>
      </c>
      <c r="H881" s="39" t="str">
        <f>IF(OR(E881="",BOM!G875="KXDDM"),"",BOM!F875)</f>
        <v/>
      </c>
      <c r="I881" s="36" t="str">
        <f>IF(E881="","",BOM!G875&amp;"")</f>
        <v/>
      </c>
    </row>
    <row r="882" spans="1:9" x14ac:dyDescent="0.25">
      <c r="A882" s="36" t="str">
        <f>IF(B882="","",MAX($A$10:A881)+1)</f>
        <v/>
      </c>
      <c r="B882" s="35" t="str">
        <f>IF(BOM!A876="","",IF(BOM!A876=BOM!A875,"",BOM!A876))</f>
        <v/>
      </c>
      <c r="C882" s="35" t="str">
        <f>IF(B882="","",IFERROR(INDEX(DM_SP!$B$5:$B$304,MATCH(B882,DM_SP!$A$5:$A$304,0)),"(chưa có trong DM_SP)"))</f>
        <v/>
      </c>
      <c r="D882" s="35" t="str">
        <f>IF(B882="","",IFERROR(INDEX(DM_SP!$C$5:$C$304,MATCH(B882,DM_SP!$A$5:$A$304,0)),""))</f>
        <v/>
      </c>
      <c r="E882" s="35" t="str">
        <f>IF(BOM!A876="","",BOM!B876)</f>
        <v/>
      </c>
      <c r="F882" s="35" t="str">
        <f>IF(E882="","",IFERROR(INDEX(DM_NL!$B$5:$B$304,MATCH(E882,DM_NL!$A$5:$A$304,0)),"(chưa có trong DM_NL)"))</f>
        <v/>
      </c>
      <c r="G882" s="35" t="str">
        <f>IF(E882="","",IFERROR(INDEX(DM_NL!$C$5:$C$304,MATCH(E882,DM_NL!$A$5:$A$304,0)),""))</f>
        <v/>
      </c>
      <c r="H882" s="39" t="str">
        <f>IF(OR(E882="",BOM!G876="KXDDM"),"",BOM!F876)</f>
        <v/>
      </c>
      <c r="I882" s="36" t="str">
        <f>IF(E882="","",BOM!G876&amp;"")</f>
        <v/>
      </c>
    </row>
    <row r="883" spans="1:9" x14ac:dyDescent="0.25">
      <c r="A883" s="36" t="str">
        <f>IF(B883="","",MAX($A$10:A882)+1)</f>
        <v/>
      </c>
      <c r="B883" s="35" t="str">
        <f>IF(BOM!A877="","",IF(BOM!A877=BOM!A876,"",BOM!A877))</f>
        <v/>
      </c>
      <c r="C883" s="35" t="str">
        <f>IF(B883="","",IFERROR(INDEX(DM_SP!$B$5:$B$304,MATCH(B883,DM_SP!$A$5:$A$304,0)),"(chưa có trong DM_SP)"))</f>
        <v/>
      </c>
      <c r="D883" s="35" t="str">
        <f>IF(B883="","",IFERROR(INDEX(DM_SP!$C$5:$C$304,MATCH(B883,DM_SP!$A$5:$A$304,0)),""))</f>
        <v/>
      </c>
      <c r="E883" s="35" t="str">
        <f>IF(BOM!A877="","",BOM!B877)</f>
        <v/>
      </c>
      <c r="F883" s="35" t="str">
        <f>IF(E883="","",IFERROR(INDEX(DM_NL!$B$5:$B$304,MATCH(E883,DM_NL!$A$5:$A$304,0)),"(chưa có trong DM_NL)"))</f>
        <v/>
      </c>
      <c r="G883" s="35" t="str">
        <f>IF(E883="","",IFERROR(INDEX(DM_NL!$C$5:$C$304,MATCH(E883,DM_NL!$A$5:$A$304,0)),""))</f>
        <v/>
      </c>
      <c r="H883" s="39" t="str">
        <f>IF(OR(E883="",BOM!G877="KXDDM"),"",BOM!F877)</f>
        <v/>
      </c>
      <c r="I883" s="36" t="str">
        <f>IF(E883="","",BOM!G877&amp;"")</f>
        <v/>
      </c>
    </row>
    <row r="884" spans="1:9" x14ac:dyDescent="0.25">
      <c r="A884" s="36" t="str">
        <f>IF(B884="","",MAX($A$10:A883)+1)</f>
        <v/>
      </c>
      <c r="B884" s="35" t="str">
        <f>IF(BOM!A878="","",IF(BOM!A878=BOM!A877,"",BOM!A878))</f>
        <v/>
      </c>
      <c r="C884" s="35" t="str">
        <f>IF(B884="","",IFERROR(INDEX(DM_SP!$B$5:$B$304,MATCH(B884,DM_SP!$A$5:$A$304,0)),"(chưa có trong DM_SP)"))</f>
        <v/>
      </c>
      <c r="D884" s="35" t="str">
        <f>IF(B884="","",IFERROR(INDEX(DM_SP!$C$5:$C$304,MATCH(B884,DM_SP!$A$5:$A$304,0)),""))</f>
        <v/>
      </c>
      <c r="E884" s="35" t="str">
        <f>IF(BOM!A878="","",BOM!B878)</f>
        <v/>
      </c>
      <c r="F884" s="35" t="str">
        <f>IF(E884="","",IFERROR(INDEX(DM_NL!$B$5:$B$304,MATCH(E884,DM_NL!$A$5:$A$304,0)),"(chưa có trong DM_NL)"))</f>
        <v/>
      </c>
      <c r="G884" s="35" t="str">
        <f>IF(E884="","",IFERROR(INDEX(DM_NL!$C$5:$C$304,MATCH(E884,DM_NL!$A$5:$A$304,0)),""))</f>
        <v/>
      </c>
      <c r="H884" s="39" t="str">
        <f>IF(OR(E884="",BOM!G878="KXDDM"),"",BOM!F878)</f>
        <v/>
      </c>
      <c r="I884" s="36" t="str">
        <f>IF(E884="","",BOM!G878&amp;"")</f>
        <v/>
      </c>
    </row>
    <row r="885" spans="1:9" x14ac:dyDescent="0.25">
      <c r="A885" s="36" t="str">
        <f>IF(B885="","",MAX($A$10:A884)+1)</f>
        <v/>
      </c>
      <c r="B885" s="35" t="str">
        <f>IF(BOM!A879="","",IF(BOM!A879=BOM!A878,"",BOM!A879))</f>
        <v/>
      </c>
      <c r="C885" s="35" t="str">
        <f>IF(B885="","",IFERROR(INDEX(DM_SP!$B$5:$B$304,MATCH(B885,DM_SP!$A$5:$A$304,0)),"(chưa có trong DM_SP)"))</f>
        <v/>
      </c>
      <c r="D885" s="35" t="str">
        <f>IF(B885="","",IFERROR(INDEX(DM_SP!$C$5:$C$304,MATCH(B885,DM_SP!$A$5:$A$304,0)),""))</f>
        <v/>
      </c>
      <c r="E885" s="35" t="str">
        <f>IF(BOM!A879="","",BOM!B879)</f>
        <v/>
      </c>
      <c r="F885" s="35" t="str">
        <f>IF(E885="","",IFERROR(INDEX(DM_NL!$B$5:$B$304,MATCH(E885,DM_NL!$A$5:$A$304,0)),"(chưa có trong DM_NL)"))</f>
        <v/>
      </c>
      <c r="G885" s="35" t="str">
        <f>IF(E885="","",IFERROR(INDEX(DM_NL!$C$5:$C$304,MATCH(E885,DM_NL!$A$5:$A$304,0)),""))</f>
        <v/>
      </c>
      <c r="H885" s="39" t="str">
        <f>IF(OR(E885="",BOM!G879="KXDDM"),"",BOM!F879)</f>
        <v/>
      </c>
      <c r="I885" s="36" t="str">
        <f>IF(E885="","",BOM!G879&amp;"")</f>
        <v/>
      </c>
    </row>
    <row r="886" spans="1:9" x14ac:dyDescent="0.25">
      <c r="A886" s="36" t="str">
        <f>IF(B886="","",MAX($A$10:A885)+1)</f>
        <v/>
      </c>
      <c r="B886" s="35" t="str">
        <f>IF(BOM!A880="","",IF(BOM!A880=BOM!A879,"",BOM!A880))</f>
        <v/>
      </c>
      <c r="C886" s="35" t="str">
        <f>IF(B886="","",IFERROR(INDEX(DM_SP!$B$5:$B$304,MATCH(B886,DM_SP!$A$5:$A$304,0)),"(chưa có trong DM_SP)"))</f>
        <v/>
      </c>
      <c r="D886" s="35" t="str">
        <f>IF(B886="","",IFERROR(INDEX(DM_SP!$C$5:$C$304,MATCH(B886,DM_SP!$A$5:$A$304,0)),""))</f>
        <v/>
      </c>
      <c r="E886" s="35" t="str">
        <f>IF(BOM!A880="","",BOM!B880)</f>
        <v/>
      </c>
      <c r="F886" s="35" t="str">
        <f>IF(E886="","",IFERROR(INDEX(DM_NL!$B$5:$B$304,MATCH(E886,DM_NL!$A$5:$A$304,0)),"(chưa có trong DM_NL)"))</f>
        <v/>
      </c>
      <c r="G886" s="35" t="str">
        <f>IF(E886="","",IFERROR(INDEX(DM_NL!$C$5:$C$304,MATCH(E886,DM_NL!$A$5:$A$304,0)),""))</f>
        <v/>
      </c>
      <c r="H886" s="39" t="str">
        <f>IF(OR(E886="",BOM!G880="KXDDM"),"",BOM!F880)</f>
        <v/>
      </c>
      <c r="I886" s="36" t="str">
        <f>IF(E886="","",BOM!G880&amp;"")</f>
        <v/>
      </c>
    </row>
    <row r="887" spans="1:9" x14ac:dyDescent="0.25">
      <c r="A887" s="36" t="str">
        <f>IF(B887="","",MAX($A$10:A886)+1)</f>
        <v/>
      </c>
      <c r="B887" s="35" t="str">
        <f>IF(BOM!A881="","",IF(BOM!A881=BOM!A880,"",BOM!A881))</f>
        <v/>
      </c>
      <c r="C887" s="35" t="str">
        <f>IF(B887="","",IFERROR(INDEX(DM_SP!$B$5:$B$304,MATCH(B887,DM_SP!$A$5:$A$304,0)),"(chưa có trong DM_SP)"))</f>
        <v/>
      </c>
      <c r="D887" s="35" t="str">
        <f>IF(B887="","",IFERROR(INDEX(DM_SP!$C$5:$C$304,MATCH(B887,DM_SP!$A$5:$A$304,0)),""))</f>
        <v/>
      </c>
      <c r="E887" s="35" t="str">
        <f>IF(BOM!A881="","",BOM!B881)</f>
        <v/>
      </c>
      <c r="F887" s="35" t="str">
        <f>IF(E887="","",IFERROR(INDEX(DM_NL!$B$5:$B$304,MATCH(E887,DM_NL!$A$5:$A$304,0)),"(chưa có trong DM_NL)"))</f>
        <v/>
      </c>
      <c r="G887" s="35" t="str">
        <f>IF(E887="","",IFERROR(INDEX(DM_NL!$C$5:$C$304,MATCH(E887,DM_NL!$A$5:$A$304,0)),""))</f>
        <v/>
      </c>
      <c r="H887" s="39" t="str">
        <f>IF(OR(E887="",BOM!G881="KXDDM"),"",BOM!F881)</f>
        <v/>
      </c>
      <c r="I887" s="36" t="str">
        <f>IF(E887="","",BOM!G881&amp;"")</f>
        <v/>
      </c>
    </row>
    <row r="888" spans="1:9" x14ac:dyDescent="0.25">
      <c r="A888" s="36" t="str">
        <f>IF(B888="","",MAX($A$10:A887)+1)</f>
        <v/>
      </c>
      <c r="B888" s="35" t="str">
        <f>IF(BOM!A882="","",IF(BOM!A882=BOM!A881,"",BOM!A882))</f>
        <v/>
      </c>
      <c r="C888" s="35" t="str">
        <f>IF(B888="","",IFERROR(INDEX(DM_SP!$B$5:$B$304,MATCH(B888,DM_SP!$A$5:$A$304,0)),"(chưa có trong DM_SP)"))</f>
        <v/>
      </c>
      <c r="D888" s="35" t="str">
        <f>IF(B888="","",IFERROR(INDEX(DM_SP!$C$5:$C$304,MATCH(B888,DM_SP!$A$5:$A$304,0)),""))</f>
        <v/>
      </c>
      <c r="E888" s="35" t="str">
        <f>IF(BOM!A882="","",BOM!B882)</f>
        <v/>
      </c>
      <c r="F888" s="35" t="str">
        <f>IF(E888="","",IFERROR(INDEX(DM_NL!$B$5:$B$304,MATCH(E888,DM_NL!$A$5:$A$304,0)),"(chưa có trong DM_NL)"))</f>
        <v/>
      </c>
      <c r="G888" s="35" t="str">
        <f>IF(E888="","",IFERROR(INDEX(DM_NL!$C$5:$C$304,MATCH(E888,DM_NL!$A$5:$A$304,0)),""))</f>
        <v/>
      </c>
      <c r="H888" s="39" t="str">
        <f>IF(OR(E888="",BOM!G882="KXDDM"),"",BOM!F882)</f>
        <v/>
      </c>
      <c r="I888" s="36" t="str">
        <f>IF(E888="","",BOM!G882&amp;"")</f>
        <v/>
      </c>
    </row>
    <row r="889" spans="1:9" x14ac:dyDescent="0.25">
      <c r="A889" s="36" t="str">
        <f>IF(B889="","",MAX($A$10:A888)+1)</f>
        <v/>
      </c>
      <c r="B889" s="35" t="str">
        <f>IF(BOM!A883="","",IF(BOM!A883=BOM!A882,"",BOM!A883))</f>
        <v/>
      </c>
      <c r="C889" s="35" t="str">
        <f>IF(B889="","",IFERROR(INDEX(DM_SP!$B$5:$B$304,MATCH(B889,DM_SP!$A$5:$A$304,0)),"(chưa có trong DM_SP)"))</f>
        <v/>
      </c>
      <c r="D889" s="35" t="str">
        <f>IF(B889="","",IFERROR(INDEX(DM_SP!$C$5:$C$304,MATCH(B889,DM_SP!$A$5:$A$304,0)),""))</f>
        <v/>
      </c>
      <c r="E889" s="35" t="str">
        <f>IF(BOM!A883="","",BOM!B883)</f>
        <v/>
      </c>
      <c r="F889" s="35" t="str">
        <f>IF(E889="","",IFERROR(INDEX(DM_NL!$B$5:$B$304,MATCH(E889,DM_NL!$A$5:$A$304,0)),"(chưa có trong DM_NL)"))</f>
        <v/>
      </c>
      <c r="G889" s="35" t="str">
        <f>IF(E889="","",IFERROR(INDEX(DM_NL!$C$5:$C$304,MATCH(E889,DM_NL!$A$5:$A$304,0)),""))</f>
        <v/>
      </c>
      <c r="H889" s="39" t="str">
        <f>IF(OR(E889="",BOM!G883="KXDDM"),"",BOM!F883)</f>
        <v/>
      </c>
      <c r="I889" s="36" t="str">
        <f>IF(E889="","",BOM!G883&amp;"")</f>
        <v/>
      </c>
    </row>
    <row r="890" spans="1:9" x14ac:dyDescent="0.25">
      <c r="A890" s="36" t="str">
        <f>IF(B890="","",MAX($A$10:A889)+1)</f>
        <v/>
      </c>
      <c r="B890" s="35" t="str">
        <f>IF(BOM!A884="","",IF(BOM!A884=BOM!A883,"",BOM!A884))</f>
        <v/>
      </c>
      <c r="C890" s="35" t="str">
        <f>IF(B890="","",IFERROR(INDEX(DM_SP!$B$5:$B$304,MATCH(B890,DM_SP!$A$5:$A$304,0)),"(chưa có trong DM_SP)"))</f>
        <v/>
      </c>
      <c r="D890" s="35" t="str">
        <f>IF(B890="","",IFERROR(INDEX(DM_SP!$C$5:$C$304,MATCH(B890,DM_SP!$A$5:$A$304,0)),""))</f>
        <v/>
      </c>
      <c r="E890" s="35" t="str">
        <f>IF(BOM!A884="","",BOM!B884)</f>
        <v/>
      </c>
      <c r="F890" s="35" t="str">
        <f>IF(E890="","",IFERROR(INDEX(DM_NL!$B$5:$B$304,MATCH(E890,DM_NL!$A$5:$A$304,0)),"(chưa có trong DM_NL)"))</f>
        <v/>
      </c>
      <c r="G890" s="35" t="str">
        <f>IF(E890="","",IFERROR(INDEX(DM_NL!$C$5:$C$304,MATCH(E890,DM_NL!$A$5:$A$304,0)),""))</f>
        <v/>
      </c>
      <c r="H890" s="39" t="str">
        <f>IF(OR(E890="",BOM!G884="KXDDM"),"",BOM!F884)</f>
        <v/>
      </c>
      <c r="I890" s="36" t="str">
        <f>IF(E890="","",BOM!G884&amp;"")</f>
        <v/>
      </c>
    </row>
    <row r="891" spans="1:9" x14ac:dyDescent="0.25">
      <c r="A891" s="36" t="str">
        <f>IF(B891="","",MAX($A$10:A890)+1)</f>
        <v/>
      </c>
      <c r="B891" s="35" t="str">
        <f>IF(BOM!A885="","",IF(BOM!A885=BOM!A884,"",BOM!A885))</f>
        <v/>
      </c>
      <c r="C891" s="35" t="str">
        <f>IF(B891="","",IFERROR(INDEX(DM_SP!$B$5:$B$304,MATCH(B891,DM_SP!$A$5:$A$304,0)),"(chưa có trong DM_SP)"))</f>
        <v/>
      </c>
      <c r="D891" s="35" t="str">
        <f>IF(B891="","",IFERROR(INDEX(DM_SP!$C$5:$C$304,MATCH(B891,DM_SP!$A$5:$A$304,0)),""))</f>
        <v/>
      </c>
      <c r="E891" s="35" t="str">
        <f>IF(BOM!A885="","",BOM!B885)</f>
        <v/>
      </c>
      <c r="F891" s="35" t="str">
        <f>IF(E891="","",IFERROR(INDEX(DM_NL!$B$5:$B$304,MATCH(E891,DM_NL!$A$5:$A$304,0)),"(chưa có trong DM_NL)"))</f>
        <v/>
      </c>
      <c r="G891" s="35" t="str">
        <f>IF(E891="","",IFERROR(INDEX(DM_NL!$C$5:$C$304,MATCH(E891,DM_NL!$A$5:$A$304,0)),""))</f>
        <v/>
      </c>
      <c r="H891" s="39" t="str">
        <f>IF(OR(E891="",BOM!G885="KXDDM"),"",BOM!F885)</f>
        <v/>
      </c>
      <c r="I891" s="36" t="str">
        <f>IF(E891="","",BOM!G885&amp;"")</f>
        <v/>
      </c>
    </row>
    <row r="892" spans="1:9" x14ac:dyDescent="0.25">
      <c r="A892" s="36" t="str">
        <f>IF(B892="","",MAX($A$10:A891)+1)</f>
        <v/>
      </c>
      <c r="B892" s="35" t="str">
        <f>IF(BOM!A886="","",IF(BOM!A886=BOM!A885,"",BOM!A886))</f>
        <v/>
      </c>
      <c r="C892" s="35" t="str">
        <f>IF(B892="","",IFERROR(INDEX(DM_SP!$B$5:$B$304,MATCH(B892,DM_SP!$A$5:$A$304,0)),"(chưa có trong DM_SP)"))</f>
        <v/>
      </c>
      <c r="D892" s="35" t="str">
        <f>IF(B892="","",IFERROR(INDEX(DM_SP!$C$5:$C$304,MATCH(B892,DM_SP!$A$5:$A$304,0)),""))</f>
        <v/>
      </c>
      <c r="E892" s="35" t="str">
        <f>IF(BOM!A886="","",BOM!B886)</f>
        <v/>
      </c>
      <c r="F892" s="35" t="str">
        <f>IF(E892="","",IFERROR(INDEX(DM_NL!$B$5:$B$304,MATCH(E892,DM_NL!$A$5:$A$304,0)),"(chưa có trong DM_NL)"))</f>
        <v/>
      </c>
      <c r="G892" s="35" t="str">
        <f>IF(E892="","",IFERROR(INDEX(DM_NL!$C$5:$C$304,MATCH(E892,DM_NL!$A$5:$A$304,0)),""))</f>
        <v/>
      </c>
      <c r="H892" s="39" t="str">
        <f>IF(OR(E892="",BOM!G886="KXDDM"),"",BOM!F886)</f>
        <v/>
      </c>
      <c r="I892" s="36" t="str">
        <f>IF(E892="","",BOM!G886&amp;"")</f>
        <v/>
      </c>
    </row>
    <row r="893" spans="1:9" x14ac:dyDescent="0.25">
      <c r="A893" s="36" t="str">
        <f>IF(B893="","",MAX($A$10:A892)+1)</f>
        <v/>
      </c>
      <c r="B893" s="35" t="str">
        <f>IF(BOM!A887="","",IF(BOM!A887=BOM!A886,"",BOM!A887))</f>
        <v/>
      </c>
      <c r="C893" s="35" t="str">
        <f>IF(B893="","",IFERROR(INDEX(DM_SP!$B$5:$B$304,MATCH(B893,DM_SP!$A$5:$A$304,0)),"(chưa có trong DM_SP)"))</f>
        <v/>
      </c>
      <c r="D893" s="35" t="str">
        <f>IF(B893="","",IFERROR(INDEX(DM_SP!$C$5:$C$304,MATCH(B893,DM_SP!$A$5:$A$304,0)),""))</f>
        <v/>
      </c>
      <c r="E893" s="35" t="str">
        <f>IF(BOM!A887="","",BOM!B887)</f>
        <v/>
      </c>
      <c r="F893" s="35" t="str">
        <f>IF(E893="","",IFERROR(INDEX(DM_NL!$B$5:$B$304,MATCH(E893,DM_NL!$A$5:$A$304,0)),"(chưa có trong DM_NL)"))</f>
        <v/>
      </c>
      <c r="G893" s="35" t="str">
        <f>IF(E893="","",IFERROR(INDEX(DM_NL!$C$5:$C$304,MATCH(E893,DM_NL!$A$5:$A$304,0)),""))</f>
        <v/>
      </c>
      <c r="H893" s="39" t="str">
        <f>IF(OR(E893="",BOM!G887="KXDDM"),"",BOM!F887)</f>
        <v/>
      </c>
      <c r="I893" s="36" t="str">
        <f>IF(E893="","",BOM!G887&amp;"")</f>
        <v/>
      </c>
    </row>
    <row r="894" spans="1:9" x14ac:dyDescent="0.25">
      <c r="A894" s="36" t="str">
        <f>IF(B894="","",MAX($A$10:A893)+1)</f>
        <v/>
      </c>
      <c r="B894" s="35" t="str">
        <f>IF(BOM!A888="","",IF(BOM!A888=BOM!A887,"",BOM!A888))</f>
        <v/>
      </c>
      <c r="C894" s="35" t="str">
        <f>IF(B894="","",IFERROR(INDEX(DM_SP!$B$5:$B$304,MATCH(B894,DM_SP!$A$5:$A$304,0)),"(chưa có trong DM_SP)"))</f>
        <v/>
      </c>
      <c r="D894" s="35" t="str">
        <f>IF(B894="","",IFERROR(INDEX(DM_SP!$C$5:$C$304,MATCH(B894,DM_SP!$A$5:$A$304,0)),""))</f>
        <v/>
      </c>
      <c r="E894" s="35" t="str">
        <f>IF(BOM!A888="","",BOM!B888)</f>
        <v/>
      </c>
      <c r="F894" s="35" t="str">
        <f>IF(E894="","",IFERROR(INDEX(DM_NL!$B$5:$B$304,MATCH(E894,DM_NL!$A$5:$A$304,0)),"(chưa có trong DM_NL)"))</f>
        <v/>
      </c>
      <c r="G894" s="35" t="str">
        <f>IF(E894="","",IFERROR(INDEX(DM_NL!$C$5:$C$304,MATCH(E894,DM_NL!$A$5:$A$304,0)),""))</f>
        <v/>
      </c>
      <c r="H894" s="39" t="str">
        <f>IF(OR(E894="",BOM!G888="KXDDM"),"",BOM!F888)</f>
        <v/>
      </c>
      <c r="I894" s="36" t="str">
        <f>IF(E894="","",BOM!G888&amp;"")</f>
        <v/>
      </c>
    </row>
    <row r="895" spans="1:9" x14ac:dyDescent="0.25">
      <c r="A895" s="36" t="str">
        <f>IF(B895="","",MAX($A$10:A894)+1)</f>
        <v/>
      </c>
      <c r="B895" s="35" t="str">
        <f>IF(BOM!A889="","",IF(BOM!A889=BOM!A888,"",BOM!A889))</f>
        <v/>
      </c>
      <c r="C895" s="35" t="str">
        <f>IF(B895="","",IFERROR(INDEX(DM_SP!$B$5:$B$304,MATCH(B895,DM_SP!$A$5:$A$304,0)),"(chưa có trong DM_SP)"))</f>
        <v/>
      </c>
      <c r="D895" s="35" t="str">
        <f>IF(B895="","",IFERROR(INDEX(DM_SP!$C$5:$C$304,MATCH(B895,DM_SP!$A$5:$A$304,0)),""))</f>
        <v/>
      </c>
      <c r="E895" s="35" t="str">
        <f>IF(BOM!A889="","",BOM!B889)</f>
        <v/>
      </c>
      <c r="F895" s="35" t="str">
        <f>IF(E895="","",IFERROR(INDEX(DM_NL!$B$5:$B$304,MATCH(E895,DM_NL!$A$5:$A$304,0)),"(chưa có trong DM_NL)"))</f>
        <v/>
      </c>
      <c r="G895" s="35" t="str">
        <f>IF(E895="","",IFERROR(INDEX(DM_NL!$C$5:$C$304,MATCH(E895,DM_NL!$A$5:$A$304,0)),""))</f>
        <v/>
      </c>
      <c r="H895" s="39" t="str">
        <f>IF(OR(E895="",BOM!G889="KXDDM"),"",BOM!F889)</f>
        <v/>
      </c>
      <c r="I895" s="36" t="str">
        <f>IF(E895="","",BOM!G889&amp;"")</f>
        <v/>
      </c>
    </row>
    <row r="896" spans="1:9" x14ac:dyDescent="0.25">
      <c r="A896" s="36" t="str">
        <f>IF(B896="","",MAX($A$10:A895)+1)</f>
        <v/>
      </c>
      <c r="B896" s="35" t="str">
        <f>IF(BOM!A890="","",IF(BOM!A890=BOM!A889,"",BOM!A890))</f>
        <v/>
      </c>
      <c r="C896" s="35" t="str">
        <f>IF(B896="","",IFERROR(INDEX(DM_SP!$B$5:$B$304,MATCH(B896,DM_SP!$A$5:$A$304,0)),"(chưa có trong DM_SP)"))</f>
        <v/>
      </c>
      <c r="D896" s="35" t="str">
        <f>IF(B896="","",IFERROR(INDEX(DM_SP!$C$5:$C$304,MATCH(B896,DM_SP!$A$5:$A$304,0)),""))</f>
        <v/>
      </c>
      <c r="E896" s="35" t="str">
        <f>IF(BOM!A890="","",BOM!B890)</f>
        <v/>
      </c>
      <c r="F896" s="35" t="str">
        <f>IF(E896="","",IFERROR(INDEX(DM_NL!$B$5:$B$304,MATCH(E896,DM_NL!$A$5:$A$304,0)),"(chưa có trong DM_NL)"))</f>
        <v/>
      </c>
      <c r="G896" s="35" t="str">
        <f>IF(E896="","",IFERROR(INDEX(DM_NL!$C$5:$C$304,MATCH(E896,DM_NL!$A$5:$A$304,0)),""))</f>
        <v/>
      </c>
      <c r="H896" s="39" t="str">
        <f>IF(OR(E896="",BOM!G890="KXDDM"),"",BOM!F890)</f>
        <v/>
      </c>
      <c r="I896" s="36" t="str">
        <f>IF(E896="","",BOM!G890&amp;"")</f>
        <v/>
      </c>
    </row>
    <row r="897" spans="1:9" x14ac:dyDescent="0.25">
      <c r="A897" s="36" t="str">
        <f>IF(B897="","",MAX($A$10:A896)+1)</f>
        <v/>
      </c>
      <c r="B897" s="35" t="str">
        <f>IF(BOM!A891="","",IF(BOM!A891=BOM!A890,"",BOM!A891))</f>
        <v/>
      </c>
      <c r="C897" s="35" t="str">
        <f>IF(B897="","",IFERROR(INDEX(DM_SP!$B$5:$B$304,MATCH(B897,DM_SP!$A$5:$A$304,0)),"(chưa có trong DM_SP)"))</f>
        <v/>
      </c>
      <c r="D897" s="35" t="str">
        <f>IF(B897="","",IFERROR(INDEX(DM_SP!$C$5:$C$304,MATCH(B897,DM_SP!$A$5:$A$304,0)),""))</f>
        <v/>
      </c>
      <c r="E897" s="35" t="str">
        <f>IF(BOM!A891="","",BOM!B891)</f>
        <v/>
      </c>
      <c r="F897" s="35" t="str">
        <f>IF(E897="","",IFERROR(INDEX(DM_NL!$B$5:$B$304,MATCH(E897,DM_NL!$A$5:$A$304,0)),"(chưa có trong DM_NL)"))</f>
        <v/>
      </c>
      <c r="G897" s="35" t="str">
        <f>IF(E897="","",IFERROR(INDEX(DM_NL!$C$5:$C$304,MATCH(E897,DM_NL!$A$5:$A$304,0)),""))</f>
        <v/>
      </c>
      <c r="H897" s="39" t="str">
        <f>IF(OR(E897="",BOM!G891="KXDDM"),"",BOM!F891)</f>
        <v/>
      </c>
      <c r="I897" s="36" t="str">
        <f>IF(E897="","",BOM!G891&amp;"")</f>
        <v/>
      </c>
    </row>
    <row r="898" spans="1:9" x14ac:dyDescent="0.25">
      <c r="A898" s="36" t="str">
        <f>IF(B898="","",MAX($A$10:A897)+1)</f>
        <v/>
      </c>
      <c r="B898" s="35" t="str">
        <f>IF(BOM!A892="","",IF(BOM!A892=BOM!A891,"",BOM!A892))</f>
        <v/>
      </c>
      <c r="C898" s="35" t="str">
        <f>IF(B898="","",IFERROR(INDEX(DM_SP!$B$5:$B$304,MATCH(B898,DM_SP!$A$5:$A$304,0)),"(chưa có trong DM_SP)"))</f>
        <v/>
      </c>
      <c r="D898" s="35" t="str">
        <f>IF(B898="","",IFERROR(INDEX(DM_SP!$C$5:$C$304,MATCH(B898,DM_SP!$A$5:$A$304,0)),""))</f>
        <v/>
      </c>
      <c r="E898" s="35" t="str">
        <f>IF(BOM!A892="","",BOM!B892)</f>
        <v/>
      </c>
      <c r="F898" s="35" t="str">
        <f>IF(E898="","",IFERROR(INDEX(DM_NL!$B$5:$B$304,MATCH(E898,DM_NL!$A$5:$A$304,0)),"(chưa có trong DM_NL)"))</f>
        <v/>
      </c>
      <c r="G898" s="35" t="str">
        <f>IF(E898="","",IFERROR(INDEX(DM_NL!$C$5:$C$304,MATCH(E898,DM_NL!$A$5:$A$304,0)),""))</f>
        <v/>
      </c>
      <c r="H898" s="39" t="str">
        <f>IF(OR(E898="",BOM!G892="KXDDM"),"",BOM!F892)</f>
        <v/>
      </c>
      <c r="I898" s="36" t="str">
        <f>IF(E898="","",BOM!G892&amp;"")</f>
        <v/>
      </c>
    </row>
    <row r="899" spans="1:9" x14ac:dyDescent="0.25">
      <c r="A899" s="36" t="str">
        <f>IF(B899="","",MAX($A$10:A898)+1)</f>
        <v/>
      </c>
      <c r="B899" s="35" t="str">
        <f>IF(BOM!A893="","",IF(BOM!A893=BOM!A892,"",BOM!A893))</f>
        <v/>
      </c>
      <c r="C899" s="35" t="str">
        <f>IF(B899="","",IFERROR(INDEX(DM_SP!$B$5:$B$304,MATCH(B899,DM_SP!$A$5:$A$304,0)),"(chưa có trong DM_SP)"))</f>
        <v/>
      </c>
      <c r="D899" s="35" t="str">
        <f>IF(B899="","",IFERROR(INDEX(DM_SP!$C$5:$C$304,MATCH(B899,DM_SP!$A$5:$A$304,0)),""))</f>
        <v/>
      </c>
      <c r="E899" s="35" t="str">
        <f>IF(BOM!A893="","",BOM!B893)</f>
        <v/>
      </c>
      <c r="F899" s="35" t="str">
        <f>IF(E899="","",IFERROR(INDEX(DM_NL!$B$5:$B$304,MATCH(E899,DM_NL!$A$5:$A$304,0)),"(chưa có trong DM_NL)"))</f>
        <v/>
      </c>
      <c r="G899" s="35" t="str">
        <f>IF(E899="","",IFERROR(INDEX(DM_NL!$C$5:$C$304,MATCH(E899,DM_NL!$A$5:$A$304,0)),""))</f>
        <v/>
      </c>
      <c r="H899" s="39" t="str">
        <f>IF(OR(E899="",BOM!G893="KXDDM"),"",BOM!F893)</f>
        <v/>
      </c>
      <c r="I899" s="36" t="str">
        <f>IF(E899="","",BOM!G893&amp;"")</f>
        <v/>
      </c>
    </row>
    <row r="900" spans="1:9" x14ac:dyDescent="0.25">
      <c r="A900" s="36" t="str">
        <f>IF(B900="","",MAX($A$10:A899)+1)</f>
        <v/>
      </c>
      <c r="B900" s="35" t="str">
        <f>IF(BOM!A894="","",IF(BOM!A894=BOM!A893,"",BOM!A894))</f>
        <v/>
      </c>
      <c r="C900" s="35" t="str">
        <f>IF(B900="","",IFERROR(INDEX(DM_SP!$B$5:$B$304,MATCH(B900,DM_SP!$A$5:$A$304,0)),"(chưa có trong DM_SP)"))</f>
        <v/>
      </c>
      <c r="D900" s="35" t="str">
        <f>IF(B900="","",IFERROR(INDEX(DM_SP!$C$5:$C$304,MATCH(B900,DM_SP!$A$5:$A$304,0)),""))</f>
        <v/>
      </c>
      <c r="E900" s="35" t="str">
        <f>IF(BOM!A894="","",BOM!B894)</f>
        <v/>
      </c>
      <c r="F900" s="35" t="str">
        <f>IF(E900="","",IFERROR(INDEX(DM_NL!$B$5:$B$304,MATCH(E900,DM_NL!$A$5:$A$304,0)),"(chưa có trong DM_NL)"))</f>
        <v/>
      </c>
      <c r="G900" s="35" t="str">
        <f>IF(E900="","",IFERROR(INDEX(DM_NL!$C$5:$C$304,MATCH(E900,DM_NL!$A$5:$A$304,0)),""))</f>
        <v/>
      </c>
      <c r="H900" s="39" t="str">
        <f>IF(OR(E900="",BOM!G894="KXDDM"),"",BOM!F894)</f>
        <v/>
      </c>
      <c r="I900" s="36" t="str">
        <f>IF(E900="","",BOM!G894&amp;"")</f>
        <v/>
      </c>
    </row>
    <row r="901" spans="1:9" x14ac:dyDescent="0.25">
      <c r="A901" s="36" t="str">
        <f>IF(B901="","",MAX($A$10:A900)+1)</f>
        <v/>
      </c>
      <c r="B901" s="35" t="str">
        <f>IF(BOM!A895="","",IF(BOM!A895=BOM!A894,"",BOM!A895))</f>
        <v/>
      </c>
      <c r="C901" s="35" t="str">
        <f>IF(B901="","",IFERROR(INDEX(DM_SP!$B$5:$B$304,MATCH(B901,DM_SP!$A$5:$A$304,0)),"(chưa có trong DM_SP)"))</f>
        <v/>
      </c>
      <c r="D901" s="35" t="str">
        <f>IF(B901="","",IFERROR(INDEX(DM_SP!$C$5:$C$304,MATCH(B901,DM_SP!$A$5:$A$304,0)),""))</f>
        <v/>
      </c>
      <c r="E901" s="35" t="str">
        <f>IF(BOM!A895="","",BOM!B895)</f>
        <v/>
      </c>
      <c r="F901" s="35" t="str">
        <f>IF(E901="","",IFERROR(INDEX(DM_NL!$B$5:$B$304,MATCH(E901,DM_NL!$A$5:$A$304,0)),"(chưa có trong DM_NL)"))</f>
        <v/>
      </c>
      <c r="G901" s="35" t="str">
        <f>IF(E901="","",IFERROR(INDEX(DM_NL!$C$5:$C$304,MATCH(E901,DM_NL!$A$5:$A$304,0)),""))</f>
        <v/>
      </c>
      <c r="H901" s="39" t="str">
        <f>IF(OR(E901="",BOM!G895="KXDDM"),"",BOM!F895)</f>
        <v/>
      </c>
      <c r="I901" s="36" t="str">
        <f>IF(E901="","",BOM!G895&amp;"")</f>
        <v/>
      </c>
    </row>
    <row r="902" spans="1:9" x14ac:dyDescent="0.25">
      <c r="A902" s="36" t="str">
        <f>IF(B902="","",MAX($A$10:A901)+1)</f>
        <v/>
      </c>
      <c r="B902" s="35" t="str">
        <f>IF(BOM!A896="","",IF(BOM!A896=BOM!A895,"",BOM!A896))</f>
        <v/>
      </c>
      <c r="C902" s="35" t="str">
        <f>IF(B902="","",IFERROR(INDEX(DM_SP!$B$5:$B$304,MATCH(B902,DM_SP!$A$5:$A$304,0)),"(chưa có trong DM_SP)"))</f>
        <v/>
      </c>
      <c r="D902" s="35" t="str">
        <f>IF(B902="","",IFERROR(INDEX(DM_SP!$C$5:$C$304,MATCH(B902,DM_SP!$A$5:$A$304,0)),""))</f>
        <v/>
      </c>
      <c r="E902" s="35" t="str">
        <f>IF(BOM!A896="","",BOM!B896)</f>
        <v/>
      </c>
      <c r="F902" s="35" t="str">
        <f>IF(E902="","",IFERROR(INDEX(DM_NL!$B$5:$B$304,MATCH(E902,DM_NL!$A$5:$A$304,0)),"(chưa có trong DM_NL)"))</f>
        <v/>
      </c>
      <c r="G902" s="35" t="str">
        <f>IF(E902="","",IFERROR(INDEX(DM_NL!$C$5:$C$304,MATCH(E902,DM_NL!$A$5:$A$304,0)),""))</f>
        <v/>
      </c>
      <c r="H902" s="39" t="str">
        <f>IF(OR(E902="",BOM!G896="KXDDM"),"",BOM!F896)</f>
        <v/>
      </c>
      <c r="I902" s="36" t="str">
        <f>IF(E902="","",BOM!G896&amp;"")</f>
        <v/>
      </c>
    </row>
    <row r="903" spans="1:9" x14ac:dyDescent="0.25">
      <c r="A903" s="36" t="str">
        <f>IF(B903="","",MAX($A$10:A902)+1)</f>
        <v/>
      </c>
      <c r="B903" s="35" t="str">
        <f>IF(BOM!A897="","",IF(BOM!A897=BOM!A896,"",BOM!A897))</f>
        <v/>
      </c>
      <c r="C903" s="35" t="str">
        <f>IF(B903="","",IFERROR(INDEX(DM_SP!$B$5:$B$304,MATCH(B903,DM_SP!$A$5:$A$304,0)),"(chưa có trong DM_SP)"))</f>
        <v/>
      </c>
      <c r="D903" s="35" t="str">
        <f>IF(B903="","",IFERROR(INDEX(DM_SP!$C$5:$C$304,MATCH(B903,DM_SP!$A$5:$A$304,0)),""))</f>
        <v/>
      </c>
      <c r="E903" s="35" t="str">
        <f>IF(BOM!A897="","",BOM!B897)</f>
        <v/>
      </c>
      <c r="F903" s="35" t="str">
        <f>IF(E903="","",IFERROR(INDEX(DM_NL!$B$5:$B$304,MATCH(E903,DM_NL!$A$5:$A$304,0)),"(chưa có trong DM_NL)"))</f>
        <v/>
      </c>
      <c r="G903" s="35" t="str">
        <f>IF(E903="","",IFERROR(INDEX(DM_NL!$C$5:$C$304,MATCH(E903,DM_NL!$A$5:$A$304,0)),""))</f>
        <v/>
      </c>
      <c r="H903" s="39" t="str">
        <f>IF(OR(E903="",BOM!G897="KXDDM"),"",BOM!F897)</f>
        <v/>
      </c>
      <c r="I903" s="36" t="str">
        <f>IF(E903="","",BOM!G897&amp;"")</f>
        <v/>
      </c>
    </row>
    <row r="904" spans="1:9" x14ac:dyDescent="0.25">
      <c r="A904" s="36" t="str">
        <f>IF(B904="","",MAX($A$10:A903)+1)</f>
        <v/>
      </c>
      <c r="B904" s="35" t="str">
        <f>IF(BOM!A898="","",IF(BOM!A898=BOM!A897,"",BOM!A898))</f>
        <v/>
      </c>
      <c r="C904" s="35" t="str">
        <f>IF(B904="","",IFERROR(INDEX(DM_SP!$B$5:$B$304,MATCH(B904,DM_SP!$A$5:$A$304,0)),"(chưa có trong DM_SP)"))</f>
        <v/>
      </c>
      <c r="D904" s="35" t="str">
        <f>IF(B904="","",IFERROR(INDEX(DM_SP!$C$5:$C$304,MATCH(B904,DM_SP!$A$5:$A$304,0)),""))</f>
        <v/>
      </c>
      <c r="E904" s="35" t="str">
        <f>IF(BOM!A898="","",BOM!B898)</f>
        <v/>
      </c>
      <c r="F904" s="35" t="str">
        <f>IF(E904="","",IFERROR(INDEX(DM_NL!$B$5:$B$304,MATCH(E904,DM_NL!$A$5:$A$304,0)),"(chưa có trong DM_NL)"))</f>
        <v/>
      </c>
      <c r="G904" s="35" t="str">
        <f>IF(E904="","",IFERROR(INDEX(DM_NL!$C$5:$C$304,MATCH(E904,DM_NL!$A$5:$A$304,0)),""))</f>
        <v/>
      </c>
      <c r="H904" s="39" t="str">
        <f>IF(OR(E904="",BOM!G898="KXDDM"),"",BOM!F898)</f>
        <v/>
      </c>
      <c r="I904" s="36" t="str">
        <f>IF(E904="","",BOM!G898&amp;"")</f>
        <v/>
      </c>
    </row>
    <row r="905" spans="1:9" x14ac:dyDescent="0.25">
      <c r="A905" s="36" t="str">
        <f>IF(B905="","",MAX($A$10:A904)+1)</f>
        <v/>
      </c>
      <c r="B905" s="35" t="str">
        <f>IF(BOM!A899="","",IF(BOM!A899=BOM!A898,"",BOM!A899))</f>
        <v/>
      </c>
      <c r="C905" s="35" t="str">
        <f>IF(B905="","",IFERROR(INDEX(DM_SP!$B$5:$B$304,MATCH(B905,DM_SP!$A$5:$A$304,0)),"(chưa có trong DM_SP)"))</f>
        <v/>
      </c>
      <c r="D905" s="35" t="str">
        <f>IF(B905="","",IFERROR(INDEX(DM_SP!$C$5:$C$304,MATCH(B905,DM_SP!$A$5:$A$304,0)),""))</f>
        <v/>
      </c>
      <c r="E905" s="35" t="str">
        <f>IF(BOM!A899="","",BOM!B899)</f>
        <v/>
      </c>
      <c r="F905" s="35" t="str">
        <f>IF(E905="","",IFERROR(INDEX(DM_NL!$B$5:$B$304,MATCH(E905,DM_NL!$A$5:$A$304,0)),"(chưa có trong DM_NL)"))</f>
        <v/>
      </c>
      <c r="G905" s="35" t="str">
        <f>IF(E905="","",IFERROR(INDEX(DM_NL!$C$5:$C$304,MATCH(E905,DM_NL!$A$5:$A$304,0)),""))</f>
        <v/>
      </c>
      <c r="H905" s="39" t="str">
        <f>IF(OR(E905="",BOM!G899="KXDDM"),"",BOM!F899)</f>
        <v/>
      </c>
      <c r="I905" s="36" t="str">
        <f>IF(E905="","",BOM!G899&amp;"")</f>
        <v/>
      </c>
    </row>
    <row r="906" spans="1:9" x14ac:dyDescent="0.25">
      <c r="A906" s="36" t="str">
        <f>IF(B906="","",MAX($A$10:A905)+1)</f>
        <v/>
      </c>
      <c r="B906" s="35" t="str">
        <f>IF(BOM!A900="","",IF(BOM!A900=BOM!A899,"",BOM!A900))</f>
        <v/>
      </c>
      <c r="C906" s="35" t="str">
        <f>IF(B906="","",IFERROR(INDEX(DM_SP!$B$5:$B$304,MATCH(B906,DM_SP!$A$5:$A$304,0)),"(chưa có trong DM_SP)"))</f>
        <v/>
      </c>
      <c r="D906" s="35" t="str">
        <f>IF(B906="","",IFERROR(INDEX(DM_SP!$C$5:$C$304,MATCH(B906,DM_SP!$A$5:$A$304,0)),""))</f>
        <v/>
      </c>
      <c r="E906" s="35" t="str">
        <f>IF(BOM!A900="","",BOM!B900)</f>
        <v/>
      </c>
      <c r="F906" s="35" t="str">
        <f>IF(E906="","",IFERROR(INDEX(DM_NL!$B$5:$B$304,MATCH(E906,DM_NL!$A$5:$A$304,0)),"(chưa có trong DM_NL)"))</f>
        <v/>
      </c>
      <c r="G906" s="35" t="str">
        <f>IF(E906="","",IFERROR(INDEX(DM_NL!$C$5:$C$304,MATCH(E906,DM_NL!$A$5:$A$304,0)),""))</f>
        <v/>
      </c>
      <c r="H906" s="39" t="str">
        <f>IF(OR(E906="",BOM!G900="KXDDM"),"",BOM!F900)</f>
        <v/>
      </c>
      <c r="I906" s="36" t="str">
        <f>IF(E906="","",BOM!G900&amp;"")</f>
        <v/>
      </c>
    </row>
    <row r="907" spans="1:9" x14ac:dyDescent="0.25">
      <c r="A907" s="36" t="str">
        <f>IF(B907="","",MAX($A$10:A906)+1)</f>
        <v/>
      </c>
      <c r="B907" s="35" t="str">
        <f>IF(BOM!A901="","",IF(BOM!A901=BOM!A900,"",BOM!A901))</f>
        <v/>
      </c>
      <c r="C907" s="35" t="str">
        <f>IF(B907="","",IFERROR(INDEX(DM_SP!$B$5:$B$304,MATCH(B907,DM_SP!$A$5:$A$304,0)),"(chưa có trong DM_SP)"))</f>
        <v/>
      </c>
      <c r="D907" s="35" t="str">
        <f>IF(B907="","",IFERROR(INDEX(DM_SP!$C$5:$C$304,MATCH(B907,DM_SP!$A$5:$A$304,0)),""))</f>
        <v/>
      </c>
      <c r="E907" s="35" t="str">
        <f>IF(BOM!A901="","",BOM!B901)</f>
        <v/>
      </c>
      <c r="F907" s="35" t="str">
        <f>IF(E907="","",IFERROR(INDEX(DM_NL!$B$5:$B$304,MATCH(E907,DM_NL!$A$5:$A$304,0)),"(chưa có trong DM_NL)"))</f>
        <v/>
      </c>
      <c r="G907" s="35" t="str">
        <f>IF(E907="","",IFERROR(INDEX(DM_NL!$C$5:$C$304,MATCH(E907,DM_NL!$A$5:$A$304,0)),""))</f>
        <v/>
      </c>
      <c r="H907" s="39" t="str">
        <f>IF(OR(E907="",BOM!G901="KXDDM"),"",BOM!F901)</f>
        <v/>
      </c>
      <c r="I907" s="36" t="str">
        <f>IF(E907="","",BOM!G901&amp;"")</f>
        <v/>
      </c>
    </row>
    <row r="908" spans="1:9" x14ac:dyDescent="0.25">
      <c r="A908" s="36" t="str">
        <f>IF(B908="","",MAX($A$10:A907)+1)</f>
        <v/>
      </c>
      <c r="B908" s="35" t="str">
        <f>IF(BOM!A902="","",IF(BOM!A902=BOM!A901,"",BOM!A902))</f>
        <v/>
      </c>
      <c r="C908" s="35" t="str">
        <f>IF(B908="","",IFERROR(INDEX(DM_SP!$B$5:$B$304,MATCH(B908,DM_SP!$A$5:$A$304,0)),"(chưa có trong DM_SP)"))</f>
        <v/>
      </c>
      <c r="D908" s="35" t="str">
        <f>IF(B908="","",IFERROR(INDEX(DM_SP!$C$5:$C$304,MATCH(B908,DM_SP!$A$5:$A$304,0)),""))</f>
        <v/>
      </c>
      <c r="E908" s="35" t="str">
        <f>IF(BOM!A902="","",BOM!B902)</f>
        <v/>
      </c>
      <c r="F908" s="35" t="str">
        <f>IF(E908="","",IFERROR(INDEX(DM_NL!$B$5:$B$304,MATCH(E908,DM_NL!$A$5:$A$304,0)),"(chưa có trong DM_NL)"))</f>
        <v/>
      </c>
      <c r="G908" s="35" t="str">
        <f>IF(E908="","",IFERROR(INDEX(DM_NL!$C$5:$C$304,MATCH(E908,DM_NL!$A$5:$A$304,0)),""))</f>
        <v/>
      </c>
      <c r="H908" s="39" t="str">
        <f>IF(OR(E908="",BOM!G902="KXDDM"),"",BOM!F902)</f>
        <v/>
      </c>
      <c r="I908" s="36" t="str">
        <f>IF(E908="","",BOM!G902&amp;"")</f>
        <v/>
      </c>
    </row>
    <row r="909" spans="1:9" x14ac:dyDescent="0.25">
      <c r="A909" s="36" t="str">
        <f>IF(B909="","",MAX($A$10:A908)+1)</f>
        <v/>
      </c>
      <c r="B909" s="35" t="str">
        <f>IF(BOM!A903="","",IF(BOM!A903=BOM!A902,"",BOM!A903))</f>
        <v/>
      </c>
      <c r="C909" s="35" t="str">
        <f>IF(B909="","",IFERROR(INDEX(DM_SP!$B$5:$B$304,MATCH(B909,DM_SP!$A$5:$A$304,0)),"(chưa có trong DM_SP)"))</f>
        <v/>
      </c>
      <c r="D909" s="35" t="str">
        <f>IF(B909="","",IFERROR(INDEX(DM_SP!$C$5:$C$304,MATCH(B909,DM_SP!$A$5:$A$304,0)),""))</f>
        <v/>
      </c>
      <c r="E909" s="35" t="str">
        <f>IF(BOM!A903="","",BOM!B903)</f>
        <v/>
      </c>
      <c r="F909" s="35" t="str">
        <f>IF(E909="","",IFERROR(INDEX(DM_NL!$B$5:$B$304,MATCH(E909,DM_NL!$A$5:$A$304,0)),"(chưa có trong DM_NL)"))</f>
        <v/>
      </c>
      <c r="G909" s="35" t="str">
        <f>IF(E909="","",IFERROR(INDEX(DM_NL!$C$5:$C$304,MATCH(E909,DM_NL!$A$5:$A$304,0)),""))</f>
        <v/>
      </c>
      <c r="H909" s="39" t="str">
        <f>IF(OR(E909="",BOM!G903="KXDDM"),"",BOM!F903)</f>
        <v/>
      </c>
      <c r="I909" s="36" t="str">
        <f>IF(E909="","",BOM!G903&amp;"")</f>
        <v/>
      </c>
    </row>
    <row r="910" spans="1:9" x14ac:dyDescent="0.25">
      <c r="A910" s="36" t="str">
        <f>IF(B910="","",MAX($A$10:A909)+1)</f>
        <v/>
      </c>
      <c r="B910" s="35" t="str">
        <f>IF(BOM!A904="","",IF(BOM!A904=BOM!A903,"",BOM!A904))</f>
        <v/>
      </c>
      <c r="C910" s="35" t="str">
        <f>IF(B910="","",IFERROR(INDEX(DM_SP!$B$5:$B$304,MATCH(B910,DM_SP!$A$5:$A$304,0)),"(chưa có trong DM_SP)"))</f>
        <v/>
      </c>
      <c r="D910" s="35" t="str">
        <f>IF(B910="","",IFERROR(INDEX(DM_SP!$C$5:$C$304,MATCH(B910,DM_SP!$A$5:$A$304,0)),""))</f>
        <v/>
      </c>
      <c r="E910" s="35" t="str">
        <f>IF(BOM!A904="","",BOM!B904)</f>
        <v/>
      </c>
      <c r="F910" s="35" t="str">
        <f>IF(E910="","",IFERROR(INDEX(DM_NL!$B$5:$B$304,MATCH(E910,DM_NL!$A$5:$A$304,0)),"(chưa có trong DM_NL)"))</f>
        <v/>
      </c>
      <c r="G910" s="35" t="str">
        <f>IF(E910="","",IFERROR(INDEX(DM_NL!$C$5:$C$304,MATCH(E910,DM_NL!$A$5:$A$304,0)),""))</f>
        <v/>
      </c>
      <c r="H910" s="39" t="str">
        <f>IF(OR(E910="",BOM!G904="KXDDM"),"",BOM!F904)</f>
        <v/>
      </c>
      <c r="I910" s="36" t="str">
        <f>IF(E910="","",BOM!G904&amp;"")</f>
        <v/>
      </c>
    </row>
    <row r="911" spans="1:9" x14ac:dyDescent="0.25">
      <c r="A911" s="36" t="str">
        <f>IF(B911="","",MAX($A$10:A910)+1)</f>
        <v/>
      </c>
      <c r="B911" s="35" t="str">
        <f>IF(BOM!A905="","",IF(BOM!A905=BOM!A904,"",BOM!A905))</f>
        <v/>
      </c>
      <c r="C911" s="35" t="str">
        <f>IF(B911="","",IFERROR(INDEX(DM_SP!$B$5:$B$304,MATCH(B911,DM_SP!$A$5:$A$304,0)),"(chưa có trong DM_SP)"))</f>
        <v/>
      </c>
      <c r="D911" s="35" t="str">
        <f>IF(B911="","",IFERROR(INDEX(DM_SP!$C$5:$C$304,MATCH(B911,DM_SP!$A$5:$A$304,0)),""))</f>
        <v/>
      </c>
      <c r="E911" s="35" t="str">
        <f>IF(BOM!A905="","",BOM!B905)</f>
        <v/>
      </c>
      <c r="F911" s="35" t="str">
        <f>IF(E911="","",IFERROR(INDEX(DM_NL!$B$5:$B$304,MATCH(E911,DM_NL!$A$5:$A$304,0)),"(chưa có trong DM_NL)"))</f>
        <v/>
      </c>
      <c r="G911" s="35" t="str">
        <f>IF(E911="","",IFERROR(INDEX(DM_NL!$C$5:$C$304,MATCH(E911,DM_NL!$A$5:$A$304,0)),""))</f>
        <v/>
      </c>
      <c r="H911" s="39" t="str">
        <f>IF(OR(E911="",BOM!G905="KXDDM"),"",BOM!F905)</f>
        <v/>
      </c>
      <c r="I911" s="36" t="str">
        <f>IF(E911="","",BOM!G905&amp;"")</f>
        <v/>
      </c>
    </row>
    <row r="912" spans="1:9" x14ac:dyDescent="0.25">
      <c r="A912" s="36" t="str">
        <f>IF(B912="","",MAX($A$10:A911)+1)</f>
        <v/>
      </c>
      <c r="B912" s="35" t="str">
        <f>IF(BOM!A906="","",IF(BOM!A906=BOM!A905,"",BOM!A906))</f>
        <v/>
      </c>
      <c r="C912" s="35" t="str">
        <f>IF(B912="","",IFERROR(INDEX(DM_SP!$B$5:$B$304,MATCH(B912,DM_SP!$A$5:$A$304,0)),"(chưa có trong DM_SP)"))</f>
        <v/>
      </c>
      <c r="D912" s="35" t="str">
        <f>IF(B912="","",IFERROR(INDEX(DM_SP!$C$5:$C$304,MATCH(B912,DM_SP!$A$5:$A$304,0)),""))</f>
        <v/>
      </c>
      <c r="E912" s="35" t="str">
        <f>IF(BOM!A906="","",BOM!B906)</f>
        <v/>
      </c>
      <c r="F912" s="35" t="str">
        <f>IF(E912="","",IFERROR(INDEX(DM_NL!$B$5:$B$304,MATCH(E912,DM_NL!$A$5:$A$304,0)),"(chưa có trong DM_NL)"))</f>
        <v/>
      </c>
      <c r="G912" s="35" t="str">
        <f>IF(E912="","",IFERROR(INDEX(DM_NL!$C$5:$C$304,MATCH(E912,DM_NL!$A$5:$A$304,0)),""))</f>
        <v/>
      </c>
      <c r="H912" s="39" t="str">
        <f>IF(OR(E912="",BOM!G906="KXDDM"),"",BOM!F906)</f>
        <v/>
      </c>
      <c r="I912" s="36" t="str">
        <f>IF(E912="","",BOM!G906&amp;"")</f>
        <v/>
      </c>
    </row>
    <row r="913" spans="1:9" x14ac:dyDescent="0.25">
      <c r="A913" s="36" t="str">
        <f>IF(B913="","",MAX($A$10:A912)+1)</f>
        <v/>
      </c>
      <c r="B913" s="35" t="str">
        <f>IF(BOM!A907="","",IF(BOM!A907=BOM!A906,"",BOM!A907))</f>
        <v/>
      </c>
      <c r="C913" s="35" t="str">
        <f>IF(B913="","",IFERROR(INDEX(DM_SP!$B$5:$B$304,MATCH(B913,DM_SP!$A$5:$A$304,0)),"(chưa có trong DM_SP)"))</f>
        <v/>
      </c>
      <c r="D913" s="35" t="str">
        <f>IF(B913="","",IFERROR(INDEX(DM_SP!$C$5:$C$304,MATCH(B913,DM_SP!$A$5:$A$304,0)),""))</f>
        <v/>
      </c>
      <c r="E913" s="35" t="str">
        <f>IF(BOM!A907="","",BOM!B907)</f>
        <v/>
      </c>
      <c r="F913" s="35" t="str">
        <f>IF(E913="","",IFERROR(INDEX(DM_NL!$B$5:$B$304,MATCH(E913,DM_NL!$A$5:$A$304,0)),"(chưa có trong DM_NL)"))</f>
        <v/>
      </c>
      <c r="G913" s="35" t="str">
        <f>IF(E913="","",IFERROR(INDEX(DM_NL!$C$5:$C$304,MATCH(E913,DM_NL!$A$5:$A$304,0)),""))</f>
        <v/>
      </c>
      <c r="H913" s="39" t="str">
        <f>IF(OR(E913="",BOM!G907="KXDDM"),"",BOM!F907)</f>
        <v/>
      </c>
      <c r="I913" s="36" t="str">
        <f>IF(E913="","",BOM!G907&amp;"")</f>
        <v/>
      </c>
    </row>
    <row r="914" spans="1:9" x14ac:dyDescent="0.25">
      <c r="A914" s="36" t="str">
        <f>IF(B914="","",MAX($A$10:A913)+1)</f>
        <v/>
      </c>
      <c r="B914" s="35" t="str">
        <f>IF(BOM!A908="","",IF(BOM!A908=BOM!A907,"",BOM!A908))</f>
        <v/>
      </c>
      <c r="C914" s="35" t="str">
        <f>IF(B914="","",IFERROR(INDEX(DM_SP!$B$5:$B$304,MATCH(B914,DM_SP!$A$5:$A$304,0)),"(chưa có trong DM_SP)"))</f>
        <v/>
      </c>
      <c r="D914" s="35" t="str">
        <f>IF(B914="","",IFERROR(INDEX(DM_SP!$C$5:$C$304,MATCH(B914,DM_SP!$A$5:$A$304,0)),""))</f>
        <v/>
      </c>
      <c r="E914" s="35" t="str">
        <f>IF(BOM!A908="","",BOM!B908)</f>
        <v/>
      </c>
      <c r="F914" s="35" t="str">
        <f>IF(E914="","",IFERROR(INDEX(DM_NL!$B$5:$B$304,MATCH(E914,DM_NL!$A$5:$A$304,0)),"(chưa có trong DM_NL)"))</f>
        <v/>
      </c>
      <c r="G914" s="35" t="str">
        <f>IF(E914="","",IFERROR(INDEX(DM_NL!$C$5:$C$304,MATCH(E914,DM_NL!$A$5:$A$304,0)),""))</f>
        <v/>
      </c>
      <c r="H914" s="39" t="str">
        <f>IF(OR(E914="",BOM!G908="KXDDM"),"",BOM!F908)</f>
        <v/>
      </c>
      <c r="I914" s="36" t="str">
        <f>IF(E914="","",BOM!G908&amp;"")</f>
        <v/>
      </c>
    </row>
    <row r="915" spans="1:9" x14ac:dyDescent="0.25">
      <c r="A915" s="36" t="str">
        <f>IF(B915="","",MAX($A$10:A914)+1)</f>
        <v/>
      </c>
      <c r="B915" s="35" t="str">
        <f>IF(BOM!A909="","",IF(BOM!A909=BOM!A908,"",BOM!A909))</f>
        <v/>
      </c>
      <c r="C915" s="35" t="str">
        <f>IF(B915="","",IFERROR(INDEX(DM_SP!$B$5:$B$304,MATCH(B915,DM_SP!$A$5:$A$304,0)),"(chưa có trong DM_SP)"))</f>
        <v/>
      </c>
      <c r="D915" s="35" t="str">
        <f>IF(B915="","",IFERROR(INDEX(DM_SP!$C$5:$C$304,MATCH(B915,DM_SP!$A$5:$A$304,0)),""))</f>
        <v/>
      </c>
      <c r="E915" s="35" t="str">
        <f>IF(BOM!A909="","",BOM!B909)</f>
        <v/>
      </c>
      <c r="F915" s="35" t="str">
        <f>IF(E915="","",IFERROR(INDEX(DM_NL!$B$5:$B$304,MATCH(E915,DM_NL!$A$5:$A$304,0)),"(chưa có trong DM_NL)"))</f>
        <v/>
      </c>
      <c r="G915" s="35" t="str">
        <f>IF(E915="","",IFERROR(INDEX(DM_NL!$C$5:$C$304,MATCH(E915,DM_NL!$A$5:$A$304,0)),""))</f>
        <v/>
      </c>
      <c r="H915" s="39" t="str">
        <f>IF(OR(E915="",BOM!G909="KXDDM"),"",BOM!F909)</f>
        <v/>
      </c>
      <c r="I915" s="36" t="str">
        <f>IF(E915="","",BOM!G909&amp;"")</f>
        <v/>
      </c>
    </row>
    <row r="916" spans="1:9" x14ac:dyDescent="0.25">
      <c r="A916" s="36" t="str">
        <f>IF(B916="","",MAX($A$10:A915)+1)</f>
        <v/>
      </c>
      <c r="B916" s="35" t="str">
        <f>IF(BOM!A910="","",IF(BOM!A910=BOM!A909,"",BOM!A910))</f>
        <v/>
      </c>
      <c r="C916" s="35" t="str">
        <f>IF(B916="","",IFERROR(INDEX(DM_SP!$B$5:$B$304,MATCH(B916,DM_SP!$A$5:$A$304,0)),"(chưa có trong DM_SP)"))</f>
        <v/>
      </c>
      <c r="D916" s="35" t="str">
        <f>IF(B916="","",IFERROR(INDEX(DM_SP!$C$5:$C$304,MATCH(B916,DM_SP!$A$5:$A$304,0)),""))</f>
        <v/>
      </c>
      <c r="E916" s="35" t="str">
        <f>IF(BOM!A910="","",BOM!B910)</f>
        <v/>
      </c>
      <c r="F916" s="35" t="str">
        <f>IF(E916="","",IFERROR(INDEX(DM_NL!$B$5:$B$304,MATCH(E916,DM_NL!$A$5:$A$304,0)),"(chưa có trong DM_NL)"))</f>
        <v/>
      </c>
      <c r="G916" s="35" t="str">
        <f>IF(E916="","",IFERROR(INDEX(DM_NL!$C$5:$C$304,MATCH(E916,DM_NL!$A$5:$A$304,0)),""))</f>
        <v/>
      </c>
      <c r="H916" s="39" t="str">
        <f>IF(OR(E916="",BOM!G910="KXDDM"),"",BOM!F910)</f>
        <v/>
      </c>
      <c r="I916" s="36" t="str">
        <f>IF(E916="","",BOM!G910&amp;"")</f>
        <v/>
      </c>
    </row>
    <row r="917" spans="1:9" x14ac:dyDescent="0.25">
      <c r="A917" s="36" t="str">
        <f>IF(B917="","",MAX($A$10:A916)+1)</f>
        <v/>
      </c>
      <c r="B917" s="35" t="str">
        <f>IF(BOM!A911="","",IF(BOM!A911=BOM!A910,"",BOM!A911))</f>
        <v/>
      </c>
      <c r="C917" s="35" t="str">
        <f>IF(B917="","",IFERROR(INDEX(DM_SP!$B$5:$B$304,MATCH(B917,DM_SP!$A$5:$A$304,0)),"(chưa có trong DM_SP)"))</f>
        <v/>
      </c>
      <c r="D917" s="35" t="str">
        <f>IF(B917="","",IFERROR(INDEX(DM_SP!$C$5:$C$304,MATCH(B917,DM_SP!$A$5:$A$304,0)),""))</f>
        <v/>
      </c>
      <c r="E917" s="35" t="str">
        <f>IF(BOM!A911="","",BOM!B911)</f>
        <v/>
      </c>
      <c r="F917" s="35" t="str">
        <f>IF(E917="","",IFERROR(INDEX(DM_NL!$B$5:$B$304,MATCH(E917,DM_NL!$A$5:$A$304,0)),"(chưa có trong DM_NL)"))</f>
        <v/>
      </c>
      <c r="G917" s="35" t="str">
        <f>IF(E917="","",IFERROR(INDEX(DM_NL!$C$5:$C$304,MATCH(E917,DM_NL!$A$5:$A$304,0)),""))</f>
        <v/>
      </c>
      <c r="H917" s="39" t="str">
        <f>IF(OR(E917="",BOM!G911="KXDDM"),"",BOM!F911)</f>
        <v/>
      </c>
      <c r="I917" s="36" t="str">
        <f>IF(E917="","",BOM!G911&amp;"")</f>
        <v/>
      </c>
    </row>
    <row r="918" spans="1:9" x14ac:dyDescent="0.25">
      <c r="A918" s="36" t="str">
        <f>IF(B918="","",MAX($A$10:A917)+1)</f>
        <v/>
      </c>
      <c r="B918" s="35" t="str">
        <f>IF(BOM!A912="","",IF(BOM!A912=BOM!A911,"",BOM!A912))</f>
        <v/>
      </c>
      <c r="C918" s="35" t="str">
        <f>IF(B918="","",IFERROR(INDEX(DM_SP!$B$5:$B$304,MATCH(B918,DM_SP!$A$5:$A$304,0)),"(chưa có trong DM_SP)"))</f>
        <v/>
      </c>
      <c r="D918" s="35" t="str">
        <f>IF(B918="","",IFERROR(INDEX(DM_SP!$C$5:$C$304,MATCH(B918,DM_SP!$A$5:$A$304,0)),""))</f>
        <v/>
      </c>
      <c r="E918" s="35" t="str">
        <f>IF(BOM!A912="","",BOM!B912)</f>
        <v/>
      </c>
      <c r="F918" s="35" t="str">
        <f>IF(E918="","",IFERROR(INDEX(DM_NL!$B$5:$B$304,MATCH(E918,DM_NL!$A$5:$A$304,0)),"(chưa có trong DM_NL)"))</f>
        <v/>
      </c>
      <c r="G918" s="35" t="str">
        <f>IF(E918="","",IFERROR(INDEX(DM_NL!$C$5:$C$304,MATCH(E918,DM_NL!$A$5:$A$304,0)),""))</f>
        <v/>
      </c>
      <c r="H918" s="39" t="str">
        <f>IF(OR(E918="",BOM!G912="KXDDM"),"",BOM!F912)</f>
        <v/>
      </c>
      <c r="I918" s="36" t="str">
        <f>IF(E918="","",BOM!G912&amp;"")</f>
        <v/>
      </c>
    </row>
    <row r="919" spans="1:9" x14ac:dyDescent="0.25">
      <c r="A919" s="36" t="str">
        <f>IF(B919="","",MAX($A$10:A918)+1)</f>
        <v/>
      </c>
      <c r="B919" s="35" t="str">
        <f>IF(BOM!A913="","",IF(BOM!A913=BOM!A912,"",BOM!A913))</f>
        <v/>
      </c>
      <c r="C919" s="35" t="str">
        <f>IF(B919="","",IFERROR(INDEX(DM_SP!$B$5:$B$304,MATCH(B919,DM_SP!$A$5:$A$304,0)),"(chưa có trong DM_SP)"))</f>
        <v/>
      </c>
      <c r="D919" s="35" t="str">
        <f>IF(B919="","",IFERROR(INDEX(DM_SP!$C$5:$C$304,MATCH(B919,DM_SP!$A$5:$A$304,0)),""))</f>
        <v/>
      </c>
      <c r="E919" s="35" t="str">
        <f>IF(BOM!A913="","",BOM!B913)</f>
        <v/>
      </c>
      <c r="F919" s="35" t="str">
        <f>IF(E919="","",IFERROR(INDEX(DM_NL!$B$5:$B$304,MATCH(E919,DM_NL!$A$5:$A$304,0)),"(chưa có trong DM_NL)"))</f>
        <v/>
      </c>
      <c r="G919" s="35" t="str">
        <f>IF(E919="","",IFERROR(INDEX(DM_NL!$C$5:$C$304,MATCH(E919,DM_NL!$A$5:$A$304,0)),""))</f>
        <v/>
      </c>
      <c r="H919" s="39" t="str">
        <f>IF(OR(E919="",BOM!G913="KXDDM"),"",BOM!F913)</f>
        <v/>
      </c>
      <c r="I919" s="36" t="str">
        <f>IF(E919="","",BOM!G913&amp;"")</f>
        <v/>
      </c>
    </row>
    <row r="920" spans="1:9" x14ac:dyDescent="0.25">
      <c r="A920" s="36" t="str">
        <f>IF(B920="","",MAX($A$10:A919)+1)</f>
        <v/>
      </c>
      <c r="B920" s="35" t="str">
        <f>IF(BOM!A914="","",IF(BOM!A914=BOM!A913,"",BOM!A914))</f>
        <v/>
      </c>
      <c r="C920" s="35" t="str">
        <f>IF(B920="","",IFERROR(INDEX(DM_SP!$B$5:$B$304,MATCH(B920,DM_SP!$A$5:$A$304,0)),"(chưa có trong DM_SP)"))</f>
        <v/>
      </c>
      <c r="D920" s="35" t="str">
        <f>IF(B920="","",IFERROR(INDEX(DM_SP!$C$5:$C$304,MATCH(B920,DM_SP!$A$5:$A$304,0)),""))</f>
        <v/>
      </c>
      <c r="E920" s="35" t="str">
        <f>IF(BOM!A914="","",BOM!B914)</f>
        <v/>
      </c>
      <c r="F920" s="35" t="str">
        <f>IF(E920="","",IFERROR(INDEX(DM_NL!$B$5:$B$304,MATCH(E920,DM_NL!$A$5:$A$304,0)),"(chưa có trong DM_NL)"))</f>
        <v/>
      </c>
      <c r="G920" s="35" t="str">
        <f>IF(E920="","",IFERROR(INDEX(DM_NL!$C$5:$C$304,MATCH(E920,DM_NL!$A$5:$A$304,0)),""))</f>
        <v/>
      </c>
      <c r="H920" s="39" t="str">
        <f>IF(OR(E920="",BOM!G914="KXDDM"),"",BOM!F914)</f>
        <v/>
      </c>
      <c r="I920" s="36" t="str">
        <f>IF(E920="","",BOM!G914&amp;"")</f>
        <v/>
      </c>
    </row>
    <row r="921" spans="1:9" x14ac:dyDescent="0.25">
      <c r="A921" s="36" t="str">
        <f>IF(B921="","",MAX($A$10:A920)+1)</f>
        <v/>
      </c>
      <c r="B921" s="35" t="str">
        <f>IF(BOM!A915="","",IF(BOM!A915=BOM!A914,"",BOM!A915))</f>
        <v/>
      </c>
      <c r="C921" s="35" t="str">
        <f>IF(B921="","",IFERROR(INDEX(DM_SP!$B$5:$B$304,MATCH(B921,DM_SP!$A$5:$A$304,0)),"(chưa có trong DM_SP)"))</f>
        <v/>
      </c>
      <c r="D921" s="35" t="str">
        <f>IF(B921="","",IFERROR(INDEX(DM_SP!$C$5:$C$304,MATCH(B921,DM_SP!$A$5:$A$304,0)),""))</f>
        <v/>
      </c>
      <c r="E921" s="35" t="str">
        <f>IF(BOM!A915="","",BOM!B915)</f>
        <v/>
      </c>
      <c r="F921" s="35" t="str">
        <f>IF(E921="","",IFERROR(INDEX(DM_NL!$B$5:$B$304,MATCH(E921,DM_NL!$A$5:$A$304,0)),"(chưa có trong DM_NL)"))</f>
        <v/>
      </c>
      <c r="G921" s="35" t="str">
        <f>IF(E921="","",IFERROR(INDEX(DM_NL!$C$5:$C$304,MATCH(E921,DM_NL!$A$5:$A$304,0)),""))</f>
        <v/>
      </c>
      <c r="H921" s="39" t="str">
        <f>IF(OR(E921="",BOM!G915="KXDDM"),"",BOM!F915)</f>
        <v/>
      </c>
      <c r="I921" s="36" t="str">
        <f>IF(E921="","",BOM!G915&amp;"")</f>
        <v/>
      </c>
    </row>
    <row r="922" spans="1:9" x14ac:dyDescent="0.25">
      <c r="A922" s="36" t="str">
        <f>IF(B922="","",MAX($A$10:A921)+1)</f>
        <v/>
      </c>
      <c r="B922" s="35" t="str">
        <f>IF(BOM!A916="","",IF(BOM!A916=BOM!A915,"",BOM!A916))</f>
        <v/>
      </c>
      <c r="C922" s="35" t="str">
        <f>IF(B922="","",IFERROR(INDEX(DM_SP!$B$5:$B$304,MATCH(B922,DM_SP!$A$5:$A$304,0)),"(chưa có trong DM_SP)"))</f>
        <v/>
      </c>
      <c r="D922" s="35" t="str">
        <f>IF(B922="","",IFERROR(INDEX(DM_SP!$C$5:$C$304,MATCH(B922,DM_SP!$A$5:$A$304,0)),""))</f>
        <v/>
      </c>
      <c r="E922" s="35" t="str">
        <f>IF(BOM!A916="","",BOM!B916)</f>
        <v/>
      </c>
      <c r="F922" s="35" t="str">
        <f>IF(E922="","",IFERROR(INDEX(DM_NL!$B$5:$B$304,MATCH(E922,DM_NL!$A$5:$A$304,0)),"(chưa có trong DM_NL)"))</f>
        <v/>
      </c>
      <c r="G922" s="35" t="str">
        <f>IF(E922="","",IFERROR(INDEX(DM_NL!$C$5:$C$304,MATCH(E922,DM_NL!$A$5:$A$304,0)),""))</f>
        <v/>
      </c>
      <c r="H922" s="39" t="str">
        <f>IF(OR(E922="",BOM!G916="KXDDM"),"",BOM!F916)</f>
        <v/>
      </c>
      <c r="I922" s="36" t="str">
        <f>IF(E922="","",BOM!G916&amp;"")</f>
        <v/>
      </c>
    </row>
    <row r="923" spans="1:9" x14ac:dyDescent="0.25">
      <c r="A923" s="36" t="str">
        <f>IF(B923="","",MAX($A$10:A922)+1)</f>
        <v/>
      </c>
      <c r="B923" s="35" t="str">
        <f>IF(BOM!A917="","",IF(BOM!A917=BOM!A916,"",BOM!A917))</f>
        <v/>
      </c>
      <c r="C923" s="35" t="str">
        <f>IF(B923="","",IFERROR(INDEX(DM_SP!$B$5:$B$304,MATCH(B923,DM_SP!$A$5:$A$304,0)),"(chưa có trong DM_SP)"))</f>
        <v/>
      </c>
      <c r="D923" s="35" t="str">
        <f>IF(B923="","",IFERROR(INDEX(DM_SP!$C$5:$C$304,MATCH(B923,DM_SP!$A$5:$A$304,0)),""))</f>
        <v/>
      </c>
      <c r="E923" s="35" t="str">
        <f>IF(BOM!A917="","",BOM!B917)</f>
        <v/>
      </c>
      <c r="F923" s="35" t="str">
        <f>IF(E923="","",IFERROR(INDEX(DM_NL!$B$5:$B$304,MATCH(E923,DM_NL!$A$5:$A$304,0)),"(chưa có trong DM_NL)"))</f>
        <v/>
      </c>
      <c r="G923" s="35" t="str">
        <f>IF(E923="","",IFERROR(INDEX(DM_NL!$C$5:$C$304,MATCH(E923,DM_NL!$A$5:$A$304,0)),""))</f>
        <v/>
      </c>
      <c r="H923" s="39" t="str">
        <f>IF(OR(E923="",BOM!G917="KXDDM"),"",BOM!F917)</f>
        <v/>
      </c>
      <c r="I923" s="36" t="str">
        <f>IF(E923="","",BOM!G917&amp;"")</f>
        <v/>
      </c>
    </row>
    <row r="924" spans="1:9" x14ac:dyDescent="0.25">
      <c r="A924" s="36" t="str">
        <f>IF(B924="","",MAX($A$10:A923)+1)</f>
        <v/>
      </c>
      <c r="B924" s="35" t="str">
        <f>IF(BOM!A918="","",IF(BOM!A918=BOM!A917,"",BOM!A918))</f>
        <v/>
      </c>
      <c r="C924" s="35" t="str">
        <f>IF(B924="","",IFERROR(INDEX(DM_SP!$B$5:$B$304,MATCH(B924,DM_SP!$A$5:$A$304,0)),"(chưa có trong DM_SP)"))</f>
        <v/>
      </c>
      <c r="D924" s="35" t="str">
        <f>IF(B924="","",IFERROR(INDEX(DM_SP!$C$5:$C$304,MATCH(B924,DM_SP!$A$5:$A$304,0)),""))</f>
        <v/>
      </c>
      <c r="E924" s="35" t="str">
        <f>IF(BOM!A918="","",BOM!B918)</f>
        <v/>
      </c>
      <c r="F924" s="35" t="str">
        <f>IF(E924="","",IFERROR(INDEX(DM_NL!$B$5:$B$304,MATCH(E924,DM_NL!$A$5:$A$304,0)),"(chưa có trong DM_NL)"))</f>
        <v/>
      </c>
      <c r="G924" s="35" t="str">
        <f>IF(E924="","",IFERROR(INDEX(DM_NL!$C$5:$C$304,MATCH(E924,DM_NL!$A$5:$A$304,0)),""))</f>
        <v/>
      </c>
      <c r="H924" s="39" t="str">
        <f>IF(OR(E924="",BOM!G918="KXDDM"),"",BOM!F918)</f>
        <v/>
      </c>
      <c r="I924" s="36" t="str">
        <f>IF(E924="","",BOM!G918&amp;"")</f>
        <v/>
      </c>
    </row>
    <row r="925" spans="1:9" x14ac:dyDescent="0.25">
      <c r="A925" s="36" t="str">
        <f>IF(B925="","",MAX($A$10:A924)+1)</f>
        <v/>
      </c>
      <c r="B925" s="35" t="str">
        <f>IF(BOM!A919="","",IF(BOM!A919=BOM!A918,"",BOM!A919))</f>
        <v/>
      </c>
      <c r="C925" s="35" t="str">
        <f>IF(B925="","",IFERROR(INDEX(DM_SP!$B$5:$B$304,MATCH(B925,DM_SP!$A$5:$A$304,0)),"(chưa có trong DM_SP)"))</f>
        <v/>
      </c>
      <c r="D925" s="35" t="str">
        <f>IF(B925="","",IFERROR(INDEX(DM_SP!$C$5:$C$304,MATCH(B925,DM_SP!$A$5:$A$304,0)),""))</f>
        <v/>
      </c>
      <c r="E925" s="35" t="str">
        <f>IF(BOM!A919="","",BOM!B919)</f>
        <v/>
      </c>
      <c r="F925" s="35" t="str">
        <f>IF(E925="","",IFERROR(INDEX(DM_NL!$B$5:$B$304,MATCH(E925,DM_NL!$A$5:$A$304,0)),"(chưa có trong DM_NL)"))</f>
        <v/>
      </c>
      <c r="G925" s="35" t="str">
        <f>IF(E925="","",IFERROR(INDEX(DM_NL!$C$5:$C$304,MATCH(E925,DM_NL!$A$5:$A$304,0)),""))</f>
        <v/>
      </c>
      <c r="H925" s="39" t="str">
        <f>IF(OR(E925="",BOM!G919="KXDDM"),"",BOM!F919)</f>
        <v/>
      </c>
      <c r="I925" s="36" t="str">
        <f>IF(E925="","",BOM!G919&amp;"")</f>
        <v/>
      </c>
    </row>
    <row r="926" spans="1:9" x14ac:dyDescent="0.25">
      <c r="A926" s="36" t="str">
        <f>IF(B926="","",MAX($A$10:A925)+1)</f>
        <v/>
      </c>
      <c r="B926" s="35" t="str">
        <f>IF(BOM!A920="","",IF(BOM!A920=BOM!A919,"",BOM!A920))</f>
        <v/>
      </c>
      <c r="C926" s="35" t="str">
        <f>IF(B926="","",IFERROR(INDEX(DM_SP!$B$5:$B$304,MATCH(B926,DM_SP!$A$5:$A$304,0)),"(chưa có trong DM_SP)"))</f>
        <v/>
      </c>
      <c r="D926" s="35" t="str">
        <f>IF(B926="","",IFERROR(INDEX(DM_SP!$C$5:$C$304,MATCH(B926,DM_SP!$A$5:$A$304,0)),""))</f>
        <v/>
      </c>
      <c r="E926" s="35" t="str">
        <f>IF(BOM!A920="","",BOM!B920)</f>
        <v/>
      </c>
      <c r="F926" s="35" t="str">
        <f>IF(E926="","",IFERROR(INDEX(DM_NL!$B$5:$B$304,MATCH(E926,DM_NL!$A$5:$A$304,0)),"(chưa có trong DM_NL)"))</f>
        <v/>
      </c>
      <c r="G926" s="35" t="str">
        <f>IF(E926="","",IFERROR(INDEX(DM_NL!$C$5:$C$304,MATCH(E926,DM_NL!$A$5:$A$304,0)),""))</f>
        <v/>
      </c>
      <c r="H926" s="39" t="str">
        <f>IF(OR(E926="",BOM!G920="KXDDM"),"",BOM!F920)</f>
        <v/>
      </c>
      <c r="I926" s="36" t="str">
        <f>IF(E926="","",BOM!G920&amp;"")</f>
        <v/>
      </c>
    </row>
    <row r="927" spans="1:9" x14ac:dyDescent="0.25">
      <c r="A927" s="36" t="str">
        <f>IF(B927="","",MAX($A$10:A926)+1)</f>
        <v/>
      </c>
      <c r="B927" s="35" t="str">
        <f>IF(BOM!A921="","",IF(BOM!A921=BOM!A920,"",BOM!A921))</f>
        <v/>
      </c>
      <c r="C927" s="35" t="str">
        <f>IF(B927="","",IFERROR(INDEX(DM_SP!$B$5:$B$304,MATCH(B927,DM_SP!$A$5:$A$304,0)),"(chưa có trong DM_SP)"))</f>
        <v/>
      </c>
      <c r="D927" s="35" t="str">
        <f>IF(B927="","",IFERROR(INDEX(DM_SP!$C$5:$C$304,MATCH(B927,DM_SP!$A$5:$A$304,0)),""))</f>
        <v/>
      </c>
      <c r="E927" s="35" t="str">
        <f>IF(BOM!A921="","",BOM!B921)</f>
        <v/>
      </c>
      <c r="F927" s="35" t="str">
        <f>IF(E927="","",IFERROR(INDEX(DM_NL!$B$5:$B$304,MATCH(E927,DM_NL!$A$5:$A$304,0)),"(chưa có trong DM_NL)"))</f>
        <v/>
      </c>
      <c r="G927" s="35" t="str">
        <f>IF(E927="","",IFERROR(INDEX(DM_NL!$C$5:$C$304,MATCH(E927,DM_NL!$A$5:$A$304,0)),""))</f>
        <v/>
      </c>
      <c r="H927" s="39" t="str">
        <f>IF(OR(E927="",BOM!G921="KXDDM"),"",BOM!F921)</f>
        <v/>
      </c>
      <c r="I927" s="36" t="str">
        <f>IF(E927="","",BOM!G921&amp;"")</f>
        <v/>
      </c>
    </row>
    <row r="928" spans="1:9" x14ac:dyDescent="0.25">
      <c r="A928" s="36" t="str">
        <f>IF(B928="","",MAX($A$10:A927)+1)</f>
        <v/>
      </c>
      <c r="B928" s="35" t="str">
        <f>IF(BOM!A922="","",IF(BOM!A922=BOM!A921,"",BOM!A922))</f>
        <v/>
      </c>
      <c r="C928" s="35" t="str">
        <f>IF(B928="","",IFERROR(INDEX(DM_SP!$B$5:$B$304,MATCH(B928,DM_SP!$A$5:$A$304,0)),"(chưa có trong DM_SP)"))</f>
        <v/>
      </c>
      <c r="D928" s="35" t="str">
        <f>IF(B928="","",IFERROR(INDEX(DM_SP!$C$5:$C$304,MATCH(B928,DM_SP!$A$5:$A$304,0)),""))</f>
        <v/>
      </c>
      <c r="E928" s="35" t="str">
        <f>IF(BOM!A922="","",BOM!B922)</f>
        <v/>
      </c>
      <c r="F928" s="35" t="str">
        <f>IF(E928="","",IFERROR(INDEX(DM_NL!$B$5:$B$304,MATCH(E928,DM_NL!$A$5:$A$304,0)),"(chưa có trong DM_NL)"))</f>
        <v/>
      </c>
      <c r="G928" s="35" t="str">
        <f>IF(E928="","",IFERROR(INDEX(DM_NL!$C$5:$C$304,MATCH(E928,DM_NL!$A$5:$A$304,0)),""))</f>
        <v/>
      </c>
      <c r="H928" s="39" t="str">
        <f>IF(OR(E928="",BOM!G922="KXDDM"),"",BOM!F922)</f>
        <v/>
      </c>
      <c r="I928" s="36" t="str">
        <f>IF(E928="","",BOM!G922&amp;"")</f>
        <v/>
      </c>
    </row>
    <row r="929" spans="1:9" x14ac:dyDescent="0.25">
      <c r="A929" s="36" t="str">
        <f>IF(B929="","",MAX($A$10:A928)+1)</f>
        <v/>
      </c>
      <c r="B929" s="35" t="str">
        <f>IF(BOM!A923="","",IF(BOM!A923=BOM!A922,"",BOM!A923))</f>
        <v/>
      </c>
      <c r="C929" s="35" t="str">
        <f>IF(B929="","",IFERROR(INDEX(DM_SP!$B$5:$B$304,MATCH(B929,DM_SP!$A$5:$A$304,0)),"(chưa có trong DM_SP)"))</f>
        <v/>
      </c>
      <c r="D929" s="35" t="str">
        <f>IF(B929="","",IFERROR(INDEX(DM_SP!$C$5:$C$304,MATCH(B929,DM_SP!$A$5:$A$304,0)),""))</f>
        <v/>
      </c>
      <c r="E929" s="35" t="str">
        <f>IF(BOM!A923="","",BOM!B923)</f>
        <v/>
      </c>
      <c r="F929" s="35" t="str">
        <f>IF(E929="","",IFERROR(INDEX(DM_NL!$B$5:$B$304,MATCH(E929,DM_NL!$A$5:$A$304,0)),"(chưa có trong DM_NL)"))</f>
        <v/>
      </c>
      <c r="G929" s="35" t="str">
        <f>IF(E929="","",IFERROR(INDEX(DM_NL!$C$5:$C$304,MATCH(E929,DM_NL!$A$5:$A$304,0)),""))</f>
        <v/>
      </c>
      <c r="H929" s="39" t="str">
        <f>IF(OR(E929="",BOM!G923="KXDDM"),"",BOM!F923)</f>
        <v/>
      </c>
      <c r="I929" s="36" t="str">
        <f>IF(E929="","",BOM!G923&amp;"")</f>
        <v/>
      </c>
    </row>
    <row r="930" spans="1:9" x14ac:dyDescent="0.25">
      <c r="A930" s="36" t="str">
        <f>IF(B930="","",MAX($A$10:A929)+1)</f>
        <v/>
      </c>
      <c r="B930" s="35" t="str">
        <f>IF(BOM!A924="","",IF(BOM!A924=BOM!A923,"",BOM!A924))</f>
        <v/>
      </c>
      <c r="C930" s="35" t="str">
        <f>IF(B930="","",IFERROR(INDEX(DM_SP!$B$5:$B$304,MATCH(B930,DM_SP!$A$5:$A$304,0)),"(chưa có trong DM_SP)"))</f>
        <v/>
      </c>
      <c r="D930" s="35" t="str">
        <f>IF(B930="","",IFERROR(INDEX(DM_SP!$C$5:$C$304,MATCH(B930,DM_SP!$A$5:$A$304,0)),""))</f>
        <v/>
      </c>
      <c r="E930" s="35" t="str">
        <f>IF(BOM!A924="","",BOM!B924)</f>
        <v/>
      </c>
      <c r="F930" s="35" t="str">
        <f>IF(E930="","",IFERROR(INDEX(DM_NL!$B$5:$B$304,MATCH(E930,DM_NL!$A$5:$A$304,0)),"(chưa có trong DM_NL)"))</f>
        <v/>
      </c>
      <c r="G930" s="35" t="str">
        <f>IF(E930="","",IFERROR(INDEX(DM_NL!$C$5:$C$304,MATCH(E930,DM_NL!$A$5:$A$304,0)),""))</f>
        <v/>
      </c>
      <c r="H930" s="39" t="str">
        <f>IF(OR(E930="",BOM!G924="KXDDM"),"",BOM!F924)</f>
        <v/>
      </c>
      <c r="I930" s="36" t="str">
        <f>IF(E930="","",BOM!G924&amp;"")</f>
        <v/>
      </c>
    </row>
    <row r="931" spans="1:9" x14ac:dyDescent="0.25">
      <c r="A931" s="36" t="str">
        <f>IF(B931="","",MAX($A$10:A930)+1)</f>
        <v/>
      </c>
      <c r="B931" s="35" t="str">
        <f>IF(BOM!A925="","",IF(BOM!A925=BOM!A924,"",BOM!A925))</f>
        <v/>
      </c>
      <c r="C931" s="35" t="str">
        <f>IF(B931="","",IFERROR(INDEX(DM_SP!$B$5:$B$304,MATCH(B931,DM_SP!$A$5:$A$304,0)),"(chưa có trong DM_SP)"))</f>
        <v/>
      </c>
      <c r="D931" s="35" t="str">
        <f>IF(B931="","",IFERROR(INDEX(DM_SP!$C$5:$C$304,MATCH(B931,DM_SP!$A$5:$A$304,0)),""))</f>
        <v/>
      </c>
      <c r="E931" s="35" t="str">
        <f>IF(BOM!A925="","",BOM!B925)</f>
        <v/>
      </c>
      <c r="F931" s="35" t="str">
        <f>IF(E931="","",IFERROR(INDEX(DM_NL!$B$5:$B$304,MATCH(E931,DM_NL!$A$5:$A$304,0)),"(chưa có trong DM_NL)"))</f>
        <v/>
      </c>
      <c r="G931" s="35" t="str">
        <f>IF(E931="","",IFERROR(INDEX(DM_NL!$C$5:$C$304,MATCH(E931,DM_NL!$A$5:$A$304,0)),""))</f>
        <v/>
      </c>
      <c r="H931" s="39" t="str">
        <f>IF(OR(E931="",BOM!G925="KXDDM"),"",BOM!F925)</f>
        <v/>
      </c>
      <c r="I931" s="36" t="str">
        <f>IF(E931="","",BOM!G925&amp;"")</f>
        <v/>
      </c>
    </row>
    <row r="932" spans="1:9" x14ac:dyDescent="0.25">
      <c r="A932" s="36" t="str">
        <f>IF(B932="","",MAX($A$10:A931)+1)</f>
        <v/>
      </c>
      <c r="B932" s="35" t="str">
        <f>IF(BOM!A926="","",IF(BOM!A926=BOM!A925,"",BOM!A926))</f>
        <v/>
      </c>
      <c r="C932" s="35" t="str">
        <f>IF(B932="","",IFERROR(INDEX(DM_SP!$B$5:$B$304,MATCH(B932,DM_SP!$A$5:$A$304,0)),"(chưa có trong DM_SP)"))</f>
        <v/>
      </c>
      <c r="D932" s="35" t="str">
        <f>IF(B932="","",IFERROR(INDEX(DM_SP!$C$5:$C$304,MATCH(B932,DM_SP!$A$5:$A$304,0)),""))</f>
        <v/>
      </c>
      <c r="E932" s="35" t="str">
        <f>IF(BOM!A926="","",BOM!B926)</f>
        <v/>
      </c>
      <c r="F932" s="35" t="str">
        <f>IF(E932="","",IFERROR(INDEX(DM_NL!$B$5:$B$304,MATCH(E932,DM_NL!$A$5:$A$304,0)),"(chưa có trong DM_NL)"))</f>
        <v/>
      </c>
      <c r="G932" s="35" t="str">
        <f>IF(E932="","",IFERROR(INDEX(DM_NL!$C$5:$C$304,MATCH(E932,DM_NL!$A$5:$A$304,0)),""))</f>
        <v/>
      </c>
      <c r="H932" s="39" t="str">
        <f>IF(OR(E932="",BOM!G926="KXDDM"),"",BOM!F926)</f>
        <v/>
      </c>
      <c r="I932" s="36" t="str">
        <f>IF(E932="","",BOM!G926&amp;"")</f>
        <v/>
      </c>
    </row>
    <row r="933" spans="1:9" x14ac:dyDescent="0.25">
      <c r="A933" s="36" t="str">
        <f>IF(B933="","",MAX($A$10:A932)+1)</f>
        <v/>
      </c>
      <c r="B933" s="35" t="str">
        <f>IF(BOM!A927="","",IF(BOM!A927=BOM!A926,"",BOM!A927))</f>
        <v/>
      </c>
      <c r="C933" s="35" t="str">
        <f>IF(B933="","",IFERROR(INDEX(DM_SP!$B$5:$B$304,MATCH(B933,DM_SP!$A$5:$A$304,0)),"(chưa có trong DM_SP)"))</f>
        <v/>
      </c>
      <c r="D933" s="35" t="str">
        <f>IF(B933="","",IFERROR(INDEX(DM_SP!$C$5:$C$304,MATCH(B933,DM_SP!$A$5:$A$304,0)),""))</f>
        <v/>
      </c>
      <c r="E933" s="35" t="str">
        <f>IF(BOM!A927="","",BOM!B927)</f>
        <v/>
      </c>
      <c r="F933" s="35" t="str">
        <f>IF(E933="","",IFERROR(INDEX(DM_NL!$B$5:$B$304,MATCH(E933,DM_NL!$A$5:$A$304,0)),"(chưa có trong DM_NL)"))</f>
        <v/>
      </c>
      <c r="G933" s="35" t="str">
        <f>IF(E933="","",IFERROR(INDEX(DM_NL!$C$5:$C$304,MATCH(E933,DM_NL!$A$5:$A$304,0)),""))</f>
        <v/>
      </c>
      <c r="H933" s="39" t="str">
        <f>IF(OR(E933="",BOM!G927="KXDDM"),"",BOM!F927)</f>
        <v/>
      </c>
      <c r="I933" s="36" t="str">
        <f>IF(E933="","",BOM!G927&amp;"")</f>
        <v/>
      </c>
    </row>
    <row r="934" spans="1:9" x14ac:dyDescent="0.25">
      <c r="A934" s="36" t="str">
        <f>IF(B934="","",MAX($A$10:A933)+1)</f>
        <v/>
      </c>
      <c r="B934" s="35" t="str">
        <f>IF(BOM!A928="","",IF(BOM!A928=BOM!A927,"",BOM!A928))</f>
        <v/>
      </c>
      <c r="C934" s="35" t="str">
        <f>IF(B934="","",IFERROR(INDEX(DM_SP!$B$5:$B$304,MATCH(B934,DM_SP!$A$5:$A$304,0)),"(chưa có trong DM_SP)"))</f>
        <v/>
      </c>
      <c r="D934" s="35" t="str">
        <f>IF(B934="","",IFERROR(INDEX(DM_SP!$C$5:$C$304,MATCH(B934,DM_SP!$A$5:$A$304,0)),""))</f>
        <v/>
      </c>
      <c r="E934" s="35" t="str">
        <f>IF(BOM!A928="","",BOM!B928)</f>
        <v/>
      </c>
      <c r="F934" s="35" t="str">
        <f>IF(E934="","",IFERROR(INDEX(DM_NL!$B$5:$B$304,MATCH(E934,DM_NL!$A$5:$A$304,0)),"(chưa có trong DM_NL)"))</f>
        <v/>
      </c>
      <c r="G934" s="35" t="str">
        <f>IF(E934="","",IFERROR(INDEX(DM_NL!$C$5:$C$304,MATCH(E934,DM_NL!$A$5:$A$304,0)),""))</f>
        <v/>
      </c>
      <c r="H934" s="39" t="str">
        <f>IF(OR(E934="",BOM!G928="KXDDM"),"",BOM!F928)</f>
        <v/>
      </c>
      <c r="I934" s="36" t="str">
        <f>IF(E934="","",BOM!G928&amp;"")</f>
        <v/>
      </c>
    </row>
    <row r="935" spans="1:9" x14ac:dyDescent="0.25">
      <c r="A935" s="36" t="str">
        <f>IF(B935="","",MAX($A$10:A934)+1)</f>
        <v/>
      </c>
      <c r="B935" s="35" t="str">
        <f>IF(BOM!A929="","",IF(BOM!A929=BOM!A928,"",BOM!A929))</f>
        <v/>
      </c>
      <c r="C935" s="35" t="str">
        <f>IF(B935="","",IFERROR(INDEX(DM_SP!$B$5:$B$304,MATCH(B935,DM_SP!$A$5:$A$304,0)),"(chưa có trong DM_SP)"))</f>
        <v/>
      </c>
      <c r="D935" s="35" t="str">
        <f>IF(B935="","",IFERROR(INDEX(DM_SP!$C$5:$C$304,MATCH(B935,DM_SP!$A$5:$A$304,0)),""))</f>
        <v/>
      </c>
      <c r="E935" s="35" t="str">
        <f>IF(BOM!A929="","",BOM!B929)</f>
        <v/>
      </c>
      <c r="F935" s="35" t="str">
        <f>IF(E935="","",IFERROR(INDEX(DM_NL!$B$5:$B$304,MATCH(E935,DM_NL!$A$5:$A$304,0)),"(chưa có trong DM_NL)"))</f>
        <v/>
      </c>
      <c r="G935" s="35" t="str">
        <f>IF(E935="","",IFERROR(INDEX(DM_NL!$C$5:$C$304,MATCH(E935,DM_NL!$A$5:$A$304,0)),""))</f>
        <v/>
      </c>
      <c r="H935" s="39" t="str">
        <f>IF(OR(E935="",BOM!G929="KXDDM"),"",BOM!F929)</f>
        <v/>
      </c>
      <c r="I935" s="36" t="str">
        <f>IF(E935="","",BOM!G929&amp;"")</f>
        <v/>
      </c>
    </row>
    <row r="936" spans="1:9" x14ac:dyDescent="0.25">
      <c r="A936" s="36" t="str">
        <f>IF(B936="","",MAX($A$10:A935)+1)</f>
        <v/>
      </c>
      <c r="B936" s="35" t="str">
        <f>IF(BOM!A930="","",IF(BOM!A930=BOM!A929,"",BOM!A930))</f>
        <v/>
      </c>
      <c r="C936" s="35" t="str">
        <f>IF(B936="","",IFERROR(INDEX(DM_SP!$B$5:$B$304,MATCH(B936,DM_SP!$A$5:$A$304,0)),"(chưa có trong DM_SP)"))</f>
        <v/>
      </c>
      <c r="D936" s="35" t="str">
        <f>IF(B936="","",IFERROR(INDEX(DM_SP!$C$5:$C$304,MATCH(B936,DM_SP!$A$5:$A$304,0)),""))</f>
        <v/>
      </c>
      <c r="E936" s="35" t="str">
        <f>IF(BOM!A930="","",BOM!B930)</f>
        <v/>
      </c>
      <c r="F936" s="35" t="str">
        <f>IF(E936="","",IFERROR(INDEX(DM_NL!$B$5:$B$304,MATCH(E936,DM_NL!$A$5:$A$304,0)),"(chưa có trong DM_NL)"))</f>
        <v/>
      </c>
      <c r="G936" s="35" t="str">
        <f>IF(E936="","",IFERROR(INDEX(DM_NL!$C$5:$C$304,MATCH(E936,DM_NL!$A$5:$A$304,0)),""))</f>
        <v/>
      </c>
      <c r="H936" s="39" t="str">
        <f>IF(OR(E936="",BOM!G930="KXDDM"),"",BOM!F930)</f>
        <v/>
      </c>
      <c r="I936" s="36" t="str">
        <f>IF(E936="","",BOM!G930&amp;"")</f>
        <v/>
      </c>
    </row>
    <row r="937" spans="1:9" x14ac:dyDescent="0.25">
      <c r="A937" s="36" t="str">
        <f>IF(B937="","",MAX($A$10:A936)+1)</f>
        <v/>
      </c>
      <c r="B937" s="35" t="str">
        <f>IF(BOM!A931="","",IF(BOM!A931=BOM!A930,"",BOM!A931))</f>
        <v/>
      </c>
      <c r="C937" s="35" t="str">
        <f>IF(B937="","",IFERROR(INDEX(DM_SP!$B$5:$B$304,MATCH(B937,DM_SP!$A$5:$A$304,0)),"(chưa có trong DM_SP)"))</f>
        <v/>
      </c>
      <c r="D937" s="35" t="str">
        <f>IF(B937="","",IFERROR(INDEX(DM_SP!$C$5:$C$304,MATCH(B937,DM_SP!$A$5:$A$304,0)),""))</f>
        <v/>
      </c>
      <c r="E937" s="35" t="str">
        <f>IF(BOM!A931="","",BOM!B931)</f>
        <v/>
      </c>
      <c r="F937" s="35" t="str">
        <f>IF(E937="","",IFERROR(INDEX(DM_NL!$B$5:$B$304,MATCH(E937,DM_NL!$A$5:$A$304,0)),"(chưa có trong DM_NL)"))</f>
        <v/>
      </c>
      <c r="G937" s="35" t="str">
        <f>IF(E937="","",IFERROR(INDEX(DM_NL!$C$5:$C$304,MATCH(E937,DM_NL!$A$5:$A$304,0)),""))</f>
        <v/>
      </c>
      <c r="H937" s="39" t="str">
        <f>IF(OR(E937="",BOM!G931="KXDDM"),"",BOM!F931)</f>
        <v/>
      </c>
      <c r="I937" s="36" t="str">
        <f>IF(E937="","",BOM!G931&amp;"")</f>
        <v/>
      </c>
    </row>
    <row r="938" spans="1:9" x14ac:dyDescent="0.25">
      <c r="A938" s="36" t="str">
        <f>IF(B938="","",MAX($A$10:A937)+1)</f>
        <v/>
      </c>
      <c r="B938" s="35" t="str">
        <f>IF(BOM!A932="","",IF(BOM!A932=BOM!A931,"",BOM!A932))</f>
        <v/>
      </c>
      <c r="C938" s="35" t="str">
        <f>IF(B938="","",IFERROR(INDEX(DM_SP!$B$5:$B$304,MATCH(B938,DM_SP!$A$5:$A$304,0)),"(chưa có trong DM_SP)"))</f>
        <v/>
      </c>
      <c r="D938" s="35" t="str">
        <f>IF(B938="","",IFERROR(INDEX(DM_SP!$C$5:$C$304,MATCH(B938,DM_SP!$A$5:$A$304,0)),""))</f>
        <v/>
      </c>
      <c r="E938" s="35" t="str">
        <f>IF(BOM!A932="","",BOM!B932)</f>
        <v/>
      </c>
      <c r="F938" s="35" t="str">
        <f>IF(E938="","",IFERROR(INDEX(DM_NL!$B$5:$B$304,MATCH(E938,DM_NL!$A$5:$A$304,0)),"(chưa có trong DM_NL)"))</f>
        <v/>
      </c>
      <c r="G938" s="35" t="str">
        <f>IF(E938="","",IFERROR(INDEX(DM_NL!$C$5:$C$304,MATCH(E938,DM_NL!$A$5:$A$304,0)),""))</f>
        <v/>
      </c>
      <c r="H938" s="39" t="str">
        <f>IF(OR(E938="",BOM!G932="KXDDM"),"",BOM!F932)</f>
        <v/>
      </c>
      <c r="I938" s="36" t="str">
        <f>IF(E938="","",BOM!G932&amp;"")</f>
        <v/>
      </c>
    </row>
    <row r="939" spans="1:9" x14ac:dyDescent="0.25">
      <c r="A939" s="36" t="str">
        <f>IF(B939="","",MAX($A$10:A938)+1)</f>
        <v/>
      </c>
      <c r="B939" s="35" t="str">
        <f>IF(BOM!A933="","",IF(BOM!A933=BOM!A932,"",BOM!A933))</f>
        <v/>
      </c>
      <c r="C939" s="35" t="str">
        <f>IF(B939="","",IFERROR(INDEX(DM_SP!$B$5:$B$304,MATCH(B939,DM_SP!$A$5:$A$304,0)),"(chưa có trong DM_SP)"))</f>
        <v/>
      </c>
      <c r="D939" s="35" t="str">
        <f>IF(B939="","",IFERROR(INDEX(DM_SP!$C$5:$C$304,MATCH(B939,DM_SP!$A$5:$A$304,0)),""))</f>
        <v/>
      </c>
      <c r="E939" s="35" t="str">
        <f>IF(BOM!A933="","",BOM!B933)</f>
        <v/>
      </c>
      <c r="F939" s="35" t="str">
        <f>IF(E939="","",IFERROR(INDEX(DM_NL!$B$5:$B$304,MATCH(E939,DM_NL!$A$5:$A$304,0)),"(chưa có trong DM_NL)"))</f>
        <v/>
      </c>
      <c r="G939" s="35" t="str">
        <f>IF(E939="","",IFERROR(INDEX(DM_NL!$C$5:$C$304,MATCH(E939,DM_NL!$A$5:$A$304,0)),""))</f>
        <v/>
      </c>
      <c r="H939" s="39" t="str">
        <f>IF(OR(E939="",BOM!G933="KXDDM"),"",BOM!F933)</f>
        <v/>
      </c>
      <c r="I939" s="36" t="str">
        <f>IF(E939="","",BOM!G933&amp;"")</f>
        <v/>
      </c>
    </row>
    <row r="940" spans="1:9" x14ac:dyDescent="0.25">
      <c r="A940" s="36" t="str">
        <f>IF(B940="","",MAX($A$10:A939)+1)</f>
        <v/>
      </c>
      <c r="B940" s="35" t="str">
        <f>IF(BOM!A934="","",IF(BOM!A934=BOM!A933,"",BOM!A934))</f>
        <v/>
      </c>
      <c r="C940" s="35" t="str">
        <f>IF(B940="","",IFERROR(INDEX(DM_SP!$B$5:$B$304,MATCH(B940,DM_SP!$A$5:$A$304,0)),"(chưa có trong DM_SP)"))</f>
        <v/>
      </c>
      <c r="D940" s="35" t="str">
        <f>IF(B940="","",IFERROR(INDEX(DM_SP!$C$5:$C$304,MATCH(B940,DM_SP!$A$5:$A$304,0)),""))</f>
        <v/>
      </c>
      <c r="E940" s="35" t="str">
        <f>IF(BOM!A934="","",BOM!B934)</f>
        <v/>
      </c>
      <c r="F940" s="35" t="str">
        <f>IF(E940="","",IFERROR(INDEX(DM_NL!$B$5:$B$304,MATCH(E940,DM_NL!$A$5:$A$304,0)),"(chưa có trong DM_NL)"))</f>
        <v/>
      </c>
      <c r="G940" s="35" t="str">
        <f>IF(E940="","",IFERROR(INDEX(DM_NL!$C$5:$C$304,MATCH(E940,DM_NL!$A$5:$A$304,0)),""))</f>
        <v/>
      </c>
      <c r="H940" s="39" t="str">
        <f>IF(OR(E940="",BOM!G934="KXDDM"),"",BOM!F934)</f>
        <v/>
      </c>
      <c r="I940" s="36" t="str">
        <f>IF(E940="","",BOM!G934&amp;"")</f>
        <v/>
      </c>
    </row>
    <row r="941" spans="1:9" x14ac:dyDescent="0.25">
      <c r="A941" s="36" t="str">
        <f>IF(B941="","",MAX($A$10:A940)+1)</f>
        <v/>
      </c>
      <c r="B941" s="35" t="str">
        <f>IF(BOM!A935="","",IF(BOM!A935=BOM!A934,"",BOM!A935))</f>
        <v/>
      </c>
      <c r="C941" s="35" t="str">
        <f>IF(B941="","",IFERROR(INDEX(DM_SP!$B$5:$B$304,MATCH(B941,DM_SP!$A$5:$A$304,0)),"(chưa có trong DM_SP)"))</f>
        <v/>
      </c>
      <c r="D941" s="35" t="str">
        <f>IF(B941="","",IFERROR(INDEX(DM_SP!$C$5:$C$304,MATCH(B941,DM_SP!$A$5:$A$304,0)),""))</f>
        <v/>
      </c>
      <c r="E941" s="35" t="str">
        <f>IF(BOM!A935="","",BOM!B935)</f>
        <v/>
      </c>
      <c r="F941" s="35" t="str">
        <f>IF(E941="","",IFERROR(INDEX(DM_NL!$B$5:$B$304,MATCH(E941,DM_NL!$A$5:$A$304,0)),"(chưa có trong DM_NL)"))</f>
        <v/>
      </c>
      <c r="G941" s="35" t="str">
        <f>IF(E941="","",IFERROR(INDEX(DM_NL!$C$5:$C$304,MATCH(E941,DM_NL!$A$5:$A$304,0)),""))</f>
        <v/>
      </c>
      <c r="H941" s="39" t="str">
        <f>IF(OR(E941="",BOM!G935="KXDDM"),"",BOM!F935)</f>
        <v/>
      </c>
      <c r="I941" s="36" t="str">
        <f>IF(E941="","",BOM!G935&amp;"")</f>
        <v/>
      </c>
    </row>
    <row r="942" spans="1:9" x14ac:dyDescent="0.25">
      <c r="A942" s="36" t="str">
        <f>IF(B942="","",MAX($A$10:A941)+1)</f>
        <v/>
      </c>
      <c r="B942" s="35" t="str">
        <f>IF(BOM!A936="","",IF(BOM!A936=BOM!A935,"",BOM!A936))</f>
        <v/>
      </c>
      <c r="C942" s="35" t="str">
        <f>IF(B942="","",IFERROR(INDEX(DM_SP!$B$5:$B$304,MATCH(B942,DM_SP!$A$5:$A$304,0)),"(chưa có trong DM_SP)"))</f>
        <v/>
      </c>
      <c r="D942" s="35" t="str">
        <f>IF(B942="","",IFERROR(INDEX(DM_SP!$C$5:$C$304,MATCH(B942,DM_SP!$A$5:$A$304,0)),""))</f>
        <v/>
      </c>
      <c r="E942" s="35" t="str">
        <f>IF(BOM!A936="","",BOM!B936)</f>
        <v/>
      </c>
      <c r="F942" s="35" t="str">
        <f>IF(E942="","",IFERROR(INDEX(DM_NL!$B$5:$B$304,MATCH(E942,DM_NL!$A$5:$A$304,0)),"(chưa có trong DM_NL)"))</f>
        <v/>
      </c>
      <c r="G942" s="35" t="str">
        <f>IF(E942="","",IFERROR(INDEX(DM_NL!$C$5:$C$304,MATCH(E942,DM_NL!$A$5:$A$304,0)),""))</f>
        <v/>
      </c>
      <c r="H942" s="39" t="str">
        <f>IF(OR(E942="",BOM!G936="KXDDM"),"",BOM!F936)</f>
        <v/>
      </c>
      <c r="I942" s="36" t="str">
        <f>IF(E942="","",BOM!G936&amp;"")</f>
        <v/>
      </c>
    </row>
    <row r="943" spans="1:9" x14ac:dyDescent="0.25">
      <c r="A943" s="36" t="str">
        <f>IF(B943="","",MAX($A$10:A942)+1)</f>
        <v/>
      </c>
      <c r="B943" s="35" t="str">
        <f>IF(BOM!A937="","",IF(BOM!A937=BOM!A936,"",BOM!A937))</f>
        <v/>
      </c>
      <c r="C943" s="35" t="str">
        <f>IF(B943="","",IFERROR(INDEX(DM_SP!$B$5:$B$304,MATCH(B943,DM_SP!$A$5:$A$304,0)),"(chưa có trong DM_SP)"))</f>
        <v/>
      </c>
      <c r="D943" s="35" t="str">
        <f>IF(B943="","",IFERROR(INDEX(DM_SP!$C$5:$C$304,MATCH(B943,DM_SP!$A$5:$A$304,0)),""))</f>
        <v/>
      </c>
      <c r="E943" s="35" t="str">
        <f>IF(BOM!A937="","",BOM!B937)</f>
        <v/>
      </c>
      <c r="F943" s="35" t="str">
        <f>IF(E943="","",IFERROR(INDEX(DM_NL!$B$5:$B$304,MATCH(E943,DM_NL!$A$5:$A$304,0)),"(chưa có trong DM_NL)"))</f>
        <v/>
      </c>
      <c r="G943" s="35" t="str">
        <f>IF(E943="","",IFERROR(INDEX(DM_NL!$C$5:$C$304,MATCH(E943,DM_NL!$A$5:$A$304,0)),""))</f>
        <v/>
      </c>
      <c r="H943" s="39" t="str">
        <f>IF(OR(E943="",BOM!G937="KXDDM"),"",BOM!F937)</f>
        <v/>
      </c>
      <c r="I943" s="36" t="str">
        <f>IF(E943="","",BOM!G937&amp;"")</f>
        <v/>
      </c>
    </row>
    <row r="944" spans="1:9" x14ac:dyDescent="0.25">
      <c r="A944" s="36" t="str">
        <f>IF(B944="","",MAX($A$10:A943)+1)</f>
        <v/>
      </c>
      <c r="B944" s="35" t="str">
        <f>IF(BOM!A938="","",IF(BOM!A938=BOM!A937,"",BOM!A938))</f>
        <v/>
      </c>
      <c r="C944" s="35" t="str">
        <f>IF(B944="","",IFERROR(INDEX(DM_SP!$B$5:$B$304,MATCH(B944,DM_SP!$A$5:$A$304,0)),"(chưa có trong DM_SP)"))</f>
        <v/>
      </c>
      <c r="D944" s="35" t="str">
        <f>IF(B944="","",IFERROR(INDEX(DM_SP!$C$5:$C$304,MATCH(B944,DM_SP!$A$5:$A$304,0)),""))</f>
        <v/>
      </c>
      <c r="E944" s="35" t="str">
        <f>IF(BOM!A938="","",BOM!B938)</f>
        <v/>
      </c>
      <c r="F944" s="35" t="str">
        <f>IF(E944="","",IFERROR(INDEX(DM_NL!$B$5:$B$304,MATCH(E944,DM_NL!$A$5:$A$304,0)),"(chưa có trong DM_NL)"))</f>
        <v/>
      </c>
      <c r="G944" s="35" t="str">
        <f>IF(E944="","",IFERROR(INDEX(DM_NL!$C$5:$C$304,MATCH(E944,DM_NL!$A$5:$A$304,0)),""))</f>
        <v/>
      </c>
      <c r="H944" s="39" t="str">
        <f>IF(OR(E944="",BOM!G938="KXDDM"),"",BOM!F938)</f>
        <v/>
      </c>
      <c r="I944" s="36" t="str">
        <f>IF(E944="","",BOM!G938&amp;"")</f>
        <v/>
      </c>
    </row>
    <row r="945" spans="1:9" x14ac:dyDescent="0.25">
      <c r="A945" s="36" t="str">
        <f>IF(B945="","",MAX($A$10:A944)+1)</f>
        <v/>
      </c>
      <c r="B945" s="35" t="str">
        <f>IF(BOM!A939="","",IF(BOM!A939=BOM!A938,"",BOM!A939))</f>
        <v/>
      </c>
      <c r="C945" s="35" t="str">
        <f>IF(B945="","",IFERROR(INDEX(DM_SP!$B$5:$B$304,MATCH(B945,DM_SP!$A$5:$A$304,0)),"(chưa có trong DM_SP)"))</f>
        <v/>
      </c>
      <c r="D945" s="35" t="str">
        <f>IF(B945="","",IFERROR(INDEX(DM_SP!$C$5:$C$304,MATCH(B945,DM_SP!$A$5:$A$304,0)),""))</f>
        <v/>
      </c>
      <c r="E945" s="35" t="str">
        <f>IF(BOM!A939="","",BOM!B939)</f>
        <v/>
      </c>
      <c r="F945" s="35" t="str">
        <f>IF(E945="","",IFERROR(INDEX(DM_NL!$B$5:$B$304,MATCH(E945,DM_NL!$A$5:$A$304,0)),"(chưa có trong DM_NL)"))</f>
        <v/>
      </c>
      <c r="G945" s="35" t="str">
        <f>IF(E945="","",IFERROR(INDEX(DM_NL!$C$5:$C$304,MATCH(E945,DM_NL!$A$5:$A$304,0)),""))</f>
        <v/>
      </c>
      <c r="H945" s="39" t="str">
        <f>IF(OR(E945="",BOM!G939="KXDDM"),"",BOM!F939)</f>
        <v/>
      </c>
      <c r="I945" s="36" t="str">
        <f>IF(E945="","",BOM!G939&amp;"")</f>
        <v/>
      </c>
    </row>
    <row r="946" spans="1:9" x14ac:dyDescent="0.25">
      <c r="A946" s="36" t="str">
        <f>IF(B946="","",MAX($A$10:A945)+1)</f>
        <v/>
      </c>
      <c r="B946" s="35" t="str">
        <f>IF(BOM!A940="","",IF(BOM!A940=BOM!A939,"",BOM!A940))</f>
        <v/>
      </c>
      <c r="C946" s="35" t="str">
        <f>IF(B946="","",IFERROR(INDEX(DM_SP!$B$5:$B$304,MATCH(B946,DM_SP!$A$5:$A$304,0)),"(chưa có trong DM_SP)"))</f>
        <v/>
      </c>
      <c r="D946" s="35" t="str">
        <f>IF(B946="","",IFERROR(INDEX(DM_SP!$C$5:$C$304,MATCH(B946,DM_SP!$A$5:$A$304,0)),""))</f>
        <v/>
      </c>
      <c r="E946" s="35" t="str">
        <f>IF(BOM!A940="","",BOM!B940)</f>
        <v/>
      </c>
      <c r="F946" s="35" t="str">
        <f>IF(E946="","",IFERROR(INDEX(DM_NL!$B$5:$B$304,MATCH(E946,DM_NL!$A$5:$A$304,0)),"(chưa có trong DM_NL)"))</f>
        <v/>
      </c>
      <c r="G946" s="35" t="str">
        <f>IF(E946="","",IFERROR(INDEX(DM_NL!$C$5:$C$304,MATCH(E946,DM_NL!$A$5:$A$304,0)),""))</f>
        <v/>
      </c>
      <c r="H946" s="39" t="str">
        <f>IF(OR(E946="",BOM!G940="KXDDM"),"",BOM!F940)</f>
        <v/>
      </c>
      <c r="I946" s="36" t="str">
        <f>IF(E946="","",BOM!G940&amp;"")</f>
        <v/>
      </c>
    </row>
    <row r="947" spans="1:9" x14ac:dyDescent="0.25">
      <c r="A947" s="36" t="str">
        <f>IF(B947="","",MAX($A$10:A946)+1)</f>
        <v/>
      </c>
      <c r="B947" s="35" t="str">
        <f>IF(BOM!A941="","",IF(BOM!A941=BOM!A940,"",BOM!A941))</f>
        <v/>
      </c>
      <c r="C947" s="35" t="str">
        <f>IF(B947="","",IFERROR(INDEX(DM_SP!$B$5:$B$304,MATCH(B947,DM_SP!$A$5:$A$304,0)),"(chưa có trong DM_SP)"))</f>
        <v/>
      </c>
      <c r="D947" s="35" t="str">
        <f>IF(B947="","",IFERROR(INDEX(DM_SP!$C$5:$C$304,MATCH(B947,DM_SP!$A$5:$A$304,0)),""))</f>
        <v/>
      </c>
      <c r="E947" s="35" t="str">
        <f>IF(BOM!A941="","",BOM!B941)</f>
        <v/>
      </c>
      <c r="F947" s="35" t="str">
        <f>IF(E947="","",IFERROR(INDEX(DM_NL!$B$5:$B$304,MATCH(E947,DM_NL!$A$5:$A$304,0)),"(chưa có trong DM_NL)"))</f>
        <v/>
      </c>
      <c r="G947" s="35" t="str">
        <f>IF(E947="","",IFERROR(INDEX(DM_NL!$C$5:$C$304,MATCH(E947,DM_NL!$A$5:$A$304,0)),""))</f>
        <v/>
      </c>
      <c r="H947" s="39" t="str">
        <f>IF(OR(E947="",BOM!G941="KXDDM"),"",BOM!F941)</f>
        <v/>
      </c>
      <c r="I947" s="36" t="str">
        <f>IF(E947="","",BOM!G941&amp;"")</f>
        <v/>
      </c>
    </row>
    <row r="948" spans="1:9" x14ac:dyDescent="0.25">
      <c r="A948" s="36" t="str">
        <f>IF(B948="","",MAX($A$10:A947)+1)</f>
        <v/>
      </c>
      <c r="B948" s="35" t="str">
        <f>IF(BOM!A942="","",IF(BOM!A942=BOM!A941,"",BOM!A942))</f>
        <v/>
      </c>
      <c r="C948" s="35" t="str">
        <f>IF(B948="","",IFERROR(INDEX(DM_SP!$B$5:$B$304,MATCH(B948,DM_SP!$A$5:$A$304,0)),"(chưa có trong DM_SP)"))</f>
        <v/>
      </c>
      <c r="D948" s="35" t="str">
        <f>IF(B948="","",IFERROR(INDEX(DM_SP!$C$5:$C$304,MATCH(B948,DM_SP!$A$5:$A$304,0)),""))</f>
        <v/>
      </c>
      <c r="E948" s="35" t="str">
        <f>IF(BOM!A942="","",BOM!B942)</f>
        <v/>
      </c>
      <c r="F948" s="35" t="str">
        <f>IF(E948="","",IFERROR(INDEX(DM_NL!$B$5:$B$304,MATCH(E948,DM_NL!$A$5:$A$304,0)),"(chưa có trong DM_NL)"))</f>
        <v/>
      </c>
      <c r="G948" s="35" t="str">
        <f>IF(E948="","",IFERROR(INDEX(DM_NL!$C$5:$C$304,MATCH(E948,DM_NL!$A$5:$A$304,0)),""))</f>
        <v/>
      </c>
      <c r="H948" s="39" t="str">
        <f>IF(OR(E948="",BOM!G942="KXDDM"),"",BOM!F942)</f>
        <v/>
      </c>
      <c r="I948" s="36" t="str">
        <f>IF(E948="","",BOM!G942&amp;"")</f>
        <v/>
      </c>
    </row>
    <row r="949" spans="1:9" x14ac:dyDescent="0.25">
      <c r="A949" s="36" t="str">
        <f>IF(B949="","",MAX($A$10:A948)+1)</f>
        <v/>
      </c>
      <c r="B949" s="35" t="str">
        <f>IF(BOM!A943="","",IF(BOM!A943=BOM!A942,"",BOM!A943))</f>
        <v/>
      </c>
      <c r="C949" s="35" t="str">
        <f>IF(B949="","",IFERROR(INDEX(DM_SP!$B$5:$B$304,MATCH(B949,DM_SP!$A$5:$A$304,0)),"(chưa có trong DM_SP)"))</f>
        <v/>
      </c>
      <c r="D949" s="35" t="str">
        <f>IF(B949="","",IFERROR(INDEX(DM_SP!$C$5:$C$304,MATCH(B949,DM_SP!$A$5:$A$304,0)),""))</f>
        <v/>
      </c>
      <c r="E949" s="35" t="str">
        <f>IF(BOM!A943="","",BOM!B943)</f>
        <v/>
      </c>
      <c r="F949" s="35" t="str">
        <f>IF(E949="","",IFERROR(INDEX(DM_NL!$B$5:$B$304,MATCH(E949,DM_NL!$A$5:$A$304,0)),"(chưa có trong DM_NL)"))</f>
        <v/>
      </c>
      <c r="G949" s="35" t="str">
        <f>IF(E949="","",IFERROR(INDEX(DM_NL!$C$5:$C$304,MATCH(E949,DM_NL!$A$5:$A$304,0)),""))</f>
        <v/>
      </c>
      <c r="H949" s="39" t="str">
        <f>IF(OR(E949="",BOM!G943="KXDDM"),"",BOM!F943)</f>
        <v/>
      </c>
      <c r="I949" s="36" t="str">
        <f>IF(E949="","",BOM!G943&amp;"")</f>
        <v/>
      </c>
    </row>
    <row r="950" spans="1:9" x14ac:dyDescent="0.25">
      <c r="A950" s="36" t="str">
        <f>IF(B950="","",MAX($A$10:A949)+1)</f>
        <v/>
      </c>
      <c r="B950" s="35" t="str">
        <f>IF(BOM!A944="","",IF(BOM!A944=BOM!A943,"",BOM!A944))</f>
        <v/>
      </c>
      <c r="C950" s="35" t="str">
        <f>IF(B950="","",IFERROR(INDEX(DM_SP!$B$5:$B$304,MATCH(B950,DM_SP!$A$5:$A$304,0)),"(chưa có trong DM_SP)"))</f>
        <v/>
      </c>
      <c r="D950" s="35" t="str">
        <f>IF(B950="","",IFERROR(INDEX(DM_SP!$C$5:$C$304,MATCH(B950,DM_SP!$A$5:$A$304,0)),""))</f>
        <v/>
      </c>
      <c r="E950" s="35" t="str">
        <f>IF(BOM!A944="","",BOM!B944)</f>
        <v/>
      </c>
      <c r="F950" s="35" t="str">
        <f>IF(E950="","",IFERROR(INDEX(DM_NL!$B$5:$B$304,MATCH(E950,DM_NL!$A$5:$A$304,0)),"(chưa có trong DM_NL)"))</f>
        <v/>
      </c>
      <c r="G950" s="35" t="str">
        <f>IF(E950="","",IFERROR(INDEX(DM_NL!$C$5:$C$304,MATCH(E950,DM_NL!$A$5:$A$304,0)),""))</f>
        <v/>
      </c>
      <c r="H950" s="39" t="str">
        <f>IF(OR(E950="",BOM!G944="KXDDM"),"",BOM!F944)</f>
        <v/>
      </c>
      <c r="I950" s="36" t="str">
        <f>IF(E950="","",BOM!G944&amp;"")</f>
        <v/>
      </c>
    </row>
    <row r="951" spans="1:9" x14ac:dyDescent="0.25">
      <c r="A951" s="36" t="str">
        <f>IF(B951="","",MAX($A$10:A950)+1)</f>
        <v/>
      </c>
      <c r="B951" s="35" t="str">
        <f>IF(BOM!A945="","",IF(BOM!A945=BOM!A944,"",BOM!A945))</f>
        <v/>
      </c>
      <c r="C951" s="35" t="str">
        <f>IF(B951="","",IFERROR(INDEX(DM_SP!$B$5:$B$304,MATCH(B951,DM_SP!$A$5:$A$304,0)),"(chưa có trong DM_SP)"))</f>
        <v/>
      </c>
      <c r="D951" s="35" t="str">
        <f>IF(B951="","",IFERROR(INDEX(DM_SP!$C$5:$C$304,MATCH(B951,DM_SP!$A$5:$A$304,0)),""))</f>
        <v/>
      </c>
      <c r="E951" s="35" t="str">
        <f>IF(BOM!A945="","",BOM!B945)</f>
        <v/>
      </c>
      <c r="F951" s="35" t="str">
        <f>IF(E951="","",IFERROR(INDEX(DM_NL!$B$5:$B$304,MATCH(E951,DM_NL!$A$5:$A$304,0)),"(chưa có trong DM_NL)"))</f>
        <v/>
      </c>
      <c r="G951" s="35" t="str">
        <f>IF(E951="","",IFERROR(INDEX(DM_NL!$C$5:$C$304,MATCH(E951,DM_NL!$A$5:$A$304,0)),""))</f>
        <v/>
      </c>
      <c r="H951" s="39" t="str">
        <f>IF(OR(E951="",BOM!G945="KXDDM"),"",BOM!F945)</f>
        <v/>
      </c>
      <c r="I951" s="36" t="str">
        <f>IF(E951="","",BOM!G945&amp;"")</f>
        <v/>
      </c>
    </row>
    <row r="952" spans="1:9" x14ac:dyDescent="0.25">
      <c r="A952" s="36" t="str">
        <f>IF(B952="","",MAX($A$10:A951)+1)</f>
        <v/>
      </c>
      <c r="B952" s="35" t="str">
        <f>IF(BOM!A946="","",IF(BOM!A946=BOM!A945,"",BOM!A946))</f>
        <v/>
      </c>
      <c r="C952" s="35" t="str">
        <f>IF(B952="","",IFERROR(INDEX(DM_SP!$B$5:$B$304,MATCH(B952,DM_SP!$A$5:$A$304,0)),"(chưa có trong DM_SP)"))</f>
        <v/>
      </c>
      <c r="D952" s="35" t="str">
        <f>IF(B952="","",IFERROR(INDEX(DM_SP!$C$5:$C$304,MATCH(B952,DM_SP!$A$5:$A$304,0)),""))</f>
        <v/>
      </c>
      <c r="E952" s="35" t="str">
        <f>IF(BOM!A946="","",BOM!B946)</f>
        <v/>
      </c>
      <c r="F952" s="35" t="str">
        <f>IF(E952="","",IFERROR(INDEX(DM_NL!$B$5:$B$304,MATCH(E952,DM_NL!$A$5:$A$304,0)),"(chưa có trong DM_NL)"))</f>
        <v/>
      </c>
      <c r="G952" s="35" t="str">
        <f>IF(E952="","",IFERROR(INDEX(DM_NL!$C$5:$C$304,MATCH(E952,DM_NL!$A$5:$A$304,0)),""))</f>
        <v/>
      </c>
      <c r="H952" s="39" t="str">
        <f>IF(OR(E952="",BOM!G946="KXDDM"),"",BOM!F946)</f>
        <v/>
      </c>
      <c r="I952" s="36" t="str">
        <f>IF(E952="","",BOM!G946&amp;"")</f>
        <v/>
      </c>
    </row>
    <row r="953" spans="1:9" x14ac:dyDescent="0.25">
      <c r="A953" s="36" t="str">
        <f>IF(B953="","",MAX($A$10:A952)+1)</f>
        <v/>
      </c>
      <c r="B953" s="35" t="str">
        <f>IF(BOM!A947="","",IF(BOM!A947=BOM!A946,"",BOM!A947))</f>
        <v/>
      </c>
      <c r="C953" s="35" t="str">
        <f>IF(B953="","",IFERROR(INDEX(DM_SP!$B$5:$B$304,MATCH(B953,DM_SP!$A$5:$A$304,0)),"(chưa có trong DM_SP)"))</f>
        <v/>
      </c>
      <c r="D953" s="35" t="str">
        <f>IF(B953="","",IFERROR(INDEX(DM_SP!$C$5:$C$304,MATCH(B953,DM_SP!$A$5:$A$304,0)),""))</f>
        <v/>
      </c>
      <c r="E953" s="35" t="str">
        <f>IF(BOM!A947="","",BOM!B947)</f>
        <v/>
      </c>
      <c r="F953" s="35" t="str">
        <f>IF(E953="","",IFERROR(INDEX(DM_NL!$B$5:$B$304,MATCH(E953,DM_NL!$A$5:$A$304,0)),"(chưa có trong DM_NL)"))</f>
        <v/>
      </c>
      <c r="G953" s="35" t="str">
        <f>IF(E953="","",IFERROR(INDEX(DM_NL!$C$5:$C$304,MATCH(E953,DM_NL!$A$5:$A$304,0)),""))</f>
        <v/>
      </c>
      <c r="H953" s="39" t="str">
        <f>IF(OR(E953="",BOM!G947="KXDDM"),"",BOM!F947)</f>
        <v/>
      </c>
      <c r="I953" s="36" t="str">
        <f>IF(E953="","",BOM!G947&amp;"")</f>
        <v/>
      </c>
    </row>
    <row r="954" spans="1:9" x14ac:dyDescent="0.25">
      <c r="A954" s="36" t="str">
        <f>IF(B954="","",MAX($A$10:A953)+1)</f>
        <v/>
      </c>
      <c r="B954" s="35" t="str">
        <f>IF(BOM!A948="","",IF(BOM!A948=BOM!A947,"",BOM!A948))</f>
        <v/>
      </c>
      <c r="C954" s="35" t="str">
        <f>IF(B954="","",IFERROR(INDEX(DM_SP!$B$5:$B$304,MATCH(B954,DM_SP!$A$5:$A$304,0)),"(chưa có trong DM_SP)"))</f>
        <v/>
      </c>
      <c r="D954" s="35" t="str">
        <f>IF(B954="","",IFERROR(INDEX(DM_SP!$C$5:$C$304,MATCH(B954,DM_SP!$A$5:$A$304,0)),""))</f>
        <v/>
      </c>
      <c r="E954" s="35" t="str">
        <f>IF(BOM!A948="","",BOM!B948)</f>
        <v/>
      </c>
      <c r="F954" s="35" t="str">
        <f>IF(E954="","",IFERROR(INDEX(DM_NL!$B$5:$B$304,MATCH(E954,DM_NL!$A$5:$A$304,0)),"(chưa có trong DM_NL)"))</f>
        <v/>
      </c>
      <c r="G954" s="35" t="str">
        <f>IF(E954="","",IFERROR(INDEX(DM_NL!$C$5:$C$304,MATCH(E954,DM_NL!$A$5:$A$304,0)),""))</f>
        <v/>
      </c>
      <c r="H954" s="39" t="str">
        <f>IF(OR(E954="",BOM!G948="KXDDM"),"",BOM!F948)</f>
        <v/>
      </c>
      <c r="I954" s="36" t="str">
        <f>IF(E954="","",BOM!G948&amp;"")</f>
        <v/>
      </c>
    </row>
    <row r="955" spans="1:9" x14ac:dyDescent="0.25">
      <c r="A955" s="36" t="str">
        <f>IF(B955="","",MAX($A$10:A954)+1)</f>
        <v/>
      </c>
      <c r="B955" s="35" t="str">
        <f>IF(BOM!A949="","",IF(BOM!A949=BOM!A948,"",BOM!A949))</f>
        <v/>
      </c>
      <c r="C955" s="35" t="str">
        <f>IF(B955="","",IFERROR(INDEX(DM_SP!$B$5:$B$304,MATCH(B955,DM_SP!$A$5:$A$304,0)),"(chưa có trong DM_SP)"))</f>
        <v/>
      </c>
      <c r="D955" s="35" t="str">
        <f>IF(B955="","",IFERROR(INDEX(DM_SP!$C$5:$C$304,MATCH(B955,DM_SP!$A$5:$A$304,0)),""))</f>
        <v/>
      </c>
      <c r="E955" s="35" t="str">
        <f>IF(BOM!A949="","",BOM!B949)</f>
        <v/>
      </c>
      <c r="F955" s="35" t="str">
        <f>IF(E955="","",IFERROR(INDEX(DM_NL!$B$5:$B$304,MATCH(E955,DM_NL!$A$5:$A$304,0)),"(chưa có trong DM_NL)"))</f>
        <v/>
      </c>
      <c r="G955" s="35" t="str">
        <f>IF(E955="","",IFERROR(INDEX(DM_NL!$C$5:$C$304,MATCH(E955,DM_NL!$A$5:$A$304,0)),""))</f>
        <v/>
      </c>
      <c r="H955" s="39" t="str">
        <f>IF(OR(E955="",BOM!G949="KXDDM"),"",BOM!F949)</f>
        <v/>
      </c>
      <c r="I955" s="36" t="str">
        <f>IF(E955="","",BOM!G949&amp;"")</f>
        <v/>
      </c>
    </row>
    <row r="956" spans="1:9" x14ac:dyDescent="0.25">
      <c r="A956" s="36" t="str">
        <f>IF(B956="","",MAX($A$10:A955)+1)</f>
        <v/>
      </c>
      <c r="B956" s="35" t="str">
        <f>IF(BOM!A950="","",IF(BOM!A950=BOM!A949,"",BOM!A950))</f>
        <v/>
      </c>
      <c r="C956" s="35" t="str">
        <f>IF(B956="","",IFERROR(INDEX(DM_SP!$B$5:$B$304,MATCH(B956,DM_SP!$A$5:$A$304,0)),"(chưa có trong DM_SP)"))</f>
        <v/>
      </c>
      <c r="D956" s="35" t="str">
        <f>IF(B956="","",IFERROR(INDEX(DM_SP!$C$5:$C$304,MATCH(B956,DM_SP!$A$5:$A$304,0)),""))</f>
        <v/>
      </c>
      <c r="E956" s="35" t="str">
        <f>IF(BOM!A950="","",BOM!B950)</f>
        <v/>
      </c>
      <c r="F956" s="35" t="str">
        <f>IF(E956="","",IFERROR(INDEX(DM_NL!$B$5:$B$304,MATCH(E956,DM_NL!$A$5:$A$304,0)),"(chưa có trong DM_NL)"))</f>
        <v/>
      </c>
      <c r="G956" s="35" t="str">
        <f>IF(E956="","",IFERROR(INDEX(DM_NL!$C$5:$C$304,MATCH(E956,DM_NL!$A$5:$A$304,0)),""))</f>
        <v/>
      </c>
      <c r="H956" s="39" t="str">
        <f>IF(OR(E956="",BOM!G950="KXDDM"),"",BOM!F950)</f>
        <v/>
      </c>
      <c r="I956" s="36" t="str">
        <f>IF(E956="","",BOM!G950&amp;"")</f>
        <v/>
      </c>
    </row>
    <row r="957" spans="1:9" x14ac:dyDescent="0.25">
      <c r="A957" s="36" t="str">
        <f>IF(B957="","",MAX($A$10:A956)+1)</f>
        <v/>
      </c>
      <c r="B957" s="35" t="str">
        <f>IF(BOM!A951="","",IF(BOM!A951=BOM!A950,"",BOM!A951))</f>
        <v/>
      </c>
      <c r="C957" s="35" t="str">
        <f>IF(B957="","",IFERROR(INDEX(DM_SP!$B$5:$B$304,MATCH(B957,DM_SP!$A$5:$A$304,0)),"(chưa có trong DM_SP)"))</f>
        <v/>
      </c>
      <c r="D957" s="35" t="str">
        <f>IF(B957="","",IFERROR(INDEX(DM_SP!$C$5:$C$304,MATCH(B957,DM_SP!$A$5:$A$304,0)),""))</f>
        <v/>
      </c>
      <c r="E957" s="35" t="str">
        <f>IF(BOM!A951="","",BOM!B951)</f>
        <v/>
      </c>
      <c r="F957" s="35" t="str">
        <f>IF(E957="","",IFERROR(INDEX(DM_NL!$B$5:$B$304,MATCH(E957,DM_NL!$A$5:$A$304,0)),"(chưa có trong DM_NL)"))</f>
        <v/>
      </c>
      <c r="G957" s="35" t="str">
        <f>IF(E957="","",IFERROR(INDEX(DM_NL!$C$5:$C$304,MATCH(E957,DM_NL!$A$5:$A$304,0)),""))</f>
        <v/>
      </c>
      <c r="H957" s="39" t="str">
        <f>IF(OR(E957="",BOM!G951="KXDDM"),"",BOM!F951)</f>
        <v/>
      </c>
      <c r="I957" s="36" t="str">
        <f>IF(E957="","",BOM!G951&amp;"")</f>
        <v/>
      </c>
    </row>
    <row r="958" spans="1:9" x14ac:dyDescent="0.25">
      <c r="A958" s="36" t="str">
        <f>IF(B958="","",MAX($A$10:A957)+1)</f>
        <v/>
      </c>
      <c r="B958" s="35" t="str">
        <f>IF(BOM!A952="","",IF(BOM!A952=BOM!A951,"",BOM!A952))</f>
        <v/>
      </c>
      <c r="C958" s="35" t="str">
        <f>IF(B958="","",IFERROR(INDEX(DM_SP!$B$5:$B$304,MATCH(B958,DM_SP!$A$5:$A$304,0)),"(chưa có trong DM_SP)"))</f>
        <v/>
      </c>
      <c r="D958" s="35" t="str">
        <f>IF(B958="","",IFERROR(INDEX(DM_SP!$C$5:$C$304,MATCH(B958,DM_SP!$A$5:$A$304,0)),""))</f>
        <v/>
      </c>
      <c r="E958" s="35" t="str">
        <f>IF(BOM!A952="","",BOM!B952)</f>
        <v/>
      </c>
      <c r="F958" s="35" t="str">
        <f>IF(E958="","",IFERROR(INDEX(DM_NL!$B$5:$B$304,MATCH(E958,DM_NL!$A$5:$A$304,0)),"(chưa có trong DM_NL)"))</f>
        <v/>
      </c>
      <c r="G958" s="35" t="str">
        <f>IF(E958="","",IFERROR(INDEX(DM_NL!$C$5:$C$304,MATCH(E958,DM_NL!$A$5:$A$304,0)),""))</f>
        <v/>
      </c>
      <c r="H958" s="39" t="str">
        <f>IF(OR(E958="",BOM!G952="KXDDM"),"",BOM!F952)</f>
        <v/>
      </c>
      <c r="I958" s="36" t="str">
        <f>IF(E958="","",BOM!G952&amp;"")</f>
        <v/>
      </c>
    </row>
    <row r="959" spans="1:9" x14ac:dyDescent="0.25">
      <c r="A959" s="36" t="str">
        <f>IF(B959="","",MAX($A$10:A958)+1)</f>
        <v/>
      </c>
      <c r="B959" s="35" t="str">
        <f>IF(BOM!A953="","",IF(BOM!A953=BOM!A952,"",BOM!A953))</f>
        <v/>
      </c>
      <c r="C959" s="35" t="str">
        <f>IF(B959="","",IFERROR(INDEX(DM_SP!$B$5:$B$304,MATCH(B959,DM_SP!$A$5:$A$304,0)),"(chưa có trong DM_SP)"))</f>
        <v/>
      </c>
      <c r="D959" s="35" t="str">
        <f>IF(B959="","",IFERROR(INDEX(DM_SP!$C$5:$C$304,MATCH(B959,DM_SP!$A$5:$A$304,0)),""))</f>
        <v/>
      </c>
      <c r="E959" s="35" t="str">
        <f>IF(BOM!A953="","",BOM!B953)</f>
        <v/>
      </c>
      <c r="F959" s="35" t="str">
        <f>IF(E959="","",IFERROR(INDEX(DM_NL!$B$5:$B$304,MATCH(E959,DM_NL!$A$5:$A$304,0)),"(chưa có trong DM_NL)"))</f>
        <v/>
      </c>
      <c r="G959" s="35" t="str">
        <f>IF(E959="","",IFERROR(INDEX(DM_NL!$C$5:$C$304,MATCH(E959,DM_NL!$A$5:$A$304,0)),""))</f>
        <v/>
      </c>
      <c r="H959" s="39" t="str">
        <f>IF(OR(E959="",BOM!G953="KXDDM"),"",BOM!F953)</f>
        <v/>
      </c>
      <c r="I959" s="36" t="str">
        <f>IF(E959="","",BOM!G953&amp;"")</f>
        <v/>
      </c>
    </row>
    <row r="960" spans="1:9" x14ac:dyDescent="0.25">
      <c r="A960" s="36" t="str">
        <f>IF(B960="","",MAX($A$10:A959)+1)</f>
        <v/>
      </c>
      <c r="B960" s="35" t="str">
        <f>IF(BOM!A954="","",IF(BOM!A954=BOM!A953,"",BOM!A954))</f>
        <v/>
      </c>
      <c r="C960" s="35" t="str">
        <f>IF(B960="","",IFERROR(INDEX(DM_SP!$B$5:$B$304,MATCH(B960,DM_SP!$A$5:$A$304,0)),"(chưa có trong DM_SP)"))</f>
        <v/>
      </c>
      <c r="D960" s="35" t="str">
        <f>IF(B960="","",IFERROR(INDEX(DM_SP!$C$5:$C$304,MATCH(B960,DM_SP!$A$5:$A$304,0)),""))</f>
        <v/>
      </c>
      <c r="E960" s="35" t="str">
        <f>IF(BOM!A954="","",BOM!B954)</f>
        <v/>
      </c>
      <c r="F960" s="35" t="str">
        <f>IF(E960="","",IFERROR(INDEX(DM_NL!$B$5:$B$304,MATCH(E960,DM_NL!$A$5:$A$304,0)),"(chưa có trong DM_NL)"))</f>
        <v/>
      </c>
      <c r="G960" s="35" t="str">
        <f>IF(E960="","",IFERROR(INDEX(DM_NL!$C$5:$C$304,MATCH(E960,DM_NL!$A$5:$A$304,0)),""))</f>
        <v/>
      </c>
      <c r="H960" s="39" t="str">
        <f>IF(OR(E960="",BOM!G954="KXDDM"),"",BOM!F954)</f>
        <v/>
      </c>
      <c r="I960" s="36" t="str">
        <f>IF(E960="","",BOM!G954&amp;"")</f>
        <v/>
      </c>
    </row>
    <row r="961" spans="1:9" x14ac:dyDescent="0.25">
      <c r="A961" s="36" t="str">
        <f>IF(B961="","",MAX($A$10:A960)+1)</f>
        <v/>
      </c>
      <c r="B961" s="35" t="str">
        <f>IF(BOM!A955="","",IF(BOM!A955=BOM!A954,"",BOM!A955))</f>
        <v/>
      </c>
      <c r="C961" s="35" t="str">
        <f>IF(B961="","",IFERROR(INDEX(DM_SP!$B$5:$B$304,MATCH(B961,DM_SP!$A$5:$A$304,0)),"(chưa có trong DM_SP)"))</f>
        <v/>
      </c>
      <c r="D961" s="35" t="str">
        <f>IF(B961="","",IFERROR(INDEX(DM_SP!$C$5:$C$304,MATCH(B961,DM_SP!$A$5:$A$304,0)),""))</f>
        <v/>
      </c>
      <c r="E961" s="35" t="str">
        <f>IF(BOM!A955="","",BOM!B955)</f>
        <v/>
      </c>
      <c r="F961" s="35" t="str">
        <f>IF(E961="","",IFERROR(INDEX(DM_NL!$B$5:$B$304,MATCH(E961,DM_NL!$A$5:$A$304,0)),"(chưa có trong DM_NL)"))</f>
        <v/>
      </c>
      <c r="G961" s="35" t="str">
        <f>IF(E961="","",IFERROR(INDEX(DM_NL!$C$5:$C$304,MATCH(E961,DM_NL!$A$5:$A$304,0)),""))</f>
        <v/>
      </c>
      <c r="H961" s="39" t="str">
        <f>IF(OR(E961="",BOM!G955="KXDDM"),"",BOM!F955)</f>
        <v/>
      </c>
      <c r="I961" s="36" t="str">
        <f>IF(E961="","",BOM!G955&amp;"")</f>
        <v/>
      </c>
    </row>
    <row r="962" spans="1:9" x14ac:dyDescent="0.25">
      <c r="A962" s="36" t="str">
        <f>IF(B962="","",MAX($A$10:A961)+1)</f>
        <v/>
      </c>
      <c r="B962" s="35" t="str">
        <f>IF(BOM!A956="","",IF(BOM!A956=BOM!A955,"",BOM!A956))</f>
        <v/>
      </c>
      <c r="C962" s="35" t="str">
        <f>IF(B962="","",IFERROR(INDEX(DM_SP!$B$5:$B$304,MATCH(B962,DM_SP!$A$5:$A$304,0)),"(chưa có trong DM_SP)"))</f>
        <v/>
      </c>
      <c r="D962" s="35" t="str">
        <f>IF(B962="","",IFERROR(INDEX(DM_SP!$C$5:$C$304,MATCH(B962,DM_SP!$A$5:$A$304,0)),""))</f>
        <v/>
      </c>
      <c r="E962" s="35" t="str">
        <f>IF(BOM!A956="","",BOM!B956)</f>
        <v/>
      </c>
      <c r="F962" s="35" t="str">
        <f>IF(E962="","",IFERROR(INDEX(DM_NL!$B$5:$B$304,MATCH(E962,DM_NL!$A$5:$A$304,0)),"(chưa có trong DM_NL)"))</f>
        <v/>
      </c>
      <c r="G962" s="35" t="str">
        <f>IF(E962="","",IFERROR(INDEX(DM_NL!$C$5:$C$304,MATCH(E962,DM_NL!$A$5:$A$304,0)),""))</f>
        <v/>
      </c>
      <c r="H962" s="39" t="str">
        <f>IF(OR(E962="",BOM!G956="KXDDM"),"",BOM!F956)</f>
        <v/>
      </c>
      <c r="I962" s="36" t="str">
        <f>IF(E962="","",BOM!G956&amp;"")</f>
        <v/>
      </c>
    </row>
    <row r="963" spans="1:9" x14ac:dyDescent="0.25">
      <c r="A963" s="36" t="str">
        <f>IF(B963="","",MAX($A$10:A962)+1)</f>
        <v/>
      </c>
      <c r="B963" s="35" t="str">
        <f>IF(BOM!A957="","",IF(BOM!A957=BOM!A956,"",BOM!A957))</f>
        <v/>
      </c>
      <c r="C963" s="35" t="str">
        <f>IF(B963="","",IFERROR(INDEX(DM_SP!$B$5:$B$304,MATCH(B963,DM_SP!$A$5:$A$304,0)),"(chưa có trong DM_SP)"))</f>
        <v/>
      </c>
      <c r="D963" s="35" t="str">
        <f>IF(B963="","",IFERROR(INDEX(DM_SP!$C$5:$C$304,MATCH(B963,DM_SP!$A$5:$A$304,0)),""))</f>
        <v/>
      </c>
      <c r="E963" s="35" t="str">
        <f>IF(BOM!A957="","",BOM!B957)</f>
        <v/>
      </c>
      <c r="F963" s="35" t="str">
        <f>IF(E963="","",IFERROR(INDEX(DM_NL!$B$5:$B$304,MATCH(E963,DM_NL!$A$5:$A$304,0)),"(chưa có trong DM_NL)"))</f>
        <v/>
      </c>
      <c r="G963" s="35" t="str">
        <f>IF(E963="","",IFERROR(INDEX(DM_NL!$C$5:$C$304,MATCH(E963,DM_NL!$A$5:$A$304,0)),""))</f>
        <v/>
      </c>
      <c r="H963" s="39" t="str">
        <f>IF(OR(E963="",BOM!G957="KXDDM"),"",BOM!F957)</f>
        <v/>
      </c>
      <c r="I963" s="36" t="str">
        <f>IF(E963="","",BOM!G957&amp;"")</f>
        <v/>
      </c>
    </row>
    <row r="964" spans="1:9" x14ac:dyDescent="0.25">
      <c r="A964" s="36" t="str">
        <f>IF(B964="","",MAX($A$10:A963)+1)</f>
        <v/>
      </c>
      <c r="B964" s="35" t="str">
        <f>IF(BOM!A958="","",IF(BOM!A958=BOM!A957,"",BOM!A958))</f>
        <v/>
      </c>
      <c r="C964" s="35" t="str">
        <f>IF(B964="","",IFERROR(INDEX(DM_SP!$B$5:$B$304,MATCH(B964,DM_SP!$A$5:$A$304,0)),"(chưa có trong DM_SP)"))</f>
        <v/>
      </c>
      <c r="D964" s="35" t="str">
        <f>IF(B964="","",IFERROR(INDEX(DM_SP!$C$5:$C$304,MATCH(B964,DM_SP!$A$5:$A$304,0)),""))</f>
        <v/>
      </c>
      <c r="E964" s="35" t="str">
        <f>IF(BOM!A958="","",BOM!B958)</f>
        <v/>
      </c>
      <c r="F964" s="35" t="str">
        <f>IF(E964="","",IFERROR(INDEX(DM_NL!$B$5:$B$304,MATCH(E964,DM_NL!$A$5:$A$304,0)),"(chưa có trong DM_NL)"))</f>
        <v/>
      </c>
      <c r="G964" s="35" t="str">
        <f>IF(E964="","",IFERROR(INDEX(DM_NL!$C$5:$C$304,MATCH(E964,DM_NL!$A$5:$A$304,0)),""))</f>
        <v/>
      </c>
      <c r="H964" s="39" t="str">
        <f>IF(OR(E964="",BOM!G958="KXDDM"),"",BOM!F958)</f>
        <v/>
      </c>
      <c r="I964" s="36" t="str">
        <f>IF(E964="","",BOM!G958&amp;"")</f>
        <v/>
      </c>
    </row>
    <row r="965" spans="1:9" x14ac:dyDescent="0.25">
      <c r="A965" s="36" t="str">
        <f>IF(B965="","",MAX($A$10:A964)+1)</f>
        <v/>
      </c>
      <c r="B965" s="35" t="str">
        <f>IF(BOM!A959="","",IF(BOM!A959=BOM!A958,"",BOM!A959))</f>
        <v/>
      </c>
      <c r="C965" s="35" t="str">
        <f>IF(B965="","",IFERROR(INDEX(DM_SP!$B$5:$B$304,MATCH(B965,DM_SP!$A$5:$A$304,0)),"(chưa có trong DM_SP)"))</f>
        <v/>
      </c>
      <c r="D965" s="35" t="str">
        <f>IF(B965="","",IFERROR(INDEX(DM_SP!$C$5:$C$304,MATCH(B965,DM_SP!$A$5:$A$304,0)),""))</f>
        <v/>
      </c>
      <c r="E965" s="35" t="str">
        <f>IF(BOM!A959="","",BOM!B959)</f>
        <v/>
      </c>
      <c r="F965" s="35" t="str">
        <f>IF(E965="","",IFERROR(INDEX(DM_NL!$B$5:$B$304,MATCH(E965,DM_NL!$A$5:$A$304,0)),"(chưa có trong DM_NL)"))</f>
        <v/>
      </c>
      <c r="G965" s="35" t="str">
        <f>IF(E965="","",IFERROR(INDEX(DM_NL!$C$5:$C$304,MATCH(E965,DM_NL!$A$5:$A$304,0)),""))</f>
        <v/>
      </c>
      <c r="H965" s="39" t="str">
        <f>IF(OR(E965="",BOM!G959="KXDDM"),"",BOM!F959)</f>
        <v/>
      </c>
      <c r="I965" s="36" t="str">
        <f>IF(E965="","",BOM!G959&amp;"")</f>
        <v/>
      </c>
    </row>
    <row r="966" spans="1:9" x14ac:dyDescent="0.25">
      <c r="A966" s="36" t="str">
        <f>IF(B966="","",MAX($A$10:A965)+1)</f>
        <v/>
      </c>
      <c r="B966" s="35" t="str">
        <f>IF(BOM!A960="","",IF(BOM!A960=BOM!A959,"",BOM!A960))</f>
        <v/>
      </c>
      <c r="C966" s="35" t="str">
        <f>IF(B966="","",IFERROR(INDEX(DM_SP!$B$5:$B$304,MATCH(B966,DM_SP!$A$5:$A$304,0)),"(chưa có trong DM_SP)"))</f>
        <v/>
      </c>
      <c r="D966" s="35" t="str">
        <f>IF(B966="","",IFERROR(INDEX(DM_SP!$C$5:$C$304,MATCH(B966,DM_SP!$A$5:$A$304,0)),""))</f>
        <v/>
      </c>
      <c r="E966" s="35" t="str">
        <f>IF(BOM!A960="","",BOM!B960)</f>
        <v/>
      </c>
      <c r="F966" s="35" t="str">
        <f>IF(E966="","",IFERROR(INDEX(DM_NL!$B$5:$B$304,MATCH(E966,DM_NL!$A$5:$A$304,0)),"(chưa có trong DM_NL)"))</f>
        <v/>
      </c>
      <c r="G966" s="35" t="str">
        <f>IF(E966="","",IFERROR(INDEX(DM_NL!$C$5:$C$304,MATCH(E966,DM_NL!$A$5:$A$304,0)),""))</f>
        <v/>
      </c>
      <c r="H966" s="39" t="str">
        <f>IF(OR(E966="",BOM!G960="KXDDM"),"",BOM!F960)</f>
        <v/>
      </c>
      <c r="I966" s="36" t="str">
        <f>IF(E966="","",BOM!G960&amp;"")</f>
        <v/>
      </c>
    </row>
    <row r="967" spans="1:9" x14ac:dyDescent="0.25">
      <c r="A967" s="36" t="str">
        <f>IF(B967="","",MAX($A$10:A966)+1)</f>
        <v/>
      </c>
      <c r="B967" s="35" t="str">
        <f>IF(BOM!A961="","",IF(BOM!A961=BOM!A960,"",BOM!A961))</f>
        <v/>
      </c>
      <c r="C967" s="35" t="str">
        <f>IF(B967="","",IFERROR(INDEX(DM_SP!$B$5:$B$304,MATCH(B967,DM_SP!$A$5:$A$304,0)),"(chưa có trong DM_SP)"))</f>
        <v/>
      </c>
      <c r="D967" s="35" t="str">
        <f>IF(B967="","",IFERROR(INDEX(DM_SP!$C$5:$C$304,MATCH(B967,DM_SP!$A$5:$A$304,0)),""))</f>
        <v/>
      </c>
      <c r="E967" s="35" t="str">
        <f>IF(BOM!A961="","",BOM!B961)</f>
        <v/>
      </c>
      <c r="F967" s="35" t="str">
        <f>IF(E967="","",IFERROR(INDEX(DM_NL!$B$5:$B$304,MATCH(E967,DM_NL!$A$5:$A$304,0)),"(chưa có trong DM_NL)"))</f>
        <v/>
      </c>
      <c r="G967" s="35" t="str">
        <f>IF(E967="","",IFERROR(INDEX(DM_NL!$C$5:$C$304,MATCH(E967,DM_NL!$A$5:$A$304,0)),""))</f>
        <v/>
      </c>
      <c r="H967" s="39" t="str">
        <f>IF(OR(E967="",BOM!G961="KXDDM"),"",BOM!F961)</f>
        <v/>
      </c>
      <c r="I967" s="36" t="str">
        <f>IF(E967="","",BOM!G961&amp;"")</f>
        <v/>
      </c>
    </row>
    <row r="968" spans="1:9" x14ac:dyDescent="0.25">
      <c r="A968" s="36" t="str">
        <f>IF(B968="","",MAX($A$10:A967)+1)</f>
        <v/>
      </c>
      <c r="B968" s="35" t="str">
        <f>IF(BOM!A962="","",IF(BOM!A962=BOM!A961,"",BOM!A962))</f>
        <v/>
      </c>
      <c r="C968" s="35" t="str">
        <f>IF(B968="","",IFERROR(INDEX(DM_SP!$B$5:$B$304,MATCH(B968,DM_SP!$A$5:$A$304,0)),"(chưa có trong DM_SP)"))</f>
        <v/>
      </c>
      <c r="D968" s="35" t="str">
        <f>IF(B968="","",IFERROR(INDEX(DM_SP!$C$5:$C$304,MATCH(B968,DM_SP!$A$5:$A$304,0)),""))</f>
        <v/>
      </c>
      <c r="E968" s="35" t="str">
        <f>IF(BOM!A962="","",BOM!B962)</f>
        <v/>
      </c>
      <c r="F968" s="35" t="str">
        <f>IF(E968="","",IFERROR(INDEX(DM_NL!$B$5:$B$304,MATCH(E968,DM_NL!$A$5:$A$304,0)),"(chưa có trong DM_NL)"))</f>
        <v/>
      </c>
      <c r="G968" s="35" t="str">
        <f>IF(E968="","",IFERROR(INDEX(DM_NL!$C$5:$C$304,MATCH(E968,DM_NL!$A$5:$A$304,0)),""))</f>
        <v/>
      </c>
      <c r="H968" s="39" t="str">
        <f>IF(OR(E968="",BOM!G962="KXDDM"),"",BOM!F962)</f>
        <v/>
      </c>
      <c r="I968" s="36" t="str">
        <f>IF(E968="","",BOM!G962&amp;"")</f>
        <v/>
      </c>
    </row>
    <row r="969" spans="1:9" x14ac:dyDescent="0.25">
      <c r="A969" s="36" t="str">
        <f>IF(B969="","",MAX($A$10:A968)+1)</f>
        <v/>
      </c>
      <c r="B969" s="35" t="str">
        <f>IF(BOM!A963="","",IF(BOM!A963=BOM!A962,"",BOM!A963))</f>
        <v/>
      </c>
      <c r="C969" s="35" t="str">
        <f>IF(B969="","",IFERROR(INDEX(DM_SP!$B$5:$B$304,MATCH(B969,DM_SP!$A$5:$A$304,0)),"(chưa có trong DM_SP)"))</f>
        <v/>
      </c>
      <c r="D969" s="35" t="str">
        <f>IF(B969="","",IFERROR(INDEX(DM_SP!$C$5:$C$304,MATCH(B969,DM_SP!$A$5:$A$304,0)),""))</f>
        <v/>
      </c>
      <c r="E969" s="35" t="str">
        <f>IF(BOM!A963="","",BOM!B963)</f>
        <v/>
      </c>
      <c r="F969" s="35" t="str">
        <f>IF(E969="","",IFERROR(INDEX(DM_NL!$B$5:$B$304,MATCH(E969,DM_NL!$A$5:$A$304,0)),"(chưa có trong DM_NL)"))</f>
        <v/>
      </c>
      <c r="G969" s="35" t="str">
        <f>IF(E969="","",IFERROR(INDEX(DM_NL!$C$5:$C$304,MATCH(E969,DM_NL!$A$5:$A$304,0)),""))</f>
        <v/>
      </c>
      <c r="H969" s="39" t="str">
        <f>IF(OR(E969="",BOM!G963="KXDDM"),"",BOM!F963)</f>
        <v/>
      </c>
      <c r="I969" s="36" t="str">
        <f>IF(E969="","",BOM!G963&amp;"")</f>
        <v/>
      </c>
    </row>
    <row r="970" spans="1:9" x14ac:dyDescent="0.25">
      <c r="A970" s="36" t="str">
        <f>IF(B970="","",MAX($A$10:A969)+1)</f>
        <v/>
      </c>
      <c r="B970" s="35" t="str">
        <f>IF(BOM!A964="","",IF(BOM!A964=BOM!A963,"",BOM!A964))</f>
        <v/>
      </c>
      <c r="C970" s="35" t="str">
        <f>IF(B970="","",IFERROR(INDEX(DM_SP!$B$5:$B$304,MATCH(B970,DM_SP!$A$5:$A$304,0)),"(chưa có trong DM_SP)"))</f>
        <v/>
      </c>
      <c r="D970" s="35" t="str">
        <f>IF(B970="","",IFERROR(INDEX(DM_SP!$C$5:$C$304,MATCH(B970,DM_SP!$A$5:$A$304,0)),""))</f>
        <v/>
      </c>
      <c r="E970" s="35" t="str">
        <f>IF(BOM!A964="","",BOM!B964)</f>
        <v/>
      </c>
      <c r="F970" s="35" t="str">
        <f>IF(E970="","",IFERROR(INDEX(DM_NL!$B$5:$B$304,MATCH(E970,DM_NL!$A$5:$A$304,0)),"(chưa có trong DM_NL)"))</f>
        <v/>
      </c>
      <c r="G970" s="35" t="str">
        <f>IF(E970="","",IFERROR(INDEX(DM_NL!$C$5:$C$304,MATCH(E970,DM_NL!$A$5:$A$304,0)),""))</f>
        <v/>
      </c>
      <c r="H970" s="39" t="str">
        <f>IF(OR(E970="",BOM!G964="KXDDM"),"",BOM!F964)</f>
        <v/>
      </c>
      <c r="I970" s="36" t="str">
        <f>IF(E970="","",BOM!G964&amp;"")</f>
        <v/>
      </c>
    </row>
    <row r="971" spans="1:9" x14ac:dyDescent="0.25">
      <c r="A971" s="36" t="str">
        <f>IF(B971="","",MAX($A$10:A970)+1)</f>
        <v/>
      </c>
      <c r="B971" s="35" t="str">
        <f>IF(BOM!A965="","",IF(BOM!A965=BOM!A964,"",BOM!A965))</f>
        <v/>
      </c>
      <c r="C971" s="35" t="str">
        <f>IF(B971="","",IFERROR(INDEX(DM_SP!$B$5:$B$304,MATCH(B971,DM_SP!$A$5:$A$304,0)),"(chưa có trong DM_SP)"))</f>
        <v/>
      </c>
      <c r="D971" s="35" t="str">
        <f>IF(B971="","",IFERROR(INDEX(DM_SP!$C$5:$C$304,MATCH(B971,DM_SP!$A$5:$A$304,0)),""))</f>
        <v/>
      </c>
      <c r="E971" s="35" t="str">
        <f>IF(BOM!A965="","",BOM!B965)</f>
        <v/>
      </c>
      <c r="F971" s="35" t="str">
        <f>IF(E971="","",IFERROR(INDEX(DM_NL!$B$5:$B$304,MATCH(E971,DM_NL!$A$5:$A$304,0)),"(chưa có trong DM_NL)"))</f>
        <v/>
      </c>
      <c r="G971" s="35" t="str">
        <f>IF(E971="","",IFERROR(INDEX(DM_NL!$C$5:$C$304,MATCH(E971,DM_NL!$A$5:$A$304,0)),""))</f>
        <v/>
      </c>
      <c r="H971" s="39" t="str">
        <f>IF(OR(E971="",BOM!G965="KXDDM"),"",BOM!F965)</f>
        <v/>
      </c>
      <c r="I971" s="36" t="str">
        <f>IF(E971="","",BOM!G965&amp;"")</f>
        <v/>
      </c>
    </row>
    <row r="972" spans="1:9" x14ac:dyDescent="0.25">
      <c r="A972" s="36" t="str">
        <f>IF(B972="","",MAX($A$10:A971)+1)</f>
        <v/>
      </c>
      <c r="B972" s="35" t="str">
        <f>IF(BOM!A966="","",IF(BOM!A966=BOM!A965,"",BOM!A966))</f>
        <v/>
      </c>
      <c r="C972" s="35" t="str">
        <f>IF(B972="","",IFERROR(INDEX(DM_SP!$B$5:$B$304,MATCH(B972,DM_SP!$A$5:$A$304,0)),"(chưa có trong DM_SP)"))</f>
        <v/>
      </c>
      <c r="D972" s="35" t="str">
        <f>IF(B972="","",IFERROR(INDEX(DM_SP!$C$5:$C$304,MATCH(B972,DM_SP!$A$5:$A$304,0)),""))</f>
        <v/>
      </c>
      <c r="E972" s="35" t="str">
        <f>IF(BOM!A966="","",BOM!B966)</f>
        <v/>
      </c>
      <c r="F972" s="35" t="str">
        <f>IF(E972="","",IFERROR(INDEX(DM_NL!$B$5:$B$304,MATCH(E972,DM_NL!$A$5:$A$304,0)),"(chưa có trong DM_NL)"))</f>
        <v/>
      </c>
      <c r="G972" s="35" t="str">
        <f>IF(E972="","",IFERROR(INDEX(DM_NL!$C$5:$C$304,MATCH(E972,DM_NL!$A$5:$A$304,0)),""))</f>
        <v/>
      </c>
      <c r="H972" s="39" t="str">
        <f>IF(OR(E972="",BOM!G966="KXDDM"),"",BOM!F966)</f>
        <v/>
      </c>
      <c r="I972" s="36" t="str">
        <f>IF(E972="","",BOM!G966&amp;"")</f>
        <v/>
      </c>
    </row>
    <row r="973" spans="1:9" x14ac:dyDescent="0.25">
      <c r="A973" s="36" t="str">
        <f>IF(B973="","",MAX($A$10:A972)+1)</f>
        <v/>
      </c>
      <c r="B973" s="35" t="str">
        <f>IF(BOM!A967="","",IF(BOM!A967=BOM!A966,"",BOM!A967))</f>
        <v/>
      </c>
      <c r="C973" s="35" t="str">
        <f>IF(B973="","",IFERROR(INDEX(DM_SP!$B$5:$B$304,MATCH(B973,DM_SP!$A$5:$A$304,0)),"(chưa có trong DM_SP)"))</f>
        <v/>
      </c>
      <c r="D973" s="35" t="str">
        <f>IF(B973="","",IFERROR(INDEX(DM_SP!$C$5:$C$304,MATCH(B973,DM_SP!$A$5:$A$304,0)),""))</f>
        <v/>
      </c>
      <c r="E973" s="35" t="str">
        <f>IF(BOM!A967="","",BOM!B967)</f>
        <v/>
      </c>
      <c r="F973" s="35" t="str">
        <f>IF(E973="","",IFERROR(INDEX(DM_NL!$B$5:$B$304,MATCH(E973,DM_NL!$A$5:$A$304,0)),"(chưa có trong DM_NL)"))</f>
        <v/>
      </c>
      <c r="G973" s="35" t="str">
        <f>IF(E973="","",IFERROR(INDEX(DM_NL!$C$5:$C$304,MATCH(E973,DM_NL!$A$5:$A$304,0)),""))</f>
        <v/>
      </c>
      <c r="H973" s="39" t="str">
        <f>IF(OR(E973="",BOM!G967="KXDDM"),"",BOM!F967)</f>
        <v/>
      </c>
      <c r="I973" s="36" t="str">
        <f>IF(E973="","",BOM!G967&amp;"")</f>
        <v/>
      </c>
    </row>
    <row r="974" spans="1:9" x14ac:dyDescent="0.25">
      <c r="A974" s="36" t="str">
        <f>IF(B974="","",MAX($A$10:A973)+1)</f>
        <v/>
      </c>
      <c r="B974" s="35" t="str">
        <f>IF(BOM!A968="","",IF(BOM!A968=BOM!A967,"",BOM!A968))</f>
        <v/>
      </c>
      <c r="C974" s="35" t="str">
        <f>IF(B974="","",IFERROR(INDEX(DM_SP!$B$5:$B$304,MATCH(B974,DM_SP!$A$5:$A$304,0)),"(chưa có trong DM_SP)"))</f>
        <v/>
      </c>
      <c r="D974" s="35" t="str">
        <f>IF(B974="","",IFERROR(INDEX(DM_SP!$C$5:$C$304,MATCH(B974,DM_SP!$A$5:$A$304,0)),""))</f>
        <v/>
      </c>
      <c r="E974" s="35" t="str">
        <f>IF(BOM!A968="","",BOM!B968)</f>
        <v/>
      </c>
      <c r="F974" s="35" t="str">
        <f>IF(E974="","",IFERROR(INDEX(DM_NL!$B$5:$B$304,MATCH(E974,DM_NL!$A$5:$A$304,0)),"(chưa có trong DM_NL)"))</f>
        <v/>
      </c>
      <c r="G974" s="35" t="str">
        <f>IF(E974="","",IFERROR(INDEX(DM_NL!$C$5:$C$304,MATCH(E974,DM_NL!$A$5:$A$304,0)),""))</f>
        <v/>
      </c>
      <c r="H974" s="39" t="str">
        <f>IF(OR(E974="",BOM!G968="KXDDM"),"",BOM!F968)</f>
        <v/>
      </c>
      <c r="I974" s="36" t="str">
        <f>IF(E974="","",BOM!G968&amp;"")</f>
        <v/>
      </c>
    </row>
    <row r="975" spans="1:9" x14ac:dyDescent="0.25">
      <c r="A975" s="36" t="str">
        <f>IF(B975="","",MAX($A$10:A974)+1)</f>
        <v/>
      </c>
      <c r="B975" s="35" t="str">
        <f>IF(BOM!A969="","",IF(BOM!A969=BOM!A968,"",BOM!A969))</f>
        <v/>
      </c>
      <c r="C975" s="35" t="str">
        <f>IF(B975="","",IFERROR(INDEX(DM_SP!$B$5:$B$304,MATCH(B975,DM_SP!$A$5:$A$304,0)),"(chưa có trong DM_SP)"))</f>
        <v/>
      </c>
      <c r="D975" s="35" t="str">
        <f>IF(B975="","",IFERROR(INDEX(DM_SP!$C$5:$C$304,MATCH(B975,DM_SP!$A$5:$A$304,0)),""))</f>
        <v/>
      </c>
      <c r="E975" s="35" t="str">
        <f>IF(BOM!A969="","",BOM!B969)</f>
        <v/>
      </c>
      <c r="F975" s="35" t="str">
        <f>IF(E975="","",IFERROR(INDEX(DM_NL!$B$5:$B$304,MATCH(E975,DM_NL!$A$5:$A$304,0)),"(chưa có trong DM_NL)"))</f>
        <v/>
      </c>
      <c r="G975" s="35" t="str">
        <f>IF(E975="","",IFERROR(INDEX(DM_NL!$C$5:$C$304,MATCH(E975,DM_NL!$A$5:$A$304,0)),""))</f>
        <v/>
      </c>
      <c r="H975" s="39" t="str">
        <f>IF(OR(E975="",BOM!G969="KXDDM"),"",BOM!F969)</f>
        <v/>
      </c>
      <c r="I975" s="36" t="str">
        <f>IF(E975="","",BOM!G969&amp;"")</f>
        <v/>
      </c>
    </row>
    <row r="976" spans="1:9" x14ac:dyDescent="0.25">
      <c r="A976" s="36" t="str">
        <f>IF(B976="","",MAX($A$10:A975)+1)</f>
        <v/>
      </c>
      <c r="B976" s="35" t="str">
        <f>IF(BOM!A970="","",IF(BOM!A970=BOM!A969,"",BOM!A970))</f>
        <v/>
      </c>
      <c r="C976" s="35" t="str">
        <f>IF(B976="","",IFERROR(INDEX(DM_SP!$B$5:$B$304,MATCH(B976,DM_SP!$A$5:$A$304,0)),"(chưa có trong DM_SP)"))</f>
        <v/>
      </c>
      <c r="D976" s="35" t="str">
        <f>IF(B976="","",IFERROR(INDEX(DM_SP!$C$5:$C$304,MATCH(B976,DM_SP!$A$5:$A$304,0)),""))</f>
        <v/>
      </c>
      <c r="E976" s="35" t="str">
        <f>IF(BOM!A970="","",BOM!B970)</f>
        <v/>
      </c>
      <c r="F976" s="35" t="str">
        <f>IF(E976="","",IFERROR(INDEX(DM_NL!$B$5:$B$304,MATCH(E976,DM_NL!$A$5:$A$304,0)),"(chưa có trong DM_NL)"))</f>
        <v/>
      </c>
      <c r="G976" s="35" t="str">
        <f>IF(E976="","",IFERROR(INDEX(DM_NL!$C$5:$C$304,MATCH(E976,DM_NL!$A$5:$A$304,0)),""))</f>
        <v/>
      </c>
      <c r="H976" s="39" t="str">
        <f>IF(OR(E976="",BOM!G970="KXDDM"),"",BOM!F970)</f>
        <v/>
      </c>
      <c r="I976" s="36" t="str">
        <f>IF(E976="","",BOM!G970&amp;"")</f>
        <v/>
      </c>
    </row>
    <row r="977" spans="1:9" x14ac:dyDescent="0.25">
      <c r="A977" s="36" t="str">
        <f>IF(B977="","",MAX($A$10:A976)+1)</f>
        <v/>
      </c>
      <c r="B977" s="35" t="str">
        <f>IF(BOM!A971="","",IF(BOM!A971=BOM!A970,"",BOM!A971))</f>
        <v/>
      </c>
      <c r="C977" s="35" t="str">
        <f>IF(B977="","",IFERROR(INDEX(DM_SP!$B$5:$B$304,MATCH(B977,DM_SP!$A$5:$A$304,0)),"(chưa có trong DM_SP)"))</f>
        <v/>
      </c>
      <c r="D977" s="35" t="str">
        <f>IF(B977="","",IFERROR(INDEX(DM_SP!$C$5:$C$304,MATCH(B977,DM_SP!$A$5:$A$304,0)),""))</f>
        <v/>
      </c>
      <c r="E977" s="35" t="str">
        <f>IF(BOM!A971="","",BOM!B971)</f>
        <v/>
      </c>
      <c r="F977" s="35" t="str">
        <f>IF(E977="","",IFERROR(INDEX(DM_NL!$B$5:$B$304,MATCH(E977,DM_NL!$A$5:$A$304,0)),"(chưa có trong DM_NL)"))</f>
        <v/>
      </c>
      <c r="G977" s="35" t="str">
        <f>IF(E977="","",IFERROR(INDEX(DM_NL!$C$5:$C$304,MATCH(E977,DM_NL!$A$5:$A$304,0)),""))</f>
        <v/>
      </c>
      <c r="H977" s="39" t="str">
        <f>IF(OR(E977="",BOM!G971="KXDDM"),"",BOM!F971)</f>
        <v/>
      </c>
      <c r="I977" s="36" t="str">
        <f>IF(E977="","",BOM!G971&amp;"")</f>
        <v/>
      </c>
    </row>
    <row r="978" spans="1:9" x14ac:dyDescent="0.25">
      <c r="A978" s="36" t="str">
        <f>IF(B978="","",MAX($A$10:A977)+1)</f>
        <v/>
      </c>
      <c r="B978" s="35" t="str">
        <f>IF(BOM!A972="","",IF(BOM!A972=BOM!A971,"",BOM!A972))</f>
        <v/>
      </c>
      <c r="C978" s="35" t="str">
        <f>IF(B978="","",IFERROR(INDEX(DM_SP!$B$5:$B$304,MATCH(B978,DM_SP!$A$5:$A$304,0)),"(chưa có trong DM_SP)"))</f>
        <v/>
      </c>
      <c r="D978" s="35" t="str">
        <f>IF(B978="","",IFERROR(INDEX(DM_SP!$C$5:$C$304,MATCH(B978,DM_SP!$A$5:$A$304,0)),""))</f>
        <v/>
      </c>
      <c r="E978" s="35" t="str">
        <f>IF(BOM!A972="","",BOM!B972)</f>
        <v/>
      </c>
      <c r="F978" s="35" t="str">
        <f>IF(E978="","",IFERROR(INDEX(DM_NL!$B$5:$B$304,MATCH(E978,DM_NL!$A$5:$A$304,0)),"(chưa có trong DM_NL)"))</f>
        <v/>
      </c>
      <c r="G978" s="35" t="str">
        <f>IF(E978="","",IFERROR(INDEX(DM_NL!$C$5:$C$304,MATCH(E978,DM_NL!$A$5:$A$304,0)),""))</f>
        <v/>
      </c>
      <c r="H978" s="39" t="str">
        <f>IF(OR(E978="",BOM!G972="KXDDM"),"",BOM!F972)</f>
        <v/>
      </c>
      <c r="I978" s="36" t="str">
        <f>IF(E978="","",BOM!G972&amp;"")</f>
        <v/>
      </c>
    </row>
    <row r="979" spans="1:9" x14ac:dyDescent="0.25">
      <c r="A979" s="36" t="str">
        <f>IF(B979="","",MAX($A$10:A978)+1)</f>
        <v/>
      </c>
      <c r="B979" s="35" t="str">
        <f>IF(BOM!A973="","",IF(BOM!A973=BOM!A972,"",BOM!A973))</f>
        <v/>
      </c>
      <c r="C979" s="35" t="str">
        <f>IF(B979="","",IFERROR(INDEX(DM_SP!$B$5:$B$304,MATCH(B979,DM_SP!$A$5:$A$304,0)),"(chưa có trong DM_SP)"))</f>
        <v/>
      </c>
      <c r="D979" s="35" t="str">
        <f>IF(B979="","",IFERROR(INDEX(DM_SP!$C$5:$C$304,MATCH(B979,DM_SP!$A$5:$A$304,0)),""))</f>
        <v/>
      </c>
      <c r="E979" s="35" t="str">
        <f>IF(BOM!A973="","",BOM!B973)</f>
        <v/>
      </c>
      <c r="F979" s="35" t="str">
        <f>IF(E979="","",IFERROR(INDEX(DM_NL!$B$5:$B$304,MATCH(E979,DM_NL!$A$5:$A$304,0)),"(chưa có trong DM_NL)"))</f>
        <v/>
      </c>
      <c r="G979" s="35" t="str">
        <f>IF(E979="","",IFERROR(INDEX(DM_NL!$C$5:$C$304,MATCH(E979,DM_NL!$A$5:$A$304,0)),""))</f>
        <v/>
      </c>
      <c r="H979" s="39" t="str">
        <f>IF(OR(E979="",BOM!G973="KXDDM"),"",BOM!F973)</f>
        <v/>
      </c>
      <c r="I979" s="36" t="str">
        <f>IF(E979="","",BOM!G973&amp;"")</f>
        <v/>
      </c>
    </row>
    <row r="980" spans="1:9" x14ac:dyDescent="0.25">
      <c r="A980" s="36" t="str">
        <f>IF(B980="","",MAX($A$10:A979)+1)</f>
        <v/>
      </c>
      <c r="B980" s="35" t="str">
        <f>IF(BOM!A974="","",IF(BOM!A974=BOM!A973,"",BOM!A974))</f>
        <v/>
      </c>
      <c r="C980" s="35" t="str">
        <f>IF(B980="","",IFERROR(INDEX(DM_SP!$B$5:$B$304,MATCH(B980,DM_SP!$A$5:$A$304,0)),"(chưa có trong DM_SP)"))</f>
        <v/>
      </c>
      <c r="D980" s="35" t="str">
        <f>IF(B980="","",IFERROR(INDEX(DM_SP!$C$5:$C$304,MATCH(B980,DM_SP!$A$5:$A$304,0)),""))</f>
        <v/>
      </c>
      <c r="E980" s="35" t="str">
        <f>IF(BOM!A974="","",BOM!B974)</f>
        <v/>
      </c>
      <c r="F980" s="35" t="str">
        <f>IF(E980="","",IFERROR(INDEX(DM_NL!$B$5:$B$304,MATCH(E980,DM_NL!$A$5:$A$304,0)),"(chưa có trong DM_NL)"))</f>
        <v/>
      </c>
      <c r="G980" s="35" t="str">
        <f>IF(E980="","",IFERROR(INDEX(DM_NL!$C$5:$C$304,MATCH(E980,DM_NL!$A$5:$A$304,0)),""))</f>
        <v/>
      </c>
      <c r="H980" s="39" t="str">
        <f>IF(OR(E980="",BOM!G974="KXDDM"),"",BOM!F974)</f>
        <v/>
      </c>
      <c r="I980" s="36" t="str">
        <f>IF(E980="","",BOM!G974&amp;"")</f>
        <v/>
      </c>
    </row>
    <row r="981" spans="1:9" x14ac:dyDescent="0.25">
      <c r="A981" s="36" t="str">
        <f>IF(B981="","",MAX($A$10:A980)+1)</f>
        <v/>
      </c>
      <c r="B981" s="35" t="str">
        <f>IF(BOM!A975="","",IF(BOM!A975=BOM!A974,"",BOM!A975))</f>
        <v/>
      </c>
      <c r="C981" s="35" t="str">
        <f>IF(B981="","",IFERROR(INDEX(DM_SP!$B$5:$B$304,MATCH(B981,DM_SP!$A$5:$A$304,0)),"(chưa có trong DM_SP)"))</f>
        <v/>
      </c>
      <c r="D981" s="35" t="str">
        <f>IF(B981="","",IFERROR(INDEX(DM_SP!$C$5:$C$304,MATCH(B981,DM_SP!$A$5:$A$304,0)),""))</f>
        <v/>
      </c>
      <c r="E981" s="35" t="str">
        <f>IF(BOM!A975="","",BOM!B975)</f>
        <v/>
      </c>
      <c r="F981" s="35" t="str">
        <f>IF(E981="","",IFERROR(INDEX(DM_NL!$B$5:$B$304,MATCH(E981,DM_NL!$A$5:$A$304,0)),"(chưa có trong DM_NL)"))</f>
        <v/>
      </c>
      <c r="G981" s="35" t="str">
        <f>IF(E981="","",IFERROR(INDEX(DM_NL!$C$5:$C$304,MATCH(E981,DM_NL!$A$5:$A$304,0)),""))</f>
        <v/>
      </c>
      <c r="H981" s="39" t="str">
        <f>IF(OR(E981="",BOM!G975="KXDDM"),"",BOM!F975)</f>
        <v/>
      </c>
      <c r="I981" s="36" t="str">
        <f>IF(E981="","",BOM!G975&amp;"")</f>
        <v/>
      </c>
    </row>
    <row r="982" spans="1:9" x14ac:dyDescent="0.25">
      <c r="A982" s="36" t="str">
        <f>IF(B982="","",MAX($A$10:A981)+1)</f>
        <v/>
      </c>
      <c r="B982" s="35" t="str">
        <f>IF(BOM!A976="","",IF(BOM!A976=BOM!A975,"",BOM!A976))</f>
        <v/>
      </c>
      <c r="C982" s="35" t="str">
        <f>IF(B982="","",IFERROR(INDEX(DM_SP!$B$5:$B$304,MATCH(B982,DM_SP!$A$5:$A$304,0)),"(chưa có trong DM_SP)"))</f>
        <v/>
      </c>
      <c r="D982" s="35" t="str">
        <f>IF(B982="","",IFERROR(INDEX(DM_SP!$C$5:$C$304,MATCH(B982,DM_SP!$A$5:$A$304,0)),""))</f>
        <v/>
      </c>
      <c r="E982" s="35" t="str">
        <f>IF(BOM!A976="","",BOM!B976)</f>
        <v/>
      </c>
      <c r="F982" s="35" t="str">
        <f>IF(E982="","",IFERROR(INDEX(DM_NL!$B$5:$B$304,MATCH(E982,DM_NL!$A$5:$A$304,0)),"(chưa có trong DM_NL)"))</f>
        <v/>
      </c>
      <c r="G982" s="35" t="str">
        <f>IF(E982="","",IFERROR(INDEX(DM_NL!$C$5:$C$304,MATCH(E982,DM_NL!$A$5:$A$304,0)),""))</f>
        <v/>
      </c>
      <c r="H982" s="39" t="str">
        <f>IF(OR(E982="",BOM!G976="KXDDM"),"",BOM!F976)</f>
        <v/>
      </c>
      <c r="I982" s="36" t="str">
        <f>IF(E982="","",BOM!G976&amp;"")</f>
        <v/>
      </c>
    </row>
    <row r="983" spans="1:9" x14ac:dyDescent="0.25">
      <c r="A983" s="36" t="str">
        <f>IF(B983="","",MAX($A$10:A982)+1)</f>
        <v/>
      </c>
      <c r="B983" s="35" t="str">
        <f>IF(BOM!A977="","",IF(BOM!A977=BOM!A976,"",BOM!A977))</f>
        <v/>
      </c>
      <c r="C983" s="35" t="str">
        <f>IF(B983="","",IFERROR(INDEX(DM_SP!$B$5:$B$304,MATCH(B983,DM_SP!$A$5:$A$304,0)),"(chưa có trong DM_SP)"))</f>
        <v/>
      </c>
      <c r="D983" s="35" t="str">
        <f>IF(B983="","",IFERROR(INDEX(DM_SP!$C$5:$C$304,MATCH(B983,DM_SP!$A$5:$A$304,0)),""))</f>
        <v/>
      </c>
      <c r="E983" s="35" t="str">
        <f>IF(BOM!A977="","",BOM!B977)</f>
        <v/>
      </c>
      <c r="F983" s="35" t="str">
        <f>IF(E983="","",IFERROR(INDEX(DM_NL!$B$5:$B$304,MATCH(E983,DM_NL!$A$5:$A$304,0)),"(chưa có trong DM_NL)"))</f>
        <v/>
      </c>
      <c r="G983" s="35" t="str">
        <f>IF(E983="","",IFERROR(INDEX(DM_NL!$C$5:$C$304,MATCH(E983,DM_NL!$A$5:$A$304,0)),""))</f>
        <v/>
      </c>
      <c r="H983" s="39" t="str">
        <f>IF(OR(E983="",BOM!G977="KXDDM"),"",BOM!F977)</f>
        <v/>
      </c>
      <c r="I983" s="36" t="str">
        <f>IF(E983="","",BOM!G977&amp;"")</f>
        <v/>
      </c>
    </row>
    <row r="984" spans="1:9" x14ac:dyDescent="0.25">
      <c r="A984" s="36" t="str">
        <f>IF(B984="","",MAX($A$10:A983)+1)</f>
        <v/>
      </c>
      <c r="B984" s="35" t="str">
        <f>IF(BOM!A978="","",IF(BOM!A978=BOM!A977,"",BOM!A978))</f>
        <v/>
      </c>
      <c r="C984" s="35" t="str">
        <f>IF(B984="","",IFERROR(INDEX(DM_SP!$B$5:$B$304,MATCH(B984,DM_SP!$A$5:$A$304,0)),"(chưa có trong DM_SP)"))</f>
        <v/>
      </c>
      <c r="D984" s="35" t="str">
        <f>IF(B984="","",IFERROR(INDEX(DM_SP!$C$5:$C$304,MATCH(B984,DM_SP!$A$5:$A$304,0)),""))</f>
        <v/>
      </c>
      <c r="E984" s="35" t="str">
        <f>IF(BOM!A978="","",BOM!B978)</f>
        <v/>
      </c>
      <c r="F984" s="35" t="str">
        <f>IF(E984="","",IFERROR(INDEX(DM_NL!$B$5:$B$304,MATCH(E984,DM_NL!$A$5:$A$304,0)),"(chưa có trong DM_NL)"))</f>
        <v/>
      </c>
      <c r="G984" s="35" t="str">
        <f>IF(E984="","",IFERROR(INDEX(DM_NL!$C$5:$C$304,MATCH(E984,DM_NL!$A$5:$A$304,0)),""))</f>
        <v/>
      </c>
      <c r="H984" s="39" t="str">
        <f>IF(OR(E984="",BOM!G978="KXDDM"),"",BOM!F978)</f>
        <v/>
      </c>
      <c r="I984" s="36" t="str">
        <f>IF(E984="","",BOM!G978&amp;"")</f>
        <v/>
      </c>
    </row>
    <row r="985" spans="1:9" x14ac:dyDescent="0.25">
      <c r="A985" s="36" t="str">
        <f>IF(B985="","",MAX($A$10:A984)+1)</f>
        <v/>
      </c>
      <c r="B985" s="35" t="str">
        <f>IF(BOM!A979="","",IF(BOM!A979=BOM!A978,"",BOM!A979))</f>
        <v/>
      </c>
      <c r="C985" s="35" t="str">
        <f>IF(B985="","",IFERROR(INDEX(DM_SP!$B$5:$B$304,MATCH(B985,DM_SP!$A$5:$A$304,0)),"(chưa có trong DM_SP)"))</f>
        <v/>
      </c>
      <c r="D985" s="35" t="str">
        <f>IF(B985="","",IFERROR(INDEX(DM_SP!$C$5:$C$304,MATCH(B985,DM_SP!$A$5:$A$304,0)),""))</f>
        <v/>
      </c>
      <c r="E985" s="35" t="str">
        <f>IF(BOM!A979="","",BOM!B979)</f>
        <v/>
      </c>
      <c r="F985" s="35" t="str">
        <f>IF(E985="","",IFERROR(INDEX(DM_NL!$B$5:$B$304,MATCH(E985,DM_NL!$A$5:$A$304,0)),"(chưa có trong DM_NL)"))</f>
        <v/>
      </c>
      <c r="G985" s="35" t="str">
        <f>IF(E985="","",IFERROR(INDEX(DM_NL!$C$5:$C$304,MATCH(E985,DM_NL!$A$5:$A$304,0)),""))</f>
        <v/>
      </c>
      <c r="H985" s="39" t="str">
        <f>IF(OR(E985="",BOM!G979="KXDDM"),"",BOM!F979)</f>
        <v/>
      </c>
      <c r="I985" s="36" t="str">
        <f>IF(E985="","",BOM!G979&amp;"")</f>
        <v/>
      </c>
    </row>
    <row r="986" spans="1:9" x14ac:dyDescent="0.25">
      <c r="A986" s="36" t="str">
        <f>IF(B986="","",MAX($A$10:A985)+1)</f>
        <v/>
      </c>
      <c r="B986" s="35" t="str">
        <f>IF(BOM!A980="","",IF(BOM!A980=BOM!A979,"",BOM!A980))</f>
        <v/>
      </c>
      <c r="C986" s="35" t="str">
        <f>IF(B986="","",IFERROR(INDEX(DM_SP!$B$5:$B$304,MATCH(B986,DM_SP!$A$5:$A$304,0)),"(chưa có trong DM_SP)"))</f>
        <v/>
      </c>
      <c r="D986" s="35" t="str">
        <f>IF(B986="","",IFERROR(INDEX(DM_SP!$C$5:$C$304,MATCH(B986,DM_SP!$A$5:$A$304,0)),""))</f>
        <v/>
      </c>
      <c r="E986" s="35" t="str">
        <f>IF(BOM!A980="","",BOM!B980)</f>
        <v/>
      </c>
      <c r="F986" s="35" t="str">
        <f>IF(E986="","",IFERROR(INDEX(DM_NL!$B$5:$B$304,MATCH(E986,DM_NL!$A$5:$A$304,0)),"(chưa có trong DM_NL)"))</f>
        <v/>
      </c>
      <c r="G986" s="35" t="str">
        <f>IF(E986="","",IFERROR(INDEX(DM_NL!$C$5:$C$304,MATCH(E986,DM_NL!$A$5:$A$304,0)),""))</f>
        <v/>
      </c>
      <c r="H986" s="39" t="str">
        <f>IF(OR(E986="",BOM!G980="KXDDM"),"",BOM!F980)</f>
        <v/>
      </c>
      <c r="I986" s="36" t="str">
        <f>IF(E986="","",BOM!G980&amp;"")</f>
        <v/>
      </c>
    </row>
    <row r="987" spans="1:9" x14ac:dyDescent="0.25">
      <c r="A987" s="36" t="str">
        <f>IF(B987="","",MAX($A$10:A986)+1)</f>
        <v/>
      </c>
      <c r="B987" s="35" t="str">
        <f>IF(BOM!A981="","",IF(BOM!A981=BOM!A980,"",BOM!A981))</f>
        <v/>
      </c>
      <c r="C987" s="35" t="str">
        <f>IF(B987="","",IFERROR(INDEX(DM_SP!$B$5:$B$304,MATCH(B987,DM_SP!$A$5:$A$304,0)),"(chưa có trong DM_SP)"))</f>
        <v/>
      </c>
      <c r="D987" s="35" t="str">
        <f>IF(B987="","",IFERROR(INDEX(DM_SP!$C$5:$C$304,MATCH(B987,DM_SP!$A$5:$A$304,0)),""))</f>
        <v/>
      </c>
      <c r="E987" s="35" t="str">
        <f>IF(BOM!A981="","",BOM!B981)</f>
        <v/>
      </c>
      <c r="F987" s="35" t="str">
        <f>IF(E987="","",IFERROR(INDEX(DM_NL!$B$5:$B$304,MATCH(E987,DM_NL!$A$5:$A$304,0)),"(chưa có trong DM_NL)"))</f>
        <v/>
      </c>
      <c r="G987" s="35" t="str">
        <f>IF(E987="","",IFERROR(INDEX(DM_NL!$C$5:$C$304,MATCH(E987,DM_NL!$A$5:$A$304,0)),""))</f>
        <v/>
      </c>
      <c r="H987" s="39" t="str">
        <f>IF(OR(E987="",BOM!G981="KXDDM"),"",BOM!F981)</f>
        <v/>
      </c>
      <c r="I987" s="36" t="str">
        <f>IF(E987="","",BOM!G981&amp;"")</f>
        <v/>
      </c>
    </row>
    <row r="988" spans="1:9" x14ac:dyDescent="0.25">
      <c r="A988" s="36" t="str">
        <f>IF(B988="","",MAX($A$10:A987)+1)</f>
        <v/>
      </c>
      <c r="B988" s="35" t="str">
        <f>IF(BOM!A982="","",IF(BOM!A982=BOM!A981,"",BOM!A982))</f>
        <v/>
      </c>
      <c r="C988" s="35" t="str">
        <f>IF(B988="","",IFERROR(INDEX(DM_SP!$B$5:$B$304,MATCH(B988,DM_SP!$A$5:$A$304,0)),"(chưa có trong DM_SP)"))</f>
        <v/>
      </c>
      <c r="D988" s="35" t="str">
        <f>IF(B988="","",IFERROR(INDEX(DM_SP!$C$5:$C$304,MATCH(B988,DM_SP!$A$5:$A$304,0)),""))</f>
        <v/>
      </c>
      <c r="E988" s="35" t="str">
        <f>IF(BOM!A982="","",BOM!B982)</f>
        <v/>
      </c>
      <c r="F988" s="35" t="str">
        <f>IF(E988="","",IFERROR(INDEX(DM_NL!$B$5:$B$304,MATCH(E988,DM_NL!$A$5:$A$304,0)),"(chưa có trong DM_NL)"))</f>
        <v/>
      </c>
      <c r="G988" s="35" t="str">
        <f>IF(E988="","",IFERROR(INDEX(DM_NL!$C$5:$C$304,MATCH(E988,DM_NL!$A$5:$A$304,0)),""))</f>
        <v/>
      </c>
      <c r="H988" s="39" t="str">
        <f>IF(OR(E988="",BOM!G982="KXDDM"),"",BOM!F982)</f>
        <v/>
      </c>
      <c r="I988" s="36" t="str">
        <f>IF(E988="","",BOM!G982&amp;"")</f>
        <v/>
      </c>
    </row>
    <row r="989" spans="1:9" x14ac:dyDescent="0.25">
      <c r="A989" s="36" t="str">
        <f>IF(B989="","",MAX($A$10:A988)+1)</f>
        <v/>
      </c>
      <c r="B989" s="35" t="str">
        <f>IF(BOM!A983="","",IF(BOM!A983=BOM!A982,"",BOM!A983))</f>
        <v/>
      </c>
      <c r="C989" s="35" t="str">
        <f>IF(B989="","",IFERROR(INDEX(DM_SP!$B$5:$B$304,MATCH(B989,DM_SP!$A$5:$A$304,0)),"(chưa có trong DM_SP)"))</f>
        <v/>
      </c>
      <c r="D989" s="35" t="str">
        <f>IF(B989="","",IFERROR(INDEX(DM_SP!$C$5:$C$304,MATCH(B989,DM_SP!$A$5:$A$304,0)),""))</f>
        <v/>
      </c>
      <c r="E989" s="35" t="str">
        <f>IF(BOM!A983="","",BOM!B983)</f>
        <v/>
      </c>
      <c r="F989" s="35" t="str">
        <f>IF(E989="","",IFERROR(INDEX(DM_NL!$B$5:$B$304,MATCH(E989,DM_NL!$A$5:$A$304,0)),"(chưa có trong DM_NL)"))</f>
        <v/>
      </c>
      <c r="G989" s="35" t="str">
        <f>IF(E989="","",IFERROR(INDEX(DM_NL!$C$5:$C$304,MATCH(E989,DM_NL!$A$5:$A$304,0)),""))</f>
        <v/>
      </c>
      <c r="H989" s="39" t="str">
        <f>IF(OR(E989="",BOM!G983="KXDDM"),"",BOM!F983)</f>
        <v/>
      </c>
      <c r="I989" s="36" t="str">
        <f>IF(E989="","",BOM!G983&amp;"")</f>
        <v/>
      </c>
    </row>
    <row r="990" spans="1:9" x14ac:dyDescent="0.25">
      <c r="A990" s="36" t="str">
        <f>IF(B990="","",MAX($A$10:A989)+1)</f>
        <v/>
      </c>
      <c r="B990" s="35" t="str">
        <f>IF(BOM!A984="","",IF(BOM!A984=BOM!A983,"",BOM!A984))</f>
        <v/>
      </c>
      <c r="C990" s="35" t="str">
        <f>IF(B990="","",IFERROR(INDEX(DM_SP!$B$5:$B$304,MATCH(B990,DM_SP!$A$5:$A$304,0)),"(chưa có trong DM_SP)"))</f>
        <v/>
      </c>
      <c r="D990" s="35" t="str">
        <f>IF(B990="","",IFERROR(INDEX(DM_SP!$C$5:$C$304,MATCH(B990,DM_SP!$A$5:$A$304,0)),""))</f>
        <v/>
      </c>
      <c r="E990" s="35" t="str">
        <f>IF(BOM!A984="","",BOM!B984)</f>
        <v/>
      </c>
      <c r="F990" s="35" t="str">
        <f>IF(E990="","",IFERROR(INDEX(DM_NL!$B$5:$B$304,MATCH(E990,DM_NL!$A$5:$A$304,0)),"(chưa có trong DM_NL)"))</f>
        <v/>
      </c>
      <c r="G990" s="35" t="str">
        <f>IF(E990="","",IFERROR(INDEX(DM_NL!$C$5:$C$304,MATCH(E990,DM_NL!$A$5:$A$304,0)),""))</f>
        <v/>
      </c>
      <c r="H990" s="39" t="str">
        <f>IF(OR(E990="",BOM!G984="KXDDM"),"",BOM!F984)</f>
        <v/>
      </c>
      <c r="I990" s="36" t="str">
        <f>IF(E990="","",BOM!G984&amp;"")</f>
        <v/>
      </c>
    </row>
    <row r="991" spans="1:9" x14ac:dyDescent="0.25">
      <c r="A991" s="36" t="str">
        <f>IF(B991="","",MAX($A$10:A990)+1)</f>
        <v/>
      </c>
      <c r="B991" s="35" t="str">
        <f>IF(BOM!A985="","",IF(BOM!A985=BOM!A984,"",BOM!A985))</f>
        <v/>
      </c>
      <c r="C991" s="35" t="str">
        <f>IF(B991="","",IFERROR(INDEX(DM_SP!$B$5:$B$304,MATCH(B991,DM_SP!$A$5:$A$304,0)),"(chưa có trong DM_SP)"))</f>
        <v/>
      </c>
      <c r="D991" s="35" t="str">
        <f>IF(B991="","",IFERROR(INDEX(DM_SP!$C$5:$C$304,MATCH(B991,DM_SP!$A$5:$A$304,0)),""))</f>
        <v/>
      </c>
      <c r="E991" s="35" t="str">
        <f>IF(BOM!A985="","",BOM!B985)</f>
        <v/>
      </c>
      <c r="F991" s="35" t="str">
        <f>IF(E991="","",IFERROR(INDEX(DM_NL!$B$5:$B$304,MATCH(E991,DM_NL!$A$5:$A$304,0)),"(chưa có trong DM_NL)"))</f>
        <v/>
      </c>
      <c r="G991" s="35" t="str">
        <f>IF(E991="","",IFERROR(INDEX(DM_NL!$C$5:$C$304,MATCH(E991,DM_NL!$A$5:$A$304,0)),""))</f>
        <v/>
      </c>
      <c r="H991" s="39" t="str">
        <f>IF(OR(E991="",BOM!G985="KXDDM"),"",BOM!F985)</f>
        <v/>
      </c>
      <c r="I991" s="36" t="str">
        <f>IF(E991="","",BOM!G985&amp;"")</f>
        <v/>
      </c>
    </row>
    <row r="992" spans="1:9" x14ac:dyDescent="0.25">
      <c r="A992" s="36" t="str">
        <f>IF(B992="","",MAX($A$10:A991)+1)</f>
        <v/>
      </c>
      <c r="B992" s="35" t="str">
        <f>IF(BOM!A986="","",IF(BOM!A986=BOM!A985,"",BOM!A986))</f>
        <v/>
      </c>
      <c r="C992" s="35" t="str">
        <f>IF(B992="","",IFERROR(INDEX(DM_SP!$B$5:$B$304,MATCH(B992,DM_SP!$A$5:$A$304,0)),"(chưa có trong DM_SP)"))</f>
        <v/>
      </c>
      <c r="D992" s="35" t="str">
        <f>IF(B992="","",IFERROR(INDEX(DM_SP!$C$5:$C$304,MATCH(B992,DM_SP!$A$5:$A$304,0)),""))</f>
        <v/>
      </c>
      <c r="E992" s="35" t="str">
        <f>IF(BOM!A986="","",BOM!B986)</f>
        <v/>
      </c>
      <c r="F992" s="35" t="str">
        <f>IF(E992="","",IFERROR(INDEX(DM_NL!$B$5:$B$304,MATCH(E992,DM_NL!$A$5:$A$304,0)),"(chưa có trong DM_NL)"))</f>
        <v/>
      </c>
      <c r="G992" s="35" t="str">
        <f>IF(E992="","",IFERROR(INDEX(DM_NL!$C$5:$C$304,MATCH(E992,DM_NL!$A$5:$A$304,0)),""))</f>
        <v/>
      </c>
      <c r="H992" s="39" t="str">
        <f>IF(OR(E992="",BOM!G986="KXDDM"),"",BOM!F986)</f>
        <v/>
      </c>
      <c r="I992" s="36" t="str">
        <f>IF(E992="","",BOM!G986&amp;"")</f>
        <v/>
      </c>
    </row>
    <row r="993" spans="1:9" x14ac:dyDescent="0.25">
      <c r="A993" s="36" t="str">
        <f>IF(B993="","",MAX($A$10:A992)+1)</f>
        <v/>
      </c>
      <c r="B993" s="35" t="str">
        <f>IF(BOM!A987="","",IF(BOM!A987=BOM!A986,"",BOM!A987))</f>
        <v/>
      </c>
      <c r="C993" s="35" t="str">
        <f>IF(B993="","",IFERROR(INDEX(DM_SP!$B$5:$B$304,MATCH(B993,DM_SP!$A$5:$A$304,0)),"(chưa có trong DM_SP)"))</f>
        <v/>
      </c>
      <c r="D993" s="35" t="str">
        <f>IF(B993="","",IFERROR(INDEX(DM_SP!$C$5:$C$304,MATCH(B993,DM_SP!$A$5:$A$304,0)),""))</f>
        <v/>
      </c>
      <c r="E993" s="35" t="str">
        <f>IF(BOM!A987="","",BOM!B987)</f>
        <v/>
      </c>
      <c r="F993" s="35" t="str">
        <f>IF(E993="","",IFERROR(INDEX(DM_NL!$B$5:$B$304,MATCH(E993,DM_NL!$A$5:$A$304,0)),"(chưa có trong DM_NL)"))</f>
        <v/>
      </c>
      <c r="G993" s="35" t="str">
        <f>IF(E993="","",IFERROR(INDEX(DM_NL!$C$5:$C$304,MATCH(E993,DM_NL!$A$5:$A$304,0)),""))</f>
        <v/>
      </c>
      <c r="H993" s="39" t="str">
        <f>IF(OR(E993="",BOM!G987="KXDDM"),"",BOM!F987)</f>
        <v/>
      </c>
      <c r="I993" s="36" t="str">
        <f>IF(E993="","",BOM!G987&amp;"")</f>
        <v/>
      </c>
    </row>
    <row r="994" spans="1:9" x14ac:dyDescent="0.25">
      <c r="A994" s="36" t="str">
        <f>IF(B994="","",MAX($A$10:A993)+1)</f>
        <v/>
      </c>
      <c r="B994" s="35" t="str">
        <f>IF(BOM!A988="","",IF(BOM!A988=BOM!A987,"",BOM!A988))</f>
        <v/>
      </c>
      <c r="C994" s="35" t="str">
        <f>IF(B994="","",IFERROR(INDEX(DM_SP!$B$5:$B$304,MATCH(B994,DM_SP!$A$5:$A$304,0)),"(chưa có trong DM_SP)"))</f>
        <v/>
      </c>
      <c r="D994" s="35" t="str">
        <f>IF(B994="","",IFERROR(INDEX(DM_SP!$C$5:$C$304,MATCH(B994,DM_SP!$A$5:$A$304,0)),""))</f>
        <v/>
      </c>
      <c r="E994" s="35" t="str">
        <f>IF(BOM!A988="","",BOM!B988)</f>
        <v/>
      </c>
      <c r="F994" s="35" t="str">
        <f>IF(E994="","",IFERROR(INDEX(DM_NL!$B$5:$B$304,MATCH(E994,DM_NL!$A$5:$A$304,0)),"(chưa có trong DM_NL)"))</f>
        <v/>
      </c>
      <c r="G994" s="35" t="str">
        <f>IF(E994="","",IFERROR(INDEX(DM_NL!$C$5:$C$304,MATCH(E994,DM_NL!$A$5:$A$304,0)),""))</f>
        <v/>
      </c>
      <c r="H994" s="39" t="str">
        <f>IF(OR(E994="",BOM!G988="KXDDM"),"",BOM!F988)</f>
        <v/>
      </c>
      <c r="I994" s="36" t="str">
        <f>IF(E994="","",BOM!G988&amp;"")</f>
        <v/>
      </c>
    </row>
    <row r="995" spans="1:9" x14ac:dyDescent="0.25">
      <c r="A995" s="36" t="str">
        <f>IF(B995="","",MAX($A$10:A994)+1)</f>
        <v/>
      </c>
      <c r="B995" s="35" t="str">
        <f>IF(BOM!A989="","",IF(BOM!A989=BOM!A988,"",BOM!A989))</f>
        <v/>
      </c>
      <c r="C995" s="35" t="str">
        <f>IF(B995="","",IFERROR(INDEX(DM_SP!$B$5:$B$304,MATCH(B995,DM_SP!$A$5:$A$304,0)),"(chưa có trong DM_SP)"))</f>
        <v/>
      </c>
      <c r="D995" s="35" t="str">
        <f>IF(B995="","",IFERROR(INDEX(DM_SP!$C$5:$C$304,MATCH(B995,DM_SP!$A$5:$A$304,0)),""))</f>
        <v/>
      </c>
      <c r="E995" s="35" t="str">
        <f>IF(BOM!A989="","",BOM!B989)</f>
        <v/>
      </c>
      <c r="F995" s="35" t="str">
        <f>IF(E995="","",IFERROR(INDEX(DM_NL!$B$5:$B$304,MATCH(E995,DM_NL!$A$5:$A$304,0)),"(chưa có trong DM_NL)"))</f>
        <v/>
      </c>
      <c r="G995" s="35" t="str">
        <f>IF(E995="","",IFERROR(INDEX(DM_NL!$C$5:$C$304,MATCH(E995,DM_NL!$A$5:$A$304,0)),""))</f>
        <v/>
      </c>
      <c r="H995" s="39" t="str">
        <f>IF(OR(E995="",BOM!G989="KXDDM"),"",BOM!F989)</f>
        <v/>
      </c>
      <c r="I995" s="36" t="str">
        <f>IF(E995="","",BOM!G989&amp;"")</f>
        <v/>
      </c>
    </row>
    <row r="996" spans="1:9" x14ac:dyDescent="0.25">
      <c r="A996" s="36" t="str">
        <f>IF(B996="","",MAX($A$10:A995)+1)</f>
        <v/>
      </c>
      <c r="B996" s="35" t="str">
        <f>IF(BOM!A990="","",IF(BOM!A990=BOM!A989,"",BOM!A990))</f>
        <v/>
      </c>
      <c r="C996" s="35" t="str">
        <f>IF(B996="","",IFERROR(INDEX(DM_SP!$B$5:$B$304,MATCH(B996,DM_SP!$A$5:$A$304,0)),"(chưa có trong DM_SP)"))</f>
        <v/>
      </c>
      <c r="D996" s="35" t="str">
        <f>IF(B996="","",IFERROR(INDEX(DM_SP!$C$5:$C$304,MATCH(B996,DM_SP!$A$5:$A$304,0)),""))</f>
        <v/>
      </c>
      <c r="E996" s="35" t="str">
        <f>IF(BOM!A990="","",BOM!B990)</f>
        <v/>
      </c>
      <c r="F996" s="35" t="str">
        <f>IF(E996="","",IFERROR(INDEX(DM_NL!$B$5:$B$304,MATCH(E996,DM_NL!$A$5:$A$304,0)),"(chưa có trong DM_NL)"))</f>
        <v/>
      </c>
      <c r="G996" s="35" t="str">
        <f>IF(E996="","",IFERROR(INDEX(DM_NL!$C$5:$C$304,MATCH(E996,DM_NL!$A$5:$A$304,0)),""))</f>
        <v/>
      </c>
      <c r="H996" s="39" t="str">
        <f>IF(OR(E996="",BOM!G990="KXDDM"),"",BOM!F990)</f>
        <v/>
      </c>
      <c r="I996" s="36" t="str">
        <f>IF(E996="","",BOM!G990&amp;"")</f>
        <v/>
      </c>
    </row>
    <row r="997" spans="1:9" x14ac:dyDescent="0.25">
      <c r="A997" s="36" t="str">
        <f>IF(B997="","",MAX($A$10:A996)+1)</f>
        <v/>
      </c>
      <c r="B997" s="35" t="str">
        <f>IF(BOM!A991="","",IF(BOM!A991=BOM!A990,"",BOM!A991))</f>
        <v/>
      </c>
      <c r="C997" s="35" t="str">
        <f>IF(B997="","",IFERROR(INDEX(DM_SP!$B$5:$B$304,MATCH(B997,DM_SP!$A$5:$A$304,0)),"(chưa có trong DM_SP)"))</f>
        <v/>
      </c>
      <c r="D997" s="35" t="str">
        <f>IF(B997="","",IFERROR(INDEX(DM_SP!$C$5:$C$304,MATCH(B997,DM_SP!$A$5:$A$304,0)),""))</f>
        <v/>
      </c>
      <c r="E997" s="35" t="str">
        <f>IF(BOM!A991="","",BOM!B991)</f>
        <v/>
      </c>
      <c r="F997" s="35" t="str">
        <f>IF(E997="","",IFERROR(INDEX(DM_NL!$B$5:$B$304,MATCH(E997,DM_NL!$A$5:$A$304,0)),"(chưa có trong DM_NL)"))</f>
        <v/>
      </c>
      <c r="G997" s="35" t="str">
        <f>IF(E997="","",IFERROR(INDEX(DM_NL!$C$5:$C$304,MATCH(E997,DM_NL!$A$5:$A$304,0)),""))</f>
        <v/>
      </c>
      <c r="H997" s="39" t="str">
        <f>IF(OR(E997="",BOM!G991="KXDDM"),"",BOM!F991)</f>
        <v/>
      </c>
      <c r="I997" s="36" t="str">
        <f>IF(E997="","",BOM!G991&amp;"")</f>
        <v/>
      </c>
    </row>
    <row r="998" spans="1:9" x14ac:dyDescent="0.25">
      <c r="A998" s="36" t="str">
        <f>IF(B998="","",MAX($A$10:A997)+1)</f>
        <v/>
      </c>
      <c r="B998" s="35" t="str">
        <f>IF(BOM!A992="","",IF(BOM!A992=BOM!A991,"",BOM!A992))</f>
        <v/>
      </c>
      <c r="C998" s="35" t="str">
        <f>IF(B998="","",IFERROR(INDEX(DM_SP!$B$5:$B$304,MATCH(B998,DM_SP!$A$5:$A$304,0)),"(chưa có trong DM_SP)"))</f>
        <v/>
      </c>
      <c r="D998" s="35" t="str">
        <f>IF(B998="","",IFERROR(INDEX(DM_SP!$C$5:$C$304,MATCH(B998,DM_SP!$A$5:$A$304,0)),""))</f>
        <v/>
      </c>
      <c r="E998" s="35" t="str">
        <f>IF(BOM!A992="","",BOM!B992)</f>
        <v/>
      </c>
      <c r="F998" s="35" t="str">
        <f>IF(E998="","",IFERROR(INDEX(DM_NL!$B$5:$B$304,MATCH(E998,DM_NL!$A$5:$A$304,0)),"(chưa có trong DM_NL)"))</f>
        <v/>
      </c>
      <c r="G998" s="35" t="str">
        <f>IF(E998="","",IFERROR(INDEX(DM_NL!$C$5:$C$304,MATCH(E998,DM_NL!$A$5:$A$304,0)),""))</f>
        <v/>
      </c>
      <c r="H998" s="39" t="str">
        <f>IF(OR(E998="",BOM!G992="KXDDM"),"",BOM!F992)</f>
        <v/>
      </c>
      <c r="I998" s="36" t="str">
        <f>IF(E998="","",BOM!G992&amp;"")</f>
        <v/>
      </c>
    </row>
    <row r="999" spans="1:9" x14ac:dyDescent="0.25">
      <c r="A999" s="36" t="str">
        <f>IF(B999="","",MAX($A$10:A998)+1)</f>
        <v/>
      </c>
      <c r="B999" s="35" t="str">
        <f>IF(BOM!A993="","",IF(BOM!A993=BOM!A992,"",BOM!A993))</f>
        <v/>
      </c>
      <c r="C999" s="35" t="str">
        <f>IF(B999="","",IFERROR(INDEX(DM_SP!$B$5:$B$304,MATCH(B999,DM_SP!$A$5:$A$304,0)),"(chưa có trong DM_SP)"))</f>
        <v/>
      </c>
      <c r="D999" s="35" t="str">
        <f>IF(B999="","",IFERROR(INDEX(DM_SP!$C$5:$C$304,MATCH(B999,DM_SP!$A$5:$A$304,0)),""))</f>
        <v/>
      </c>
      <c r="E999" s="35" t="str">
        <f>IF(BOM!A993="","",BOM!B993)</f>
        <v/>
      </c>
      <c r="F999" s="35" t="str">
        <f>IF(E999="","",IFERROR(INDEX(DM_NL!$B$5:$B$304,MATCH(E999,DM_NL!$A$5:$A$304,0)),"(chưa có trong DM_NL)"))</f>
        <v/>
      </c>
      <c r="G999" s="35" t="str">
        <f>IF(E999="","",IFERROR(INDEX(DM_NL!$C$5:$C$304,MATCH(E999,DM_NL!$A$5:$A$304,0)),""))</f>
        <v/>
      </c>
      <c r="H999" s="39" t="str">
        <f>IF(OR(E999="",BOM!G993="KXDDM"),"",BOM!F993)</f>
        <v/>
      </c>
      <c r="I999" s="36" t="str">
        <f>IF(E999="","",BOM!G993&amp;"")</f>
        <v/>
      </c>
    </row>
    <row r="1000" spans="1:9" x14ac:dyDescent="0.25">
      <c r="A1000" s="36" t="str">
        <f>IF(B1000="","",MAX($A$10:A999)+1)</f>
        <v/>
      </c>
      <c r="B1000" s="35" t="str">
        <f>IF(BOM!A994="","",IF(BOM!A994=BOM!A993,"",BOM!A994))</f>
        <v/>
      </c>
      <c r="C1000" s="35" t="str">
        <f>IF(B1000="","",IFERROR(INDEX(DM_SP!$B$5:$B$304,MATCH(B1000,DM_SP!$A$5:$A$304,0)),"(chưa có trong DM_SP)"))</f>
        <v/>
      </c>
      <c r="D1000" s="35" t="str">
        <f>IF(B1000="","",IFERROR(INDEX(DM_SP!$C$5:$C$304,MATCH(B1000,DM_SP!$A$5:$A$304,0)),""))</f>
        <v/>
      </c>
      <c r="E1000" s="35" t="str">
        <f>IF(BOM!A994="","",BOM!B994)</f>
        <v/>
      </c>
      <c r="F1000" s="35" t="str">
        <f>IF(E1000="","",IFERROR(INDEX(DM_NL!$B$5:$B$304,MATCH(E1000,DM_NL!$A$5:$A$304,0)),"(chưa có trong DM_NL)"))</f>
        <v/>
      </c>
      <c r="G1000" s="35" t="str">
        <f>IF(E1000="","",IFERROR(INDEX(DM_NL!$C$5:$C$304,MATCH(E1000,DM_NL!$A$5:$A$304,0)),""))</f>
        <v/>
      </c>
      <c r="H1000" s="39" t="str">
        <f>IF(OR(E1000="",BOM!G994="KXDDM"),"",BOM!F994)</f>
        <v/>
      </c>
      <c r="I1000" s="36" t="str">
        <f>IF(E1000="","",BOM!G994&amp;"")</f>
        <v/>
      </c>
    </row>
    <row r="1001" spans="1:9" x14ac:dyDescent="0.25">
      <c r="A1001" s="36" t="str">
        <f>IF(B1001="","",MAX($A$10:A1000)+1)</f>
        <v/>
      </c>
      <c r="B1001" s="35" t="str">
        <f>IF(BOM!A995="","",IF(BOM!A995=BOM!A994,"",BOM!A995))</f>
        <v/>
      </c>
      <c r="C1001" s="35" t="str">
        <f>IF(B1001="","",IFERROR(INDEX(DM_SP!$B$5:$B$304,MATCH(B1001,DM_SP!$A$5:$A$304,0)),"(chưa có trong DM_SP)"))</f>
        <v/>
      </c>
      <c r="D1001" s="35" t="str">
        <f>IF(B1001="","",IFERROR(INDEX(DM_SP!$C$5:$C$304,MATCH(B1001,DM_SP!$A$5:$A$304,0)),""))</f>
        <v/>
      </c>
      <c r="E1001" s="35" t="str">
        <f>IF(BOM!A995="","",BOM!B995)</f>
        <v/>
      </c>
      <c r="F1001" s="35" t="str">
        <f>IF(E1001="","",IFERROR(INDEX(DM_NL!$B$5:$B$304,MATCH(E1001,DM_NL!$A$5:$A$304,0)),"(chưa có trong DM_NL)"))</f>
        <v/>
      </c>
      <c r="G1001" s="35" t="str">
        <f>IF(E1001="","",IFERROR(INDEX(DM_NL!$C$5:$C$304,MATCH(E1001,DM_NL!$A$5:$A$304,0)),""))</f>
        <v/>
      </c>
      <c r="H1001" s="39" t="str">
        <f>IF(OR(E1001="",BOM!G995="KXDDM"),"",BOM!F995)</f>
        <v/>
      </c>
      <c r="I1001" s="36" t="str">
        <f>IF(E1001="","",BOM!G995&amp;"")</f>
        <v/>
      </c>
    </row>
    <row r="1002" spans="1:9" x14ac:dyDescent="0.25">
      <c r="A1002" s="36" t="str">
        <f>IF(B1002="","",MAX($A$10:A1001)+1)</f>
        <v/>
      </c>
      <c r="B1002" s="35" t="str">
        <f>IF(BOM!A996="","",IF(BOM!A996=BOM!A995,"",BOM!A996))</f>
        <v/>
      </c>
      <c r="C1002" s="35" t="str">
        <f>IF(B1002="","",IFERROR(INDEX(DM_SP!$B$5:$B$304,MATCH(B1002,DM_SP!$A$5:$A$304,0)),"(chưa có trong DM_SP)"))</f>
        <v/>
      </c>
      <c r="D1002" s="35" t="str">
        <f>IF(B1002="","",IFERROR(INDEX(DM_SP!$C$5:$C$304,MATCH(B1002,DM_SP!$A$5:$A$304,0)),""))</f>
        <v/>
      </c>
      <c r="E1002" s="35" t="str">
        <f>IF(BOM!A996="","",BOM!B996)</f>
        <v/>
      </c>
      <c r="F1002" s="35" t="str">
        <f>IF(E1002="","",IFERROR(INDEX(DM_NL!$B$5:$B$304,MATCH(E1002,DM_NL!$A$5:$A$304,0)),"(chưa có trong DM_NL)"))</f>
        <v/>
      </c>
      <c r="G1002" s="35" t="str">
        <f>IF(E1002="","",IFERROR(INDEX(DM_NL!$C$5:$C$304,MATCH(E1002,DM_NL!$A$5:$A$304,0)),""))</f>
        <v/>
      </c>
      <c r="H1002" s="39" t="str">
        <f>IF(OR(E1002="",BOM!G996="KXDDM"),"",BOM!F996)</f>
        <v/>
      </c>
      <c r="I1002" s="36" t="str">
        <f>IF(E1002="","",BOM!G996&amp;"")</f>
        <v/>
      </c>
    </row>
    <row r="1003" spans="1:9" x14ac:dyDescent="0.25">
      <c r="A1003" s="36" t="str">
        <f>IF(B1003="","",MAX($A$10:A1002)+1)</f>
        <v/>
      </c>
      <c r="B1003" s="35" t="str">
        <f>IF(BOM!A997="","",IF(BOM!A997=BOM!A996,"",BOM!A997))</f>
        <v/>
      </c>
      <c r="C1003" s="35" t="str">
        <f>IF(B1003="","",IFERROR(INDEX(DM_SP!$B$5:$B$304,MATCH(B1003,DM_SP!$A$5:$A$304,0)),"(chưa có trong DM_SP)"))</f>
        <v/>
      </c>
      <c r="D1003" s="35" t="str">
        <f>IF(B1003="","",IFERROR(INDEX(DM_SP!$C$5:$C$304,MATCH(B1003,DM_SP!$A$5:$A$304,0)),""))</f>
        <v/>
      </c>
      <c r="E1003" s="35" t="str">
        <f>IF(BOM!A997="","",BOM!B997)</f>
        <v/>
      </c>
      <c r="F1003" s="35" t="str">
        <f>IF(E1003="","",IFERROR(INDEX(DM_NL!$B$5:$B$304,MATCH(E1003,DM_NL!$A$5:$A$304,0)),"(chưa có trong DM_NL)"))</f>
        <v/>
      </c>
      <c r="G1003" s="35" t="str">
        <f>IF(E1003="","",IFERROR(INDEX(DM_NL!$C$5:$C$304,MATCH(E1003,DM_NL!$A$5:$A$304,0)),""))</f>
        <v/>
      </c>
      <c r="H1003" s="39" t="str">
        <f>IF(OR(E1003="",BOM!G997="KXDDM"),"",BOM!F997)</f>
        <v/>
      </c>
      <c r="I1003" s="36" t="str">
        <f>IF(E1003="","",BOM!G997&amp;"")</f>
        <v/>
      </c>
    </row>
    <row r="1004" spans="1:9" x14ac:dyDescent="0.25">
      <c r="A1004" s="36" t="str">
        <f>IF(B1004="","",MAX($A$10:A1003)+1)</f>
        <v/>
      </c>
      <c r="B1004" s="35" t="str">
        <f>IF(BOM!A998="","",IF(BOM!A998=BOM!A997,"",BOM!A998))</f>
        <v/>
      </c>
      <c r="C1004" s="35" t="str">
        <f>IF(B1004="","",IFERROR(INDEX(DM_SP!$B$5:$B$304,MATCH(B1004,DM_SP!$A$5:$A$304,0)),"(chưa có trong DM_SP)"))</f>
        <v/>
      </c>
      <c r="D1004" s="35" t="str">
        <f>IF(B1004="","",IFERROR(INDEX(DM_SP!$C$5:$C$304,MATCH(B1004,DM_SP!$A$5:$A$304,0)),""))</f>
        <v/>
      </c>
      <c r="E1004" s="35" t="str">
        <f>IF(BOM!A998="","",BOM!B998)</f>
        <v/>
      </c>
      <c r="F1004" s="35" t="str">
        <f>IF(E1004="","",IFERROR(INDEX(DM_NL!$B$5:$B$304,MATCH(E1004,DM_NL!$A$5:$A$304,0)),"(chưa có trong DM_NL)"))</f>
        <v/>
      </c>
      <c r="G1004" s="35" t="str">
        <f>IF(E1004="","",IFERROR(INDEX(DM_NL!$C$5:$C$304,MATCH(E1004,DM_NL!$A$5:$A$304,0)),""))</f>
        <v/>
      </c>
      <c r="H1004" s="39" t="str">
        <f>IF(OR(E1004="",BOM!G998="KXDDM"),"",BOM!F998)</f>
        <v/>
      </c>
      <c r="I1004" s="36" t="str">
        <f>IF(E1004="","",BOM!G998&amp;"")</f>
        <v/>
      </c>
    </row>
    <row r="1005" spans="1:9" x14ac:dyDescent="0.25">
      <c r="A1005" s="36" t="str">
        <f>IF(B1005="","",MAX($A$10:A1004)+1)</f>
        <v/>
      </c>
      <c r="B1005" s="35" t="str">
        <f>IF(BOM!A999="","",IF(BOM!A999=BOM!A998,"",BOM!A999))</f>
        <v/>
      </c>
      <c r="C1005" s="35" t="str">
        <f>IF(B1005="","",IFERROR(INDEX(DM_SP!$B$5:$B$304,MATCH(B1005,DM_SP!$A$5:$A$304,0)),"(chưa có trong DM_SP)"))</f>
        <v/>
      </c>
      <c r="D1005" s="35" t="str">
        <f>IF(B1005="","",IFERROR(INDEX(DM_SP!$C$5:$C$304,MATCH(B1005,DM_SP!$A$5:$A$304,0)),""))</f>
        <v/>
      </c>
      <c r="E1005" s="35" t="str">
        <f>IF(BOM!A999="","",BOM!B999)</f>
        <v/>
      </c>
      <c r="F1005" s="35" t="str">
        <f>IF(E1005="","",IFERROR(INDEX(DM_NL!$B$5:$B$304,MATCH(E1005,DM_NL!$A$5:$A$304,0)),"(chưa có trong DM_NL)"))</f>
        <v/>
      </c>
      <c r="G1005" s="35" t="str">
        <f>IF(E1005="","",IFERROR(INDEX(DM_NL!$C$5:$C$304,MATCH(E1005,DM_NL!$A$5:$A$304,0)),""))</f>
        <v/>
      </c>
      <c r="H1005" s="39" t="str">
        <f>IF(OR(E1005="",BOM!G999="KXDDM"),"",BOM!F999)</f>
        <v/>
      </c>
      <c r="I1005" s="36" t="str">
        <f>IF(E1005="","",BOM!G999&amp;"")</f>
        <v/>
      </c>
    </row>
    <row r="1006" spans="1:9" x14ac:dyDescent="0.25">
      <c r="A1006" s="36" t="str">
        <f>IF(B1006="","",MAX($A$10:A1005)+1)</f>
        <v/>
      </c>
      <c r="B1006" s="35" t="str">
        <f>IF(BOM!A1000="","",IF(BOM!A1000=BOM!A999,"",BOM!A1000))</f>
        <v/>
      </c>
      <c r="C1006" s="35" t="str">
        <f>IF(B1006="","",IFERROR(INDEX(DM_SP!$B$5:$B$304,MATCH(B1006,DM_SP!$A$5:$A$304,0)),"(chưa có trong DM_SP)"))</f>
        <v/>
      </c>
      <c r="D1006" s="35" t="str">
        <f>IF(B1006="","",IFERROR(INDEX(DM_SP!$C$5:$C$304,MATCH(B1006,DM_SP!$A$5:$A$304,0)),""))</f>
        <v/>
      </c>
      <c r="E1006" s="35" t="str">
        <f>IF(BOM!A1000="","",BOM!B1000)</f>
        <v/>
      </c>
      <c r="F1006" s="35" t="str">
        <f>IF(E1006="","",IFERROR(INDEX(DM_NL!$B$5:$B$304,MATCH(E1006,DM_NL!$A$5:$A$304,0)),"(chưa có trong DM_NL)"))</f>
        <v/>
      </c>
      <c r="G1006" s="35" t="str">
        <f>IF(E1006="","",IFERROR(INDEX(DM_NL!$C$5:$C$304,MATCH(E1006,DM_NL!$A$5:$A$304,0)),""))</f>
        <v/>
      </c>
      <c r="H1006" s="39" t="str">
        <f>IF(OR(E1006="",BOM!G1000="KXDDM"),"",BOM!F1000)</f>
        <v/>
      </c>
      <c r="I1006" s="36" t="str">
        <f>IF(E1006="","",BOM!G1000&amp;"")</f>
        <v/>
      </c>
    </row>
    <row r="1007" spans="1:9" x14ac:dyDescent="0.25">
      <c r="A1007" s="36" t="str">
        <f>IF(B1007="","",MAX($A$10:A1006)+1)</f>
        <v/>
      </c>
      <c r="B1007" s="35" t="str">
        <f>IF(BOM!A1001="","",IF(BOM!A1001=BOM!A1000,"",BOM!A1001))</f>
        <v/>
      </c>
      <c r="C1007" s="35" t="str">
        <f>IF(B1007="","",IFERROR(INDEX(DM_SP!$B$5:$B$304,MATCH(B1007,DM_SP!$A$5:$A$304,0)),"(chưa có trong DM_SP)"))</f>
        <v/>
      </c>
      <c r="D1007" s="35" t="str">
        <f>IF(B1007="","",IFERROR(INDEX(DM_SP!$C$5:$C$304,MATCH(B1007,DM_SP!$A$5:$A$304,0)),""))</f>
        <v/>
      </c>
      <c r="E1007" s="35" t="str">
        <f>IF(BOM!A1001="","",BOM!B1001)</f>
        <v/>
      </c>
      <c r="F1007" s="35" t="str">
        <f>IF(E1007="","",IFERROR(INDEX(DM_NL!$B$5:$B$304,MATCH(E1007,DM_NL!$A$5:$A$304,0)),"(chưa có trong DM_NL)"))</f>
        <v/>
      </c>
      <c r="G1007" s="35" t="str">
        <f>IF(E1007="","",IFERROR(INDEX(DM_NL!$C$5:$C$304,MATCH(E1007,DM_NL!$A$5:$A$304,0)),""))</f>
        <v/>
      </c>
      <c r="H1007" s="39" t="str">
        <f>IF(OR(E1007="",BOM!G1001="KXDDM"),"",BOM!F1001)</f>
        <v/>
      </c>
      <c r="I1007" s="36" t="str">
        <f>IF(E1007="","",BOM!G1001&amp;"")</f>
        <v/>
      </c>
    </row>
    <row r="1008" spans="1:9" x14ac:dyDescent="0.25">
      <c r="A1008" s="36" t="str">
        <f>IF(B1008="","",MAX($A$10:A1007)+1)</f>
        <v/>
      </c>
      <c r="B1008" s="35" t="str">
        <f>IF(BOM!A1002="","",IF(BOM!A1002=BOM!A1001,"",BOM!A1002))</f>
        <v/>
      </c>
      <c r="C1008" s="35" t="str">
        <f>IF(B1008="","",IFERROR(INDEX(DM_SP!$B$5:$B$304,MATCH(B1008,DM_SP!$A$5:$A$304,0)),"(chưa có trong DM_SP)"))</f>
        <v/>
      </c>
      <c r="D1008" s="35" t="str">
        <f>IF(B1008="","",IFERROR(INDEX(DM_SP!$C$5:$C$304,MATCH(B1008,DM_SP!$A$5:$A$304,0)),""))</f>
        <v/>
      </c>
      <c r="E1008" s="35" t="str">
        <f>IF(BOM!A1002="","",BOM!B1002)</f>
        <v/>
      </c>
      <c r="F1008" s="35" t="str">
        <f>IF(E1008="","",IFERROR(INDEX(DM_NL!$B$5:$B$304,MATCH(E1008,DM_NL!$A$5:$A$304,0)),"(chưa có trong DM_NL)"))</f>
        <v/>
      </c>
      <c r="G1008" s="35" t="str">
        <f>IF(E1008="","",IFERROR(INDEX(DM_NL!$C$5:$C$304,MATCH(E1008,DM_NL!$A$5:$A$304,0)),""))</f>
        <v/>
      </c>
      <c r="H1008" s="39" t="str">
        <f>IF(OR(E1008="",BOM!G1002="KXDDM"),"",BOM!F1002)</f>
        <v/>
      </c>
      <c r="I1008" s="36" t="str">
        <f>IF(E1008="","",BOM!G1002&amp;"")</f>
        <v/>
      </c>
    </row>
    <row r="1009" spans="1:9" x14ac:dyDescent="0.25">
      <c r="A1009" s="36" t="str">
        <f>IF(B1009="","",MAX($A$10:A1008)+1)</f>
        <v/>
      </c>
      <c r="B1009" s="35" t="str">
        <f>IF(BOM!A1003="","",IF(BOM!A1003=BOM!A1002,"",BOM!A1003))</f>
        <v/>
      </c>
      <c r="C1009" s="35" t="str">
        <f>IF(B1009="","",IFERROR(INDEX(DM_SP!$B$5:$B$304,MATCH(B1009,DM_SP!$A$5:$A$304,0)),"(chưa có trong DM_SP)"))</f>
        <v/>
      </c>
      <c r="D1009" s="35" t="str">
        <f>IF(B1009="","",IFERROR(INDEX(DM_SP!$C$5:$C$304,MATCH(B1009,DM_SP!$A$5:$A$304,0)),""))</f>
        <v/>
      </c>
      <c r="E1009" s="35" t="str">
        <f>IF(BOM!A1003="","",BOM!B1003)</f>
        <v/>
      </c>
      <c r="F1009" s="35" t="str">
        <f>IF(E1009="","",IFERROR(INDEX(DM_NL!$B$5:$B$304,MATCH(E1009,DM_NL!$A$5:$A$304,0)),"(chưa có trong DM_NL)"))</f>
        <v/>
      </c>
      <c r="G1009" s="35" t="str">
        <f>IF(E1009="","",IFERROR(INDEX(DM_NL!$C$5:$C$304,MATCH(E1009,DM_NL!$A$5:$A$304,0)),""))</f>
        <v/>
      </c>
      <c r="H1009" s="39" t="str">
        <f>IF(OR(E1009="",BOM!G1003="KXDDM"),"",BOM!F1003)</f>
        <v/>
      </c>
      <c r="I1009" s="36" t="str">
        <f>IF(E1009="","",BOM!G1003&amp;"")</f>
        <v/>
      </c>
    </row>
    <row r="1010" spans="1:9" x14ac:dyDescent="0.25">
      <c r="A1010" s="36" t="str">
        <f>IF(B1010="","",MAX($A$10:A1009)+1)</f>
        <v/>
      </c>
      <c r="B1010" s="35" t="str">
        <f>IF(BOM!A1004="","",IF(BOM!A1004=BOM!A1003,"",BOM!A1004))</f>
        <v/>
      </c>
      <c r="C1010" s="35" t="str">
        <f>IF(B1010="","",IFERROR(INDEX(DM_SP!$B$5:$B$304,MATCH(B1010,DM_SP!$A$5:$A$304,0)),"(chưa có trong DM_SP)"))</f>
        <v/>
      </c>
      <c r="D1010" s="35" t="str">
        <f>IF(B1010="","",IFERROR(INDEX(DM_SP!$C$5:$C$304,MATCH(B1010,DM_SP!$A$5:$A$304,0)),""))</f>
        <v/>
      </c>
      <c r="E1010" s="35" t="str">
        <f>IF(BOM!A1004="","",BOM!B1004)</f>
        <v/>
      </c>
      <c r="F1010" s="35" t="str">
        <f>IF(E1010="","",IFERROR(INDEX(DM_NL!$B$5:$B$304,MATCH(E1010,DM_NL!$A$5:$A$304,0)),"(chưa có trong DM_NL)"))</f>
        <v/>
      </c>
      <c r="G1010" s="35" t="str">
        <f>IF(E1010="","",IFERROR(INDEX(DM_NL!$C$5:$C$304,MATCH(E1010,DM_NL!$A$5:$A$304,0)),""))</f>
        <v/>
      </c>
      <c r="H1010" s="39" t="str">
        <f>IF(OR(E1010="",BOM!G1004="KXDDM"),"",BOM!F1004)</f>
        <v/>
      </c>
      <c r="I1010" s="36" t="str">
        <f>IF(E1010="","",BOM!G1004&amp;"")</f>
        <v/>
      </c>
    </row>
    <row r="1012" spans="1:9" ht="15.05" x14ac:dyDescent="0.3">
      <c r="A1012" s="16" t="s">
        <v>326</v>
      </c>
    </row>
    <row r="1013" spans="1:9" ht="30.05" customHeight="1" x14ac:dyDescent="0.25">
      <c r="A1013" s="58" t="s">
        <v>359</v>
      </c>
      <c r="B1013" s="53"/>
      <c r="C1013" s="53"/>
      <c r="D1013" s="53"/>
      <c r="E1013" s="53"/>
      <c r="F1013" s="53"/>
      <c r="G1013" s="53"/>
      <c r="H1013" s="53"/>
      <c r="I1013" s="53"/>
    </row>
    <row r="1015" spans="1:9" x14ac:dyDescent="0.25">
      <c r="A1015" s="52" t="s">
        <v>360</v>
      </c>
      <c r="B1015" s="53"/>
      <c r="C1015" s="53"/>
      <c r="D1015" s="53"/>
      <c r="E1015" s="52" t="s">
        <v>361</v>
      </c>
      <c r="F1015" s="53"/>
      <c r="G1015" s="53"/>
      <c r="H1015" s="53"/>
      <c r="I1015" s="53"/>
    </row>
    <row r="1016" spans="1:9" x14ac:dyDescent="0.25">
      <c r="A1016" s="56" t="s">
        <v>331</v>
      </c>
      <c r="B1016" s="53"/>
      <c r="C1016" s="53"/>
      <c r="D1016" s="53"/>
      <c r="E1016" s="56" t="s">
        <v>332</v>
      </c>
      <c r="F1016" s="53"/>
      <c r="G1016" s="53"/>
      <c r="H1016" s="53"/>
      <c r="I1016" s="53"/>
    </row>
    <row r="1020" spans="1:9" x14ac:dyDescent="0.25">
      <c r="A1020" s="60" t="str">
        <f>ThongTin!$C$13</f>
        <v>Nguyễn Văn A</v>
      </c>
      <c r="B1020" s="53"/>
      <c r="C1020" s="53"/>
      <c r="D1020" s="53"/>
      <c r="E1020" s="60" t="str">
        <f>ThongTin!$C$14</f>
        <v>Trần Văn B</v>
      </c>
      <c r="F1020" s="53"/>
      <c r="G1020" s="53"/>
      <c r="H1020" s="53"/>
      <c r="I1020" s="53"/>
    </row>
  </sheetData>
  <sheetProtection password="D0B3" sheet="1" objects="1" scenarios="1" formatColumns="0" formatRows="0" autoFilter="0"/>
  <autoFilter ref="A10:I1010" xr:uid="{00000000-0009-0000-0000-00000E000000}"/>
  <mergeCells count="18">
    <mergeCell ref="E2:I2"/>
    <mergeCell ref="E1015:I1015"/>
    <mergeCell ref="E1:I1"/>
    <mergeCell ref="D8:D9"/>
    <mergeCell ref="B8:B9"/>
    <mergeCell ref="A6:I6"/>
    <mergeCell ref="A1015:D1015"/>
    <mergeCell ref="A1013:I1013"/>
    <mergeCell ref="E3:I3"/>
    <mergeCell ref="A1020:D1020"/>
    <mergeCell ref="A8:A9"/>
    <mergeCell ref="C8:C9"/>
    <mergeCell ref="I8:I9"/>
    <mergeCell ref="A5:I5"/>
    <mergeCell ref="E8:H8"/>
    <mergeCell ref="E1016:I1016"/>
    <mergeCell ref="E1020:I1020"/>
    <mergeCell ref="A1016:D1016"/>
  </mergeCells>
  <hyperlinks>
    <hyperlink ref="A4" r:id="rId1" xr:uid="{00000000-0004-0000-0E00-000000000000}"/>
  </hyperlinks>
  <pageMargins left="0.75" right="0.75" top="1" bottom="1" header="0.5" footer="0.5"/>
  <pageSetup paperSize="9" fitToHeight="0" orientation="portrait"/>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0AD47"/>
  </sheetPr>
  <dimension ref="A1:N1004"/>
  <sheetViews>
    <sheetView showGridLines="0" workbookViewId="0">
      <pane xSplit="3" ySplit="4" topLeftCell="D5" activePane="bottomRight" state="frozen"/>
      <selection pane="topRight"/>
      <selection pane="bottomLeft"/>
      <selection pane="bottomRight"/>
    </sheetView>
  </sheetViews>
  <sheetFormatPr defaultRowHeight="14.4" x14ac:dyDescent="0.25"/>
  <cols>
    <col min="1" max="1" width="6" customWidth="1"/>
    <col min="2" max="3" width="12" customWidth="1"/>
    <col min="4" max="4" width="26" customWidth="1"/>
    <col min="5" max="5" width="8" customWidth="1"/>
    <col min="6" max="6" width="16" customWidth="1"/>
    <col min="7" max="7" width="14" customWidth="1"/>
    <col min="8" max="10" width="18" customWidth="1"/>
    <col min="11" max="11" width="20" customWidth="1"/>
    <col min="12" max="14" width="12" customWidth="1"/>
  </cols>
  <sheetData>
    <row r="1" spans="1:14" ht="17.55" x14ac:dyDescent="0.3">
      <c r="A1" s="1" t="s">
        <v>362</v>
      </c>
    </row>
    <row r="2" spans="1:14" x14ac:dyDescent="0.25">
      <c r="A2" s="2" t="s">
        <v>363</v>
      </c>
    </row>
    <row r="3" spans="1:14" x14ac:dyDescent="0.25">
      <c r="A3" s="28" t="s">
        <v>4</v>
      </c>
    </row>
    <row r="4" spans="1:14" ht="48.05" customHeight="1" x14ac:dyDescent="0.25">
      <c r="A4" s="11" t="s">
        <v>298</v>
      </c>
      <c r="B4" s="11" t="s">
        <v>213</v>
      </c>
      <c r="C4" s="11" t="s">
        <v>239</v>
      </c>
      <c r="D4" s="11" t="s">
        <v>364</v>
      </c>
      <c r="E4" s="11" t="s">
        <v>365</v>
      </c>
      <c r="F4" s="11" t="s">
        <v>366</v>
      </c>
      <c r="G4" s="11" t="s">
        <v>367</v>
      </c>
      <c r="H4" s="11" t="s">
        <v>368</v>
      </c>
      <c r="I4" s="11" t="s">
        <v>369</v>
      </c>
      <c r="J4" s="11" t="s">
        <v>370</v>
      </c>
      <c r="K4" s="11" t="s">
        <v>371</v>
      </c>
      <c r="L4" s="11" t="s">
        <v>372</v>
      </c>
      <c r="M4" s="11" t="s">
        <v>373</v>
      </c>
      <c r="N4" s="11" t="s">
        <v>374</v>
      </c>
    </row>
    <row r="5" spans="1:14" x14ac:dyDescent="0.25">
      <c r="A5" s="35">
        <f t="shared" ref="A5:A68" si="0">IF(B5="","",ROW()-4)</f>
        <v>1</v>
      </c>
      <c r="B5" s="35" t="str">
        <f>IF(BOM!A5="","",BOM!A5)</f>
        <v>AO01</v>
      </c>
      <c r="C5" s="35" t="str">
        <f>IF(B5="","",BOM!B5)</f>
        <v>VAI01</v>
      </c>
      <c r="D5" s="35" t="str">
        <f>IF(B5="","",IFERROR(INDEX(DM_NL!$B$5:$B$304,MATCH(C5,DM_NL!$A$5:$A$304,0)),""))</f>
        <v>Vải chính 100% polyester</v>
      </c>
      <c r="E5" s="35" t="str">
        <f>IF(B5="","",IFERROR(INDEX(DM_NL!$C$5:$C$304,MATCH(C5,DM_NL!$A$5:$A$304,0)),""))</f>
        <v>MTR</v>
      </c>
      <c r="F5" s="39">
        <f>IF(B5="","",SUMIFS(Mau15a!$F$11:$F$310,Mau15a!$B$11:$B$310,B5))</f>
        <v>10000</v>
      </c>
      <c r="G5" s="39">
        <f>IF(B5="","",IF(OR(M5="KXDDM",BOM!F5=""),0,BOM!F5))</f>
        <v>1.8540000000000001</v>
      </c>
      <c r="H5" s="39">
        <f t="shared" ref="H5:H68" si="1">IF(B5="","",F5*G5)</f>
        <v>18540</v>
      </c>
      <c r="I5" s="39">
        <f>IF(B5="","",SUMIFS(Mau15a!$H$11:$H$310,Mau15a!$B$11:$B$310,B5)+SUMIFS(Mau15a!$I$11:$I$310,Mau15a!$B$11:$B$310,B5)+SUMIFS(Mau15a!$J$11:$J$310,Mau15a!$B$11:$B$310,B5)-SUMIFS(Mau15a!$G$11:$G$310,Mau15a!$B$11:$B$310,B5))</f>
        <v>9820</v>
      </c>
      <c r="J5" s="39">
        <f t="shared" ref="J5:J68" si="2">IF(B5="","",I5*G5)</f>
        <v>18206.280000000002</v>
      </c>
      <c r="K5" s="39">
        <f>IF(B5="","",(SUMIFS(Mau15a!$K$11:$K$310,Mau15a!$B$11:$B$310,B5)-SUMIFS(Mau15a!$E$11:$E$310,Mau15a!$B$11:$B$310,B5))*G5)</f>
        <v>333.72</v>
      </c>
      <c r="L5" s="36" t="str">
        <f t="shared" ref="L5:L68" si="3">IF(B5="","",IF(ABS(H5-J5-K5)&lt;0.000001,"Khớp","Lệch"))</f>
        <v>Khớp</v>
      </c>
      <c r="M5" s="36" t="str">
        <f>IF(B5="","",BOM!G5&amp;"")</f>
        <v/>
      </c>
      <c r="N5" s="36">
        <f t="shared" ref="N5:N68" si="4">IF(B5="","",IF(M5="",1,0))</f>
        <v>1</v>
      </c>
    </row>
    <row r="6" spans="1:14" x14ac:dyDescent="0.25">
      <c r="A6" s="35">
        <f t="shared" si="0"/>
        <v>2</v>
      </c>
      <c r="B6" s="35" t="str">
        <f>IF(BOM!A6="","",BOM!A6)</f>
        <v>AO01</v>
      </c>
      <c r="C6" s="35" t="str">
        <f>IF(B6="","",BOM!B6)</f>
        <v>CHI01</v>
      </c>
      <c r="D6" s="35" t="str">
        <f>IF(B6="","",IFERROR(INDEX(DM_NL!$B$5:$B$304,MATCH(C6,DM_NL!$A$5:$A$304,0)),""))</f>
        <v>Chỉ may</v>
      </c>
      <c r="E6" s="35" t="str">
        <f>IF(B6="","",IFERROR(INDEX(DM_NL!$C$5:$C$304,MATCH(C6,DM_NL!$A$5:$A$304,0)),""))</f>
        <v>MTR</v>
      </c>
      <c r="F6" s="39">
        <f>IF(B6="","",SUMIFS(Mau15a!$F$11:$F$310,Mau15a!$B$11:$B$310,B6))</f>
        <v>10000</v>
      </c>
      <c r="G6" s="39">
        <f>IF(B6="","",IF(OR(M6="KXDDM",BOM!F6=""),0,BOM!F6))</f>
        <v>126</v>
      </c>
      <c r="H6" s="39">
        <f t="shared" si="1"/>
        <v>1260000</v>
      </c>
      <c r="I6" s="39">
        <f>IF(B6="","",SUMIFS(Mau15a!$H$11:$H$310,Mau15a!$B$11:$B$310,B6)+SUMIFS(Mau15a!$I$11:$I$310,Mau15a!$B$11:$B$310,B6)+SUMIFS(Mau15a!$J$11:$J$310,Mau15a!$B$11:$B$310,B6)-SUMIFS(Mau15a!$G$11:$G$310,Mau15a!$B$11:$B$310,B6))</f>
        <v>9820</v>
      </c>
      <c r="J6" s="39">
        <f t="shared" si="2"/>
        <v>1237320</v>
      </c>
      <c r="K6" s="39">
        <f>IF(B6="","",(SUMIFS(Mau15a!$K$11:$K$310,Mau15a!$B$11:$B$310,B6)-SUMIFS(Mau15a!$E$11:$E$310,Mau15a!$B$11:$B$310,B6))*G6)</f>
        <v>22680</v>
      </c>
      <c r="L6" s="36" t="str">
        <f t="shared" si="3"/>
        <v>Khớp</v>
      </c>
      <c r="M6" s="36" t="str">
        <f>IF(B6="","",BOM!G6&amp;"")</f>
        <v/>
      </c>
      <c r="N6" s="36">
        <f t="shared" si="4"/>
        <v>1</v>
      </c>
    </row>
    <row r="7" spans="1:14" x14ac:dyDescent="0.25">
      <c r="A7" s="35">
        <f t="shared" si="0"/>
        <v>3</v>
      </c>
      <c r="B7" s="35" t="str">
        <f>IF(BOM!A7="","",BOM!A7)</f>
        <v>AO01</v>
      </c>
      <c r="C7" s="35" t="str">
        <f>IF(B7="","",BOM!B7)</f>
        <v>NUT01</v>
      </c>
      <c r="D7" s="35" t="str">
        <f>IF(B7="","",IFERROR(INDEX(DM_NL!$B$5:$B$304,MATCH(C7,DM_NL!$A$5:$A$304,0)),""))</f>
        <v>Nút nhựa</v>
      </c>
      <c r="E7" s="35" t="str">
        <f>IF(B7="","",IFERROR(INDEX(DM_NL!$C$5:$C$304,MATCH(C7,DM_NL!$A$5:$A$304,0)),""))</f>
        <v>PCE</v>
      </c>
      <c r="F7" s="39">
        <f>IF(B7="","",SUMIFS(Mau15a!$F$11:$F$310,Mau15a!$B$11:$B$310,B7))</f>
        <v>10000</v>
      </c>
      <c r="G7" s="39">
        <f>IF(B7="","",IF(OR(M7="KXDDM",BOM!F7=""),0,BOM!F7))</f>
        <v>6.12</v>
      </c>
      <c r="H7" s="39">
        <f t="shared" si="1"/>
        <v>61200</v>
      </c>
      <c r="I7" s="39">
        <f>IF(B7="","",SUMIFS(Mau15a!$H$11:$H$310,Mau15a!$B$11:$B$310,B7)+SUMIFS(Mau15a!$I$11:$I$310,Mau15a!$B$11:$B$310,B7)+SUMIFS(Mau15a!$J$11:$J$310,Mau15a!$B$11:$B$310,B7)-SUMIFS(Mau15a!$G$11:$G$310,Mau15a!$B$11:$B$310,B7))</f>
        <v>9820</v>
      </c>
      <c r="J7" s="39">
        <f t="shared" si="2"/>
        <v>60098.400000000001</v>
      </c>
      <c r="K7" s="39">
        <f>IF(B7="","",(SUMIFS(Mau15a!$K$11:$K$310,Mau15a!$B$11:$B$310,B7)-SUMIFS(Mau15a!$E$11:$E$310,Mau15a!$B$11:$B$310,B7))*G7)</f>
        <v>1101.5999999999999</v>
      </c>
      <c r="L7" s="36" t="str">
        <f t="shared" si="3"/>
        <v>Khớp</v>
      </c>
      <c r="M7" s="36" t="str">
        <f>IF(B7="","",BOM!G7&amp;"")</f>
        <v/>
      </c>
      <c r="N7" s="36">
        <f t="shared" si="4"/>
        <v>1</v>
      </c>
    </row>
    <row r="8" spans="1:14" x14ac:dyDescent="0.25">
      <c r="A8" s="35">
        <f t="shared" si="0"/>
        <v>4</v>
      </c>
      <c r="B8" s="35" t="str">
        <f>IF(BOM!A8="","",BOM!A8)</f>
        <v>AO01</v>
      </c>
      <c r="C8" s="35" t="str">
        <f>IF(B8="","",BOM!B8)</f>
        <v>KHOA01</v>
      </c>
      <c r="D8" s="35" t="str">
        <f>IF(B8="","",IFERROR(INDEX(DM_NL!$B$5:$B$304,MATCH(C8,DM_NL!$A$5:$A$304,0)),""))</f>
        <v>Khóa kéo</v>
      </c>
      <c r="E8" s="35" t="str">
        <f>IF(B8="","",IFERROR(INDEX(DM_NL!$C$5:$C$304,MATCH(C8,DM_NL!$A$5:$A$304,0)),""))</f>
        <v>PCE</v>
      </c>
      <c r="F8" s="39">
        <f>IF(B8="","",SUMIFS(Mau15a!$F$11:$F$310,Mau15a!$B$11:$B$310,B8))</f>
        <v>10000</v>
      </c>
      <c r="G8" s="39">
        <f>IF(B8="","",IF(OR(M8="KXDDM",BOM!F8=""),0,BOM!F8))</f>
        <v>1.01</v>
      </c>
      <c r="H8" s="39">
        <f t="shared" si="1"/>
        <v>10100</v>
      </c>
      <c r="I8" s="39">
        <f>IF(B8="","",SUMIFS(Mau15a!$H$11:$H$310,Mau15a!$B$11:$B$310,B8)+SUMIFS(Mau15a!$I$11:$I$310,Mau15a!$B$11:$B$310,B8)+SUMIFS(Mau15a!$J$11:$J$310,Mau15a!$B$11:$B$310,B8)-SUMIFS(Mau15a!$G$11:$G$310,Mau15a!$B$11:$B$310,B8))</f>
        <v>9820</v>
      </c>
      <c r="J8" s="39">
        <f t="shared" si="2"/>
        <v>9918.2000000000007</v>
      </c>
      <c r="K8" s="39">
        <f>IF(B8="","",(SUMIFS(Mau15a!$K$11:$K$310,Mau15a!$B$11:$B$310,B8)-SUMIFS(Mau15a!$E$11:$E$310,Mau15a!$B$11:$B$310,B8))*G8)</f>
        <v>181.8</v>
      </c>
      <c r="L8" s="36" t="str">
        <f t="shared" si="3"/>
        <v>Khớp</v>
      </c>
      <c r="M8" s="36" t="str">
        <f>IF(B8="","",BOM!G8&amp;"")</f>
        <v/>
      </c>
      <c r="N8" s="36">
        <f t="shared" si="4"/>
        <v>1</v>
      </c>
    </row>
    <row r="9" spans="1:14" x14ac:dyDescent="0.25">
      <c r="A9" s="35">
        <f t="shared" si="0"/>
        <v>5</v>
      </c>
      <c r="B9" s="35" t="str">
        <f>IF(BOM!A9="","",BOM!A9)</f>
        <v>AO01</v>
      </c>
      <c r="C9" s="35" t="str">
        <f>IF(B9="","",BOM!B9)</f>
        <v>NHAN01</v>
      </c>
      <c r="D9" s="35" t="str">
        <f>IF(B9="","",IFERROR(INDEX(DM_NL!$B$5:$B$304,MATCH(C9,DM_NL!$A$5:$A$304,0)),""))</f>
        <v>Nhãn vải</v>
      </c>
      <c r="E9" s="35" t="str">
        <f>IF(B9="","",IFERROR(INDEX(DM_NL!$C$5:$C$304,MATCH(C9,DM_NL!$A$5:$A$304,0)),""))</f>
        <v>PCE</v>
      </c>
      <c r="F9" s="39">
        <f>IF(B9="","",SUMIFS(Mau15a!$F$11:$F$310,Mau15a!$B$11:$B$310,B9))</f>
        <v>10000</v>
      </c>
      <c r="G9" s="39">
        <f>IF(B9="","",IF(OR(M9="KXDDM",BOM!F9=""),0,BOM!F9))</f>
        <v>2.02</v>
      </c>
      <c r="H9" s="39">
        <f t="shared" si="1"/>
        <v>20200</v>
      </c>
      <c r="I9" s="39">
        <f>IF(B9="","",SUMIFS(Mau15a!$H$11:$H$310,Mau15a!$B$11:$B$310,B9)+SUMIFS(Mau15a!$I$11:$I$310,Mau15a!$B$11:$B$310,B9)+SUMIFS(Mau15a!$J$11:$J$310,Mau15a!$B$11:$B$310,B9)-SUMIFS(Mau15a!$G$11:$G$310,Mau15a!$B$11:$B$310,B9))</f>
        <v>9820</v>
      </c>
      <c r="J9" s="39">
        <f t="shared" si="2"/>
        <v>19836.400000000001</v>
      </c>
      <c r="K9" s="39">
        <f>IF(B9="","",(SUMIFS(Mau15a!$K$11:$K$310,Mau15a!$B$11:$B$310,B9)-SUMIFS(Mau15a!$E$11:$E$310,Mau15a!$B$11:$B$310,B9))*G9)</f>
        <v>363.6</v>
      </c>
      <c r="L9" s="36" t="str">
        <f t="shared" si="3"/>
        <v>Khớp</v>
      </c>
      <c r="M9" s="36" t="str">
        <f>IF(B9="","",BOM!G9&amp;"")</f>
        <v/>
      </c>
      <c r="N9" s="36">
        <f t="shared" si="4"/>
        <v>1</v>
      </c>
    </row>
    <row r="10" spans="1:14" x14ac:dyDescent="0.25">
      <c r="A10" s="35">
        <f t="shared" si="0"/>
        <v>6</v>
      </c>
      <c r="B10" s="35" t="str">
        <f>IF(BOM!A10="","",BOM!A10)</f>
        <v>AO01</v>
      </c>
      <c r="C10" s="35" t="str">
        <f>IF(B10="","",BOM!B10)</f>
        <v>TUI01</v>
      </c>
      <c r="D10" s="35" t="str">
        <f>IF(B10="","",IFERROR(INDEX(DM_NL!$B$5:$B$304,MATCH(C10,DM_NL!$A$5:$A$304,0)),""))</f>
        <v>Túi PE đóng gói</v>
      </c>
      <c r="E10" s="35" t="str">
        <f>IF(B10="","",IFERROR(INDEX(DM_NL!$C$5:$C$304,MATCH(C10,DM_NL!$A$5:$A$304,0)),""))</f>
        <v>PCE</v>
      </c>
      <c r="F10" s="39">
        <f>IF(B10="","",SUMIFS(Mau15a!$F$11:$F$310,Mau15a!$B$11:$B$310,B10))</f>
        <v>10000</v>
      </c>
      <c r="G10" s="39">
        <f>IF(B10="","",IF(OR(M10="KXDDM",BOM!F10=""),0,BOM!F10))</f>
        <v>1</v>
      </c>
      <c r="H10" s="39">
        <f t="shared" si="1"/>
        <v>10000</v>
      </c>
      <c r="I10" s="39">
        <f>IF(B10="","",SUMIFS(Mau15a!$H$11:$H$310,Mau15a!$B$11:$B$310,B10)+SUMIFS(Mau15a!$I$11:$I$310,Mau15a!$B$11:$B$310,B10)+SUMIFS(Mau15a!$J$11:$J$310,Mau15a!$B$11:$B$310,B10)-SUMIFS(Mau15a!$G$11:$G$310,Mau15a!$B$11:$B$310,B10))</f>
        <v>9820</v>
      </c>
      <c r="J10" s="39">
        <f t="shared" si="2"/>
        <v>9820</v>
      </c>
      <c r="K10" s="39">
        <f>IF(B10="","",(SUMIFS(Mau15a!$K$11:$K$310,Mau15a!$B$11:$B$310,B10)-SUMIFS(Mau15a!$E$11:$E$310,Mau15a!$B$11:$B$310,B10))*G10)</f>
        <v>180</v>
      </c>
      <c r="L10" s="36" t="str">
        <f t="shared" si="3"/>
        <v>Khớp</v>
      </c>
      <c r="M10" s="36" t="str">
        <f>IF(B10="","",BOM!G10&amp;"")</f>
        <v>X</v>
      </c>
      <c r="N10" s="36">
        <f t="shared" si="4"/>
        <v>0</v>
      </c>
    </row>
    <row r="11" spans="1:14" x14ac:dyDescent="0.25">
      <c r="A11" s="35">
        <f t="shared" si="0"/>
        <v>7</v>
      </c>
      <c r="B11" s="35" t="str">
        <f>IF(BOM!A11="","",BOM!A11)</f>
        <v>AO01</v>
      </c>
      <c r="C11" s="35" t="str">
        <f>IF(B11="","",BOM!B11)</f>
        <v>PHAN01</v>
      </c>
      <c r="D11" s="35" t="str">
        <f>IF(B11="","",IFERROR(INDEX(DM_NL!$B$5:$B$304,MATCH(C11,DM_NL!$A$5:$A$304,0)),""))</f>
        <v>Phấn vẽ rập</v>
      </c>
      <c r="E11" s="35" t="str">
        <f>IF(B11="","",IFERROR(INDEX(DM_NL!$C$5:$C$304,MATCH(C11,DM_NL!$A$5:$A$304,0)),""))</f>
        <v>Viên</v>
      </c>
      <c r="F11" s="39">
        <f>IF(B11="","",SUMIFS(Mau15a!$F$11:$F$310,Mau15a!$B$11:$B$310,B11))</f>
        <v>10000</v>
      </c>
      <c r="G11" s="39">
        <f>IF(B11="","",IF(OR(M11="KXDDM",BOM!F11=""),0,BOM!F11))</f>
        <v>0</v>
      </c>
      <c r="H11" s="39">
        <f t="shared" si="1"/>
        <v>0</v>
      </c>
      <c r="I11" s="39">
        <f>IF(B11="","",SUMIFS(Mau15a!$H$11:$H$310,Mau15a!$B$11:$B$310,B11)+SUMIFS(Mau15a!$I$11:$I$310,Mau15a!$B$11:$B$310,B11)+SUMIFS(Mau15a!$J$11:$J$310,Mau15a!$B$11:$B$310,B11)-SUMIFS(Mau15a!$G$11:$G$310,Mau15a!$B$11:$B$310,B11))</f>
        <v>9820</v>
      </c>
      <c r="J11" s="39">
        <f t="shared" si="2"/>
        <v>0</v>
      </c>
      <c r="K11" s="39">
        <f>IF(B11="","",(SUMIFS(Mau15a!$K$11:$K$310,Mau15a!$B$11:$B$310,B11)-SUMIFS(Mau15a!$E$11:$E$310,Mau15a!$B$11:$B$310,B11))*G11)</f>
        <v>0</v>
      </c>
      <c r="L11" s="36" t="str">
        <f t="shared" si="3"/>
        <v>Khớp</v>
      </c>
      <c r="M11" s="36" t="str">
        <f>IF(B11="","",BOM!G11&amp;"")</f>
        <v>KXDDM</v>
      </c>
      <c r="N11" s="36">
        <f t="shared" si="4"/>
        <v>0</v>
      </c>
    </row>
    <row r="12" spans="1:14" x14ac:dyDescent="0.25">
      <c r="A12" s="35">
        <f t="shared" si="0"/>
        <v>8</v>
      </c>
      <c r="B12" s="35" t="str">
        <f>IF(BOM!A12="","",BOM!A12)</f>
        <v>QUAN01</v>
      </c>
      <c r="C12" s="35" t="str">
        <f>IF(B12="","",BOM!B12)</f>
        <v>VAI01</v>
      </c>
      <c r="D12" s="35" t="str">
        <f>IF(B12="","",IFERROR(INDEX(DM_NL!$B$5:$B$304,MATCH(C12,DM_NL!$A$5:$A$304,0)),""))</f>
        <v>Vải chính 100% polyester</v>
      </c>
      <c r="E12" s="35" t="str">
        <f>IF(B12="","",IFERROR(INDEX(DM_NL!$C$5:$C$304,MATCH(C12,DM_NL!$A$5:$A$304,0)),""))</f>
        <v>MTR</v>
      </c>
      <c r="F12" s="39">
        <f>IF(B12="","",SUMIFS(Mau15a!$F$11:$F$310,Mau15a!$B$11:$B$310,B12))</f>
        <v>8000</v>
      </c>
      <c r="G12" s="39">
        <f>IF(B12="","",IF(OR(M12="KXDDM",BOM!F12=""),0,BOM!F12))</f>
        <v>1.236</v>
      </c>
      <c r="H12" s="39">
        <f t="shared" si="1"/>
        <v>9888</v>
      </c>
      <c r="I12" s="39">
        <f>IF(B12="","",SUMIFS(Mau15a!$H$11:$H$310,Mau15a!$B$11:$B$310,B12)+SUMIFS(Mau15a!$I$11:$I$310,Mau15a!$B$11:$B$310,B12)+SUMIFS(Mau15a!$J$11:$J$310,Mau15a!$B$11:$B$310,B12)-SUMIFS(Mau15a!$G$11:$G$310,Mau15a!$B$11:$B$310,B12))</f>
        <v>7900</v>
      </c>
      <c r="J12" s="39">
        <f t="shared" si="2"/>
        <v>9764.4</v>
      </c>
      <c r="K12" s="39">
        <f>IF(B12="","",(SUMIFS(Mau15a!$K$11:$K$310,Mau15a!$B$11:$B$310,B12)-SUMIFS(Mau15a!$E$11:$E$310,Mau15a!$B$11:$B$310,B12))*G12)</f>
        <v>123.6</v>
      </c>
      <c r="L12" s="36" t="str">
        <f t="shared" si="3"/>
        <v>Khớp</v>
      </c>
      <c r="M12" s="36" t="str">
        <f>IF(B12="","",BOM!G12&amp;"")</f>
        <v/>
      </c>
      <c r="N12" s="36">
        <f t="shared" si="4"/>
        <v>1</v>
      </c>
    </row>
    <row r="13" spans="1:14" x14ac:dyDescent="0.25">
      <c r="A13" s="35">
        <f t="shared" si="0"/>
        <v>9</v>
      </c>
      <c r="B13" s="35" t="str">
        <f>IF(BOM!A13="","",BOM!A13)</f>
        <v>QUAN01</v>
      </c>
      <c r="C13" s="35" t="str">
        <f>IF(B13="","",BOM!B13)</f>
        <v>CHI01</v>
      </c>
      <c r="D13" s="35" t="str">
        <f>IF(B13="","",IFERROR(INDEX(DM_NL!$B$5:$B$304,MATCH(C13,DM_NL!$A$5:$A$304,0)),""))</f>
        <v>Chỉ may</v>
      </c>
      <c r="E13" s="35" t="str">
        <f>IF(B13="","",IFERROR(INDEX(DM_NL!$C$5:$C$304,MATCH(C13,DM_NL!$A$5:$A$304,0)),""))</f>
        <v>MTR</v>
      </c>
      <c r="F13" s="39">
        <f>IF(B13="","",SUMIFS(Mau15a!$F$11:$F$310,Mau15a!$B$11:$B$310,B13))</f>
        <v>8000</v>
      </c>
      <c r="G13" s="39">
        <f>IF(B13="","",IF(OR(M13="KXDDM",BOM!F13=""),0,BOM!F13))</f>
        <v>84</v>
      </c>
      <c r="H13" s="39">
        <f t="shared" si="1"/>
        <v>672000</v>
      </c>
      <c r="I13" s="39">
        <f>IF(B13="","",SUMIFS(Mau15a!$H$11:$H$310,Mau15a!$B$11:$B$310,B13)+SUMIFS(Mau15a!$I$11:$I$310,Mau15a!$B$11:$B$310,B13)+SUMIFS(Mau15a!$J$11:$J$310,Mau15a!$B$11:$B$310,B13)-SUMIFS(Mau15a!$G$11:$G$310,Mau15a!$B$11:$B$310,B13))</f>
        <v>7900</v>
      </c>
      <c r="J13" s="39">
        <f t="shared" si="2"/>
        <v>663600</v>
      </c>
      <c r="K13" s="39">
        <f>IF(B13="","",(SUMIFS(Mau15a!$K$11:$K$310,Mau15a!$B$11:$B$310,B13)-SUMIFS(Mau15a!$E$11:$E$310,Mau15a!$B$11:$B$310,B13))*G13)</f>
        <v>8400</v>
      </c>
      <c r="L13" s="36" t="str">
        <f t="shared" si="3"/>
        <v>Khớp</v>
      </c>
      <c r="M13" s="36" t="str">
        <f>IF(B13="","",BOM!G13&amp;"")</f>
        <v/>
      </c>
      <c r="N13" s="36">
        <f t="shared" si="4"/>
        <v>1</v>
      </c>
    </row>
    <row r="14" spans="1:14" x14ac:dyDescent="0.25">
      <c r="A14" s="35">
        <f t="shared" si="0"/>
        <v>10</v>
      </c>
      <c r="B14" s="35" t="str">
        <f>IF(BOM!A14="","",BOM!A14)</f>
        <v>QUAN01</v>
      </c>
      <c r="C14" s="35" t="str">
        <f>IF(B14="","",BOM!B14)</f>
        <v>NUT01</v>
      </c>
      <c r="D14" s="35" t="str">
        <f>IF(B14="","",IFERROR(INDEX(DM_NL!$B$5:$B$304,MATCH(C14,DM_NL!$A$5:$A$304,0)),""))</f>
        <v>Nút nhựa</v>
      </c>
      <c r="E14" s="35" t="str">
        <f>IF(B14="","",IFERROR(INDEX(DM_NL!$C$5:$C$304,MATCH(C14,DM_NL!$A$5:$A$304,0)),""))</f>
        <v>PCE</v>
      </c>
      <c r="F14" s="39">
        <f>IF(B14="","",SUMIFS(Mau15a!$F$11:$F$310,Mau15a!$B$11:$B$310,B14))</f>
        <v>8000</v>
      </c>
      <c r="G14" s="39">
        <f>IF(B14="","",IF(OR(M14="KXDDM",BOM!F14=""),0,BOM!F14))</f>
        <v>2.04</v>
      </c>
      <c r="H14" s="39">
        <f t="shared" si="1"/>
        <v>16320</v>
      </c>
      <c r="I14" s="39">
        <f>IF(B14="","",SUMIFS(Mau15a!$H$11:$H$310,Mau15a!$B$11:$B$310,B14)+SUMIFS(Mau15a!$I$11:$I$310,Mau15a!$B$11:$B$310,B14)+SUMIFS(Mau15a!$J$11:$J$310,Mau15a!$B$11:$B$310,B14)-SUMIFS(Mau15a!$G$11:$G$310,Mau15a!$B$11:$B$310,B14))</f>
        <v>7900</v>
      </c>
      <c r="J14" s="39">
        <f t="shared" si="2"/>
        <v>16116</v>
      </c>
      <c r="K14" s="39">
        <f>IF(B14="","",(SUMIFS(Mau15a!$K$11:$K$310,Mau15a!$B$11:$B$310,B14)-SUMIFS(Mau15a!$E$11:$E$310,Mau15a!$B$11:$B$310,B14))*G14)</f>
        <v>204</v>
      </c>
      <c r="L14" s="36" t="str">
        <f t="shared" si="3"/>
        <v>Khớp</v>
      </c>
      <c r="M14" s="36" t="str">
        <f>IF(B14="","",BOM!G14&amp;"")</f>
        <v/>
      </c>
      <c r="N14" s="36">
        <f t="shared" si="4"/>
        <v>1</v>
      </c>
    </row>
    <row r="15" spans="1:14" x14ac:dyDescent="0.25">
      <c r="A15" s="35">
        <f t="shared" si="0"/>
        <v>11</v>
      </c>
      <c r="B15" s="35" t="str">
        <f>IF(BOM!A15="","",BOM!A15)</f>
        <v>QUAN01</v>
      </c>
      <c r="C15" s="35" t="str">
        <f>IF(B15="","",BOM!B15)</f>
        <v>KHOA01</v>
      </c>
      <c r="D15" s="35" t="str">
        <f>IF(B15="","",IFERROR(INDEX(DM_NL!$B$5:$B$304,MATCH(C15,DM_NL!$A$5:$A$304,0)),""))</f>
        <v>Khóa kéo</v>
      </c>
      <c r="E15" s="35" t="str">
        <f>IF(B15="","",IFERROR(INDEX(DM_NL!$C$5:$C$304,MATCH(C15,DM_NL!$A$5:$A$304,0)),""))</f>
        <v>PCE</v>
      </c>
      <c r="F15" s="39">
        <f>IF(B15="","",SUMIFS(Mau15a!$F$11:$F$310,Mau15a!$B$11:$B$310,B15))</f>
        <v>8000</v>
      </c>
      <c r="G15" s="39">
        <f>IF(B15="","",IF(OR(M15="KXDDM",BOM!F15=""),0,BOM!F15))</f>
        <v>1.01</v>
      </c>
      <c r="H15" s="39">
        <f t="shared" si="1"/>
        <v>8080</v>
      </c>
      <c r="I15" s="39">
        <f>IF(B15="","",SUMIFS(Mau15a!$H$11:$H$310,Mau15a!$B$11:$B$310,B15)+SUMIFS(Mau15a!$I$11:$I$310,Mau15a!$B$11:$B$310,B15)+SUMIFS(Mau15a!$J$11:$J$310,Mau15a!$B$11:$B$310,B15)-SUMIFS(Mau15a!$G$11:$G$310,Mau15a!$B$11:$B$310,B15))</f>
        <v>7900</v>
      </c>
      <c r="J15" s="39">
        <f t="shared" si="2"/>
        <v>7979</v>
      </c>
      <c r="K15" s="39">
        <f>IF(B15="","",(SUMIFS(Mau15a!$K$11:$K$310,Mau15a!$B$11:$B$310,B15)-SUMIFS(Mau15a!$E$11:$E$310,Mau15a!$B$11:$B$310,B15))*G15)</f>
        <v>101</v>
      </c>
      <c r="L15" s="36" t="str">
        <f t="shared" si="3"/>
        <v>Khớp</v>
      </c>
      <c r="M15" s="36" t="str">
        <f>IF(B15="","",BOM!G15&amp;"")</f>
        <v/>
      </c>
      <c r="N15" s="36">
        <f t="shared" si="4"/>
        <v>1</v>
      </c>
    </row>
    <row r="16" spans="1:14" x14ac:dyDescent="0.25">
      <c r="A16" s="35">
        <f t="shared" si="0"/>
        <v>12</v>
      </c>
      <c r="B16" s="35" t="str">
        <f>IF(BOM!A16="","",BOM!A16)</f>
        <v>QUAN01</v>
      </c>
      <c r="C16" s="35" t="str">
        <f>IF(B16="","",BOM!B16)</f>
        <v>NHAN01</v>
      </c>
      <c r="D16" s="35" t="str">
        <f>IF(B16="","",IFERROR(INDEX(DM_NL!$B$5:$B$304,MATCH(C16,DM_NL!$A$5:$A$304,0)),""))</f>
        <v>Nhãn vải</v>
      </c>
      <c r="E16" s="35" t="str">
        <f>IF(B16="","",IFERROR(INDEX(DM_NL!$C$5:$C$304,MATCH(C16,DM_NL!$A$5:$A$304,0)),""))</f>
        <v>PCE</v>
      </c>
      <c r="F16" s="39">
        <f>IF(B16="","",SUMIFS(Mau15a!$F$11:$F$310,Mau15a!$B$11:$B$310,B16))</f>
        <v>8000</v>
      </c>
      <c r="G16" s="39">
        <f>IF(B16="","",IF(OR(M16="KXDDM",BOM!F16=""),0,BOM!F16))</f>
        <v>1.01</v>
      </c>
      <c r="H16" s="39">
        <f t="shared" si="1"/>
        <v>8080</v>
      </c>
      <c r="I16" s="39">
        <f>IF(B16="","",SUMIFS(Mau15a!$H$11:$H$310,Mau15a!$B$11:$B$310,B16)+SUMIFS(Mau15a!$I$11:$I$310,Mau15a!$B$11:$B$310,B16)+SUMIFS(Mau15a!$J$11:$J$310,Mau15a!$B$11:$B$310,B16)-SUMIFS(Mau15a!$G$11:$G$310,Mau15a!$B$11:$B$310,B16))</f>
        <v>7900</v>
      </c>
      <c r="J16" s="39">
        <f t="shared" si="2"/>
        <v>7979</v>
      </c>
      <c r="K16" s="39">
        <f>IF(B16="","",(SUMIFS(Mau15a!$K$11:$K$310,Mau15a!$B$11:$B$310,B16)-SUMIFS(Mau15a!$E$11:$E$310,Mau15a!$B$11:$B$310,B16))*G16)</f>
        <v>101</v>
      </c>
      <c r="L16" s="36" t="str">
        <f t="shared" si="3"/>
        <v>Khớp</v>
      </c>
      <c r="M16" s="36" t="str">
        <f>IF(B16="","",BOM!G16&amp;"")</f>
        <v/>
      </c>
      <c r="N16" s="36">
        <f t="shared" si="4"/>
        <v>1</v>
      </c>
    </row>
    <row r="17" spans="1:14" x14ac:dyDescent="0.25">
      <c r="A17" s="35">
        <f t="shared" si="0"/>
        <v>13</v>
      </c>
      <c r="B17" s="35" t="str">
        <f>IF(BOM!A17="","",BOM!A17)</f>
        <v>QUAN01</v>
      </c>
      <c r="C17" s="35" t="str">
        <f>IF(B17="","",BOM!B17)</f>
        <v>TUI01</v>
      </c>
      <c r="D17" s="35" t="str">
        <f>IF(B17="","",IFERROR(INDEX(DM_NL!$B$5:$B$304,MATCH(C17,DM_NL!$A$5:$A$304,0)),""))</f>
        <v>Túi PE đóng gói</v>
      </c>
      <c r="E17" s="35" t="str">
        <f>IF(B17="","",IFERROR(INDEX(DM_NL!$C$5:$C$304,MATCH(C17,DM_NL!$A$5:$A$304,0)),""))</f>
        <v>PCE</v>
      </c>
      <c r="F17" s="39">
        <f>IF(B17="","",SUMIFS(Mau15a!$F$11:$F$310,Mau15a!$B$11:$B$310,B17))</f>
        <v>8000</v>
      </c>
      <c r="G17" s="39">
        <f>IF(B17="","",IF(OR(M17="KXDDM",BOM!F17=""),0,BOM!F17))</f>
        <v>1</v>
      </c>
      <c r="H17" s="39">
        <f t="shared" si="1"/>
        <v>8000</v>
      </c>
      <c r="I17" s="39">
        <f>IF(B17="","",SUMIFS(Mau15a!$H$11:$H$310,Mau15a!$B$11:$B$310,B17)+SUMIFS(Mau15a!$I$11:$I$310,Mau15a!$B$11:$B$310,B17)+SUMIFS(Mau15a!$J$11:$J$310,Mau15a!$B$11:$B$310,B17)-SUMIFS(Mau15a!$G$11:$G$310,Mau15a!$B$11:$B$310,B17))</f>
        <v>7900</v>
      </c>
      <c r="J17" s="39">
        <f t="shared" si="2"/>
        <v>7900</v>
      </c>
      <c r="K17" s="39">
        <f>IF(B17="","",(SUMIFS(Mau15a!$K$11:$K$310,Mau15a!$B$11:$B$310,B17)-SUMIFS(Mau15a!$E$11:$E$310,Mau15a!$B$11:$B$310,B17))*G17)</f>
        <v>100</v>
      </c>
      <c r="L17" s="36" t="str">
        <f t="shared" si="3"/>
        <v>Khớp</v>
      </c>
      <c r="M17" s="36" t="str">
        <f>IF(B17="","",BOM!G17&amp;"")</f>
        <v>X</v>
      </c>
      <c r="N17" s="36">
        <f t="shared" si="4"/>
        <v>0</v>
      </c>
    </row>
    <row r="18" spans="1:14" x14ac:dyDescent="0.25">
      <c r="A18" s="35">
        <f t="shared" si="0"/>
        <v>14</v>
      </c>
      <c r="B18" s="35" t="str">
        <f>IF(BOM!A18="","",BOM!A18)</f>
        <v>QUAN01</v>
      </c>
      <c r="C18" s="35" t="str">
        <f>IF(B18="","",BOM!B18)</f>
        <v>PHAN01</v>
      </c>
      <c r="D18" s="35" t="str">
        <f>IF(B18="","",IFERROR(INDEX(DM_NL!$B$5:$B$304,MATCH(C18,DM_NL!$A$5:$A$304,0)),""))</f>
        <v>Phấn vẽ rập</v>
      </c>
      <c r="E18" s="35" t="str">
        <f>IF(B18="","",IFERROR(INDEX(DM_NL!$C$5:$C$304,MATCH(C18,DM_NL!$A$5:$A$304,0)),""))</f>
        <v>Viên</v>
      </c>
      <c r="F18" s="39">
        <f>IF(B18="","",SUMIFS(Mau15a!$F$11:$F$310,Mau15a!$B$11:$B$310,B18))</f>
        <v>8000</v>
      </c>
      <c r="G18" s="39">
        <f>IF(B18="","",IF(OR(M18="KXDDM",BOM!F18=""),0,BOM!F18))</f>
        <v>0</v>
      </c>
      <c r="H18" s="39">
        <f t="shared" si="1"/>
        <v>0</v>
      </c>
      <c r="I18" s="39">
        <f>IF(B18="","",SUMIFS(Mau15a!$H$11:$H$310,Mau15a!$B$11:$B$310,B18)+SUMIFS(Mau15a!$I$11:$I$310,Mau15a!$B$11:$B$310,B18)+SUMIFS(Mau15a!$J$11:$J$310,Mau15a!$B$11:$B$310,B18)-SUMIFS(Mau15a!$G$11:$G$310,Mau15a!$B$11:$B$310,B18))</f>
        <v>7900</v>
      </c>
      <c r="J18" s="39">
        <f t="shared" si="2"/>
        <v>0</v>
      </c>
      <c r="K18" s="39">
        <f>IF(B18="","",(SUMIFS(Mau15a!$K$11:$K$310,Mau15a!$B$11:$B$310,B18)-SUMIFS(Mau15a!$E$11:$E$310,Mau15a!$B$11:$B$310,B18))*G18)</f>
        <v>0</v>
      </c>
      <c r="L18" s="36" t="str">
        <f t="shared" si="3"/>
        <v>Khớp</v>
      </c>
      <c r="M18" s="36" t="str">
        <f>IF(B18="","",BOM!G18&amp;"")</f>
        <v>KXDDM</v>
      </c>
      <c r="N18" s="36">
        <f t="shared" si="4"/>
        <v>0</v>
      </c>
    </row>
    <row r="19" spans="1:14" x14ac:dyDescent="0.25">
      <c r="A19" s="35">
        <f t="shared" si="0"/>
        <v>15</v>
      </c>
      <c r="B19" s="35" t="str">
        <f>IF(BOM!A19="","",BOM!A19)</f>
        <v>VAY01</v>
      </c>
      <c r="C19" s="35" t="str">
        <f>IF(B19="","",BOM!B19)</f>
        <v>VAI01</v>
      </c>
      <c r="D19" s="35" t="str">
        <f>IF(B19="","",IFERROR(INDEX(DM_NL!$B$5:$B$304,MATCH(C19,DM_NL!$A$5:$A$304,0)),""))</f>
        <v>Vải chính 100% polyester</v>
      </c>
      <c r="E19" s="35" t="str">
        <f>IF(B19="","",IFERROR(INDEX(DM_NL!$C$5:$C$304,MATCH(C19,DM_NL!$A$5:$A$304,0)),""))</f>
        <v>MTR</v>
      </c>
      <c r="F19" s="39">
        <f>IF(B19="","",SUMIFS(Mau15a!$F$11:$F$310,Mau15a!$B$11:$B$310,B19))</f>
        <v>5000</v>
      </c>
      <c r="G19" s="39">
        <f>IF(B19="","",IF(OR(M19="KXDDM",BOM!F19=""),0,BOM!F19))</f>
        <v>1.5449999999999999</v>
      </c>
      <c r="H19" s="39">
        <f t="shared" si="1"/>
        <v>7725</v>
      </c>
      <c r="I19" s="39">
        <f>IF(B19="","",SUMIFS(Mau15a!$H$11:$H$310,Mau15a!$B$11:$B$310,B19)+SUMIFS(Mau15a!$I$11:$I$310,Mau15a!$B$11:$B$310,B19)+SUMIFS(Mau15a!$J$11:$J$310,Mau15a!$B$11:$B$310,B19)-SUMIFS(Mau15a!$G$11:$G$310,Mau15a!$B$11:$B$310,B19))</f>
        <v>4805</v>
      </c>
      <c r="J19" s="39">
        <f t="shared" si="2"/>
        <v>7423.7249999999995</v>
      </c>
      <c r="K19" s="39">
        <f>IF(B19="","",(SUMIFS(Mau15a!$K$11:$K$310,Mau15a!$B$11:$B$310,B19)-SUMIFS(Mau15a!$E$11:$E$310,Mau15a!$B$11:$B$310,B19))*G19)</f>
        <v>301.27499999999998</v>
      </c>
      <c r="L19" s="36" t="str">
        <f t="shared" si="3"/>
        <v>Khớp</v>
      </c>
      <c r="M19" s="36" t="str">
        <f>IF(B19="","",BOM!G19&amp;"")</f>
        <v/>
      </c>
      <c r="N19" s="36">
        <f t="shared" si="4"/>
        <v>1</v>
      </c>
    </row>
    <row r="20" spans="1:14" x14ac:dyDescent="0.25">
      <c r="A20" s="35">
        <f t="shared" si="0"/>
        <v>16</v>
      </c>
      <c r="B20" s="35" t="str">
        <f>IF(BOM!A20="","",BOM!A20)</f>
        <v>VAY01</v>
      </c>
      <c r="C20" s="35" t="str">
        <f>IF(B20="","",BOM!B20)</f>
        <v>CHI01</v>
      </c>
      <c r="D20" s="35" t="str">
        <f>IF(B20="","",IFERROR(INDEX(DM_NL!$B$5:$B$304,MATCH(C20,DM_NL!$A$5:$A$304,0)),""))</f>
        <v>Chỉ may</v>
      </c>
      <c r="E20" s="35" t="str">
        <f>IF(B20="","",IFERROR(INDEX(DM_NL!$C$5:$C$304,MATCH(C20,DM_NL!$A$5:$A$304,0)),""))</f>
        <v>MTR</v>
      </c>
      <c r="F20" s="39">
        <f>IF(B20="","",SUMIFS(Mau15a!$F$11:$F$310,Mau15a!$B$11:$B$310,B20))</f>
        <v>5000</v>
      </c>
      <c r="G20" s="39">
        <f>IF(B20="","",IF(OR(M20="KXDDM",BOM!F20=""),0,BOM!F20))</f>
        <v>94.5</v>
      </c>
      <c r="H20" s="39">
        <f t="shared" si="1"/>
        <v>472500</v>
      </c>
      <c r="I20" s="39">
        <f>IF(B20="","",SUMIFS(Mau15a!$H$11:$H$310,Mau15a!$B$11:$B$310,B20)+SUMIFS(Mau15a!$I$11:$I$310,Mau15a!$B$11:$B$310,B20)+SUMIFS(Mau15a!$J$11:$J$310,Mau15a!$B$11:$B$310,B20)-SUMIFS(Mau15a!$G$11:$G$310,Mau15a!$B$11:$B$310,B20))</f>
        <v>4805</v>
      </c>
      <c r="J20" s="39">
        <f t="shared" si="2"/>
        <v>454072.5</v>
      </c>
      <c r="K20" s="39">
        <f>IF(B20="","",(SUMIFS(Mau15a!$K$11:$K$310,Mau15a!$B$11:$B$310,B20)-SUMIFS(Mau15a!$E$11:$E$310,Mau15a!$B$11:$B$310,B20))*G20)</f>
        <v>18427.5</v>
      </c>
      <c r="L20" s="36" t="str">
        <f t="shared" si="3"/>
        <v>Khớp</v>
      </c>
      <c r="M20" s="36" t="str">
        <f>IF(B20="","",BOM!G20&amp;"")</f>
        <v/>
      </c>
      <c r="N20" s="36">
        <f t="shared" si="4"/>
        <v>1</v>
      </c>
    </row>
    <row r="21" spans="1:14" x14ac:dyDescent="0.25">
      <c r="A21" s="35">
        <f t="shared" si="0"/>
        <v>17</v>
      </c>
      <c r="B21" s="35" t="str">
        <f>IF(BOM!A21="","",BOM!A21)</f>
        <v>VAY01</v>
      </c>
      <c r="C21" s="35" t="str">
        <f>IF(B21="","",BOM!B21)</f>
        <v>KHOA01</v>
      </c>
      <c r="D21" s="35" t="str">
        <f>IF(B21="","",IFERROR(INDEX(DM_NL!$B$5:$B$304,MATCH(C21,DM_NL!$A$5:$A$304,0)),""))</f>
        <v>Khóa kéo</v>
      </c>
      <c r="E21" s="35" t="str">
        <f>IF(B21="","",IFERROR(INDEX(DM_NL!$C$5:$C$304,MATCH(C21,DM_NL!$A$5:$A$304,0)),""))</f>
        <v>PCE</v>
      </c>
      <c r="F21" s="39">
        <f>IF(B21="","",SUMIFS(Mau15a!$F$11:$F$310,Mau15a!$B$11:$B$310,B21))</f>
        <v>5000</v>
      </c>
      <c r="G21" s="39">
        <f>IF(B21="","",IF(OR(M21="KXDDM",BOM!F21=""),0,BOM!F21))</f>
        <v>1.01</v>
      </c>
      <c r="H21" s="39">
        <f t="shared" si="1"/>
        <v>5050</v>
      </c>
      <c r="I21" s="39">
        <f>IF(B21="","",SUMIFS(Mau15a!$H$11:$H$310,Mau15a!$B$11:$B$310,B21)+SUMIFS(Mau15a!$I$11:$I$310,Mau15a!$B$11:$B$310,B21)+SUMIFS(Mau15a!$J$11:$J$310,Mau15a!$B$11:$B$310,B21)-SUMIFS(Mau15a!$G$11:$G$310,Mau15a!$B$11:$B$310,B21))</f>
        <v>4805</v>
      </c>
      <c r="J21" s="39">
        <f t="shared" si="2"/>
        <v>4853.05</v>
      </c>
      <c r="K21" s="39">
        <f>IF(B21="","",(SUMIFS(Mau15a!$K$11:$K$310,Mau15a!$B$11:$B$310,B21)-SUMIFS(Mau15a!$E$11:$E$310,Mau15a!$B$11:$B$310,B21))*G21)</f>
        <v>196.95</v>
      </c>
      <c r="L21" s="36" t="str">
        <f t="shared" si="3"/>
        <v>Khớp</v>
      </c>
      <c r="M21" s="36" t="str">
        <f>IF(B21="","",BOM!G21&amp;"")</f>
        <v/>
      </c>
      <c r="N21" s="36">
        <f t="shared" si="4"/>
        <v>1</v>
      </c>
    </row>
    <row r="22" spans="1:14" x14ac:dyDescent="0.25">
      <c r="A22" s="35">
        <f t="shared" si="0"/>
        <v>18</v>
      </c>
      <c r="B22" s="35" t="str">
        <f>IF(BOM!A22="","",BOM!A22)</f>
        <v>VAY01</v>
      </c>
      <c r="C22" s="35" t="str">
        <f>IF(B22="","",BOM!B22)</f>
        <v>NHAN01</v>
      </c>
      <c r="D22" s="35" t="str">
        <f>IF(B22="","",IFERROR(INDEX(DM_NL!$B$5:$B$304,MATCH(C22,DM_NL!$A$5:$A$304,0)),""))</f>
        <v>Nhãn vải</v>
      </c>
      <c r="E22" s="35" t="str">
        <f>IF(B22="","",IFERROR(INDEX(DM_NL!$C$5:$C$304,MATCH(C22,DM_NL!$A$5:$A$304,0)),""))</f>
        <v>PCE</v>
      </c>
      <c r="F22" s="39">
        <f>IF(B22="","",SUMIFS(Mau15a!$F$11:$F$310,Mau15a!$B$11:$B$310,B22))</f>
        <v>5000</v>
      </c>
      <c r="G22" s="39">
        <f>IF(B22="","",IF(OR(M22="KXDDM",BOM!F22=""),0,BOM!F22))</f>
        <v>1.01</v>
      </c>
      <c r="H22" s="39">
        <f t="shared" si="1"/>
        <v>5050</v>
      </c>
      <c r="I22" s="39">
        <f>IF(B22="","",SUMIFS(Mau15a!$H$11:$H$310,Mau15a!$B$11:$B$310,B22)+SUMIFS(Mau15a!$I$11:$I$310,Mau15a!$B$11:$B$310,B22)+SUMIFS(Mau15a!$J$11:$J$310,Mau15a!$B$11:$B$310,B22)-SUMIFS(Mau15a!$G$11:$G$310,Mau15a!$B$11:$B$310,B22))</f>
        <v>4805</v>
      </c>
      <c r="J22" s="39">
        <f t="shared" si="2"/>
        <v>4853.05</v>
      </c>
      <c r="K22" s="39">
        <f>IF(B22="","",(SUMIFS(Mau15a!$K$11:$K$310,Mau15a!$B$11:$B$310,B22)-SUMIFS(Mau15a!$E$11:$E$310,Mau15a!$B$11:$B$310,B22))*G22)</f>
        <v>196.95</v>
      </c>
      <c r="L22" s="36" t="str">
        <f t="shared" si="3"/>
        <v>Khớp</v>
      </c>
      <c r="M22" s="36" t="str">
        <f>IF(B22="","",BOM!G22&amp;"")</f>
        <v/>
      </c>
      <c r="N22" s="36">
        <f t="shared" si="4"/>
        <v>1</v>
      </c>
    </row>
    <row r="23" spans="1:14" x14ac:dyDescent="0.25">
      <c r="A23" s="35">
        <f t="shared" si="0"/>
        <v>19</v>
      </c>
      <c r="B23" s="35" t="str">
        <f>IF(BOM!A23="","",BOM!A23)</f>
        <v>VAY01</v>
      </c>
      <c r="C23" s="35" t="str">
        <f>IF(B23="","",BOM!B23)</f>
        <v>TUI01</v>
      </c>
      <c r="D23" s="35" t="str">
        <f>IF(B23="","",IFERROR(INDEX(DM_NL!$B$5:$B$304,MATCH(C23,DM_NL!$A$5:$A$304,0)),""))</f>
        <v>Túi PE đóng gói</v>
      </c>
      <c r="E23" s="35" t="str">
        <f>IF(B23="","",IFERROR(INDEX(DM_NL!$C$5:$C$304,MATCH(C23,DM_NL!$A$5:$A$304,0)),""))</f>
        <v>PCE</v>
      </c>
      <c r="F23" s="39">
        <f>IF(B23="","",SUMIFS(Mau15a!$F$11:$F$310,Mau15a!$B$11:$B$310,B23))</f>
        <v>5000</v>
      </c>
      <c r="G23" s="39">
        <f>IF(B23="","",IF(OR(M23="KXDDM",BOM!F23=""),0,BOM!F23))</f>
        <v>1</v>
      </c>
      <c r="H23" s="39">
        <f t="shared" si="1"/>
        <v>5000</v>
      </c>
      <c r="I23" s="39">
        <f>IF(B23="","",SUMIFS(Mau15a!$H$11:$H$310,Mau15a!$B$11:$B$310,B23)+SUMIFS(Mau15a!$I$11:$I$310,Mau15a!$B$11:$B$310,B23)+SUMIFS(Mau15a!$J$11:$J$310,Mau15a!$B$11:$B$310,B23)-SUMIFS(Mau15a!$G$11:$G$310,Mau15a!$B$11:$B$310,B23))</f>
        <v>4805</v>
      </c>
      <c r="J23" s="39">
        <f t="shared" si="2"/>
        <v>4805</v>
      </c>
      <c r="K23" s="39">
        <f>IF(B23="","",(SUMIFS(Mau15a!$K$11:$K$310,Mau15a!$B$11:$B$310,B23)-SUMIFS(Mau15a!$E$11:$E$310,Mau15a!$B$11:$B$310,B23))*G23)</f>
        <v>195</v>
      </c>
      <c r="L23" s="36" t="str">
        <f t="shared" si="3"/>
        <v>Khớp</v>
      </c>
      <c r="M23" s="36" t="str">
        <f>IF(B23="","",BOM!G23&amp;"")</f>
        <v>X</v>
      </c>
      <c r="N23" s="36">
        <f t="shared" si="4"/>
        <v>0</v>
      </c>
    </row>
    <row r="24" spans="1:14" x14ac:dyDescent="0.25">
      <c r="A24" s="35" t="str">
        <f t="shared" si="0"/>
        <v/>
      </c>
      <c r="B24" s="35" t="str">
        <f>IF(BOM!A24="","",BOM!A24)</f>
        <v/>
      </c>
      <c r="C24" s="35" t="str">
        <f>IF(B24="","",BOM!B24)</f>
        <v/>
      </c>
      <c r="D24" s="35" t="str">
        <f>IF(B24="","",IFERROR(INDEX(DM_NL!$B$5:$B$304,MATCH(C24,DM_NL!$A$5:$A$304,0)),""))</f>
        <v/>
      </c>
      <c r="E24" s="35" t="str">
        <f>IF(B24="","",IFERROR(INDEX(DM_NL!$C$5:$C$304,MATCH(C24,DM_NL!$A$5:$A$304,0)),""))</f>
        <v/>
      </c>
      <c r="F24" s="39" t="str">
        <f>IF(B24="","",SUMIFS(Mau15a!$F$11:$F$310,Mau15a!$B$11:$B$310,B24))</f>
        <v/>
      </c>
      <c r="G24" s="39" t="str">
        <f>IF(B24="","",IF(OR(M24="KXDDM",BOM!F24=""),0,BOM!F24))</f>
        <v/>
      </c>
      <c r="H24" s="39" t="str">
        <f t="shared" si="1"/>
        <v/>
      </c>
      <c r="I24" s="39" t="str">
        <f>IF(B24="","",SUMIFS(Mau15a!$H$11:$H$310,Mau15a!$B$11:$B$310,B24)+SUMIFS(Mau15a!$I$11:$I$310,Mau15a!$B$11:$B$310,B24)+SUMIFS(Mau15a!$J$11:$J$310,Mau15a!$B$11:$B$310,B24)-SUMIFS(Mau15a!$G$11:$G$310,Mau15a!$B$11:$B$310,B24))</f>
        <v/>
      </c>
      <c r="J24" s="39" t="str">
        <f t="shared" si="2"/>
        <v/>
      </c>
      <c r="K24" s="39" t="str">
        <f>IF(B24="","",(SUMIFS(Mau15a!$K$11:$K$310,Mau15a!$B$11:$B$310,B24)-SUMIFS(Mau15a!$E$11:$E$310,Mau15a!$B$11:$B$310,B24))*G24)</f>
        <v/>
      </c>
      <c r="L24" s="36" t="str">
        <f t="shared" si="3"/>
        <v/>
      </c>
      <c r="M24" s="36" t="str">
        <f>IF(B24="","",BOM!G24&amp;"")</f>
        <v/>
      </c>
      <c r="N24" s="36" t="str">
        <f t="shared" si="4"/>
        <v/>
      </c>
    </row>
    <row r="25" spans="1:14" x14ac:dyDescent="0.25">
      <c r="A25" s="35" t="str">
        <f t="shared" si="0"/>
        <v/>
      </c>
      <c r="B25" s="35" t="str">
        <f>IF(BOM!A25="","",BOM!A25)</f>
        <v/>
      </c>
      <c r="C25" s="35" t="str">
        <f>IF(B25="","",BOM!B25)</f>
        <v/>
      </c>
      <c r="D25" s="35" t="str">
        <f>IF(B25="","",IFERROR(INDEX(DM_NL!$B$5:$B$304,MATCH(C25,DM_NL!$A$5:$A$304,0)),""))</f>
        <v/>
      </c>
      <c r="E25" s="35" t="str">
        <f>IF(B25="","",IFERROR(INDEX(DM_NL!$C$5:$C$304,MATCH(C25,DM_NL!$A$5:$A$304,0)),""))</f>
        <v/>
      </c>
      <c r="F25" s="39" t="str">
        <f>IF(B25="","",SUMIFS(Mau15a!$F$11:$F$310,Mau15a!$B$11:$B$310,B25))</f>
        <v/>
      </c>
      <c r="G25" s="39" t="str">
        <f>IF(B25="","",IF(OR(M25="KXDDM",BOM!F25=""),0,BOM!F25))</f>
        <v/>
      </c>
      <c r="H25" s="39" t="str">
        <f t="shared" si="1"/>
        <v/>
      </c>
      <c r="I25" s="39" t="str">
        <f>IF(B25="","",SUMIFS(Mau15a!$H$11:$H$310,Mau15a!$B$11:$B$310,B25)+SUMIFS(Mau15a!$I$11:$I$310,Mau15a!$B$11:$B$310,B25)+SUMIFS(Mau15a!$J$11:$J$310,Mau15a!$B$11:$B$310,B25)-SUMIFS(Mau15a!$G$11:$G$310,Mau15a!$B$11:$B$310,B25))</f>
        <v/>
      </c>
      <c r="J25" s="39" t="str">
        <f t="shared" si="2"/>
        <v/>
      </c>
      <c r="K25" s="39" t="str">
        <f>IF(B25="","",(SUMIFS(Mau15a!$K$11:$K$310,Mau15a!$B$11:$B$310,B25)-SUMIFS(Mau15a!$E$11:$E$310,Mau15a!$B$11:$B$310,B25))*G25)</f>
        <v/>
      </c>
      <c r="L25" s="36" t="str">
        <f t="shared" si="3"/>
        <v/>
      </c>
      <c r="M25" s="36" t="str">
        <f>IF(B25="","",BOM!G25&amp;"")</f>
        <v/>
      </c>
      <c r="N25" s="36" t="str">
        <f t="shared" si="4"/>
        <v/>
      </c>
    </row>
    <row r="26" spans="1:14" x14ac:dyDescent="0.25">
      <c r="A26" s="35" t="str">
        <f t="shared" si="0"/>
        <v/>
      </c>
      <c r="B26" s="35" t="str">
        <f>IF(BOM!A26="","",BOM!A26)</f>
        <v/>
      </c>
      <c r="C26" s="35" t="str">
        <f>IF(B26="","",BOM!B26)</f>
        <v/>
      </c>
      <c r="D26" s="35" t="str">
        <f>IF(B26="","",IFERROR(INDEX(DM_NL!$B$5:$B$304,MATCH(C26,DM_NL!$A$5:$A$304,0)),""))</f>
        <v/>
      </c>
      <c r="E26" s="35" t="str">
        <f>IF(B26="","",IFERROR(INDEX(DM_NL!$C$5:$C$304,MATCH(C26,DM_NL!$A$5:$A$304,0)),""))</f>
        <v/>
      </c>
      <c r="F26" s="39" t="str">
        <f>IF(B26="","",SUMIFS(Mau15a!$F$11:$F$310,Mau15a!$B$11:$B$310,B26))</f>
        <v/>
      </c>
      <c r="G26" s="39" t="str">
        <f>IF(B26="","",IF(OR(M26="KXDDM",BOM!F26=""),0,BOM!F26))</f>
        <v/>
      </c>
      <c r="H26" s="39" t="str">
        <f t="shared" si="1"/>
        <v/>
      </c>
      <c r="I26" s="39" t="str">
        <f>IF(B26="","",SUMIFS(Mau15a!$H$11:$H$310,Mau15a!$B$11:$B$310,B26)+SUMIFS(Mau15a!$I$11:$I$310,Mau15a!$B$11:$B$310,B26)+SUMIFS(Mau15a!$J$11:$J$310,Mau15a!$B$11:$B$310,B26)-SUMIFS(Mau15a!$G$11:$G$310,Mau15a!$B$11:$B$310,B26))</f>
        <v/>
      </c>
      <c r="J26" s="39" t="str">
        <f t="shared" si="2"/>
        <v/>
      </c>
      <c r="K26" s="39" t="str">
        <f>IF(B26="","",(SUMIFS(Mau15a!$K$11:$K$310,Mau15a!$B$11:$B$310,B26)-SUMIFS(Mau15a!$E$11:$E$310,Mau15a!$B$11:$B$310,B26))*G26)</f>
        <v/>
      </c>
      <c r="L26" s="36" t="str">
        <f t="shared" si="3"/>
        <v/>
      </c>
      <c r="M26" s="36" t="str">
        <f>IF(B26="","",BOM!G26&amp;"")</f>
        <v/>
      </c>
      <c r="N26" s="36" t="str">
        <f t="shared" si="4"/>
        <v/>
      </c>
    </row>
    <row r="27" spans="1:14" x14ac:dyDescent="0.25">
      <c r="A27" s="35" t="str">
        <f t="shared" si="0"/>
        <v/>
      </c>
      <c r="B27" s="35" t="str">
        <f>IF(BOM!A27="","",BOM!A27)</f>
        <v/>
      </c>
      <c r="C27" s="35" t="str">
        <f>IF(B27="","",BOM!B27)</f>
        <v/>
      </c>
      <c r="D27" s="35" t="str">
        <f>IF(B27="","",IFERROR(INDEX(DM_NL!$B$5:$B$304,MATCH(C27,DM_NL!$A$5:$A$304,0)),""))</f>
        <v/>
      </c>
      <c r="E27" s="35" t="str">
        <f>IF(B27="","",IFERROR(INDEX(DM_NL!$C$5:$C$304,MATCH(C27,DM_NL!$A$5:$A$304,0)),""))</f>
        <v/>
      </c>
      <c r="F27" s="39" t="str">
        <f>IF(B27="","",SUMIFS(Mau15a!$F$11:$F$310,Mau15a!$B$11:$B$310,B27))</f>
        <v/>
      </c>
      <c r="G27" s="39" t="str">
        <f>IF(B27="","",IF(OR(M27="KXDDM",BOM!F27=""),0,BOM!F27))</f>
        <v/>
      </c>
      <c r="H27" s="39" t="str">
        <f t="shared" si="1"/>
        <v/>
      </c>
      <c r="I27" s="39" t="str">
        <f>IF(B27="","",SUMIFS(Mau15a!$H$11:$H$310,Mau15a!$B$11:$B$310,B27)+SUMIFS(Mau15a!$I$11:$I$310,Mau15a!$B$11:$B$310,B27)+SUMIFS(Mau15a!$J$11:$J$310,Mau15a!$B$11:$B$310,B27)-SUMIFS(Mau15a!$G$11:$G$310,Mau15a!$B$11:$B$310,B27))</f>
        <v/>
      </c>
      <c r="J27" s="39" t="str">
        <f t="shared" si="2"/>
        <v/>
      </c>
      <c r="K27" s="39" t="str">
        <f>IF(B27="","",(SUMIFS(Mau15a!$K$11:$K$310,Mau15a!$B$11:$B$310,B27)-SUMIFS(Mau15a!$E$11:$E$310,Mau15a!$B$11:$B$310,B27))*G27)</f>
        <v/>
      </c>
      <c r="L27" s="36" t="str">
        <f t="shared" si="3"/>
        <v/>
      </c>
      <c r="M27" s="36" t="str">
        <f>IF(B27="","",BOM!G27&amp;"")</f>
        <v/>
      </c>
      <c r="N27" s="36" t="str">
        <f t="shared" si="4"/>
        <v/>
      </c>
    </row>
    <row r="28" spans="1:14" x14ac:dyDescent="0.25">
      <c r="A28" s="35" t="str">
        <f t="shared" si="0"/>
        <v/>
      </c>
      <c r="B28" s="35" t="str">
        <f>IF(BOM!A28="","",BOM!A28)</f>
        <v/>
      </c>
      <c r="C28" s="35" t="str">
        <f>IF(B28="","",BOM!B28)</f>
        <v/>
      </c>
      <c r="D28" s="35" t="str">
        <f>IF(B28="","",IFERROR(INDEX(DM_NL!$B$5:$B$304,MATCH(C28,DM_NL!$A$5:$A$304,0)),""))</f>
        <v/>
      </c>
      <c r="E28" s="35" t="str">
        <f>IF(B28="","",IFERROR(INDEX(DM_NL!$C$5:$C$304,MATCH(C28,DM_NL!$A$5:$A$304,0)),""))</f>
        <v/>
      </c>
      <c r="F28" s="39" t="str">
        <f>IF(B28="","",SUMIFS(Mau15a!$F$11:$F$310,Mau15a!$B$11:$B$310,B28))</f>
        <v/>
      </c>
      <c r="G28" s="39" t="str">
        <f>IF(B28="","",IF(OR(M28="KXDDM",BOM!F28=""),0,BOM!F28))</f>
        <v/>
      </c>
      <c r="H28" s="39" t="str">
        <f t="shared" si="1"/>
        <v/>
      </c>
      <c r="I28" s="39" t="str">
        <f>IF(B28="","",SUMIFS(Mau15a!$H$11:$H$310,Mau15a!$B$11:$B$310,B28)+SUMIFS(Mau15a!$I$11:$I$310,Mau15a!$B$11:$B$310,B28)+SUMIFS(Mau15a!$J$11:$J$310,Mau15a!$B$11:$B$310,B28)-SUMIFS(Mau15a!$G$11:$G$310,Mau15a!$B$11:$B$310,B28))</f>
        <v/>
      </c>
      <c r="J28" s="39" t="str">
        <f t="shared" si="2"/>
        <v/>
      </c>
      <c r="K28" s="39" t="str">
        <f>IF(B28="","",(SUMIFS(Mau15a!$K$11:$K$310,Mau15a!$B$11:$B$310,B28)-SUMIFS(Mau15a!$E$11:$E$310,Mau15a!$B$11:$B$310,B28))*G28)</f>
        <v/>
      </c>
      <c r="L28" s="36" t="str">
        <f t="shared" si="3"/>
        <v/>
      </c>
      <c r="M28" s="36" t="str">
        <f>IF(B28="","",BOM!G28&amp;"")</f>
        <v/>
      </c>
      <c r="N28" s="36" t="str">
        <f t="shared" si="4"/>
        <v/>
      </c>
    </row>
    <row r="29" spans="1:14" x14ac:dyDescent="0.25">
      <c r="A29" s="35" t="str">
        <f t="shared" si="0"/>
        <v/>
      </c>
      <c r="B29" s="35" t="str">
        <f>IF(BOM!A29="","",BOM!A29)</f>
        <v/>
      </c>
      <c r="C29" s="35" t="str">
        <f>IF(B29="","",BOM!B29)</f>
        <v/>
      </c>
      <c r="D29" s="35" t="str">
        <f>IF(B29="","",IFERROR(INDEX(DM_NL!$B$5:$B$304,MATCH(C29,DM_NL!$A$5:$A$304,0)),""))</f>
        <v/>
      </c>
      <c r="E29" s="35" t="str">
        <f>IF(B29="","",IFERROR(INDEX(DM_NL!$C$5:$C$304,MATCH(C29,DM_NL!$A$5:$A$304,0)),""))</f>
        <v/>
      </c>
      <c r="F29" s="39" t="str">
        <f>IF(B29="","",SUMIFS(Mau15a!$F$11:$F$310,Mau15a!$B$11:$B$310,B29))</f>
        <v/>
      </c>
      <c r="G29" s="39" t="str">
        <f>IF(B29="","",IF(OR(M29="KXDDM",BOM!F29=""),0,BOM!F29))</f>
        <v/>
      </c>
      <c r="H29" s="39" t="str">
        <f t="shared" si="1"/>
        <v/>
      </c>
      <c r="I29" s="39" t="str">
        <f>IF(B29="","",SUMIFS(Mau15a!$H$11:$H$310,Mau15a!$B$11:$B$310,B29)+SUMIFS(Mau15a!$I$11:$I$310,Mau15a!$B$11:$B$310,B29)+SUMIFS(Mau15a!$J$11:$J$310,Mau15a!$B$11:$B$310,B29)-SUMIFS(Mau15a!$G$11:$G$310,Mau15a!$B$11:$B$310,B29))</f>
        <v/>
      </c>
      <c r="J29" s="39" t="str">
        <f t="shared" si="2"/>
        <v/>
      </c>
      <c r="K29" s="39" t="str">
        <f>IF(B29="","",(SUMIFS(Mau15a!$K$11:$K$310,Mau15a!$B$11:$B$310,B29)-SUMIFS(Mau15a!$E$11:$E$310,Mau15a!$B$11:$B$310,B29))*G29)</f>
        <v/>
      </c>
      <c r="L29" s="36" t="str">
        <f t="shared" si="3"/>
        <v/>
      </c>
      <c r="M29" s="36" t="str">
        <f>IF(B29="","",BOM!G29&amp;"")</f>
        <v/>
      </c>
      <c r="N29" s="36" t="str">
        <f t="shared" si="4"/>
        <v/>
      </c>
    </row>
    <row r="30" spans="1:14" x14ac:dyDescent="0.25">
      <c r="A30" s="35" t="str">
        <f t="shared" si="0"/>
        <v/>
      </c>
      <c r="B30" s="35" t="str">
        <f>IF(BOM!A30="","",BOM!A30)</f>
        <v/>
      </c>
      <c r="C30" s="35" t="str">
        <f>IF(B30="","",BOM!B30)</f>
        <v/>
      </c>
      <c r="D30" s="35" t="str">
        <f>IF(B30="","",IFERROR(INDEX(DM_NL!$B$5:$B$304,MATCH(C30,DM_NL!$A$5:$A$304,0)),""))</f>
        <v/>
      </c>
      <c r="E30" s="35" t="str">
        <f>IF(B30="","",IFERROR(INDEX(DM_NL!$C$5:$C$304,MATCH(C30,DM_NL!$A$5:$A$304,0)),""))</f>
        <v/>
      </c>
      <c r="F30" s="39" t="str">
        <f>IF(B30="","",SUMIFS(Mau15a!$F$11:$F$310,Mau15a!$B$11:$B$310,B30))</f>
        <v/>
      </c>
      <c r="G30" s="39" t="str">
        <f>IF(B30="","",IF(OR(M30="KXDDM",BOM!F30=""),0,BOM!F30))</f>
        <v/>
      </c>
      <c r="H30" s="39" t="str">
        <f t="shared" si="1"/>
        <v/>
      </c>
      <c r="I30" s="39" t="str">
        <f>IF(B30="","",SUMIFS(Mau15a!$H$11:$H$310,Mau15a!$B$11:$B$310,B30)+SUMIFS(Mau15a!$I$11:$I$310,Mau15a!$B$11:$B$310,B30)+SUMIFS(Mau15a!$J$11:$J$310,Mau15a!$B$11:$B$310,B30)-SUMIFS(Mau15a!$G$11:$G$310,Mau15a!$B$11:$B$310,B30))</f>
        <v/>
      </c>
      <c r="J30" s="39" t="str">
        <f t="shared" si="2"/>
        <v/>
      </c>
      <c r="K30" s="39" t="str">
        <f>IF(B30="","",(SUMIFS(Mau15a!$K$11:$K$310,Mau15a!$B$11:$B$310,B30)-SUMIFS(Mau15a!$E$11:$E$310,Mau15a!$B$11:$B$310,B30))*G30)</f>
        <v/>
      </c>
      <c r="L30" s="36" t="str">
        <f t="shared" si="3"/>
        <v/>
      </c>
      <c r="M30" s="36" t="str">
        <f>IF(B30="","",BOM!G30&amp;"")</f>
        <v/>
      </c>
      <c r="N30" s="36" t="str">
        <f t="shared" si="4"/>
        <v/>
      </c>
    </row>
    <row r="31" spans="1:14" x14ac:dyDescent="0.25">
      <c r="A31" s="35" t="str">
        <f t="shared" si="0"/>
        <v/>
      </c>
      <c r="B31" s="35" t="str">
        <f>IF(BOM!A31="","",BOM!A31)</f>
        <v/>
      </c>
      <c r="C31" s="35" t="str">
        <f>IF(B31="","",BOM!B31)</f>
        <v/>
      </c>
      <c r="D31" s="35" t="str">
        <f>IF(B31="","",IFERROR(INDEX(DM_NL!$B$5:$B$304,MATCH(C31,DM_NL!$A$5:$A$304,0)),""))</f>
        <v/>
      </c>
      <c r="E31" s="35" t="str">
        <f>IF(B31="","",IFERROR(INDEX(DM_NL!$C$5:$C$304,MATCH(C31,DM_NL!$A$5:$A$304,0)),""))</f>
        <v/>
      </c>
      <c r="F31" s="39" t="str">
        <f>IF(B31="","",SUMIFS(Mau15a!$F$11:$F$310,Mau15a!$B$11:$B$310,B31))</f>
        <v/>
      </c>
      <c r="G31" s="39" t="str">
        <f>IF(B31="","",IF(OR(M31="KXDDM",BOM!F31=""),0,BOM!F31))</f>
        <v/>
      </c>
      <c r="H31" s="39" t="str">
        <f t="shared" si="1"/>
        <v/>
      </c>
      <c r="I31" s="39" t="str">
        <f>IF(B31="","",SUMIFS(Mau15a!$H$11:$H$310,Mau15a!$B$11:$B$310,B31)+SUMIFS(Mau15a!$I$11:$I$310,Mau15a!$B$11:$B$310,B31)+SUMIFS(Mau15a!$J$11:$J$310,Mau15a!$B$11:$B$310,B31)-SUMIFS(Mau15a!$G$11:$G$310,Mau15a!$B$11:$B$310,B31))</f>
        <v/>
      </c>
      <c r="J31" s="39" t="str">
        <f t="shared" si="2"/>
        <v/>
      </c>
      <c r="K31" s="39" t="str">
        <f>IF(B31="","",(SUMIFS(Mau15a!$K$11:$K$310,Mau15a!$B$11:$B$310,B31)-SUMIFS(Mau15a!$E$11:$E$310,Mau15a!$B$11:$B$310,B31))*G31)</f>
        <v/>
      </c>
      <c r="L31" s="36" t="str">
        <f t="shared" si="3"/>
        <v/>
      </c>
      <c r="M31" s="36" t="str">
        <f>IF(B31="","",BOM!G31&amp;"")</f>
        <v/>
      </c>
      <c r="N31" s="36" t="str">
        <f t="shared" si="4"/>
        <v/>
      </c>
    </row>
    <row r="32" spans="1:14" x14ac:dyDescent="0.25">
      <c r="A32" s="35" t="str">
        <f t="shared" si="0"/>
        <v/>
      </c>
      <c r="B32" s="35" t="str">
        <f>IF(BOM!A32="","",BOM!A32)</f>
        <v/>
      </c>
      <c r="C32" s="35" t="str">
        <f>IF(B32="","",BOM!B32)</f>
        <v/>
      </c>
      <c r="D32" s="35" t="str">
        <f>IF(B32="","",IFERROR(INDEX(DM_NL!$B$5:$B$304,MATCH(C32,DM_NL!$A$5:$A$304,0)),""))</f>
        <v/>
      </c>
      <c r="E32" s="35" t="str">
        <f>IF(B32="","",IFERROR(INDEX(DM_NL!$C$5:$C$304,MATCH(C32,DM_NL!$A$5:$A$304,0)),""))</f>
        <v/>
      </c>
      <c r="F32" s="39" t="str">
        <f>IF(B32="","",SUMIFS(Mau15a!$F$11:$F$310,Mau15a!$B$11:$B$310,B32))</f>
        <v/>
      </c>
      <c r="G32" s="39" t="str">
        <f>IF(B32="","",IF(OR(M32="KXDDM",BOM!F32=""),0,BOM!F32))</f>
        <v/>
      </c>
      <c r="H32" s="39" t="str">
        <f t="shared" si="1"/>
        <v/>
      </c>
      <c r="I32" s="39" t="str">
        <f>IF(B32="","",SUMIFS(Mau15a!$H$11:$H$310,Mau15a!$B$11:$B$310,B32)+SUMIFS(Mau15a!$I$11:$I$310,Mau15a!$B$11:$B$310,B32)+SUMIFS(Mau15a!$J$11:$J$310,Mau15a!$B$11:$B$310,B32)-SUMIFS(Mau15a!$G$11:$G$310,Mau15a!$B$11:$B$310,B32))</f>
        <v/>
      </c>
      <c r="J32" s="39" t="str">
        <f t="shared" si="2"/>
        <v/>
      </c>
      <c r="K32" s="39" t="str">
        <f>IF(B32="","",(SUMIFS(Mau15a!$K$11:$K$310,Mau15a!$B$11:$B$310,B32)-SUMIFS(Mau15a!$E$11:$E$310,Mau15a!$B$11:$B$310,B32))*G32)</f>
        <v/>
      </c>
      <c r="L32" s="36" t="str">
        <f t="shared" si="3"/>
        <v/>
      </c>
      <c r="M32" s="36" t="str">
        <f>IF(B32="","",BOM!G32&amp;"")</f>
        <v/>
      </c>
      <c r="N32" s="36" t="str">
        <f t="shared" si="4"/>
        <v/>
      </c>
    </row>
    <row r="33" spans="1:14" x14ac:dyDescent="0.25">
      <c r="A33" s="35" t="str">
        <f t="shared" si="0"/>
        <v/>
      </c>
      <c r="B33" s="35" t="str">
        <f>IF(BOM!A33="","",BOM!A33)</f>
        <v/>
      </c>
      <c r="C33" s="35" t="str">
        <f>IF(B33="","",BOM!B33)</f>
        <v/>
      </c>
      <c r="D33" s="35" t="str">
        <f>IF(B33="","",IFERROR(INDEX(DM_NL!$B$5:$B$304,MATCH(C33,DM_NL!$A$5:$A$304,0)),""))</f>
        <v/>
      </c>
      <c r="E33" s="35" t="str">
        <f>IF(B33="","",IFERROR(INDEX(DM_NL!$C$5:$C$304,MATCH(C33,DM_NL!$A$5:$A$304,0)),""))</f>
        <v/>
      </c>
      <c r="F33" s="39" t="str">
        <f>IF(B33="","",SUMIFS(Mau15a!$F$11:$F$310,Mau15a!$B$11:$B$310,B33))</f>
        <v/>
      </c>
      <c r="G33" s="39" t="str">
        <f>IF(B33="","",IF(OR(M33="KXDDM",BOM!F33=""),0,BOM!F33))</f>
        <v/>
      </c>
      <c r="H33" s="39" t="str">
        <f t="shared" si="1"/>
        <v/>
      </c>
      <c r="I33" s="39" t="str">
        <f>IF(B33="","",SUMIFS(Mau15a!$H$11:$H$310,Mau15a!$B$11:$B$310,B33)+SUMIFS(Mau15a!$I$11:$I$310,Mau15a!$B$11:$B$310,B33)+SUMIFS(Mau15a!$J$11:$J$310,Mau15a!$B$11:$B$310,B33)-SUMIFS(Mau15a!$G$11:$G$310,Mau15a!$B$11:$B$310,B33))</f>
        <v/>
      </c>
      <c r="J33" s="39" t="str">
        <f t="shared" si="2"/>
        <v/>
      </c>
      <c r="K33" s="39" t="str">
        <f>IF(B33="","",(SUMIFS(Mau15a!$K$11:$K$310,Mau15a!$B$11:$B$310,B33)-SUMIFS(Mau15a!$E$11:$E$310,Mau15a!$B$11:$B$310,B33))*G33)</f>
        <v/>
      </c>
      <c r="L33" s="36" t="str">
        <f t="shared" si="3"/>
        <v/>
      </c>
      <c r="M33" s="36" t="str">
        <f>IF(B33="","",BOM!G33&amp;"")</f>
        <v/>
      </c>
      <c r="N33" s="36" t="str">
        <f t="shared" si="4"/>
        <v/>
      </c>
    </row>
    <row r="34" spans="1:14" x14ac:dyDescent="0.25">
      <c r="A34" s="35" t="str">
        <f t="shared" si="0"/>
        <v/>
      </c>
      <c r="B34" s="35" t="str">
        <f>IF(BOM!A34="","",BOM!A34)</f>
        <v/>
      </c>
      <c r="C34" s="35" t="str">
        <f>IF(B34="","",BOM!B34)</f>
        <v/>
      </c>
      <c r="D34" s="35" t="str">
        <f>IF(B34="","",IFERROR(INDEX(DM_NL!$B$5:$B$304,MATCH(C34,DM_NL!$A$5:$A$304,0)),""))</f>
        <v/>
      </c>
      <c r="E34" s="35" t="str">
        <f>IF(B34="","",IFERROR(INDEX(DM_NL!$C$5:$C$304,MATCH(C34,DM_NL!$A$5:$A$304,0)),""))</f>
        <v/>
      </c>
      <c r="F34" s="39" t="str">
        <f>IF(B34="","",SUMIFS(Mau15a!$F$11:$F$310,Mau15a!$B$11:$B$310,B34))</f>
        <v/>
      </c>
      <c r="G34" s="39" t="str">
        <f>IF(B34="","",IF(OR(M34="KXDDM",BOM!F34=""),0,BOM!F34))</f>
        <v/>
      </c>
      <c r="H34" s="39" t="str">
        <f t="shared" si="1"/>
        <v/>
      </c>
      <c r="I34" s="39" t="str">
        <f>IF(B34="","",SUMIFS(Mau15a!$H$11:$H$310,Mau15a!$B$11:$B$310,B34)+SUMIFS(Mau15a!$I$11:$I$310,Mau15a!$B$11:$B$310,B34)+SUMIFS(Mau15a!$J$11:$J$310,Mau15a!$B$11:$B$310,B34)-SUMIFS(Mau15a!$G$11:$G$310,Mau15a!$B$11:$B$310,B34))</f>
        <v/>
      </c>
      <c r="J34" s="39" t="str">
        <f t="shared" si="2"/>
        <v/>
      </c>
      <c r="K34" s="39" t="str">
        <f>IF(B34="","",(SUMIFS(Mau15a!$K$11:$K$310,Mau15a!$B$11:$B$310,B34)-SUMIFS(Mau15a!$E$11:$E$310,Mau15a!$B$11:$B$310,B34))*G34)</f>
        <v/>
      </c>
      <c r="L34" s="36" t="str">
        <f t="shared" si="3"/>
        <v/>
      </c>
      <c r="M34" s="36" t="str">
        <f>IF(B34="","",BOM!G34&amp;"")</f>
        <v/>
      </c>
      <c r="N34" s="36" t="str">
        <f t="shared" si="4"/>
        <v/>
      </c>
    </row>
    <row r="35" spans="1:14" x14ac:dyDescent="0.25">
      <c r="A35" s="35" t="str">
        <f t="shared" si="0"/>
        <v/>
      </c>
      <c r="B35" s="35" t="str">
        <f>IF(BOM!A35="","",BOM!A35)</f>
        <v/>
      </c>
      <c r="C35" s="35" t="str">
        <f>IF(B35="","",BOM!B35)</f>
        <v/>
      </c>
      <c r="D35" s="35" t="str">
        <f>IF(B35="","",IFERROR(INDEX(DM_NL!$B$5:$B$304,MATCH(C35,DM_NL!$A$5:$A$304,0)),""))</f>
        <v/>
      </c>
      <c r="E35" s="35" t="str">
        <f>IF(B35="","",IFERROR(INDEX(DM_NL!$C$5:$C$304,MATCH(C35,DM_NL!$A$5:$A$304,0)),""))</f>
        <v/>
      </c>
      <c r="F35" s="39" t="str">
        <f>IF(B35="","",SUMIFS(Mau15a!$F$11:$F$310,Mau15a!$B$11:$B$310,B35))</f>
        <v/>
      </c>
      <c r="G35" s="39" t="str">
        <f>IF(B35="","",IF(OR(M35="KXDDM",BOM!F35=""),0,BOM!F35))</f>
        <v/>
      </c>
      <c r="H35" s="39" t="str">
        <f t="shared" si="1"/>
        <v/>
      </c>
      <c r="I35" s="39" t="str">
        <f>IF(B35="","",SUMIFS(Mau15a!$H$11:$H$310,Mau15a!$B$11:$B$310,B35)+SUMIFS(Mau15a!$I$11:$I$310,Mau15a!$B$11:$B$310,B35)+SUMIFS(Mau15a!$J$11:$J$310,Mau15a!$B$11:$B$310,B35)-SUMIFS(Mau15a!$G$11:$G$310,Mau15a!$B$11:$B$310,B35))</f>
        <v/>
      </c>
      <c r="J35" s="39" t="str">
        <f t="shared" si="2"/>
        <v/>
      </c>
      <c r="K35" s="39" t="str">
        <f>IF(B35="","",(SUMIFS(Mau15a!$K$11:$K$310,Mau15a!$B$11:$B$310,B35)-SUMIFS(Mau15a!$E$11:$E$310,Mau15a!$B$11:$B$310,B35))*G35)</f>
        <v/>
      </c>
      <c r="L35" s="36" t="str">
        <f t="shared" si="3"/>
        <v/>
      </c>
      <c r="M35" s="36" t="str">
        <f>IF(B35="","",BOM!G35&amp;"")</f>
        <v/>
      </c>
      <c r="N35" s="36" t="str">
        <f t="shared" si="4"/>
        <v/>
      </c>
    </row>
    <row r="36" spans="1:14" x14ac:dyDescent="0.25">
      <c r="A36" s="35" t="str">
        <f t="shared" si="0"/>
        <v/>
      </c>
      <c r="B36" s="35" t="str">
        <f>IF(BOM!A36="","",BOM!A36)</f>
        <v/>
      </c>
      <c r="C36" s="35" t="str">
        <f>IF(B36="","",BOM!B36)</f>
        <v/>
      </c>
      <c r="D36" s="35" t="str">
        <f>IF(B36="","",IFERROR(INDEX(DM_NL!$B$5:$B$304,MATCH(C36,DM_NL!$A$5:$A$304,0)),""))</f>
        <v/>
      </c>
      <c r="E36" s="35" t="str">
        <f>IF(B36="","",IFERROR(INDEX(DM_NL!$C$5:$C$304,MATCH(C36,DM_NL!$A$5:$A$304,0)),""))</f>
        <v/>
      </c>
      <c r="F36" s="39" t="str">
        <f>IF(B36="","",SUMIFS(Mau15a!$F$11:$F$310,Mau15a!$B$11:$B$310,B36))</f>
        <v/>
      </c>
      <c r="G36" s="39" t="str">
        <f>IF(B36="","",IF(OR(M36="KXDDM",BOM!F36=""),0,BOM!F36))</f>
        <v/>
      </c>
      <c r="H36" s="39" t="str">
        <f t="shared" si="1"/>
        <v/>
      </c>
      <c r="I36" s="39" t="str">
        <f>IF(B36="","",SUMIFS(Mau15a!$H$11:$H$310,Mau15a!$B$11:$B$310,B36)+SUMIFS(Mau15a!$I$11:$I$310,Mau15a!$B$11:$B$310,B36)+SUMIFS(Mau15a!$J$11:$J$310,Mau15a!$B$11:$B$310,B36)-SUMIFS(Mau15a!$G$11:$G$310,Mau15a!$B$11:$B$310,B36))</f>
        <v/>
      </c>
      <c r="J36" s="39" t="str">
        <f t="shared" si="2"/>
        <v/>
      </c>
      <c r="K36" s="39" t="str">
        <f>IF(B36="","",(SUMIFS(Mau15a!$K$11:$K$310,Mau15a!$B$11:$B$310,B36)-SUMIFS(Mau15a!$E$11:$E$310,Mau15a!$B$11:$B$310,B36))*G36)</f>
        <v/>
      </c>
      <c r="L36" s="36" t="str">
        <f t="shared" si="3"/>
        <v/>
      </c>
      <c r="M36" s="36" t="str">
        <f>IF(B36="","",BOM!G36&amp;"")</f>
        <v/>
      </c>
      <c r="N36" s="36" t="str">
        <f t="shared" si="4"/>
        <v/>
      </c>
    </row>
    <row r="37" spans="1:14" x14ac:dyDescent="0.25">
      <c r="A37" s="35" t="str">
        <f t="shared" si="0"/>
        <v/>
      </c>
      <c r="B37" s="35" t="str">
        <f>IF(BOM!A37="","",BOM!A37)</f>
        <v/>
      </c>
      <c r="C37" s="35" t="str">
        <f>IF(B37="","",BOM!B37)</f>
        <v/>
      </c>
      <c r="D37" s="35" t="str">
        <f>IF(B37="","",IFERROR(INDEX(DM_NL!$B$5:$B$304,MATCH(C37,DM_NL!$A$5:$A$304,0)),""))</f>
        <v/>
      </c>
      <c r="E37" s="35" t="str">
        <f>IF(B37="","",IFERROR(INDEX(DM_NL!$C$5:$C$304,MATCH(C37,DM_NL!$A$5:$A$304,0)),""))</f>
        <v/>
      </c>
      <c r="F37" s="39" t="str">
        <f>IF(B37="","",SUMIFS(Mau15a!$F$11:$F$310,Mau15a!$B$11:$B$310,B37))</f>
        <v/>
      </c>
      <c r="G37" s="39" t="str">
        <f>IF(B37="","",IF(OR(M37="KXDDM",BOM!F37=""),0,BOM!F37))</f>
        <v/>
      </c>
      <c r="H37" s="39" t="str">
        <f t="shared" si="1"/>
        <v/>
      </c>
      <c r="I37" s="39" t="str">
        <f>IF(B37="","",SUMIFS(Mau15a!$H$11:$H$310,Mau15a!$B$11:$B$310,B37)+SUMIFS(Mau15a!$I$11:$I$310,Mau15a!$B$11:$B$310,B37)+SUMIFS(Mau15a!$J$11:$J$310,Mau15a!$B$11:$B$310,B37)-SUMIFS(Mau15a!$G$11:$G$310,Mau15a!$B$11:$B$310,B37))</f>
        <v/>
      </c>
      <c r="J37" s="39" t="str">
        <f t="shared" si="2"/>
        <v/>
      </c>
      <c r="K37" s="39" t="str">
        <f>IF(B37="","",(SUMIFS(Mau15a!$K$11:$K$310,Mau15a!$B$11:$B$310,B37)-SUMIFS(Mau15a!$E$11:$E$310,Mau15a!$B$11:$B$310,B37))*G37)</f>
        <v/>
      </c>
      <c r="L37" s="36" t="str">
        <f t="shared" si="3"/>
        <v/>
      </c>
      <c r="M37" s="36" t="str">
        <f>IF(B37="","",BOM!G37&amp;"")</f>
        <v/>
      </c>
      <c r="N37" s="36" t="str">
        <f t="shared" si="4"/>
        <v/>
      </c>
    </row>
    <row r="38" spans="1:14" x14ac:dyDescent="0.25">
      <c r="A38" s="35" t="str">
        <f t="shared" si="0"/>
        <v/>
      </c>
      <c r="B38" s="35" t="str">
        <f>IF(BOM!A38="","",BOM!A38)</f>
        <v/>
      </c>
      <c r="C38" s="35" t="str">
        <f>IF(B38="","",BOM!B38)</f>
        <v/>
      </c>
      <c r="D38" s="35" t="str">
        <f>IF(B38="","",IFERROR(INDEX(DM_NL!$B$5:$B$304,MATCH(C38,DM_NL!$A$5:$A$304,0)),""))</f>
        <v/>
      </c>
      <c r="E38" s="35" t="str">
        <f>IF(B38="","",IFERROR(INDEX(DM_NL!$C$5:$C$304,MATCH(C38,DM_NL!$A$5:$A$304,0)),""))</f>
        <v/>
      </c>
      <c r="F38" s="39" t="str">
        <f>IF(B38="","",SUMIFS(Mau15a!$F$11:$F$310,Mau15a!$B$11:$B$310,B38))</f>
        <v/>
      </c>
      <c r="G38" s="39" t="str">
        <f>IF(B38="","",IF(OR(M38="KXDDM",BOM!F38=""),0,BOM!F38))</f>
        <v/>
      </c>
      <c r="H38" s="39" t="str">
        <f t="shared" si="1"/>
        <v/>
      </c>
      <c r="I38" s="39" t="str">
        <f>IF(B38="","",SUMIFS(Mau15a!$H$11:$H$310,Mau15a!$B$11:$B$310,B38)+SUMIFS(Mau15a!$I$11:$I$310,Mau15a!$B$11:$B$310,B38)+SUMIFS(Mau15a!$J$11:$J$310,Mau15a!$B$11:$B$310,B38)-SUMIFS(Mau15a!$G$11:$G$310,Mau15a!$B$11:$B$310,B38))</f>
        <v/>
      </c>
      <c r="J38" s="39" t="str">
        <f t="shared" si="2"/>
        <v/>
      </c>
      <c r="K38" s="39" t="str">
        <f>IF(B38="","",(SUMIFS(Mau15a!$K$11:$K$310,Mau15a!$B$11:$B$310,B38)-SUMIFS(Mau15a!$E$11:$E$310,Mau15a!$B$11:$B$310,B38))*G38)</f>
        <v/>
      </c>
      <c r="L38" s="36" t="str">
        <f t="shared" si="3"/>
        <v/>
      </c>
      <c r="M38" s="36" t="str">
        <f>IF(B38="","",BOM!G38&amp;"")</f>
        <v/>
      </c>
      <c r="N38" s="36" t="str">
        <f t="shared" si="4"/>
        <v/>
      </c>
    </row>
    <row r="39" spans="1:14" x14ac:dyDescent="0.25">
      <c r="A39" s="35" t="str">
        <f t="shared" si="0"/>
        <v/>
      </c>
      <c r="B39" s="35" t="str">
        <f>IF(BOM!A39="","",BOM!A39)</f>
        <v/>
      </c>
      <c r="C39" s="35" t="str">
        <f>IF(B39="","",BOM!B39)</f>
        <v/>
      </c>
      <c r="D39" s="35" t="str">
        <f>IF(B39="","",IFERROR(INDEX(DM_NL!$B$5:$B$304,MATCH(C39,DM_NL!$A$5:$A$304,0)),""))</f>
        <v/>
      </c>
      <c r="E39" s="35" t="str">
        <f>IF(B39="","",IFERROR(INDEX(DM_NL!$C$5:$C$304,MATCH(C39,DM_NL!$A$5:$A$304,0)),""))</f>
        <v/>
      </c>
      <c r="F39" s="39" t="str">
        <f>IF(B39="","",SUMIFS(Mau15a!$F$11:$F$310,Mau15a!$B$11:$B$310,B39))</f>
        <v/>
      </c>
      <c r="G39" s="39" t="str">
        <f>IF(B39="","",IF(OR(M39="KXDDM",BOM!F39=""),0,BOM!F39))</f>
        <v/>
      </c>
      <c r="H39" s="39" t="str">
        <f t="shared" si="1"/>
        <v/>
      </c>
      <c r="I39" s="39" t="str">
        <f>IF(B39="","",SUMIFS(Mau15a!$H$11:$H$310,Mau15a!$B$11:$B$310,B39)+SUMIFS(Mau15a!$I$11:$I$310,Mau15a!$B$11:$B$310,B39)+SUMIFS(Mau15a!$J$11:$J$310,Mau15a!$B$11:$B$310,B39)-SUMIFS(Mau15a!$G$11:$G$310,Mau15a!$B$11:$B$310,B39))</f>
        <v/>
      </c>
      <c r="J39" s="39" t="str">
        <f t="shared" si="2"/>
        <v/>
      </c>
      <c r="K39" s="39" t="str">
        <f>IF(B39="","",(SUMIFS(Mau15a!$K$11:$K$310,Mau15a!$B$11:$B$310,B39)-SUMIFS(Mau15a!$E$11:$E$310,Mau15a!$B$11:$B$310,B39))*G39)</f>
        <v/>
      </c>
      <c r="L39" s="36" t="str">
        <f t="shared" si="3"/>
        <v/>
      </c>
      <c r="M39" s="36" t="str">
        <f>IF(B39="","",BOM!G39&amp;"")</f>
        <v/>
      </c>
      <c r="N39" s="36" t="str">
        <f t="shared" si="4"/>
        <v/>
      </c>
    </row>
    <row r="40" spans="1:14" x14ac:dyDescent="0.25">
      <c r="A40" s="35" t="str">
        <f t="shared" si="0"/>
        <v/>
      </c>
      <c r="B40" s="35" t="str">
        <f>IF(BOM!A40="","",BOM!A40)</f>
        <v/>
      </c>
      <c r="C40" s="35" t="str">
        <f>IF(B40="","",BOM!B40)</f>
        <v/>
      </c>
      <c r="D40" s="35" t="str">
        <f>IF(B40="","",IFERROR(INDEX(DM_NL!$B$5:$B$304,MATCH(C40,DM_NL!$A$5:$A$304,0)),""))</f>
        <v/>
      </c>
      <c r="E40" s="35" t="str">
        <f>IF(B40="","",IFERROR(INDEX(DM_NL!$C$5:$C$304,MATCH(C40,DM_NL!$A$5:$A$304,0)),""))</f>
        <v/>
      </c>
      <c r="F40" s="39" t="str">
        <f>IF(B40="","",SUMIFS(Mau15a!$F$11:$F$310,Mau15a!$B$11:$B$310,B40))</f>
        <v/>
      </c>
      <c r="G40" s="39" t="str">
        <f>IF(B40="","",IF(OR(M40="KXDDM",BOM!F40=""),0,BOM!F40))</f>
        <v/>
      </c>
      <c r="H40" s="39" t="str">
        <f t="shared" si="1"/>
        <v/>
      </c>
      <c r="I40" s="39" t="str">
        <f>IF(B40="","",SUMIFS(Mau15a!$H$11:$H$310,Mau15a!$B$11:$B$310,B40)+SUMIFS(Mau15a!$I$11:$I$310,Mau15a!$B$11:$B$310,B40)+SUMIFS(Mau15a!$J$11:$J$310,Mau15a!$B$11:$B$310,B40)-SUMIFS(Mau15a!$G$11:$G$310,Mau15a!$B$11:$B$310,B40))</f>
        <v/>
      </c>
      <c r="J40" s="39" t="str">
        <f t="shared" si="2"/>
        <v/>
      </c>
      <c r="K40" s="39" t="str">
        <f>IF(B40="","",(SUMIFS(Mau15a!$K$11:$K$310,Mau15a!$B$11:$B$310,B40)-SUMIFS(Mau15a!$E$11:$E$310,Mau15a!$B$11:$B$310,B40))*G40)</f>
        <v/>
      </c>
      <c r="L40" s="36" t="str">
        <f t="shared" si="3"/>
        <v/>
      </c>
      <c r="M40" s="36" t="str">
        <f>IF(B40="","",BOM!G40&amp;"")</f>
        <v/>
      </c>
      <c r="N40" s="36" t="str">
        <f t="shared" si="4"/>
        <v/>
      </c>
    </row>
    <row r="41" spans="1:14" x14ac:dyDescent="0.25">
      <c r="A41" s="35" t="str">
        <f t="shared" si="0"/>
        <v/>
      </c>
      <c r="B41" s="35" t="str">
        <f>IF(BOM!A41="","",BOM!A41)</f>
        <v/>
      </c>
      <c r="C41" s="35" t="str">
        <f>IF(B41="","",BOM!B41)</f>
        <v/>
      </c>
      <c r="D41" s="35" t="str">
        <f>IF(B41="","",IFERROR(INDEX(DM_NL!$B$5:$B$304,MATCH(C41,DM_NL!$A$5:$A$304,0)),""))</f>
        <v/>
      </c>
      <c r="E41" s="35" t="str">
        <f>IF(B41="","",IFERROR(INDEX(DM_NL!$C$5:$C$304,MATCH(C41,DM_NL!$A$5:$A$304,0)),""))</f>
        <v/>
      </c>
      <c r="F41" s="39" t="str">
        <f>IF(B41="","",SUMIFS(Mau15a!$F$11:$F$310,Mau15a!$B$11:$B$310,B41))</f>
        <v/>
      </c>
      <c r="G41" s="39" t="str">
        <f>IF(B41="","",IF(OR(M41="KXDDM",BOM!F41=""),0,BOM!F41))</f>
        <v/>
      </c>
      <c r="H41" s="39" t="str">
        <f t="shared" si="1"/>
        <v/>
      </c>
      <c r="I41" s="39" t="str">
        <f>IF(B41="","",SUMIFS(Mau15a!$H$11:$H$310,Mau15a!$B$11:$B$310,B41)+SUMIFS(Mau15a!$I$11:$I$310,Mau15a!$B$11:$B$310,B41)+SUMIFS(Mau15a!$J$11:$J$310,Mau15a!$B$11:$B$310,B41)-SUMIFS(Mau15a!$G$11:$G$310,Mau15a!$B$11:$B$310,B41))</f>
        <v/>
      </c>
      <c r="J41" s="39" t="str">
        <f t="shared" si="2"/>
        <v/>
      </c>
      <c r="K41" s="39" t="str">
        <f>IF(B41="","",(SUMIFS(Mau15a!$K$11:$K$310,Mau15a!$B$11:$B$310,B41)-SUMIFS(Mau15a!$E$11:$E$310,Mau15a!$B$11:$B$310,B41))*G41)</f>
        <v/>
      </c>
      <c r="L41" s="36" t="str">
        <f t="shared" si="3"/>
        <v/>
      </c>
      <c r="M41" s="36" t="str">
        <f>IF(B41="","",BOM!G41&amp;"")</f>
        <v/>
      </c>
      <c r="N41" s="36" t="str">
        <f t="shared" si="4"/>
        <v/>
      </c>
    </row>
    <row r="42" spans="1:14" x14ac:dyDescent="0.25">
      <c r="A42" s="35" t="str">
        <f t="shared" si="0"/>
        <v/>
      </c>
      <c r="B42" s="35" t="str">
        <f>IF(BOM!A42="","",BOM!A42)</f>
        <v/>
      </c>
      <c r="C42" s="35" t="str">
        <f>IF(B42="","",BOM!B42)</f>
        <v/>
      </c>
      <c r="D42" s="35" t="str">
        <f>IF(B42="","",IFERROR(INDEX(DM_NL!$B$5:$B$304,MATCH(C42,DM_NL!$A$5:$A$304,0)),""))</f>
        <v/>
      </c>
      <c r="E42" s="35" t="str">
        <f>IF(B42="","",IFERROR(INDEX(DM_NL!$C$5:$C$304,MATCH(C42,DM_NL!$A$5:$A$304,0)),""))</f>
        <v/>
      </c>
      <c r="F42" s="39" t="str">
        <f>IF(B42="","",SUMIFS(Mau15a!$F$11:$F$310,Mau15a!$B$11:$B$310,B42))</f>
        <v/>
      </c>
      <c r="G42" s="39" t="str">
        <f>IF(B42="","",IF(OR(M42="KXDDM",BOM!F42=""),0,BOM!F42))</f>
        <v/>
      </c>
      <c r="H42" s="39" t="str">
        <f t="shared" si="1"/>
        <v/>
      </c>
      <c r="I42" s="39" t="str">
        <f>IF(B42="","",SUMIFS(Mau15a!$H$11:$H$310,Mau15a!$B$11:$B$310,B42)+SUMIFS(Mau15a!$I$11:$I$310,Mau15a!$B$11:$B$310,B42)+SUMIFS(Mau15a!$J$11:$J$310,Mau15a!$B$11:$B$310,B42)-SUMIFS(Mau15a!$G$11:$G$310,Mau15a!$B$11:$B$310,B42))</f>
        <v/>
      </c>
      <c r="J42" s="39" t="str">
        <f t="shared" si="2"/>
        <v/>
      </c>
      <c r="K42" s="39" t="str">
        <f>IF(B42="","",(SUMIFS(Mau15a!$K$11:$K$310,Mau15a!$B$11:$B$310,B42)-SUMIFS(Mau15a!$E$11:$E$310,Mau15a!$B$11:$B$310,B42))*G42)</f>
        <v/>
      </c>
      <c r="L42" s="36" t="str">
        <f t="shared" si="3"/>
        <v/>
      </c>
      <c r="M42" s="36" t="str">
        <f>IF(B42="","",BOM!G42&amp;"")</f>
        <v/>
      </c>
      <c r="N42" s="36" t="str">
        <f t="shared" si="4"/>
        <v/>
      </c>
    </row>
    <row r="43" spans="1:14" x14ac:dyDescent="0.25">
      <c r="A43" s="35" t="str">
        <f t="shared" si="0"/>
        <v/>
      </c>
      <c r="B43" s="35" t="str">
        <f>IF(BOM!A43="","",BOM!A43)</f>
        <v/>
      </c>
      <c r="C43" s="35" t="str">
        <f>IF(B43="","",BOM!B43)</f>
        <v/>
      </c>
      <c r="D43" s="35" t="str">
        <f>IF(B43="","",IFERROR(INDEX(DM_NL!$B$5:$B$304,MATCH(C43,DM_NL!$A$5:$A$304,0)),""))</f>
        <v/>
      </c>
      <c r="E43" s="35" t="str">
        <f>IF(B43="","",IFERROR(INDEX(DM_NL!$C$5:$C$304,MATCH(C43,DM_NL!$A$5:$A$304,0)),""))</f>
        <v/>
      </c>
      <c r="F43" s="39" t="str">
        <f>IF(B43="","",SUMIFS(Mau15a!$F$11:$F$310,Mau15a!$B$11:$B$310,B43))</f>
        <v/>
      </c>
      <c r="G43" s="39" t="str">
        <f>IF(B43="","",IF(OR(M43="KXDDM",BOM!F43=""),0,BOM!F43))</f>
        <v/>
      </c>
      <c r="H43" s="39" t="str">
        <f t="shared" si="1"/>
        <v/>
      </c>
      <c r="I43" s="39" t="str">
        <f>IF(B43="","",SUMIFS(Mau15a!$H$11:$H$310,Mau15a!$B$11:$B$310,B43)+SUMIFS(Mau15a!$I$11:$I$310,Mau15a!$B$11:$B$310,B43)+SUMIFS(Mau15a!$J$11:$J$310,Mau15a!$B$11:$B$310,B43)-SUMIFS(Mau15a!$G$11:$G$310,Mau15a!$B$11:$B$310,B43))</f>
        <v/>
      </c>
      <c r="J43" s="39" t="str">
        <f t="shared" si="2"/>
        <v/>
      </c>
      <c r="K43" s="39" t="str">
        <f>IF(B43="","",(SUMIFS(Mau15a!$K$11:$K$310,Mau15a!$B$11:$B$310,B43)-SUMIFS(Mau15a!$E$11:$E$310,Mau15a!$B$11:$B$310,B43))*G43)</f>
        <v/>
      </c>
      <c r="L43" s="36" t="str">
        <f t="shared" si="3"/>
        <v/>
      </c>
      <c r="M43" s="36" t="str">
        <f>IF(B43="","",BOM!G43&amp;"")</f>
        <v/>
      </c>
      <c r="N43" s="36" t="str">
        <f t="shared" si="4"/>
        <v/>
      </c>
    </row>
    <row r="44" spans="1:14" x14ac:dyDescent="0.25">
      <c r="A44" s="35" t="str">
        <f t="shared" si="0"/>
        <v/>
      </c>
      <c r="B44" s="35" t="str">
        <f>IF(BOM!A44="","",BOM!A44)</f>
        <v/>
      </c>
      <c r="C44" s="35" t="str">
        <f>IF(B44="","",BOM!B44)</f>
        <v/>
      </c>
      <c r="D44" s="35" t="str">
        <f>IF(B44="","",IFERROR(INDEX(DM_NL!$B$5:$B$304,MATCH(C44,DM_NL!$A$5:$A$304,0)),""))</f>
        <v/>
      </c>
      <c r="E44" s="35" t="str">
        <f>IF(B44="","",IFERROR(INDEX(DM_NL!$C$5:$C$304,MATCH(C44,DM_NL!$A$5:$A$304,0)),""))</f>
        <v/>
      </c>
      <c r="F44" s="39" t="str">
        <f>IF(B44="","",SUMIFS(Mau15a!$F$11:$F$310,Mau15a!$B$11:$B$310,B44))</f>
        <v/>
      </c>
      <c r="G44" s="39" t="str">
        <f>IF(B44="","",IF(OR(M44="KXDDM",BOM!F44=""),0,BOM!F44))</f>
        <v/>
      </c>
      <c r="H44" s="39" t="str">
        <f t="shared" si="1"/>
        <v/>
      </c>
      <c r="I44" s="39" t="str">
        <f>IF(B44="","",SUMIFS(Mau15a!$H$11:$H$310,Mau15a!$B$11:$B$310,B44)+SUMIFS(Mau15a!$I$11:$I$310,Mau15a!$B$11:$B$310,B44)+SUMIFS(Mau15a!$J$11:$J$310,Mau15a!$B$11:$B$310,B44)-SUMIFS(Mau15a!$G$11:$G$310,Mau15a!$B$11:$B$310,B44))</f>
        <v/>
      </c>
      <c r="J44" s="39" t="str">
        <f t="shared" si="2"/>
        <v/>
      </c>
      <c r="K44" s="39" t="str">
        <f>IF(B44="","",(SUMIFS(Mau15a!$K$11:$K$310,Mau15a!$B$11:$B$310,B44)-SUMIFS(Mau15a!$E$11:$E$310,Mau15a!$B$11:$B$310,B44))*G44)</f>
        <v/>
      </c>
      <c r="L44" s="36" t="str">
        <f t="shared" si="3"/>
        <v/>
      </c>
      <c r="M44" s="36" t="str">
        <f>IF(B44="","",BOM!G44&amp;"")</f>
        <v/>
      </c>
      <c r="N44" s="36" t="str">
        <f t="shared" si="4"/>
        <v/>
      </c>
    </row>
    <row r="45" spans="1:14" x14ac:dyDescent="0.25">
      <c r="A45" s="35" t="str">
        <f t="shared" si="0"/>
        <v/>
      </c>
      <c r="B45" s="35" t="str">
        <f>IF(BOM!A45="","",BOM!A45)</f>
        <v/>
      </c>
      <c r="C45" s="35" t="str">
        <f>IF(B45="","",BOM!B45)</f>
        <v/>
      </c>
      <c r="D45" s="35" t="str">
        <f>IF(B45="","",IFERROR(INDEX(DM_NL!$B$5:$B$304,MATCH(C45,DM_NL!$A$5:$A$304,0)),""))</f>
        <v/>
      </c>
      <c r="E45" s="35" t="str">
        <f>IF(B45="","",IFERROR(INDEX(DM_NL!$C$5:$C$304,MATCH(C45,DM_NL!$A$5:$A$304,0)),""))</f>
        <v/>
      </c>
      <c r="F45" s="39" t="str">
        <f>IF(B45="","",SUMIFS(Mau15a!$F$11:$F$310,Mau15a!$B$11:$B$310,B45))</f>
        <v/>
      </c>
      <c r="G45" s="39" t="str">
        <f>IF(B45="","",IF(OR(M45="KXDDM",BOM!F45=""),0,BOM!F45))</f>
        <v/>
      </c>
      <c r="H45" s="39" t="str">
        <f t="shared" si="1"/>
        <v/>
      </c>
      <c r="I45" s="39" t="str">
        <f>IF(B45="","",SUMIFS(Mau15a!$H$11:$H$310,Mau15a!$B$11:$B$310,B45)+SUMIFS(Mau15a!$I$11:$I$310,Mau15a!$B$11:$B$310,B45)+SUMIFS(Mau15a!$J$11:$J$310,Mau15a!$B$11:$B$310,B45)-SUMIFS(Mau15a!$G$11:$G$310,Mau15a!$B$11:$B$310,B45))</f>
        <v/>
      </c>
      <c r="J45" s="39" t="str">
        <f t="shared" si="2"/>
        <v/>
      </c>
      <c r="K45" s="39" t="str">
        <f>IF(B45="","",(SUMIFS(Mau15a!$K$11:$K$310,Mau15a!$B$11:$B$310,B45)-SUMIFS(Mau15a!$E$11:$E$310,Mau15a!$B$11:$B$310,B45))*G45)</f>
        <v/>
      </c>
      <c r="L45" s="36" t="str">
        <f t="shared" si="3"/>
        <v/>
      </c>
      <c r="M45" s="36" t="str">
        <f>IF(B45="","",BOM!G45&amp;"")</f>
        <v/>
      </c>
      <c r="N45" s="36" t="str">
        <f t="shared" si="4"/>
        <v/>
      </c>
    </row>
    <row r="46" spans="1:14" x14ac:dyDescent="0.25">
      <c r="A46" s="35" t="str">
        <f t="shared" si="0"/>
        <v/>
      </c>
      <c r="B46" s="35" t="str">
        <f>IF(BOM!A46="","",BOM!A46)</f>
        <v/>
      </c>
      <c r="C46" s="35" t="str">
        <f>IF(B46="","",BOM!B46)</f>
        <v/>
      </c>
      <c r="D46" s="35" t="str">
        <f>IF(B46="","",IFERROR(INDEX(DM_NL!$B$5:$B$304,MATCH(C46,DM_NL!$A$5:$A$304,0)),""))</f>
        <v/>
      </c>
      <c r="E46" s="35" t="str">
        <f>IF(B46="","",IFERROR(INDEX(DM_NL!$C$5:$C$304,MATCH(C46,DM_NL!$A$5:$A$304,0)),""))</f>
        <v/>
      </c>
      <c r="F46" s="39" t="str">
        <f>IF(B46="","",SUMIFS(Mau15a!$F$11:$F$310,Mau15a!$B$11:$B$310,B46))</f>
        <v/>
      </c>
      <c r="G46" s="39" t="str">
        <f>IF(B46="","",IF(OR(M46="KXDDM",BOM!F46=""),0,BOM!F46))</f>
        <v/>
      </c>
      <c r="H46" s="39" t="str">
        <f t="shared" si="1"/>
        <v/>
      </c>
      <c r="I46" s="39" t="str">
        <f>IF(B46="","",SUMIFS(Mau15a!$H$11:$H$310,Mau15a!$B$11:$B$310,B46)+SUMIFS(Mau15a!$I$11:$I$310,Mau15a!$B$11:$B$310,B46)+SUMIFS(Mau15a!$J$11:$J$310,Mau15a!$B$11:$B$310,B46)-SUMIFS(Mau15a!$G$11:$G$310,Mau15a!$B$11:$B$310,B46))</f>
        <v/>
      </c>
      <c r="J46" s="39" t="str">
        <f t="shared" si="2"/>
        <v/>
      </c>
      <c r="K46" s="39" t="str">
        <f>IF(B46="","",(SUMIFS(Mau15a!$K$11:$K$310,Mau15a!$B$11:$B$310,B46)-SUMIFS(Mau15a!$E$11:$E$310,Mau15a!$B$11:$B$310,B46))*G46)</f>
        <v/>
      </c>
      <c r="L46" s="36" t="str">
        <f t="shared" si="3"/>
        <v/>
      </c>
      <c r="M46" s="36" t="str">
        <f>IF(B46="","",BOM!G46&amp;"")</f>
        <v/>
      </c>
      <c r="N46" s="36" t="str">
        <f t="shared" si="4"/>
        <v/>
      </c>
    </row>
    <row r="47" spans="1:14" x14ac:dyDescent="0.25">
      <c r="A47" s="35" t="str">
        <f t="shared" si="0"/>
        <v/>
      </c>
      <c r="B47" s="35" t="str">
        <f>IF(BOM!A47="","",BOM!A47)</f>
        <v/>
      </c>
      <c r="C47" s="35" t="str">
        <f>IF(B47="","",BOM!B47)</f>
        <v/>
      </c>
      <c r="D47" s="35" t="str">
        <f>IF(B47="","",IFERROR(INDEX(DM_NL!$B$5:$B$304,MATCH(C47,DM_NL!$A$5:$A$304,0)),""))</f>
        <v/>
      </c>
      <c r="E47" s="35" t="str">
        <f>IF(B47="","",IFERROR(INDEX(DM_NL!$C$5:$C$304,MATCH(C47,DM_NL!$A$5:$A$304,0)),""))</f>
        <v/>
      </c>
      <c r="F47" s="39" t="str">
        <f>IF(B47="","",SUMIFS(Mau15a!$F$11:$F$310,Mau15a!$B$11:$B$310,B47))</f>
        <v/>
      </c>
      <c r="G47" s="39" t="str">
        <f>IF(B47="","",IF(OR(M47="KXDDM",BOM!F47=""),0,BOM!F47))</f>
        <v/>
      </c>
      <c r="H47" s="39" t="str">
        <f t="shared" si="1"/>
        <v/>
      </c>
      <c r="I47" s="39" t="str">
        <f>IF(B47="","",SUMIFS(Mau15a!$H$11:$H$310,Mau15a!$B$11:$B$310,B47)+SUMIFS(Mau15a!$I$11:$I$310,Mau15a!$B$11:$B$310,B47)+SUMIFS(Mau15a!$J$11:$J$310,Mau15a!$B$11:$B$310,B47)-SUMIFS(Mau15a!$G$11:$G$310,Mau15a!$B$11:$B$310,B47))</f>
        <v/>
      </c>
      <c r="J47" s="39" t="str">
        <f t="shared" si="2"/>
        <v/>
      </c>
      <c r="K47" s="39" t="str">
        <f>IF(B47="","",(SUMIFS(Mau15a!$K$11:$K$310,Mau15a!$B$11:$B$310,B47)-SUMIFS(Mau15a!$E$11:$E$310,Mau15a!$B$11:$B$310,B47))*G47)</f>
        <v/>
      </c>
      <c r="L47" s="36" t="str">
        <f t="shared" si="3"/>
        <v/>
      </c>
      <c r="M47" s="36" t="str">
        <f>IF(B47="","",BOM!G47&amp;"")</f>
        <v/>
      </c>
      <c r="N47" s="36" t="str">
        <f t="shared" si="4"/>
        <v/>
      </c>
    </row>
    <row r="48" spans="1:14" x14ac:dyDescent="0.25">
      <c r="A48" s="35" t="str">
        <f t="shared" si="0"/>
        <v/>
      </c>
      <c r="B48" s="35" t="str">
        <f>IF(BOM!A48="","",BOM!A48)</f>
        <v/>
      </c>
      <c r="C48" s="35" t="str">
        <f>IF(B48="","",BOM!B48)</f>
        <v/>
      </c>
      <c r="D48" s="35" t="str">
        <f>IF(B48="","",IFERROR(INDEX(DM_NL!$B$5:$B$304,MATCH(C48,DM_NL!$A$5:$A$304,0)),""))</f>
        <v/>
      </c>
      <c r="E48" s="35" t="str">
        <f>IF(B48="","",IFERROR(INDEX(DM_NL!$C$5:$C$304,MATCH(C48,DM_NL!$A$5:$A$304,0)),""))</f>
        <v/>
      </c>
      <c r="F48" s="39" t="str">
        <f>IF(B48="","",SUMIFS(Mau15a!$F$11:$F$310,Mau15a!$B$11:$B$310,B48))</f>
        <v/>
      </c>
      <c r="G48" s="39" t="str">
        <f>IF(B48="","",IF(OR(M48="KXDDM",BOM!F48=""),0,BOM!F48))</f>
        <v/>
      </c>
      <c r="H48" s="39" t="str">
        <f t="shared" si="1"/>
        <v/>
      </c>
      <c r="I48" s="39" t="str">
        <f>IF(B48="","",SUMIFS(Mau15a!$H$11:$H$310,Mau15a!$B$11:$B$310,B48)+SUMIFS(Mau15a!$I$11:$I$310,Mau15a!$B$11:$B$310,B48)+SUMIFS(Mau15a!$J$11:$J$310,Mau15a!$B$11:$B$310,B48)-SUMIFS(Mau15a!$G$11:$G$310,Mau15a!$B$11:$B$310,B48))</f>
        <v/>
      </c>
      <c r="J48" s="39" t="str">
        <f t="shared" si="2"/>
        <v/>
      </c>
      <c r="K48" s="39" t="str">
        <f>IF(B48="","",(SUMIFS(Mau15a!$K$11:$K$310,Mau15a!$B$11:$B$310,B48)-SUMIFS(Mau15a!$E$11:$E$310,Mau15a!$B$11:$B$310,B48))*G48)</f>
        <v/>
      </c>
      <c r="L48" s="36" t="str">
        <f t="shared" si="3"/>
        <v/>
      </c>
      <c r="M48" s="36" t="str">
        <f>IF(B48="","",BOM!G48&amp;"")</f>
        <v/>
      </c>
      <c r="N48" s="36" t="str">
        <f t="shared" si="4"/>
        <v/>
      </c>
    </row>
    <row r="49" spans="1:14" x14ac:dyDescent="0.25">
      <c r="A49" s="35" t="str">
        <f t="shared" si="0"/>
        <v/>
      </c>
      <c r="B49" s="35" t="str">
        <f>IF(BOM!A49="","",BOM!A49)</f>
        <v/>
      </c>
      <c r="C49" s="35" t="str">
        <f>IF(B49="","",BOM!B49)</f>
        <v/>
      </c>
      <c r="D49" s="35" t="str">
        <f>IF(B49="","",IFERROR(INDEX(DM_NL!$B$5:$B$304,MATCH(C49,DM_NL!$A$5:$A$304,0)),""))</f>
        <v/>
      </c>
      <c r="E49" s="35" t="str">
        <f>IF(B49="","",IFERROR(INDEX(DM_NL!$C$5:$C$304,MATCH(C49,DM_NL!$A$5:$A$304,0)),""))</f>
        <v/>
      </c>
      <c r="F49" s="39" t="str">
        <f>IF(B49="","",SUMIFS(Mau15a!$F$11:$F$310,Mau15a!$B$11:$B$310,B49))</f>
        <v/>
      </c>
      <c r="G49" s="39" t="str">
        <f>IF(B49="","",IF(OR(M49="KXDDM",BOM!F49=""),0,BOM!F49))</f>
        <v/>
      </c>
      <c r="H49" s="39" t="str">
        <f t="shared" si="1"/>
        <v/>
      </c>
      <c r="I49" s="39" t="str">
        <f>IF(B49="","",SUMIFS(Mau15a!$H$11:$H$310,Mau15a!$B$11:$B$310,B49)+SUMIFS(Mau15a!$I$11:$I$310,Mau15a!$B$11:$B$310,B49)+SUMIFS(Mau15a!$J$11:$J$310,Mau15a!$B$11:$B$310,B49)-SUMIFS(Mau15a!$G$11:$G$310,Mau15a!$B$11:$B$310,B49))</f>
        <v/>
      </c>
      <c r="J49" s="39" t="str">
        <f t="shared" si="2"/>
        <v/>
      </c>
      <c r="K49" s="39" t="str">
        <f>IF(B49="","",(SUMIFS(Mau15a!$K$11:$K$310,Mau15a!$B$11:$B$310,B49)-SUMIFS(Mau15a!$E$11:$E$310,Mau15a!$B$11:$B$310,B49))*G49)</f>
        <v/>
      </c>
      <c r="L49" s="36" t="str">
        <f t="shared" si="3"/>
        <v/>
      </c>
      <c r="M49" s="36" t="str">
        <f>IF(B49="","",BOM!G49&amp;"")</f>
        <v/>
      </c>
      <c r="N49" s="36" t="str">
        <f t="shared" si="4"/>
        <v/>
      </c>
    </row>
    <row r="50" spans="1:14" x14ac:dyDescent="0.25">
      <c r="A50" s="35" t="str">
        <f t="shared" si="0"/>
        <v/>
      </c>
      <c r="B50" s="35" t="str">
        <f>IF(BOM!A50="","",BOM!A50)</f>
        <v/>
      </c>
      <c r="C50" s="35" t="str">
        <f>IF(B50="","",BOM!B50)</f>
        <v/>
      </c>
      <c r="D50" s="35" t="str">
        <f>IF(B50="","",IFERROR(INDEX(DM_NL!$B$5:$B$304,MATCH(C50,DM_NL!$A$5:$A$304,0)),""))</f>
        <v/>
      </c>
      <c r="E50" s="35" t="str">
        <f>IF(B50="","",IFERROR(INDEX(DM_NL!$C$5:$C$304,MATCH(C50,DM_NL!$A$5:$A$304,0)),""))</f>
        <v/>
      </c>
      <c r="F50" s="39" t="str">
        <f>IF(B50="","",SUMIFS(Mau15a!$F$11:$F$310,Mau15a!$B$11:$B$310,B50))</f>
        <v/>
      </c>
      <c r="G50" s="39" t="str">
        <f>IF(B50="","",IF(OR(M50="KXDDM",BOM!F50=""),0,BOM!F50))</f>
        <v/>
      </c>
      <c r="H50" s="39" t="str">
        <f t="shared" si="1"/>
        <v/>
      </c>
      <c r="I50" s="39" t="str">
        <f>IF(B50="","",SUMIFS(Mau15a!$H$11:$H$310,Mau15a!$B$11:$B$310,B50)+SUMIFS(Mau15a!$I$11:$I$310,Mau15a!$B$11:$B$310,B50)+SUMIFS(Mau15a!$J$11:$J$310,Mau15a!$B$11:$B$310,B50)-SUMIFS(Mau15a!$G$11:$G$310,Mau15a!$B$11:$B$310,B50))</f>
        <v/>
      </c>
      <c r="J50" s="39" t="str">
        <f t="shared" si="2"/>
        <v/>
      </c>
      <c r="K50" s="39" t="str">
        <f>IF(B50="","",(SUMIFS(Mau15a!$K$11:$K$310,Mau15a!$B$11:$B$310,B50)-SUMIFS(Mau15a!$E$11:$E$310,Mau15a!$B$11:$B$310,B50))*G50)</f>
        <v/>
      </c>
      <c r="L50" s="36" t="str">
        <f t="shared" si="3"/>
        <v/>
      </c>
      <c r="M50" s="36" t="str">
        <f>IF(B50="","",BOM!G50&amp;"")</f>
        <v/>
      </c>
      <c r="N50" s="36" t="str">
        <f t="shared" si="4"/>
        <v/>
      </c>
    </row>
    <row r="51" spans="1:14" x14ac:dyDescent="0.25">
      <c r="A51" s="35" t="str">
        <f t="shared" si="0"/>
        <v/>
      </c>
      <c r="B51" s="35" t="str">
        <f>IF(BOM!A51="","",BOM!A51)</f>
        <v/>
      </c>
      <c r="C51" s="35" t="str">
        <f>IF(B51="","",BOM!B51)</f>
        <v/>
      </c>
      <c r="D51" s="35" t="str">
        <f>IF(B51="","",IFERROR(INDEX(DM_NL!$B$5:$B$304,MATCH(C51,DM_NL!$A$5:$A$304,0)),""))</f>
        <v/>
      </c>
      <c r="E51" s="35" t="str">
        <f>IF(B51="","",IFERROR(INDEX(DM_NL!$C$5:$C$304,MATCH(C51,DM_NL!$A$5:$A$304,0)),""))</f>
        <v/>
      </c>
      <c r="F51" s="39" t="str">
        <f>IF(B51="","",SUMIFS(Mau15a!$F$11:$F$310,Mau15a!$B$11:$B$310,B51))</f>
        <v/>
      </c>
      <c r="G51" s="39" t="str">
        <f>IF(B51="","",IF(OR(M51="KXDDM",BOM!F51=""),0,BOM!F51))</f>
        <v/>
      </c>
      <c r="H51" s="39" t="str">
        <f t="shared" si="1"/>
        <v/>
      </c>
      <c r="I51" s="39" t="str">
        <f>IF(B51="","",SUMIFS(Mau15a!$H$11:$H$310,Mau15a!$B$11:$B$310,B51)+SUMIFS(Mau15a!$I$11:$I$310,Mau15a!$B$11:$B$310,B51)+SUMIFS(Mau15a!$J$11:$J$310,Mau15a!$B$11:$B$310,B51)-SUMIFS(Mau15a!$G$11:$G$310,Mau15a!$B$11:$B$310,B51))</f>
        <v/>
      </c>
      <c r="J51" s="39" t="str">
        <f t="shared" si="2"/>
        <v/>
      </c>
      <c r="K51" s="39" t="str">
        <f>IF(B51="","",(SUMIFS(Mau15a!$K$11:$K$310,Mau15a!$B$11:$B$310,B51)-SUMIFS(Mau15a!$E$11:$E$310,Mau15a!$B$11:$B$310,B51))*G51)</f>
        <v/>
      </c>
      <c r="L51" s="36" t="str">
        <f t="shared" si="3"/>
        <v/>
      </c>
      <c r="M51" s="36" t="str">
        <f>IF(B51="","",BOM!G51&amp;"")</f>
        <v/>
      </c>
      <c r="N51" s="36" t="str">
        <f t="shared" si="4"/>
        <v/>
      </c>
    </row>
    <row r="52" spans="1:14" x14ac:dyDescent="0.25">
      <c r="A52" s="35" t="str">
        <f t="shared" si="0"/>
        <v/>
      </c>
      <c r="B52" s="35" t="str">
        <f>IF(BOM!A52="","",BOM!A52)</f>
        <v/>
      </c>
      <c r="C52" s="35" t="str">
        <f>IF(B52="","",BOM!B52)</f>
        <v/>
      </c>
      <c r="D52" s="35" t="str">
        <f>IF(B52="","",IFERROR(INDEX(DM_NL!$B$5:$B$304,MATCH(C52,DM_NL!$A$5:$A$304,0)),""))</f>
        <v/>
      </c>
      <c r="E52" s="35" t="str">
        <f>IF(B52="","",IFERROR(INDEX(DM_NL!$C$5:$C$304,MATCH(C52,DM_NL!$A$5:$A$304,0)),""))</f>
        <v/>
      </c>
      <c r="F52" s="39" t="str">
        <f>IF(B52="","",SUMIFS(Mau15a!$F$11:$F$310,Mau15a!$B$11:$B$310,B52))</f>
        <v/>
      </c>
      <c r="G52" s="39" t="str">
        <f>IF(B52="","",IF(OR(M52="KXDDM",BOM!F52=""),0,BOM!F52))</f>
        <v/>
      </c>
      <c r="H52" s="39" t="str">
        <f t="shared" si="1"/>
        <v/>
      </c>
      <c r="I52" s="39" t="str">
        <f>IF(B52="","",SUMIFS(Mau15a!$H$11:$H$310,Mau15a!$B$11:$B$310,B52)+SUMIFS(Mau15a!$I$11:$I$310,Mau15a!$B$11:$B$310,B52)+SUMIFS(Mau15a!$J$11:$J$310,Mau15a!$B$11:$B$310,B52)-SUMIFS(Mau15a!$G$11:$G$310,Mau15a!$B$11:$B$310,B52))</f>
        <v/>
      </c>
      <c r="J52" s="39" t="str">
        <f t="shared" si="2"/>
        <v/>
      </c>
      <c r="K52" s="39" t="str">
        <f>IF(B52="","",(SUMIFS(Mau15a!$K$11:$K$310,Mau15a!$B$11:$B$310,B52)-SUMIFS(Mau15a!$E$11:$E$310,Mau15a!$B$11:$B$310,B52))*G52)</f>
        <v/>
      </c>
      <c r="L52" s="36" t="str">
        <f t="shared" si="3"/>
        <v/>
      </c>
      <c r="M52" s="36" t="str">
        <f>IF(B52="","",BOM!G52&amp;"")</f>
        <v/>
      </c>
      <c r="N52" s="36" t="str">
        <f t="shared" si="4"/>
        <v/>
      </c>
    </row>
    <row r="53" spans="1:14" x14ac:dyDescent="0.25">
      <c r="A53" s="35" t="str">
        <f t="shared" si="0"/>
        <v/>
      </c>
      <c r="B53" s="35" t="str">
        <f>IF(BOM!A53="","",BOM!A53)</f>
        <v/>
      </c>
      <c r="C53" s="35" t="str">
        <f>IF(B53="","",BOM!B53)</f>
        <v/>
      </c>
      <c r="D53" s="35" t="str">
        <f>IF(B53="","",IFERROR(INDEX(DM_NL!$B$5:$B$304,MATCH(C53,DM_NL!$A$5:$A$304,0)),""))</f>
        <v/>
      </c>
      <c r="E53" s="35" t="str">
        <f>IF(B53="","",IFERROR(INDEX(DM_NL!$C$5:$C$304,MATCH(C53,DM_NL!$A$5:$A$304,0)),""))</f>
        <v/>
      </c>
      <c r="F53" s="39" t="str">
        <f>IF(B53="","",SUMIFS(Mau15a!$F$11:$F$310,Mau15a!$B$11:$B$310,B53))</f>
        <v/>
      </c>
      <c r="G53" s="39" t="str">
        <f>IF(B53="","",IF(OR(M53="KXDDM",BOM!F53=""),0,BOM!F53))</f>
        <v/>
      </c>
      <c r="H53" s="39" t="str">
        <f t="shared" si="1"/>
        <v/>
      </c>
      <c r="I53" s="39" t="str">
        <f>IF(B53="","",SUMIFS(Mau15a!$H$11:$H$310,Mau15a!$B$11:$B$310,B53)+SUMIFS(Mau15a!$I$11:$I$310,Mau15a!$B$11:$B$310,B53)+SUMIFS(Mau15a!$J$11:$J$310,Mau15a!$B$11:$B$310,B53)-SUMIFS(Mau15a!$G$11:$G$310,Mau15a!$B$11:$B$310,B53))</f>
        <v/>
      </c>
      <c r="J53" s="39" t="str">
        <f t="shared" si="2"/>
        <v/>
      </c>
      <c r="K53" s="39" t="str">
        <f>IF(B53="","",(SUMIFS(Mau15a!$K$11:$K$310,Mau15a!$B$11:$B$310,B53)-SUMIFS(Mau15a!$E$11:$E$310,Mau15a!$B$11:$B$310,B53))*G53)</f>
        <v/>
      </c>
      <c r="L53" s="36" t="str">
        <f t="shared" si="3"/>
        <v/>
      </c>
      <c r="M53" s="36" t="str">
        <f>IF(B53="","",BOM!G53&amp;"")</f>
        <v/>
      </c>
      <c r="N53" s="36" t="str">
        <f t="shared" si="4"/>
        <v/>
      </c>
    </row>
    <row r="54" spans="1:14" x14ac:dyDescent="0.25">
      <c r="A54" s="35" t="str">
        <f t="shared" si="0"/>
        <v/>
      </c>
      <c r="B54" s="35" t="str">
        <f>IF(BOM!A54="","",BOM!A54)</f>
        <v/>
      </c>
      <c r="C54" s="35" t="str">
        <f>IF(B54="","",BOM!B54)</f>
        <v/>
      </c>
      <c r="D54" s="35" t="str">
        <f>IF(B54="","",IFERROR(INDEX(DM_NL!$B$5:$B$304,MATCH(C54,DM_NL!$A$5:$A$304,0)),""))</f>
        <v/>
      </c>
      <c r="E54" s="35" t="str">
        <f>IF(B54="","",IFERROR(INDEX(DM_NL!$C$5:$C$304,MATCH(C54,DM_NL!$A$5:$A$304,0)),""))</f>
        <v/>
      </c>
      <c r="F54" s="39" t="str">
        <f>IF(B54="","",SUMIFS(Mau15a!$F$11:$F$310,Mau15a!$B$11:$B$310,B54))</f>
        <v/>
      </c>
      <c r="G54" s="39" t="str">
        <f>IF(B54="","",IF(OR(M54="KXDDM",BOM!F54=""),0,BOM!F54))</f>
        <v/>
      </c>
      <c r="H54" s="39" t="str">
        <f t="shared" si="1"/>
        <v/>
      </c>
      <c r="I54" s="39" t="str">
        <f>IF(B54="","",SUMIFS(Mau15a!$H$11:$H$310,Mau15a!$B$11:$B$310,B54)+SUMIFS(Mau15a!$I$11:$I$310,Mau15a!$B$11:$B$310,B54)+SUMIFS(Mau15a!$J$11:$J$310,Mau15a!$B$11:$B$310,B54)-SUMIFS(Mau15a!$G$11:$G$310,Mau15a!$B$11:$B$310,B54))</f>
        <v/>
      </c>
      <c r="J54" s="39" t="str">
        <f t="shared" si="2"/>
        <v/>
      </c>
      <c r="K54" s="39" t="str">
        <f>IF(B54="","",(SUMIFS(Mau15a!$K$11:$K$310,Mau15a!$B$11:$B$310,B54)-SUMIFS(Mau15a!$E$11:$E$310,Mau15a!$B$11:$B$310,B54))*G54)</f>
        <v/>
      </c>
      <c r="L54" s="36" t="str">
        <f t="shared" si="3"/>
        <v/>
      </c>
      <c r="M54" s="36" t="str">
        <f>IF(B54="","",BOM!G54&amp;"")</f>
        <v/>
      </c>
      <c r="N54" s="36" t="str">
        <f t="shared" si="4"/>
        <v/>
      </c>
    </row>
    <row r="55" spans="1:14" x14ac:dyDescent="0.25">
      <c r="A55" s="35" t="str">
        <f t="shared" si="0"/>
        <v/>
      </c>
      <c r="B55" s="35" t="str">
        <f>IF(BOM!A55="","",BOM!A55)</f>
        <v/>
      </c>
      <c r="C55" s="35" t="str">
        <f>IF(B55="","",BOM!B55)</f>
        <v/>
      </c>
      <c r="D55" s="35" t="str">
        <f>IF(B55="","",IFERROR(INDEX(DM_NL!$B$5:$B$304,MATCH(C55,DM_NL!$A$5:$A$304,0)),""))</f>
        <v/>
      </c>
      <c r="E55" s="35" t="str">
        <f>IF(B55="","",IFERROR(INDEX(DM_NL!$C$5:$C$304,MATCH(C55,DM_NL!$A$5:$A$304,0)),""))</f>
        <v/>
      </c>
      <c r="F55" s="39" t="str">
        <f>IF(B55="","",SUMIFS(Mau15a!$F$11:$F$310,Mau15a!$B$11:$B$310,B55))</f>
        <v/>
      </c>
      <c r="G55" s="39" t="str">
        <f>IF(B55="","",IF(OR(M55="KXDDM",BOM!F55=""),0,BOM!F55))</f>
        <v/>
      </c>
      <c r="H55" s="39" t="str">
        <f t="shared" si="1"/>
        <v/>
      </c>
      <c r="I55" s="39" t="str">
        <f>IF(B55="","",SUMIFS(Mau15a!$H$11:$H$310,Mau15a!$B$11:$B$310,B55)+SUMIFS(Mau15a!$I$11:$I$310,Mau15a!$B$11:$B$310,B55)+SUMIFS(Mau15a!$J$11:$J$310,Mau15a!$B$11:$B$310,B55)-SUMIFS(Mau15a!$G$11:$G$310,Mau15a!$B$11:$B$310,B55))</f>
        <v/>
      </c>
      <c r="J55" s="39" t="str">
        <f t="shared" si="2"/>
        <v/>
      </c>
      <c r="K55" s="39" t="str">
        <f>IF(B55="","",(SUMIFS(Mau15a!$K$11:$K$310,Mau15a!$B$11:$B$310,B55)-SUMIFS(Mau15a!$E$11:$E$310,Mau15a!$B$11:$B$310,B55))*G55)</f>
        <v/>
      </c>
      <c r="L55" s="36" t="str">
        <f t="shared" si="3"/>
        <v/>
      </c>
      <c r="M55" s="36" t="str">
        <f>IF(B55="","",BOM!G55&amp;"")</f>
        <v/>
      </c>
      <c r="N55" s="36" t="str">
        <f t="shared" si="4"/>
        <v/>
      </c>
    </row>
    <row r="56" spans="1:14" x14ac:dyDescent="0.25">
      <c r="A56" s="35" t="str">
        <f t="shared" si="0"/>
        <v/>
      </c>
      <c r="B56" s="35" t="str">
        <f>IF(BOM!A56="","",BOM!A56)</f>
        <v/>
      </c>
      <c r="C56" s="35" t="str">
        <f>IF(B56="","",BOM!B56)</f>
        <v/>
      </c>
      <c r="D56" s="35" t="str">
        <f>IF(B56="","",IFERROR(INDEX(DM_NL!$B$5:$B$304,MATCH(C56,DM_NL!$A$5:$A$304,0)),""))</f>
        <v/>
      </c>
      <c r="E56" s="35" t="str">
        <f>IF(B56="","",IFERROR(INDEX(DM_NL!$C$5:$C$304,MATCH(C56,DM_NL!$A$5:$A$304,0)),""))</f>
        <v/>
      </c>
      <c r="F56" s="39" t="str">
        <f>IF(B56="","",SUMIFS(Mau15a!$F$11:$F$310,Mau15a!$B$11:$B$310,B56))</f>
        <v/>
      </c>
      <c r="G56" s="39" t="str">
        <f>IF(B56="","",IF(OR(M56="KXDDM",BOM!F56=""),0,BOM!F56))</f>
        <v/>
      </c>
      <c r="H56" s="39" t="str">
        <f t="shared" si="1"/>
        <v/>
      </c>
      <c r="I56" s="39" t="str">
        <f>IF(B56="","",SUMIFS(Mau15a!$H$11:$H$310,Mau15a!$B$11:$B$310,B56)+SUMIFS(Mau15a!$I$11:$I$310,Mau15a!$B$11:$B$310,B56)+SUMIFS(Mau15a!$J$11:$J$310,Mau15a!$B$11:$B$310,B56)-SUMIFS(Mau15a!$G$11:$G$310,Mau15a!$B$11:$B$310,B56))</f>
        <v/>
      </c>
      <c r="J56" s="39" t="str">
        <f t="shared" si="2"/>
        <v/>
      </c>
      <c r="K56" s="39" t="str">
        <f>IF(B56="","",(SUMIFS(Mau15a!$K$11:$K$310,Mau15a!$B$11:$B$310,B56)-SUMIFS(Mau15a!$E$11:$E$310,Mau15a!$B$11:$B$310,B56))*G56)</f>
        <v/>
      </c>
      <c r="L56" s="36" t="str">
        <f t="shared" si="3"/>
        <v/>
      </c>
      <c r="M56" s="36" t="str">
        <f>IF(B56="","",BOM!G56&amp;"")</f>
        <v/>
      </c>
      <c r="N56" s="36" t="str">
        <f t="shared" si="4"/>
        <v/>
      </c>
    </row>
    <row r="57" spans="1:14" x14ac:dyDescent="0.25">
      <c r="A57" s="35" t="str">
        <f t="shared" si="0"/>
        <v/>
      </c>
      <c r="B57" s="35" t="str">
        <f>IF(BOM!A57="","",BOM!A57)</f>
        <v/>
      </c>
      <c r="C57" s="35" t="str">
        <f>IF(B57="","",BOM!B57)</f>
        <v/>
      </c>
      <c r="D57" s="35" t="str">
        <f>IF(B57="","",IFERROR(INDEX(DM_NL!$B$5:$B$304,MATCH(C57,DM_NL!$A$5:$A$304,0)),""))</f>
        <v/>
      </c>
      <c r="E57" s="35" t="str">
        <f>IF(B57="","",IFERROR(INDEX(DM_NL!$C$5:$C$304,MATCH(C57,DM_NL!$A$5:$A$304,0)),""))</f>
        <v/>
      </c>
      <c r="F57" s="39" t="str">
        <f>IF(B57="","",SUMIFS(Mau15a!$F$11:$F$310,Mau15a!$B$11:$B$310,B57))</f>
        <v/>
      </c>
      <c r="G57" s="39" t="str">
        <f>IF(B57="","",IF(OR(M57="KXDDM",BOM!F57=""),0,BOM!F57))</f>
        <v/>
      </c>
      <c r="H57" s="39" t="str">
        <f t="shared" si="1"/>
        <v/>
      </c>
      <c r="I57" s="39" t="str">
        <f>IF(B57="","",SUMIFS(Mau15a!$H$11:$H$310,Mau15a!$B$11:$B$310,B57)+SUMIFS(Mau15a!$I$11:$I$310,Mau15a!$B$11:$B$310,B57)+SUMIFS(Mau15a!$J$11:$J$310,Mau15a!$B$11:$B$310,B57)-SUMIFS(Mau15a!$G$11:$G$310,Mau15a!$B$11:$B$310,B57))</f>
        <v/>
      </c>
      <c r="J57" s="39" t="str">
        <f t="shared" si="2"/>
        <v/>
      </c>
      <c r="K57" s="39" t="str">
        <f>IF(B57="","",(SUMIFS(Mau15a!$K$11:$K$310,Mau15a!$B$11:$B$310,B57)-SUMIFS(Mau15a!$E$11:$E$310,Mau15a!$B$11:$B$310,B57))*G57)</f>
        <v/>
      </c>
      <c r="L57" s="36" t="str">
        <f t="shared" si="3"/>
        <v/>
      </c>
      <c r="M57" s="36" t="str">
        <f>IF(B57="","",BOM!G57&amp;"")</f>
        <v/>
      </c>
      <c r="N57" s="36" t="str">
        <f t="shared" si="4"/>
        <v/>
      </c>
    </row>
    <row r="58" spans="1:14" x14ac:dyDescent="0.25">
      <c r="A58" s="35" t="str">
        <f t="shared" si="0"/>
        <v/>
      </c>
      <c r="B58" s="35" t="str">
        <f>IF(BOM!A58="","",BOM!A58)</f>
        <v/>
      </c>
      <c r="C58" s="35" t="str">
        <f>IF(B58="","",BOM!B58)</f>
        <v/>
      </c>
      <c r="D58" s="35" t="str">
        <f>IF(B58="","",IFERROR(INDEX(DM_NL!$B$5:$B$304,MATCH(C58,DM_NL!$A$5:$A$304,0)),""))</f>
        <v/>
      </c>
      <c r="E58" s="35" t="str">
        <f>IF(B58="","",IFERROR(INDEX(DM_NL!$C$5:$C$304,MATCH(C58,DM_NL!$A$5:$A$304,0)),""))</f>
        <v/>
      </c>
      <c r="F58" s="39" t="str">
        <f>IF(B58="","",SUMIFS(Mau15a!$F$11:$F$310,Mau15a!$B$11:$B$310,B58))</f>
        <v/>
      </c>
      <c r="G58" s="39" t="str">
        <f>IF(B58="","",IF(OR(M58="KXDDM",BOM!F58=""),0,BOM!F58))</f>
        <v/>
      </c>
      <c r="H58" s="39" t="str">
        <f t="shared" si="1"/>
        <v/>
      </c>
      <c r="I58" s="39" t="str">
        <f>IF(B58="","",SUMIFS(Mau15a!$H$11:$H$310,Mau15a!$B$11:$B$310,B58)+SUMIFS(Mau15a!$I$11:$I$310,Mau15a!$B$11:$B$310,B58)+SUMIFS(Mau15a!$J$11:$J$310,Mau15a!$B$11:$B$310,B58)-SUMIFS(Mau15a!$G$11:$G$310,Mau15a!$B$11:$B$310,B58))</f>
        <v/>
      </c>
      <c r="J58" s="39" t="str">
        <f t="shared" si="2"/>
        <v/>
      </c>
      <c r="K58" s="39" t="str">
        <f>IF(B58="","",(SUMIFS(Mau15a!$K$11:$K$310,Mau15a!$B$11:$B$310,B58)-SUMIFS(Mau15a!$E$11:$E$310,Mau15a!$B$11:$B$310,B58))*G58)</f>
        <v/>
      </c>
      <c r="L58" s="36" t="str">
        <f t="shared" si="3"/>
        <v/>
      </c>
      <c r="M58" s="36" t="str">
        <f>IF(B58="","",BOM!G58&amp;"")</f>
        <v/>
      </c>
      <c r="N58" s="36" t="str">
        <f t="shared" si="4"/>
        <v/>
      </c>
    </row>
    <row r="59" spans="1:14" x14ac:dyDescent="0.25">
      <c r="A59" s="35" t="str">
        <f t="shared" si="0"/>
        <v/>
      </c>
      <c r="B59" s="35" t="str">
        <f>IF(BOM!A59="","",BOM!A59)</f>
        <v/>
      </c>
      <c r="C59" s="35" t="str">
        <f>IF(B59="","",BOM!B59)</f>
        <v/>
      </c>
      <c r="D59" s="35" t="str">
        <f>IF(B59="","",IFERROR(INDEX(DM_NL!$B$5:$B$304,MATCH(C59,DM_NL!$A$5:$A$304,0)),""))</f>
        <v/>
      </c>
      <c r="E59" s="35" t="str">
        <f>IF(B59="","",IFERROR(INDEX(DM_NL!$C$5:$C$304,MATCH(C59,DM_NL!$A$5:$A$304,0)),""))</f>
        <v/>
      </c>
      <c r="F59" s="39" t="str">
        <f>IF(B59="","",SUMIFS(Mau15a!$F$11:$F$310,Mau15a!$B$11:$B$310,B59))</f>
        <v/>
      </c>
      <c r="G59" s="39" t="str">
        <f>IF(B59="","",IF(OR(M59="KXDDM",BOM!F59=""),0,BOM!F59))</f>
        <v/>
      </c>
      <c r="H59" s="39" t="str">
        <f t="shared" si="1"/>
        <v/>
      </c>
      <c r="I59" s="39" t="str">
        <f>IF(B59="","",SUMIFS(Mau15a!$H$11:$H$310,Mau15a!$B$11:$B$310,B59)+SUMIFS(Mau15a!$I$11:$I$310,Mau15a!$B$11:$B$310,B59)+SUMIFS(Mau15a!$J$11:$J$310,Mau15a!$B$11:$B$310,B59)-SUMIFS(Mau15a!$G$11:$G$310,Mau15a!$B$11:$B$310,B59))</f>
        <v/>
      </c>
      <c r="J59" s="39" t="str">
        <f t="shared" si="2"/>
        <v/>
      </c>
      <c r="K59" s="39" t="str">
        <f>IF(B59="","",(SUMIFS(Mau15a!$K$11:$K$310,Mau15a!$B$11:$B$310,B59)-SUMIFS(Mau15a!$E$11:$E$310,Mau15a!$B$11:$B$310,B59))*G59)</f>
        <v/>
      </c>
      <c r="L59" s="36" t="str">
        <f t="shared" si="3"/>
        <v/>
      </c>
      <c r="M59" s="36" t="str">
        <f>IF(B59="","",BOM!G59&amp;"")</f>
        <v/>
      </c>
      <c r="N59" s="36" t="str">
        <f t="shared" si="4"/>
        <v/>
      </c>
    </row>
    <row r="60" spans="1:14" x14ac:dyDescent="0.25">
      <c r="A60" s="35" t="str">
        <f t="shared" si="0"/>
        <v/>
      </c>
      <c r="B60" s="35" t="str">
        <f>IF(BOM!A60="","",BOM!A60)</f>
        <v/>
      </c>
      <c r="C60" s="35" t="str">
        <f>IF(B60="","",BOM!B60)</f>
        <v/>
      </c>
      <c r="D60" s="35" t="str">
        <f>IF(B60="","",IFERROR(INDEX(DM_NL!$B$5:$B$304,MATCH(C60,DM_NL!$A$5:$A$304,0)),""))</f>
        <v/>
      </c>
      <c r="E60" s="35" t="str">
        <f>IF(B60="","",IFERROR(INDEX(DM_NL!$C$5:$C$304,MATCH(C60,DM_NL!$A$5:$A$304,0)),""))</f>
        <v/>
      </c>
      <c r="F60" s="39" t="str">
        <f>IF(B60="","",SUMIFS(Mau15a!$F$11:$F$310,Mau15a!$B$11:$B$310,B60))</f>
        <v/>
      </c>
      <c r="G60" s="39" t="str">
        <f>IF(B60="","",IF(OR(M60="KXDDM",BOM!F60=""),0,BOM!F60))</f>
        <v/>
      </c>
      <c r="H60" s="39" t="str">
        <f t="shared" si="1"/>
        <v/>
      </c>
      <c r="I60" s="39" t="str">
        <f>IF(B60="","",SUMIFS(Mau15a!$H$11:$H$310,Mau15a!$B$11:$B$310,B60)+SUMIFS(Mau15a!$I$11:$I$310,Mau15a!$B$11:$B$310,B60)+SUMIFS(Mau15a!$J$11:$J$310,Mau15a!$B$11:$B$310,B60)-SUMIFS(Mau15a!$G$11:$G$310,Mau15a!$B$11:$B$310,B60))</f>
        <v/>
      </c>
      <c r="J60" s="39" t="str">
        <f t="shared" si="2"/>
        <v/>
      </c>
      <c r="K60" s="39" t="str">
        <f>IF(B60="","",(SUMIFS(Mau15a!$K$11:$K$310,Mau15a!$B$11:$B$310,B60)-SUMIFS(Mau15a!$E$11:$E$310,Mau15a!$B$11:$B$310,B60))*G60)</f>
        <v/>
      </c>
      <c r="L60" s="36" t="str">
        <f t="shared" si="3"/>
        <v/>
      </c>
      <c r="M60" s="36" t="str">
        <f>IF(B60="","",BOM!G60&amp;"")</f>
        <v/>
      </c>
      <c r="N60" s="36" t="str">
        <f t="shared" si="4"/>
        <v/>
      </c>
    </row>
    <row r="61" spans="1:14" x14ac:dyDescent="0.25">
      <c r="A61" s="35" t="str">
        <f t="shared" si="0"/>
        <v/>
      </c>
      <c r="B61" s="35" t="str">
        <f>IF(BOM!A61="","",BOM!A61)</f>
        <v/>
      </c>
      <c r="C61" s="35" t="str">
        <f>IF(B61="","",BOM!B61)</f>
        <v/>
      </c>
      <c r="D61" s="35" t="str">
        <f>IF(B61="","",IFERROR(INDEX(DM_NL!$B$5:$B$304,MATCH(C61,DM_NL!$A$5:$A$304,0)),""))</f>
        <v/>
      </c>
      <c r="E61" s="35" t="str">
        <f>IF(B61="","",IFERROR(INDEX(DM_NL!$C$5:$C$304,MATCH(C61,DM_NL!$A$5:$A$304,0)),""))</f>
        <v/>
      </c>
      <c r="F61" s="39" t="str">
        <f>IF(B61="","",SUMIFS(Mau15a!$F$11:$F$310,Mau15a!$B$11:$B$310,B61))</f>
        <v/>
      </c>
      <c r="G61" s="39" t="str">
        <f>IF(B61="","",IF(OR(M61="KXDDM",BOM!F61=""),0,BOM!F61))</f>
        <v/>
      </c>
      <c r="H61" s="39" t="str">
        <f t="shared" si="1"/>
        <v/>
      </c>
      <c r="I61" s="39" t="str">
        <f>IF(B61="","",SUMIFS(Mau15a!$H$11:$H$310,Mau15a!$B$11:$B$310,B61)+SUMIFS(Mau15a!$I$11:$I$310,Mau15a!$B$11:$B$310,B61)+SUMIFS(Mau15a!$J$11:$J$310,Mau15a!$B$11:$B$310,B61)-SUMIFS(Mau15a!$G$11:$G$310,Mau15a!$B$11:$B$310,B61))</f>
        <v/>
      </c>
      <c r="J61" s="39" t="str">
        <f t="shared" si="2"/>
        <v/>
      </c>
      <c r="K61" s="39" t="str">
        <f>IF(B61="","",(SUMIFS(Mau15a!$K$11:$K$310,Mau15a!$B$11:$B$310,B61)-SUMIFS(Mau15a!$E$11:$E$310,Mau15a!$B$11:$B$310,B61))*G61)</f>
        <v/>
      </c>
      <c r="L61" s="36" t="str">
        <f t="shared" si="3"/>
        <v/>
      </c>
      <c r="M61" s="36" t="str">
        <f>IF(B61="","",BOM!G61&amp;"")</f>
        <v/>
      </c>
      <c r="N61" s="36" t="str">
        <f t="shared" si="4"/>
        <v/>
      </c>
    </row>
    <row r="62" spans="1:14" x14ac:dyDescent="0.25">
      <c r="A62" s="35" t="str">
        <f t="shared" si="0"/>
        <v/>
      </c>
      <c r="B62" s="35" t="str">
        <f>IF(BOM!A62="","",BOM!A62)</f>
        <v/>
      </c>
      <c r="C62" s="35" t="str">
        <f>IF(B62="","",BOM!B62)</f>
        <v/>
      </c>
      <c r="D62" s="35" t="str">
        <f>IF(B62="","",IFERROR(INDEX(DM_NL!$B$5:$B$304,MATCH(C62,DM_NL!$A$5:$A$304,0)),""))</f>
        <v/>
      </c>
      <c r="E62" s="35" t="str">
        <f>IF(B62="","",IFERROR(INDEX(DM_NL!$C$5:$C$304,MATCH(C62,DM_NL!$A$5:$A$304,0)),""))</f>
        <v/>
      </c>
      <c r="F62" s="39" t="str">
        <f>IF(B62="","",SUMIFS(Mau15a!$F$11:$F$310,Mau15a!$B$11:$B$310,B62))</f>
        <v/>
      </c>
      <c r="G62" s="39" t="str">
        <f>IF(B62="","",IF(OR(M62="KXDDM",BOM!F62=""),0,BOM!F62))</f>
        <v/>
      </c>
      <c r="H62" s="39" t="str">
        <f t="shared" si="1"/>
        <v/>
      </c>
      <c r="I62" s="39" t="str">
        <f>IF(B62="","",SUMIFS(Mau15a!$H$11:$H$310,Mau15a!$B$11:$B$310,B62)+SUMIFS(Mau15a!$I$11:$I$310,Mau15a!$B$11:$B$310,B62)+SUMIFS(Mau15a!$J$11:$J$310,Mau15a!$B$11:$B$310,B62)-SUMIFS(Mau15a!$G$11:$G$310,Mau15a!$B$11:$B$310,B62))</f>
        <v/>
      </c>
      <c r="J62" s="39" t="str">
        <f t="shared" si="2"/>
        <v/>
      </c>
      <c r="K62" s="39" t="str">
        <f>IF(B62="","",(SUMIFS(Mau15a!$K$11:$K$310,Mau15a!$B$11:$B$310,B62)-SUMIFS(Mau15a!$E$11:$E$310,Mau15a!$B$11:$B$310,B62))*G62)</f>
        <v/>
      </c>
      <c r="L62" s="36" t="str">
        <f t="shared" si="3"/>
        <v/>
      </c>
      <c r="M62" s="36" t="str">
        <f>IF(B62="","",BOM!G62&amp;"")</f>
        <v/>
      </c>
      <c r="N62" s="36" t="str">
        <f t="shared" si="4"/>
        <v/>
      </c>
    </row>
    <row r="63" spans="1:14" x14ac:dyDescent="0.25">
      <c r="A63" s="35" t="str">
        <f t="shared" si="0"/>
        <v/>
      </c>
      <c r="B63" s="35" t="str">
        <f>IF(BOM!A63="","",BOM!A63)</f>
        <v/>
      </c>
      <c r="C63" s="35" t="str">
        <f>IF(B63="","",BOM!B63)</f>
        <v/>
      </c>
      <c r="D63" s="35" t="str">
        <f>IF(B63="","",IFERROR(INDEX(DM_NL!$B$5:$B$304,MATCH(C63,DM_NL!$A$5:$A$304,0)),""))</f>
        <v/>
      </c>
      <c r="E63" s="35" t="str">
        <f>IF(B63="","",IFERROR(INDEX(DM_NL!$C$5:$C$304,MATCH(C63,DM_NL!$A$5:$A$304,0)),""))</f>
        <v/>
      </c>
      <c r="F63" s="39" t="str">
        <f>IF(B63="","",SUMIFS(Mau15a!$F$11:$F$310,Mau15a!$B$11:$B$310,B63))</f>
        <v/>
      </c>
      <c r="G63" s="39" t="str">
        <f>IF(B63="","",IF(OR(M63="KXDDM",BOM!F63=""),0,BOM!F63))</f>
        <v/>
      </c>
      <c r="H63" s="39" t="str">
        <f t="shared" si="1"/>
        <v/>
      </c>
      <c r="I63" s="39" t="str">
        <f>IF(B63="","",SUMIFS(Mau15a!$H$11:$H$310,Mau15a!$B$11:$B$310,B63)+SUMIFS(Mau15a!$I$11:$I$310,Mau15a!$B$11:$B$310,B63)+SUMIFS(Mau15a!$J$11:$J$310,Mau15a!$B$11:$B$310,B63)-SUMIFS(Mau15a!$G$11:$G$310,Mau15a!$B$11:$B$310,B63))</f>
        <v/>
      </c>
      <c r="J63" s="39" t="str">
        <f t="shared" si="2"/>
        <v/>
      </c>
      <c r="K63" s="39" t="str">
        <f>IF(B63="","",(SUMIFS(Mau15a!$K$11:$K$310,Mau15a!$B$11:$B$310,B63)-SUMIFS(Mau15a!$E$11:$E$310,Mau15a!$B$11:$B$310,B63))*G63)</f>
        <v/>
      </c>
      <c r="L63" s="36" t="str">
        <f t="shared" si="3"/>
        <v/>
      </c>
      <c r="M63" s="36" t="str">
        <f>IF(B63="","",BOM!G63&amp;"")</f>
        <v/>
      </c>
      <c r="N63" s="36" t="str">
        <f t="shared" si="4"/>
        <v/>
      </c>
    </row>
    <row r="64" spans="1:14" x14ac:dyDescent="0.25">
      <c r="A64" s="35" t="str">
        <f t="shared" si="0"/>
        <v/>
      </c>
      <c r="B64" s="35" t="str">
        <f>IF(BOM!A64="","",BOM!A64)</f>
        <v/>
      </c>
      <c r="C64" s="35" t="str">
        <f>IF(B64="","",BOM!B64)</f>
        <v/>
      </c>
      <c r="D64" s="35" t="str">
        <f>IF(B64="","",IFERROR(INDEX(DM_NL!$B$5:$B$304,MATCH(C64,DM_NL!$A$5:$A$304,0)),""))</f>
        <v/>
      </c>
      <c r="E64" s="35" t="str">
        <f>IF(B64="","",IFERROR(INDEX(DM_NL!$C$5:$C$304,MATCH(C64,DM_NL!$A$5:$A$304,0)),""))</f>
        <v/>
      </c>
      <c r="F64" s="39" t="str">
        <f>IF(B64="","",SUMIFS(Mau15a!$F$11:$F$310,Mau15a!$B$11:$B$310,B64))</f>
        <v/>
      </c>
      <c r="G64" s="39" t="str">
        <f>IF(B64="","",IF(OR(M64="KXDDM",BOM!F64=""),0,BOM!F64))</f>
        <v/>
      </c>
      <c r="H64" s="39" t="str">
        <f t="shared" si="1"/>
        <v/>
      </c>
      <c r="I64" s="39" t="str">
        <f>IF(B64="","",SUMIFS(Mau15a!$H$11:$H$310,Mau15a!$B$11:$B$310,B64)+SUMIFS(Mau15a!$I$11:$I$310,Mau15a!$B$11:$B$310,B64)+SUMIFS(Mau15a!$J$11:$J$310,Mau15a!$B$11:$B$310,B64)-SUMIFS(Mau15a!$G$11:$G$310,Mau15a!$B$11:$B$310,B64))</f>
        <v/>
      </c>
      <c r="J64" s="39" t="str">
        <f t="shared" si="2"/>
        <v/>
      </c>
      <c r="K64" s="39" t="str">
        <f>IF(B64="","",(SUMIFS(Mau15a!$K$11:$K$310,Mau15a!$B$11:$B$310,B64)-SUMIFS(Mau15a!$E$11:$E$310,Mau15a!$B$11:$B$310,B64))*G64)</f>
        <v/>
      </c>
      <c r="L64" s="36" t="str">
        <f t="shared" si="3"/>
        <v/>
      </c>
      <c r="M64" s="36" t="str">
        <f>IF(B64="","",BOM!G64&amp;"")</f>
        <v/>
      </c>
      <c r="N64" s="36" t="str">
        <f t="shared" si="4"/>
        <v/>
      </c>
    </row>
    <row r="65" spans="1:14" x14ac:dyDescent="0.25">
      <c r="A65" s="35" t="str">
        <f t="shared" si="0"/>
        <v/>
      </c>
      <c r="B65" s="35" t="str">
        <f>IF(BOM!A65="","",BOM!A65)</f>
        <v/>
      </c>
      <c r="C65" s="35" t="str">
        <f>IF(B65="","",BOM!B65)</f>
        <v/>
      </c>
      <c r="D65" s="35" t="str">
        <f>IF(B65="","",IFERROR(INDEX(DM_NL!$B$5:$B$304,MATCH(C65,DM_NL!$A$5:$A$304,0)),""))</f>
        <v/>
      </c>
      <c r="E65" s="35" t="str">
        <f>IF(B65="","",IFERROR(INDEX(DM_NL!$C$5:$C$304,MATCH(C65,DM_NL!$A$5:$A$304,0)),""))</f>
        <v/>
      </c>
      <c r="F65" s="39" t="str">
        <f>IF(B65="","",SUMIFS(Mau15a!$F$11:$F$310,Mau15a!$B$11:$B$310,B65))</f>
        <v/>
      </c>
      <c r="G65" s="39" t="str">
        <f>IF(B65="","",IF(OR(M65="KXDDM",BOM!F65=""),0,BOM!F65))</f>
        <v/>
      </c>
      <c r="H65" s="39" t="str">
        <f t="shared" si="1"/>
        <v/>
      </c>
      <c r="I65" s="39" t="str">
        <f>IF(B65="","",SUMIFS(Mau15a!$H$11:$H$310,Mau15a!$B$11:$B$310,B65)+SUMIFS(Mau15a!$I$11:$I$310,Mau15a!$B$11:$B$310,B65)+SUMIFS(Mau15a!$J$11:$J$310,Mau15a!$B$11:$B$310,B65)-SUMIFS(Mau15a!$G$11:$G$310,Mau15a!$B$11:$B$310,B65))</f>
        <v/>
      </c>
      <c r="J65" s="39" t="str">
        <f t="shared" si="2"/>
        <v/>
      </c>
      <c r="K65" s="39" t="str">
        <f>IF(B65="","",(SUMIFS(Mau15a!$K$11:$K$310,Mau15a!$B$11:$B$310,B65)-SUMIFS(Mau15a!$E$11:$E$310,Mau15a!$B$11:$B$310,B65))*G65)</f>
        <v/>
      </c>
      <c r="L65" s="36" t="str">
        <f t="shared" si="3"/>
        <v/>
      </c>
      <c r="M65" s="36" t="str">
        <f>IF(B65="","",BOM!G65&amp;"")</f>
        <v/>
      </c>
      <c r="N65" s="36" t="str">
        <f t="shared" si="4"/>
        <v/>
      </c>
    </row>
    <row r="66" spans="1:14" x14ac:dyDescent="0.25">
      <c r="A66" s="35" t="str">
        <f t="shared" si="0"/>
        <v/>
      </c>
      <c r="B66" s="35" t="str">
        <f>IF(BOM!A66="","",BOM!A66)</f>
        <v/>
      </c>
      <c r="C66" s="35" t="str">
        <f>IF(B66="","",BOM!B66)</f>
        <v/>
      </c>
      <c r="D66" s="35" t="str">
        <f>IF(B66="","",IFERROR(INDEX(DM_NL!$B$5:$B$304,MATCH(C66,DM_NL!$A$5:$A$304,0)),""))</f>
        <v/>
      </c>
      <c r="E66" s="35" t="str">
        <f>IF(B66="","",IFERROR(INDEX(DM_NL!$C$5:$C$304,MATCH(C66,DM_NL!$A$5:$A$304,0)),""))</f>
        <v/>
      </c>
      <c r="F66" s="39" t="str">
        <f>IF(B66="","",SUMIFS(Mau15a!$F$11:$F$310,Mau15a!$B$11:$B$310,B66))</f>
        <v/>
      </c>
      <c r="G66" s="39" t="str">
        <f>IF(B66="","",IF(OR(M66="KXDDM",BOM!F66=""),0,BOM!F66))</f>
        <v/>
      </c>
      <c r="H66" s="39" t="str">
        <f t="shared" si="1"/>
        <v/>
      </c>
      <c r="I66" s="39" t="str">
        <f>IF(B66="","",SUMIFS(Mau15a!$H$11:$H$310,Mau15a!$B$11:$B$310,B66)+SUMIFS(Mau15a!$I$11:$I$310,Mau15a!$B$11:$B$310,B66)+SUMIFS(Mau15a!$J$11:$J$310,Mau15a!$B$11:$B$310,B66)-SUMIFS(Mau15a!$G$11:$G$310,Mau15a!$B$11:$B$310,B66))</f>
        <v/>
      </c>
      <c r="J66" s="39" t="str">
        <f t="shared" si="2"/>
        <v/>
      </c>
      <c r="K66" s="39" t="str">
        <f>IF(B66="","",(SUMIFS(Mau15a!$K$11:$K$310,Mau15a!$B$11:$B$310,B66)-SUMIFS(Mau15a!$E$11:$E$310,Mau15a!$B$11:$B$310,B66))*G66)</f>
        <v/>
      </c>
      <c r="L66" s="36" t="str">
        <f t="shared" si="3"/>
        <v/>
      </c>
      <c r="M66" s="36" t="str">
        <f>IF(B66="","",BOM!G66&amp;"")</f>
        <v/>
      </c>
      <c r="N66" s="36" t="str">
        <f t="shared" si="4"/>
        <v/>
      </c>
    </row>
    <row r="67" spans="1:14" x14ac:dyDescent="0.25">
      <c r="A67" s="35" t="str">
        <f t="shared" si="0"/>
        <v/>
      </c>
      <c r="B67" s="35" t="str">
        <f>IF(BOM!A67="","",BOM!A67)</f>
        <v/>
      </c>
      <c r="C67" s="35" t="str">
        <f>IF(B67="","",BOM!B67)</f>
        <v/>
      </c>
      <c r="D67" s="35" t="str">
        <f>IF(B67="","",IFERROR(INDEX(DM_NL!$B$5:$B$304,MATCH(C67,DM_NL!$A$5:$A$304,0)),""))</f>
        <v/>
      </c>
      <c r="E67" s="35" t="str">
        <f>IF(B67="","",IFERROR(INDEX(DM_NL!$C$5:$C$304,MATCH(C67,DM_NL!$A$5:$A$304,0)),""))</f>
        <v/>
      </c>
      <c r="F67" s="39" t="str">
        <f>IF(B67="","",SUMIFS(Mau15a!$F$11:$F$310,Mau15a!$B$11:$B$310,B67))</f>
        <v/>
      </c>
      <c r="G67" s="39" t="str">
        <f>IF(B67="","",IF(OR(M67="KXDDM",BOM!F67=""),0,BOM!F67))</f>
        <v/>
      </c>
      <c r="H67" s="39" t="str">
        <f t="shared" si="1"/>
        <v/>
      </c>
      <c r="I67" s="39" t="str">
        <f>IF(B67="","",SUMIFS(Mau15a!$H$11:$H$310,Mau15a!$B$11:$B$310,B67)+SUMIFS(Mau15a!$I$11:$I$310,Mau15a!$B$11:$B$310,B67)+SUMIFS(Mau15a!$J$11:$J$310,Mau15a!$B$11:$B$310,B67)-SUMIFS(Mau15a!$G$11:$G$310,Mau15a!$B$11:$B$310,B67))</f>
        <v/>
      </c>
      <c r="J67" s="39" t="str">
        <f t="shared" si="2"/>
        <v/>
      </c>
      <c r="K67" s="39" t="str">
        <f>IF(B67="","",(SUMIFS(Mau15a!$K$11:$K$310,Mau15a!$B$11:$B$310,B67)-SUMIFS(Mau15a!$E$11:$E$310,Mau15a!$B$11:$B$310,B67))*G67)</f>
        <v/>
      </c>
      <c r="L67" s="36" t="str">
        <f t="shared" si="3"/>
        <v/>
      </c>
      <c r="M67" s="36" t="str">
        <f>IF(B67="","",BOM!G67&amp;"")</f>
        <v/>
      </c>
      <c r="N67" s="36" t="str">
        <f t="shared" si="4"/>
        <v/>
      </c>
    </row>
    <row r="68" spans="1:14" x14ac:dyDescent="0.25">
      <c r="A68" s="35" t="str">
        <f t="shared" si="0"/>
        <v/>
      </c>
      <c r="B68" s="35" t="str">
        <f>IF(BOM!A68="","",BOM!A68)</f>
        <v/>
      </c>
      <c r="C68" s="35" t="str">
        <f>IF(B68="","",BOM!B68)</f>
        <v/>
      </c>
      <c r="D68" s="35" t="str">
        <f>IF(B68="","",IFERROR(INDEX(DM_NL!$B$5:$B$304,MATCH(C68,DM_NL!$A$5:$A$304,0)),""))</f>
        <v/>
      </c>
      <c r="E68" s="35" t="str">
        <f>IF(B68="","",IFERROR(INDEX(DM_NL!$C$5:$C$304,MATCH(C68,DM_NL!$A$5:$A$304,0)),""))</f>
        <v/>
      </c>
      <c r="F68" s="39" t="str">
        <f>IF(B68="","",SUMIFS(Mau15a!$F$11:$F$310,Mau15a!$B$11:$B$310,B68))</f>
        <v/>
      </c>
      <c r="G68" s="39" t="str">
        <f>IF(B68="","",IF(OR(M68="KXDDM",BOM!F68=""),0,BOM!F68))</f>
        <v/>
      </c>
      <c r="H68" s="39" t="str">
        <f t="shared" si="1"/>
        <v/>
      </c>
      <c r="I68" s="39" t="str">
        <f>IF(B68="","",SUMIFS(Mau15a!$H$11:$H$310,Mau15a!$B$11:$B$310,B68)+SUMIFS(Mau15a!$I$11:$I$310,Mau15a!$B$11:$B$310,B68)+SUMIFS(Mau15a!$J$11:$J$310,Mau15a!$B$11:$B$310,B68)-SUMIFS(Mau15a!$G$11:$G$310,Mau15a!$B$11:$B$310,B68))</f>
        <v/>
      </c>
      <c r="J68" s="39" t="str">
        <f t="shared" si="2"/>
        <v/>
      </c>
      <c r="K68" s="39" t="str">
        <f>IF(B68="","",(SUMIFS(Mau15a!$K$11:$K$310,Mau15a!$B$11:$B$310,B68)-SUMIFS(Mau15a!$E$11:$E$310,Mau15a!$B$11:$B$310,B68))*G68)</f>
        <v/>
      </c>
      <c r="L68" s="36" t="str">
        <f t="shared" si="3"/>
        <v/>
      </c>
      <c r="M68" s="36" t="str">
        <f>IF(B68="","",BOM!G68&amp;"")</f>
        <v/>
      </c>
      <c r="N68" s="36" t="str">
        <f t="shared" si="4"/>
        <v/>
      </c>
    </row>
    <row r="69" spans="1:14" x14ac:dyDescent="0.25">
      <c r="A69" s="35" t="str">
        <f t="shared" ref="A69:A132" si="5">IF(B69="","",ROW()-4)</f>
        <v/>
      </c>
      <c r="B69" s="35" t="str">
        <f>IF(BOM!A69="","",BOM!A69)</f>
        <v/>
      </c>
      <c r="C69" s="35" t="str">
        <f>IF(B69="","",BOM!B69)</f>
        <v/>
      </c>
      <c r="D69" s="35" t="str">
        <f>IF(B69="","",IFERROR(INDEX(DM_NL!$B$5:$B$304,MATCH(C69,DM_NL!$A$5:$A$304,0)),""))</f>
        <v/>
      </c>
      <c r="E69" s="35" t="str">
        <f>IF(B69="","",IFERROR(INDEX(DM_NL!$C$5:$C$304,MATCH(C69,DM_NL!$A$5:$A$304,0)),""))</f>
        <v/>
      </c>
      <c r="F69" s="39" t="str">
        <f>IF(B69="","",SUMIFS(Mau15a!$F$11:$F$310,Mau15a!$B$11:$B$310,B69))</f>
        <v/>
      </c>
      <c r="G69" s="39" t="str">
        <f>IF(B69="","",IF(OR(M69="KXDDM",BOM!F69=""),0,BOM!F69))</f>
        <v/>
      </c>
      <c r="H69" s="39" t="str">
        <f t="shared" ref="H69:H132" si="6">IF(B69="","",F69*G69)</f>
        <v/>
      </c>
      <c r="I69" s="39" t="str">
        <f>IF(B69="","",SUMIFS(Mau15a!$H$11:$H$310,Mau15a!$B$11:$B$310,B69)+SUMIFS(Mau15a!$I$11:$I$310,Mau15a!$B$11:$B$310,B69)+SUMIFS(Mau15a!$J$11:$J$310,Mau15a!$B$11:$B$310,B69)-SUMIFS(Mau15a!$G$11:$G$310,Mau15a!$B$11:$B$310,B69))</f>
        <v/>
      </c>
      <c r="J69" s="39" t="str">
        <f t="shared" ref="J69:J132" si="7">IF(B69="","",I69*G69)</f>
        <v/>
      </c>
      <c r="K69" s="39" t="str">
        <f>IF(B69="","",(SUMIFS(Mau15a!$K$11:$K$310,Mau15a!$B$11:$B$310,B69)-SUMIFS(Mau15a!$E$11:$E$310,Mau15a!$B$11:$B$310,B69))*G69)</f>
        <v/>
      </c>
      <c r="L69" s="36" t="str">
        <f t="shared" ref="L69:L132" si="8">IF(B69="","",IF(ABS(H69-J69-K69)&lt;0.000001,"Khớp","Lệch"))</f>
        <v/>
      </c>
      <c r="M69" s="36" t="str">
        <f>IF(B69="","",BOM!G69&amp;"")</f>
        <v/>
      </c>
      <c r="N69" s="36" t="str">
        <f t="shared" ref="N69:N132" si="9">IF(B69="","",IF(M69="",1,0))</f>
        <v/>
      </c>
    </row>
    <row r="70" spans="1:14" x14ac:dyDescent="0.25">
      <c r="A70" s="35" t="str">
        <f t="shared" si="5"/>
        <v/>
      </c>
      <c r="B70" s="35" t="str">
        <f>IF(BOM!A70="","",BOM!A70)</f>
        <v/>
      </c>
      <c r="C70" s="35" t="str">
        <f>IF(B70="","",BOM!B70)</f>
        <v/>
      </c>
      <c r="D70" s="35" t="str">
        <f>IF(B70="","",IFERROR(INDEX(DM_NL!$B$5:$B$304,MATCH(C70,DM_NL!$A$5:$A$304,0)),""))</f>
        <v/>
      </c>
      <c r="E70" s="35" t="str">
        <f>IF(B70="","",IFERROR(INDEX(DM_NL!$C$5:$C$304,MATCH(C70,DM_NL!$A$5:$A$304,0)),""))</f>
        <v/>
      </c>
      <c r="F70" s="39" t="str">
        <f>IF(B70="","",SUMIFS(Mau15a!$F$11:$F$310,Mau15a!$B$11:$B$310,B70))</f>
        <v/>
      </c>
      <c r="G70" s="39" t="str">
        <f>IF(B70="","",IF(OR(M70="KXDDM",BOM!F70=""),0,BOM!F70))</f>
        <v/>
      </c>
      <c r="H70" s="39" t="str">
        <f t="shared" si="6"/>
        <v/>
      </c>
      <c r="I70" s="39" t="str">
        <f>IF(B70="","",SUMIFS(Mau15a!$H$11:$H$310,Mau15a!$B$11:$B$310,B70)+SUMIFS(Mau15a!$I$11:$I$310,Mau15a!$B$11:$B$310,B70)+SUMIFS(Mau15a!$J$11:$J$310,Mau15a!$B$11:$B$310,B70)-SUMIFS(Mau15a!$G$11:$G$310,Mau15a!$B$11:$B$310,B70))</f>
        <v/>
      </c>
      <c r="J70" s="39" t="str">
        <f t="shared" si="7"/>
        <v/>
      </c>
      <c r="K70" s="39" t="str">
        <f>IF(B70="","",(SUMIFS(Mau15a!$K$11:$K$310,Mau15a!$B$11:$B$310,B70)-SUMIFS(Mau15a!$E$11:$E$310,Mau15a!$B$11:$B$310,B70))*G70)</f>
        <v/>
      </c>
      <c r="L70" s="36" t="str">
        <f t="shared" si="8"/>
        <v/>
      </c>
      <c r="M70" s="36" t="str">
        <f>IF(B70="","",BOM!G70&amp;"")</f>
        <v/>
      </c>
      <c r="N70" s="36" t="str">
        <f t="shared" si="9"/>
        <v/>
      </c>
    </row>
    <row r="71" spans="1:14" x14ac:dyDescent="0.25">
      <c r="A71" s="35" t="str">
        <f t="shared" si="5"/>
        <v/>
      </c>
      <c r="B71" s="35" t="str">
        <f>IF(BOM!A71="","",BOM!A71)</f>
        <v/>
      </c>
      <c r="C71" s="35" t="str">
        <f>IF(B71="","",BOM!B71)</f>
        <v/>
      </c>
      <c r="D71" s="35" t="str">
        <f>IF(B71="","",IFERROR(INDEX(DM_NL!$B$5:$B$304,MATCH(C71,DM_NL!$A$5:$A$304,0)),""))</f>
        <v/>
      </c>
      <c r="E71" s="35" t="str">
        <f>IF(B71="","",IFERROR(INDEX(DM_NL!$C$5:$C$304,MATCH(C71,DM_NL!$A$5:$A$304,0)),""))</f>
        <v/>
      </c>
      <c r="F71" s="39" t="str">
        <f>IF(B71="","",SUMIFS(Mau15a!$F$11:$F$310,Mau15a!$B$11:$B$310,B71))</f>
        <v/>
      </c>
      <c r="G71" s="39" t="str">
        <f>IF(B71="","",IF(OR(M71="KXDDM",BOM!F71=""),0,BOM!F71))</f>
        <v/>
      </c>
      <c r="H71" s="39" t="str">
        <f t="shared" si="6"/>
        <v/>
      </c>
      <c r="I71" s="39" t="str">
        <f>IF(B71="","",SUMIFS(Mau15a!$H$11:$H$310,Mau15a!$B$11:$B$310,B71)+SUMIFS(Mau15a!$I$11:$I$310,Mau15a!$B$11:$B$310,B71)+SUMIFS(Mau15a!$J$11:$J$310,Mau15a!$B$11:$B$310,B71)-SUMIFS(Mau15a!$G$11:$G$310,Mau15a!$B$11:$B$310,B71))</f>
        <v/>
      </c>
      <c r="J71" s="39" t="str">
        <f t="shared" si="7"/>
        <v/>
      </c>
      <c r="K71" s="39" t="str">
        <f>IF(B71="","",(SUMIFS(Mau15a!$K$11:$K$310,Mau15a!$B$11:$B$310,B71)-SUMIFS(Mau15a!$E$11:$E$310,Mau15a!$B$11:$B$310,B71))*G71)</f>
        <v/>
      </c>
      <c r="L71" s="36" t="str">
        <f t="shared" si="8"/>
        <v/>
      </c>
      <c r="M71" s="36" t="str">
        <f>IF(B71="","",BOM!G71&amp;"")</f>
        <v/>
      </c>
      <c r="N71" s="36" t="str">
        <f t="shared" si="9"/>
        <v/>
      </c>
    </row>
    <row r="72" spans="1:14" x14ac:dyDescent="0.25">
      <c r="A72" s="35" t="str">
        <f t="shared" si="5"/>
        <v/>
      </c>
      <c r="B72" s="35" t="str">
        <f>IF(BOM!A72="","",BOM!A72)</f>
        <v/>
      </c>
      <c r="C72" s="35" t="str">
        <f>IF(B72="","",BOM!B72)</f>
        <v/>
      </c>
      <c r="D72" s="35" t="str">
        <f>IF(B72="","",IFERROR(INDEX(DM_NL!$B$5:$B$304,MATCH(C72,DM_NL!$A$5:$A$304,0)),""))</f>
        <v/>
      </c>
      <c r="E72" s="35" t="str">
        <f>IF(B72="","",IFERROR(INDEX(DM_NL!$C$5:$C$304,MATCH(C72,DM_NL!$A$5:$A$304,0)),""))</f>
        <v/>
      </c>
      <c r="F72" s="39" t="str">
        <f>IF(B72="","",SUMIFS(Mau15a!$F$11:$F$310,Mau15a!$B$11:$B$310,B72))</f>
        <v/>
      </c>
      <c r="G72" s="39" t="str">
        <f>IF(B72="","",IF(OR(M72="KXDDM",BOM!F72=""),0,BOM!F72))</f>
        <v/>
      </c>
      <c r="H72" s="39" t="str">
        <f t="shared" si="6"/>
        <v/>
      </c>
      <c r="I72" s="39" t="str">
        <f>IF(B72="","",SUMIFS(Mau15a!$H$11:$H$310,Mau15a!$B$11:$B$310,B72)+SUMIFS(Mau15a!$I$11:$I$310,Mau15a!$B$11:$B$310,B72)+SUMIFS(Mau15a!$J$11:$J$310,Mau15a!$B$11:$B$310,B72)-SUMIFS(Mau15a!$G$11:$G$310,Mau15a!$B$11:$B$310,B72))</f>
        <v/>
      </c>
      <c r="J72" s="39" t="str">
        <f t="shared" si="7"/>
        <v/>
      </c>
      <c r="K72" s="39" t="str">
        <f>IF(B72="","",(SUMIFS(Mau15a!$K$11:$K$310,Mau15a!$B$11:$B$310,B72)-SUMIFS(Mau15a!$E$11:$E$310,Mau15a!$B$11:$B$310,B72))*G72)</f>
        <v/>
      </c>
      <c r="L72" s="36" t="str">
        <f t="shared" si="8"/>
        <v/>
      </c>
      <c r="M72" s="36" t="str">
        <f>IF(B72="","",BOM!G72&amp;"")</f>
        <v/>
      </c>
      <c r="N72" s="36" t="str">
        <f t="shared" si="9"/>
        <v/>
      </c>
    </row>
    <row r="73" spans="1:14" x14ac:dyDescent="0.25">
      <c r="A73" s="35" t="str">
        <f t="shared" si="5"/>
        <v/>
      </c>
      <c r="B73" s="35" t="str">
        <f>IF(BOM!A73="","",BOM!A73)</f>
        <v/>
      </c>
      <c r="C73" s="35" t="str">
        <f>IF(B73="","",BOM!B73)</f>
        <v/>
      </c>
      <c r="D73" s="35" t="str">
        <f>IF(B73="","",IFERROR(INDEX(DM_NL!$B$5:$B$304,MATCH(C73,DM_NL!$A$5:$A$304,0)),""))</f>
        <v/>
      </c>
      <c r="E73" s="35" t="str">
        <f>IF(B73="","",IFERROR(INDEX(DM_NL!$C$5:$C$304,MATCH(C73,DM_NL!$A$5:$A$304,0)),""))</f>
        <v/>
      </c>
      <c r="F73" s="39" t="str">
        <f>IF(B73="","",SUMIFS(Mau15a!$F$11:$F$310,Mau15a!$B$11:$B$310,B73))</f>
        <v/>
      </c>
      <c r="G73" s="39" t="str">
        <f>IF(B73="","",IF(OR(M73="KXDDM",BOM!F73=""),0,BOM!F73))</f>
        <v/>
      </c>
      <c r="H73" s="39" t="str">
        <f t="shared" si="6"/>
        <v/>
      </c>
      <c r="I73" s="39" t="str">
        <f>IF(B73="","",SUMIFS(Mau15a!$H$11:$H$310,Mau15a!$B$11:$B$310,B73)+SUMIFS(Mau15a!$I$11:$I$310,Mau15a!$B$11:$B$310,B73)+SUMIFS(Mau15a!$J$11:$J$310,Mau15a!$B$11:$B$310,B73)-SUMIFS(Mau15a!$G$11:$G$310,Mau15a!$B$11:$B$310,B73))</f>
        <v/>
      </c>
      <c r="J73" s="39" t="str">
        <f t="shared" si="7"/>
        <v/>
      </c>
      <c r="K73" s="39" t="str">
        <f>IF(B73="","",(SUMIFS(Mau15a!$K$11:$K$310,Mau15a!$B$11:$B$310,B73)-SUMIFS(Mau15a!$E$11:$E$310,Mau15a!$B$11:$B$310,B73))*G73)</f>
        <v/>
      </c>
      <c r="L73" s="36" t="str">
        <f t="shared" si="8"/>
        <v/>
      </c>
      <c r="M73" s="36" t="str">
        <f>IF(B73="","",BOM!G73&amp;"")</f>
        <v/>
      </c>
      <c r="N73" s="36" t="str">
        <f t="shared" si="9"/>
        <v/>
      </c>
    </row>
    <row r="74" spans="1:14" x14ac:dyDescent="0.25">
      <c r="A74" s="35" t="str">
        <f t="shared" si="5"/>
        <v/>
      </c>
      <c r="B74" s="35" t="str">
        <f>IF(BOM!A74="","",BOM!A74)</f>
        <v/>
      </c>
      <c r="C74" s="35" t="str">
        <f>IF(B74="","",BOM!B74)</f>
        <v/>
      </c>
      <c r="D74" s="35" t="str">
        <f>IF(B74="","",IFERROR(INDEX(DM_NL!$B$5:$B$304,MATCH(C74,DM_NL!$A$5:$A$304,0)),""))</f>
        <v/>
      </c>
      <c r="E74" s="35" t="str">
        <f>IF(B74="","",IFERROR(INDEX(DM_NL!$C$5:$C$304,MATCH(C74,DM_NL!$A$5:$A$304,0)),""))</f>
        <v/>
      </c>
      <c r="F74" s="39" t="str">
        <f>IF(B74="","",SUMIFS(Mau15a!$F$11:$F$310,Mau15a!$B$11:$B$310,B74))</f>
        <v/>
      </c>
      <c r="G74" s="39" t="str">
        <f>IF(B74="","",IF(OR(M74="KXDDM",BOM!F74=""),0,BOM!F74))</f>
        <v/>
      </c>
      <c r="H74" s="39" t="str">
        <f t="shared" si="6"/>
        <v/>
      </c>
      <c r="I74" s="39" t="str">
        <f>IF(B74="","",SUMIFS(Mau15a!$H$11:$H$310,Mau15a!$B$11:$B$310,B74)+SUMIFS(Mau15a!$I$11:$I$310,Mau15a!$B$11:$B$310,B74)+SUMIFS(Mau15a!$J$11:$J$310,Mau15a!$B$11:$B$310,B74)-SUMIFS(Mau15a!$G$11:$G$310,Mau15a!$B$11:$B$310,B74))</f>
        <v/>
      </c>
      <c r="J74" s="39" t="str">
        <f t="shared" si="7"/>
        <v/>
      </c>
      <c r="K74" s="39" t="str">
        <f>IF(B74="","",(SUMIFS(Mau15a!$K$11:$K$310,Mau15a!$B$11:$B$310,B74)-SUMIFS(Mau15a!$E$11:$E$310,Mau15a!$B$11:$B$310,B74))*G74)</f>
        <v/>
      </c>
      <c r="L74" s="36" t="str">
        <f t="shared" si="8"/>
        <v/>
      </c>
      <c r="M74" s="36" t="str">
        <f>IF(B74="","",BOM!G74&amp;"")</f>
        <v/>
      </c>
      <c r="N74" s="36" t="str">
        <f t="shared" si="9"/>
        <v/>
      </c>
    </row>
    <row r="75" spans="1:14" x14ac:dyDescent="0.25">
      <c r="A75" s="35" t="str">
        <f t="shared" si="5"/>
        <v/>
      </c>
      <c r="B75" s="35" t="str">
        <f>IF(BOM!A75="","",BOM!A75)</f>
        <v/>
      </c>
      <c r="C75" s="35" t="str">
        <f>IF(B75="","",BOM!B75)</f>
        <v/>
      </c>
      <c r="D75" s="35" t="str">
        <f>IF(B75="","",IFERROR(INDEX(DM_NL!$B$5:$B$304,MATCH(C75,DM_NL!$A$5:$A$304,0)),""))</f>
        <v/>
      </c>
      <c r="E75" s="35" t="str">
        <f>IF(B75="","",IFERROR(INDEX(DM_NL!$C$5:$C$304,MATCH(C75,DM_NL!$A$5:$A$304,0)),""))</f>
        <v/>
      </c>
      <c r="F75" s="39" t="str">
        <f>IF(B75="","",SUMIFS(Mau15a!$F$11:$F$310,Mau15a!$B$11:$B$310,B75))</f>
        <v/>
      </c>
      <c r="G75" s="39" t="str">
        <f>IF(B75="","",IF(OR(M75="KXDDM",BOM!F75=""),0,BOM!F75))</f>
        <v/>
      </c>
      <c r="H75" s="39" t="str">
        <f t="shared" si="6"/>
        <v/>
      </c>
      <c r="I75" s="39" t="str">
        <f>IF(B75="","",SUMIFS(Mau15a!$H$11:$H$310,Mau15a!$B$11:$B$310,B75)+SUMIFS(Mau15a!$I$11:$I$310,Mau15a!$B$11:$B$310,B75)+SUMIFS(Mau15a!$J$11:$J$310,Mau15a!$B$11:$B$310,B75)-SUMIFS(Mau15a!$G$11:$G$310,Mau15a!$B$11:$B$310,B75))</f>
        <v/>
      </c>
      <c r="J75" s="39" t="str">
        <f t="shared" si="7"/>
        <v/>
      </c>
      <c r="K75" s="39" t="str">
        <f>IF(B75="","",(SUMIFS(Mau15a!$K$11:$K$310,Mau15a!$B$11:$B$310,B75)-SUMIFS(Mau15a!$E$11:$E$310,Mau15a!$B$11:$B$310,B75))*G75)</f>
        <v/>
      </c>
      <c r="L75" s="36" t="str">
        <f t="shared" si="8"/>
        <v/>
      </c>
      <c r="M75" s="36" t="str">
        <f>IF(B75="","",BOM!G75&amp;"")</f>
        <v/>
      </c>
      <c r="N75" s="36" t="str">
        <f t="shared" si="9"/>
        <v/>
      </c>
    </row>
    <row r="76" spans="1:14" x14ac:dyDescent="0.25">
      <c r="A76" s="35" t="str">
        <f t="shared" si="5"/>
        <v/>
      </c>
      <c r="B76" s="35" t="str">
        <f>IF(BOM!A76="","",BOM!A76)</f>
        <v/>
      </c>
      <c r="C76" s="35" t="str">
        <f>IF(B76="","",BOM!B76)</f>
        <v/>
      </c>
      <c r="D76" s="35" t="str">
        <f>IF(B76="","",IFERROR(INDEX(DM_NL!$B$5:$B$304,MATCH(C76,DM_NL!$A$5:$A$304,0)),""))</f>
        <v/>
      </c>
      <c r="E76" s="35" t="str">
        <f>IF(B76="","",IFERROR(INDEX(DM_NL!$C$5:$C$304,MATCH(C76,DM_NL!$A$5:$A$304,0)),""))</f>
        <v/>
      </c>
      <c r="F76" s="39" t="str">
        <f>IF(B76="","",SUMIFS(Mau15a!$F$11:$F$310,Mau15a!$B$11:$B$310,B76))</f>
        <v/>
      </c>
      <c r="G76" s="39" t="str">
        <f>IF(B76="","",IF(OR(M76="KXDDM",BOM!F76=""),0,BOM!F76))</f>
        <v/>
      </c>
      <c r="H76" s="39" t="str">
        <f t="shared" si="6"/>
        <v/>
      </c>
      <c r="I76" s="39" t="str">
        <f>IF(B76="","",SUMIFS(Mau15a!$H$11:$H$310,Mau15a!$B$11:$B$310,B76)+SUMIFS(Mau15a!$I$11:$I$310,Mau15a!$B$11:$B$310,B76)+SUMIFS(Mau15a!$J$11:$J$310,Mau15a!$B$11:$B$310,B76)-SUMIFS(Mau15a!$G$11:$G$310,Mau15a!$B$11:$B$310,B76))</f>
        <v/>
      </c>
      <c r="J76" s="39" t="str">
        <f t="shared" si="7"/>
        <v/>
      </c>
      <c r="K76" s="39" t="str">
        <f>IF(B76="","",(SUMIFS(Mau15a!$K$11:$K$310,Mau15a!$B$11:$B$310,B76)-SUMIFS(Mau15a!$E$11:$E$310,Mau15a!$B$11:$B$310,B76))*G76)</f>
        <v/>
      </c>
      <c r="L76" s="36" t="str">
        <f t="shared" si="8"/>
        <v/>
      </c>
      <c r="M76" s="36" t="str">
        <f>IF(B76="","",BOM!G76&amp;"")</f>
        <v/>
      </c>
      <c r="N76" s="36" t="str">
        <f t="shared" si="9"/>
        <v/>
      </c>
    </row>
    <row r="77" spans="1:14" x14ac:dyDescent="0.25">
      <c r="A77" s="35" t="str">
        <f t="shared" si="5"/>
        <v/>
      </c>
      <c r="B77" s="35" t="str">
        <f>IF(BOM!A77="","",BOM!A77)</f>
        <v/>
      </c>
      <c r="C77" s="35" t="str">
        <f>IF(B77="","",BOM!B77)</f>
        <v/>
      </c>
      <c r="D77" s="35" t="str">
        <f>IF(B77="","",IFERROR(INDEX(DM_NL!$B$5:$B$304,MATCH(C77,DM_NL!$A$5:$A$304,0)),""))</f>
        <v/>
      </c>
      <c r="E77" s="35" t="str">
        <f>IF(B77="","",IFERROR(INDEX(DM_NL!$C$5:$C$304,MATCH(C77,DM_NL!$A$5:$A$304,0)),""))</f>
        <v/>
      </c>
      <c r="F77" s="39" t="str">
        <f>IF(B77="","",SUMIFS(Mau15a!$F$11:$F$310,Mau15a!$B$11:$B$310,B77))</f>
        <v/>
      </c>
      <c r="G77" s="39" t="str">
        <f>IF(B77="","",IF(OR(M77="KXDDM",BOM!F77=""),0,BOM!F77))</f>
        <v/>
      </c>
      <c r="H77" s="39" t="str">
        <f t="shared" si="6"/>
        <v/>
      </c>
      <c r="I77" s="39" t="str">
        <f>IF(B77="","",SUMIFS(Mau15a!$H$11:$H$310,Mau15a!$B$11:$B$310,B77)+SUMIFS(Mau15a!$I$11:$I$310,Mau15a!$B$11:$B$310,B77)+SUMIFS(Mau15a!$J$11:$J$310,Mau15a!$B$11:$B$310,B77)-SUMIFS(Mau15a!$G$11:$G$310,Mau15a!$B$11:$B$310,B77))</f>
        <v/>
      </c>
      <c r="J77" s="39" t="str">
        <f t="shared" si="7"/>
        <v/>
      </c>
      <c r="K77" s="39" t="str">
        <f>IF(B77="","",(SUMIFS(Mau15a!$K$11:$K$310,Mau15a!$B$11:$B$310,B77)-SUMIFS(Mau15a!$E$11:$E$310,Mau15a!$B$11:$B$310,B77))*G77)</f>
        <v/>
      </c>
      <c r="L77" s="36" t="str">
        <f t="shared" si="8"/>
        <v/>
      </c>
      <c r="M77" s="36" t="str">
        <f>IF(B77="","",BOM!G77&amp;"")</f>
        <v/>
      </c>
      <c r="N77" s="36" t="str">
        <f t="shared" si="9"/>
        <v/>
      </c>
    </row>
    <row r="78" spans="1:14" x14ac:dyDescent="0.25">
      <c r="A78" s="35" t="str">
        <f t="shared" si="5"/>
        <v/>
      </c>
      <c r="B78" s="35" t="str">
        <f>IF(BOM!A78="","",BOM!A78)</f>
        <v/>
      </c>
      <c r="C78" s="35" t="str">
        <f>IF(B78="","",BOM!B78)</f>
        <v/>
      </c>
      <c r="D78" s="35" t="str">
        <f>IF(B78="","",IFERROR(INDEX(DM_NL!$B$5:$B$304,MATCH(C78,DM_NL!$A$5:$A$304,0)),""))</f>
        <v/>
      </c>
      <c r="E78" s="35" t="str">
        <f>IF(B78="","",IFERROR(INDEX(DM_NL!$C$5:$C$304,MATCH(C78,DM_NL!$A$5:$A$304,0)),""))</f>
        <v/>
      </c>
      <c r="F78" s="39" t="str">
        <f>IF(B78="","",SUMIFS(Mau15a!$F$11:$F$310,Mau15a!$B$11:$B$310,B78))</f>
        <v/>
      </c>
      <c r="G78" s="39" t="str">
        <f>IF(B78="","",IF(OR(M78="KXDDM",BOM!F78=""),0,BOM!F78))</f>
        <v/>
      </c>
      <c r="H78" s="39" t="str">
        <f t="shared" si="6"/>
        <v/>
      </c>
      <c r="I78" s="39" t="str">
        <f>IF(B78="","",SUMIFS(Mau15a!$H$11:$H$310,Mau15a!$B$11:$B$310,B78)+SUMIFS(Mau15a!$I$11:$I$310,Mau15a!$B$11:$B$310,B78)+SUMIFS(Mau15a!$J$11:$J$310,Mau15a!$B$11:$B$310,B78)-SUMIFS(Mau15a!$G$11:$G$310,Mau15a!$B$11:$B$310,B78))</f>
        <v/>
      </c>
      <c r="J78" s="39" t="str">
        <f t="shared" si="7"/>
        <v/>
      </c>
      <c r="K78" s="39" t="str">
        <f>IF(B78="","",(SUMIFS(Mau15a!$K$11:$K$310,Mau15a!$B$11:$B$310,B78)-SUMIFS(Mau15a!$E$11:$E$310,Mau15a!$B$11:$B$310,B78))*G78)</f>
        <v/>
      </c>
      <c r="L78" s="36" t="str">
        <f t="shared" si="8"/>
        <v/>
      </c>
      <c r="M78" s="36" t="str">
        <f>IF(B78="","",BOM!G78&amp;"")</f>
        <v/>
      </c>
      <c r="N78" s="36" t="str">
        <f t="shared" si="9"/>
        <v/>
      </c>
    </row>
    <row r="79" spans="1:14" x14ac:dyDescent="0.25">
      <c r="A79" s="35" t="str">
        <f t="shared" si="5"/>
        <v/>
      </c>
      <c r="B79" s="35" t="str">
        <f>IF(BOM!A79="","",BOM!A79)</f>
        <v/>
      </c>
      <c r="C79" s="35" t="str">
        <f>IF(B79="","",BOM!B79)</f>
        <v/>
      </c>
      <c r="D79" s="35" t="str">
        <f>IF(B79="","",IFERROR(INDEX(DM_NL!$B$5:$B$304,MATCH(C79,DM_NL!$A$5:$A$304,0)),""))</f>
        <v/>
      </c>
      <c r="E79" s="35" t="str">
        <f>IF(B79="","",IFERROR(INDEX(DM_NL!$C$5:$C$304,MATCH(C79,DM_NL!$A$5:$A$304,0)),""))</f>
        <v/>
      </c>
      <c r="F79" s="39" t="str">
        <f>IF(B79="","",SUMIFS(Mau15a!$F$11:$F$310,Mau15a!$B$11:$B$310,B79))</f>
        <v/>
      </c>
      <c r="G79" s="39" t="str">
        <f>IF(B79="","",IF(OR(M79="KXDDM",BOM!F79=""),0,BOM!F79))</f>
        <v/>
      </c>
      <c r="H79" s="39" t="str">
        <f t="shared" si="6"/>
        <v/>
      </c>
      <c r="I79" s="39" t="str">
        <f>IF(B79="","",SUMIFS(Mau15a!$H$11:$H$310,Mau15a!$B$11:$B$310,B79)+SUMIFS(Mau15a!$I$11:$I$310,Mau15a!$B$11:$B$310,B79)+SUMIFS(Mau15a!$J$11:$J$310,Mau15a!$B$11:$B$310,B79)-SUMIFS(Mau15a!$G$11:$G$310,Mau15a!$B$11:$B$310,B79))</f>
        <v/>
      </c>
      <c r="J79" s="39" t="str">
        <f t="shared" si="7"/>
        <v/>
      </c>
      <c r="K79" s="39" t="str">
        <f>IF(B79="","",(SUMIFS(Mau15a!$K$11:$K$310,Mau15a!$B$11:$B$310,B79)-SUMIFS(Mau15a!$E$11:$E$310,Mau15a!$B$11:$B$310,B79))*G79)</f>
        <v/>
      </c>
      <c r="L79" s="36" t="str">
        <f t="shared" si="8"/>
        <v/>
      </c>
      <c r="M79" s="36" t="str">
        <f>IF(B79="","",BOM!G79&amp;"")</f>
        <v/>
      </c>
      <c r="N79" s="36" t="str">
        <f t="shared" si="9"/>
        <v/>
      </c>
    </row>
    <row r="80" spans="1:14" x14ac:dyDescent="0.25">
      <c r="A80" s="35" t="str">
        <f t="shared" si="5"/>
        <v/>
      </c>
      <c r="B80" s="35" t="str">
        <f>IF(BOM!A80="","",BOM!A80)</f>
        <v/>
      </c>
      <c r="C80" s="35" t="str">
        <f>IF(B80="","",BOM!B80)</f>
        <v/>
      </c>
      <c r="D80" s="35" t="str">
        <f>IF(B80="","",IFERROR(INDEX(DM_NL!$B$5:$B$304,MATCH(C80,DM_NL!$A$5:$A$304,0)),""))</f>
        <v/>
      </c>
      <c r="E80" s="35" t="str">
        <f>IF(B80="","",IFERROR(INDEX(DM_NL!$C$5:$C$304,MATCH(C80,DM_NL!$A$5:$A$304,0)),""))</f>
        <v/>
      </c>
      <c r="F80" s="39" t="str">
        <f>IF(B80="","",SUMIFS(Mau15a!$F$11:$F$310,Mau15a!$B$11:$B$310,B80))</f>
        <v/>
      </c>
      <c r="G80" s="39" t="str">
        <f>IF(B80="","",IF(OR(M80="KXDDM",BOM!F80=""),0,BOM!F80))</f>
        <v/>
      </c>
      <c r="H80" s="39" t="str">
        <f t="shared" si="6"/>
        <v/>
      </c>
      <c r="I80" s="39" t="str">
        <f>IF(B80="","",SUMIFS(Mau15a!$H$11:$H$310,Mau15a!$B$11:$B$310,B80)+SUMIFS(Mau15a!$I$11:$I$310,Mau15a!$B$11:$B$310,B80)+SUMIFS(Mau15a!$J$11:$J$310,Mau15a!$B$11:$B$310,B80)-SUMIFS(Mau15a!$G$11:$G$310,Mau15a!$B$11:$B$310,B80))</f>
        <v/>
      </c>
      <c r="J80" s="39" t="str">
        <f t="shared" si="7"/>
        <v/>
      </c>
      <c r="K80" s="39" t="str">
        <f>IF(B80="","",(SUMIFS(Mau15a!$K$11:$K$310,Mau15a!$B$11:$B$310,B80)-SUMIFS(Mau15a!$E$11:$E$310,Mau15a!$B$11:$B$310,B80))*G80)</f>
        <v/>
      </c>
      <c r="L80" s="36" t="str">
        <f t="shared" si="8"/>
        <v/>
      </c>
      <c r="M80" s="36" t="str">
        <f>IF(B80="","",BOM!G80&amp;"")</f>
        <v/>
      </c>
      <c r="N80" s="36" t="str">
        <f t="shared" si="9"/>
        <v/>
      </c>
    </row>
    <row r="81" spans="1:14" x14ac:dyDescent="0.25">
      <c r="A81" s="35" t="str">
        <f t="shared" si="5"/>
        <v/>
      </c>
      <c r="B81" s="35" t="str">
        <f>IF(BOM!A81="","",BOM!A81)</f>
        <v/>
      </c>
      <c r="C81" s="35" t="str">
        <f>IF(B81="","",BOM!B81)</f>
        <v/>
      </c>
      <c r="D81" s="35" t="str">
        <f>IF(B81="","",IFERROR(INDEX(DM_NL!$B$5:$B$304,MATCH(C81,DM_NL!$A$5:$A$304,0)),""))</f>
        <v/>
      </c>
      <c r="E81" s="35" t="str">
        <f>IF(B81="","",IFERROR(INDEX(DM_NL!$C$5:$C$304,MATCH(C81,DM_NL!$A$5:$A$304,0)),""))</f>
        <v/>
      </c>
      <c r="F81" s="39" t="str">
        <f>IF(B81="","",SUMIFS(Mau15a!$F$11:$F$310,Mau15a!$B$11:$B$310,B81))</f>
        <v/>
      </c>
      <c r="G81" s="39" t="str">
        <f>IF(B81="","",IF(OR(M81="KXDDM",BOM!F81=""),0,BOM!F81))</f>
        <v/>
      </c>
      <c r="H81" s="39" t="str">
        <f t="shared" si="6"/>
        <v/>
      </c>
      <c r="I81" s="39" t="str">
        <f>IF(B81="","",SUMIFS(Mau15a!$H$11:$H$310,Mau15a!$B$11:$B$310,B81)+SUMIFS(Mau15a!$I$11:$I$310,Mau15a!$B$11:$B$310,B81)+SUMIFS(Mau15a!$J$11:$J$310,Mau15a!$B$11:$B$310,B81)-SUMIFS(Mau15a!$G$11:$G$310,Mau15a!$B$11:$B$310,B81))</f>
        <v/>
      </c>
      <c r="J81" s="39" t="str">
        <f t="shared" si="7"/>
        <v/>
      </c>
      <c r="K81" s="39" t="str">
        <f>IF(B81="","",(SUMIFS(Mau15a!$K$11:$K$310,Mau15a!$B$11:$B$310,B81)-SUMIFS(Mau15a!$E$11:$E$310,Mau15a!$B$11:$B$310,B81))*G81)</f>
        <v/>
      </c>
      <c r="L81" s="36" t="str">
        <f t="shared" si="8"/>
        <v/>
      </c>
      <c r="M81" s="36" t="str">
        <f>IF(B81="","",BOM!G81&amp;"")</f>
        <v/>
      </c>
      <c r="N81" s="36" t="str">
        <f t="shared" si="9"/>
        <v/>
      </c>
    </row>
    <row r="82" spans="1:14" x14ac:dyDescent="0.25">
      <c r="A82" s="35" t="str">
        <f t="shared" si="5"/>
        <v/>
      </c>
      <c r="B82" s="35" t="str">
        <f>IF(BOM!A82="","",BOM!A82)</f>
        <v/>
      </c>
      <c r="C82" s="35" t="str">
        <f>IF(B82="","",BOM!B82)</f>
        <v/>
      </c>
      <c r="D82" s="35" t="str">
        <f>IF(B82="","",IFERROR(INDEX(DM_NL!$B$5:$B$304,MATCH(C82,DM_NL!$A$5:$A$304,0)),""))</f>
        <v/>
      </c>
      <c r="E82" s="35" t="str">
        <f>IF(B82="","",IFERROR(INDEX(DM_NL!$C$5:$C$304,MATCH(C82,DM_NL!$A$5:$A$304,0)),""))</f>
        <v/>
      </c>
      <c r="F82" s="39" t="str">
        <f>IF(B82="","",SUMIFS(Mau15a!$F$11:$F$310,Mau15a!$B$11:$B$310,B82))</f>
        <v/>
      </c>
      <c r="G82" s="39" t="str">
        <f>IF(B82="","",IF(OR(M82="KXDDM",BOM!F82=""),0,BOM!F82))</f>
        <v/>
      </c>
      <c r="H82" s="39" t="str">
        <f t="shared" si="6"/>
        <v/>
      </c>
      <c r="I82" s="39" t="str">
        <f>IF(B82="","",SUMIFS(Mau15a!$H$11:$H$310,Mau15a!$B$11:$B$310,B82)+SUMIFS(Mau15a!$I$11:$I$310,Mau15a!$B$11:$B$310,B82)+SUMIFS(Mau15a!$J$11:$J$310,Mau15a!$B$11:$B$310,B82)-SUMIFS(Mau15a!$G$11:$G$310,Mau15a!$B$11:$B$310,B82))</f>
        <v/>
      </c>
      <c r="J82" s="39" t="str">
        <f t="shared" si="7"/>
        <v/>
      </c>
      <c r="K82" s="39" t="str">
        <f>IF(B82="","",(SUMIFS(Mau15a!$K$11:$K$310,Mau15a!$B$11:$B$310,B82)-SUMIFS(Mau15a!$E$11:$E$310,Mau15a!$B$11:$B$310,B82))*G82)</f>
        <v/>
      </c>
      <c r="L82" s="36" t="str">
        <f t="shared" si="8"/>
        <v/>
      </c>
      <c r="M82" s="36" t="str">
        <f>IF(B82="","",BOM!G82&amp;"")</f>
        <v/>
      </c>
      <c r="N82" s="36" t="str">
        <f t="shared" si="9"/>
        <v/>
      </c>
    </row>
    <row r="83" spans="1:14" x14ac:dyDescent="0.25">
      <c r="A83" s="35" t="str">
        <f t="shared" si="5"/>
        <v/>
      </c>
      <c r="B83" s="35" t="str">
        <f>IF(BOM!A83="","",BOM!A83)</f>
        <v/>
      </c>
      <c r="C83" s="35" t="str">
        <f>IF(B83="","",BOM!B83)</f>
        <v/>
      </c>
      <c r="D83" s="35" t="str">
        <f>IF(B83="","",IFERROR(INDEX(DM_NL!$B$5:$B$304,MATCH(C83,DM_NL!$A$5:$A$304,0)),""))</f>
        <v/>
      </c>
      <c r="E83" s="35" t="str">
        <f>IF(B83="","",IFERROR(INDEX(DM_NL!$C$5:$C$304,MATCH(C83,DM_NL!$A$5:$A$304,0)),""))</f>
        <v/>
      </c>
      <c r="F83" s="39" t="str">
        <f>IF(B83="","",SUMIFS(Mau15a!$F$11:$F$310,Mau15a!$B$11:$B$310,B83))</f>
        <v/>
      </c>
      <c r="G83" s="39" t="str">
        <f>IF(B83="","",IF(OR(M83="KXDDM",BOM!F83=""),0,BOM!F83))</f>
        <v/>
      </c>
      <c r="H83" s="39" t="str">
        <f t="shared" si="6"/>
        <v/>
      </c>
      <c r="I83" s="39" t="str">
        <f>IF(B83="","",SUMIFS(Mau15a!$H$11:$H$310,Mau15a!$B$11:$B$310,B83)+SUMIFS(Mau15a!$I$11:$I$310,Mau15a!$B$11:$B$310,B83)+SUMIFS(Mau15a!$J$11:$J$310,Mau15a!$B$11:$B$310,B83)-SUMIFS(Mau15a!$G$11:$G$310,Mau15a!$B$11:$B$310,B83))</f>
        <v/>
      </c>
      <c r="J83" s="39" t="str">
        <f t="shared" si="7"/>
        <v/>
      </c>
      <c r="K83" s="39" t="str">
        <f>IF(B83="","",(SUMIFS(Mau15a!$K$11:$K$310,Mau15a!$B$11:$B$310,B83)-SUMIFS(Mau15a!$E$11:$E$310,Mau15a!$B$11:$B$310,B83))*G83)</f>
        <v/>
      </c>
      <c r="L83" s="36" t="str">
        <f t="shared" si="8"/>
        <v/>
      </c>
      <c r="M83" s="36" t="str">
        <f>IF(B83="","",BOM!G83&amp;"")</f>
        <v/>
      </c>
      <c r="N83" s="36" t="str">
        <f t="shared" si="9"/>
        <v/>
      </c>
    </row>
    <row r="84" spans="1:14" x14ac:dyDescent="0.25">
      <c r="A84" s="35" t="str">
        <f t="shared" si="5"/>
        <v/>
      </c>
      <c r="B84" s="35" t="str">
        <f>IF(BOM!A84="","",BOM!A84)</f>
        <v/>
      </c>
      <c r="C84" s="35" t="str">
        <f>IF(B84="","",BOM!B84)</f>
        <v/>
      </c>
      <c r="D84" s="35" t="str">
        <f>IF(B84="","",IFERROR(INDEX(DM_NL!$B$5:$B$304,MATCH(C84,DM_NL!$A$5:$A$304,0)),""))</f>
        <v/>
      </c>
      <c r="E84" s="35" t="str">
        <f>IF(B84="","",IFERROR(INDEX(DM_NL!$C$5:$C$304,MATCH(C84,DM_NL!$A$5:$A$304,0)),""))</f>
        <v/>
      </c>
      <c r="F84" s="39" t="str">
        <f>IF(B84="","",SUMIFS(Mau15a!$F$11:$F$310,Mau15a!$B$11:$B$310,B84))</f>
        <v/>
      </c>
      <c r="G84" s="39" t="str">
        <f>IF(B84="","",IF(OR(M84="KXDDM",BOM!F84=""),0,BOM!F84))</f>
        <v/>
      </c>
      <c r="H84" s="39" t="str">
        <f t="shared" si="6"/>
        <v/>
      </c>
      <c r="I84" s="39" t="str">
        <f>IF(B84="","",SUMIFS(Mau15a!$H$11:$H$310,Mau15a!$B$11:$B$310,B84)+SUMIFS(Mau15a!$I$11:$I$310,Mau15a!$B$11:$B$310,B84)+SUMIFS(Mau15a!$J$11:$J$310,Mau15a!$B$11:$B$310,B84)-SUMIFS(Mau15a!$G$11:$G$310,Mau15a!$B$11:$B$310,B84))</f>
        <v/>
      </c>
      <c r="J84" s="39" t="str">
        <f t="shared" si="7"/>
        <v/>
      </c>
      <c r="K84" s="39" t="str">
        <f>IF(B84="","",(SUMIFS(Mau15a!$K$11:$K$310,Mau15a!$B$11:$B$310,B84)-SUMIFS(Mau15a!$E$11:$E$310,Mau15a!$B$11:$B$310,B84))*G84)</f>
        <v/>
      </c>
      <c r="L84" s="36" t="str">
        <f t="shared" si="8"/>
        <v/>
      </c>
      <c r="M84" s="36" t="str">
        <f>IF(B84="","",BOM!G84&amp;"")</f>
        <v/>
      </c>
      <c r="N84" s="36" t="str">
        <f t="shared" si="9"/>
        <v/>
      </c>
    </row>
    <row r="85" spans="1:14" x14ac:dyDescent="0.25">
      <c r="A85" s="35" t="str">
        <f t="shared" si="5"/>
        <v/>
      </c>
      <c r="B85" s="35" t="str">
        <f>IF(BOM!A85="","",BOM!A85)</f>
        <v/>
      </c>
      <c r="C85" s="35" t="str">
        <f>IF(B85="","",BOM!B85)</f>
        <v/>
      </c>
      <c r="D85" s="35" t="str">
        <f>IF(B85="","",IFERROR(INDEX(DM_NL!$B$5:$B$304,MATCH(C85,DM_NL!$A$5:$A$304,0)),""))</f>
        <v/>
      </c>
      <c r="E85" s="35" t="str">
        <f>IF(B85="","",IFERROR(INDEX(DM_NL!$C$5:$C$304,MATCH(C85,DM_NL!$A$5:$A$304,0)),""))</f>
        <v/>
      </c>
      <c r="F85" s="39" t="str">
        <f>IF(B85="","",SUMIFS(Mau15a!$F$11:$F$310,Mau15a!$B$11:$B$310,B85))</f>
        <v/>
      </c>
      <c r="G85" s="39" t="str">
        <f>IF(B85="","",IF(OR(M85="KXDDM",BOM!F85=""),0,BOM!F85))</f>
        <v/>
      </c>
      <c r="H85" s="39" t="str">
        <f t="shared" si="6"/>
        <v/>
      </c>
      <c r="I85" s="39" t="str">
        <f>IF(B85="","",SUMIFS(Mau15a!$H$11:$H$310,Mau15a!$B$11:$B$310,B85)+SUMIFS(Mau15a!$I$11:$I$310,Mau15a!$B$11:$B$310,B85)+SUMIFS(Mau15a!$J$11:$J$310,Mau15a!$B$11:$B$310,B85)-SUMIFS(Mau15a!$G$11:$G$310,Mau15a!$B$11:$B$310,B85))</f>
        <v/>
      </c>
      <c r="J85" s="39" t="str">
        <f t="shared" si="7"/>
        <v/>
      </c>
      <c r="K85" s="39" t="str">
        <f>IF(B85="","",(SUMIFS(Mau15a!$K$11:$K$310,Mau15a!$B$11:$B$310,B85)-SUMIFS(Mau15a!$E$11:$E$310,Mau15a!$B$11:$B$310,B85))*G85)</f>
        <v/>
      </c>
      <c r="L85" s="36" t="str">
        <f t="shared" si="8"/>
        <v/>
      </c>
      <c r="M85" s="36" t="str">
        <f>IF(B85="","",BOM!G85&amp;"")</f>
        <v/>
      </c>
      <c r="N85" s="36" t="str">
        <f t="shared" si="9"/>
        <v/>
      </c>
    </row>
    <row r="86" spans="1:14" x14ac:dyDescent="0.25">
      <c r="A86" s="35" t="str">
        <f t="shared" si="5"/>
        <v/>
      </c>
      <c r="B86" s="35" t="str">
        <f>IF(BOM!A86="","",BOM!A86)</f>
        <v/>
      </c>
      <c r="C86" s="35" t="str">
        <f>IF(B86="","",BOM!B86)</f>
        <v/>
      </c>
      <c r="D86" s="35" t="str">
        <f>IF(B86="","",IFERROR(INDEX(DM_NL!$B$5:$B$304,MATCH(C86,DM_NL!$A$5:$A$304,0)),""))</f>
        <v/>
      </c>
      <c r="E86" s="35" t="str">
        <f>IF(B86="","",IFERROR(INDEX(DM_NL!$C$5:$C$304,MATCH(C86,DM_NL!$A$5:$A$304,0)),""))</f>
        <v/>
      </c>
      <c r="F86" s="39" t="str">
        <f>IF(B86="","",SUMIFS(Mau15a!$F$11:$F$310,Mau15a!$B$11:$B$310,B86))</f>
        <v/>
      </c>
      <c r="G86" s="39" t="str">
        <f>IF(B86="","",IF(OR(M86="KXDDM",BOM!F86=""),0,BOM!F86))</f>
        <v/>
      </c>
      <c r="H86" s="39" t="str">
        <f t="shared" si="6"/>
        <v/>
      </c>
      <c r="I86" s="39" t="str">
        <f>IF(B86="","",SUMIFS(Mau15a!$H$11:$H$310,Mau15a!$B$11:$B$310,B86)+SUMIFS(Mau15a!$I$11:$I$310,Mau15a!$B$11:$B$310,B86)+SUMIFS(Mau15a!$J$11:$J$310,Mau15a!$B$11:$B$310,B86)-SUMIFS(Mau15a!$G$11:$G$310,Mau15a!$B$11:$B$310,B86))</f>
        <v/>
      </c>
      <c r="J86" s="39" t="str">
        <f t="shared" si="7"/>
        <v/>
      </c>
      <c r="K86" s="39" t="str">
        <f>IF(B86="","",(SUMIFS(Mau15a!$K$11:$K$310,Mau15a!$B$11:$B$310,B86)-SUMIFS(Mau15a!$E$11:$E$310,Mau15a!$B$11:$B$310,B86))*G86)</f>
        <v/>
      </c>
      <c r="L86" s="36" t="str">
        <f t="shared" si="8"/>
        <v/>
      </c>
      <c r="M86" s="36" t="str">
        <f>IF(B86="","",BOM!G86&amp;"")</f>
        <v/>
      </c>
      <c r="N86" s="36" t="str">
        <f t="shared" si="9"/>
        <v/>
      </c>
    </row>
    <row r="87" spans="1:14" x14ac:dyDescent="0.25">
      <c r="A87" s="35" t="str">
        <f t="shared" si="5"/>
        <v/>
      </c>
      <c r="B87" s="35" t="str">
        <f>IF(BOM!A87="","",BOM!A87)</f>
        <v/>
      </c>
      <c r="C87" s="35" t="str">
        <f>IF(B87="","",BOM!B87)</f>
        <v/>
      </c>
      <c r="D87" s="35" t="str">
        <f>IF(B87="","",IFERROR(INDEX(DM_NL!$B$5:$B$304,MATCH(C87,DM_NL!$A$5:$A$304,0)),""))</f>
        <v/>
      </c>
      <c r="E87" s="35" t="str">
        <f>IF(B87="","",IFERROR(INDEX(DM_NL!$C$5:$C$304,MATCH(C87,DM_NL!$A$5:$A$304,0)),""))</f>
        <v/>
      </c>
      <c r="F87" s="39" t="str">
        <f>IF(B87="","",SUMIFS(Mau15a!$F$11:$F$310,Mau15a!$B$11:$B$310,B87))</f>
        <v/>
      </c>
      <c r="G87" s="39" t="str">
        <f>IF(B87="","",IF(OR(M87="KXDDM",BOM!F87=""),0,BOM!F87))</f>
        <v/>
      </c>
      <c r="H87" s="39" t="str">
        <f t="shared" si="6"/>
        <v/>
      </c>
      <c r="I87" s="39" t="str">
        <f>IF(B87="","",SUMIFS(Mau15a!$H$11:$H$310,Mau15a!$B$11:$B$310,B87)+SUMIFS(Mau15a!$I$11:$I$310,Mau15a!$B$11:$B$310,B87)+SUMIFS(Mau15a!$J$11:$J$310,Mau15a!$B$11:$B$310,B87)-SUMIFS(Mau15a!$G$11:$G$310,Mau15a!$B$11:$B$310,B87))</f>
        <v/>
      </c>
      <c r="J87" s="39" t="str">
        <f t="shared" si="7"/>
        <v/>
      </c>
      <c r="K87" s="39" t="str">
        <f>IF(B87="","",(SUMIFS(Mau15a!$K$11:$K$310,Mau15a!$B$11:$B$310,B87)-SUMIFS(Mau15a!$E$11:$E$310,Mau15a!$B$11:$B$310,B87))*G87)</f>
        <v/>
      </c>
      <c r="L87" s="36" t="str">
        <f t="shared" si="8"/>
        <v/>
      </c>
      <c r="M87" s="36" t="str">
        <f>IF(B87="","",BOM!G87&amp;"")</f>
        <v/>
      </c>
      <c r="N87" s="36" t="str">
        <f t="shared" si="9"/>
        <v/>
      </c>
    </row>
    <row r="88" spans="1:14" x14ac:dyDescent="0.25">
      <c r="A88" s="35" t="str">
        <f t="shared" si="5"/>
        <v/>
      </c>
      <c r="B88" s="35" t="str">
        <f>IF(BOM!A88="","",BOM!A88)</f>
        <v/>
      </c>
      <c r="C88" s="35" t="str">
        <f>IF(B88="","",BOM!B88)</f>
        <v/>
      </c>
      <c r="D88" s="35" t="str">
        <f>IF(B88="","",IFERROR(INDEX(DM_NL!$B$5:$B$304,MATCH(C88,DM_NL!$A$5:$A$304,0)),""))</f>
        <v/>
      </c>
      <c r="E88" s="35" t="str">
        <f>IF(B88="","",IFERROR(INDEX(DM_NL!$C$5:$C$304,MATCH(C88,DM_NL!$A$5:$A$304,0)),""))</f>
        <v/>
      </c>
      <c r="F88" s="39" t="str">
        <f>IF(B88="","",SUMIFS(Mau15a!$F$11:$F$310,Mau15a!$B$11:$B$310,B88))</f>
        <v/>
      </c>
      <c r="G88" s="39" t="str">
        <f>IF(B88="","",IF(OR(M88="KXDDM",BOM!F88=""),0,BOM!F88))</f>
        <v/>
      </c>
      <c r="H88" s="39" t="str">
        <f t="shared" si="6"/>
        <v/>
      </c>
      <c r="I88" s="39" t="str">
        <f>IF(B88="","",SUMIFS(Mau15a!$H$11:$H$310,Mau15a!$B$11:$B$310,B88)+SUMIFS(Mau15a!$I$11:$I$310,Mau15a!$B$11:$B$310,B88)+SUMIFS(Mau15a!$J$11:$J$310,Mau15a!$B$11:$B$310,B88)-SUMIFS(Mau15a!$G$11:$G$310,Mau15a!$B$11:$B$310,B88))</f>
        <v/>
      </c>
      <c r="J88" s="39" t="str">
        <f t="shared" si="7"/>
        <v/>
      </c>
      <c r="K88" s="39" t="str">
        <f>IF(B88="","",(SUMIFS(Mau15a!$K$11:$K$310,Mau15a!$B$11:$B$310,B88)-SUMIFS(Mau15a!$E$11:$E$310,Mau15a!$B$11:$B$310,B88))*G88)</f>
        <v/>
      </c>
      <c r="L88" s="36" t="str">
        <f t="shared" si="8"/>
        <v/>
      </c>
      <c r="M88" s="36" t="str">
        <f>IF(B88="","",BOM!G88&amp;"")</f>
        <v/>
      </c>
      <c r="N88" s="36" t="str">
        <f t="shared" si="9"/>
        <v/>
      </c>
    </row>
    <row r="89" spans="1:14" x14ac:dyDescent="0.25">
      <c r="A89" s="35" t="str">
        <f t="shared" si="5"/>
        <v/>
      </c>
      <c r="B89" s="35" t="str">
        <f>IF(BOM!A89="","",BOM!A89)</f>
        <v/>
      </c>
      <c r="C89" s="35" t="str">
        <f>IF(B89="","",BOM!B89)</f>
        <v/>
      </c>
      <c r="D89" s="35" t="str">
        <f>IF(B89="","",IFERROR(INDEX(DM_NL!$B$5:$B$304,MATCH(C89,DM_NL!$A$5:$A$304,0)),""))</f>
        <v/>
      </c>
      <c r="E89" s="35" t="str">
        <f>IF(B89="","",IFERROR(INDEX(DM_NL!$C$5:$C$304,MATCH(C89,DM_NL!$A$5:$A$304,0)),""))</f>
        <v/>
      </c>
      <c r="F89" s="39" t="str">
        <f>IF(B89="","",SUMIFS(Mau15a!$F$11:$F$310,Mau15a!$B$11:$B$310,B89))</f>
        <v/>
      </c>
      <c r="G89" s="39" t="str">
        <f>IF(B89="","",IF(OR(M89="KXDDM",BOM!F89=""),0,BOM!F89))</f>
        <v/>
      </c>
      <c r="H89" s="39" t="str">
        <f t="shared" si="6"/>
        <v/>
      </c>
      <c r="I89" s="39" t="str">
        <f>IF(B89="","",SUMIFS(Mau15a!$H$11:$H$310,Mau15a!$B$11:$B$310,B89)+SUMIFS(Mau15a!$I$11:$I$310,Mau15a!$B$11:$B$310,B89)+SUMIFS(Mau15a!$J$11:$J$310,Mau15a!$B$11:$B$310,B89)-SUMIFS(Mau15a!$G$11:$G$310,Mau15a!$B$11:$B$310,B89))</f>
        <v/>
      </c>
      <c r="J89" s="39" t="str">
        <f t="shared" si="7"/>
        <v/>
      </c>
      <c r="K89" s="39" t="str">
        <f>IF(B89="","",(SUMIFS(Mau15a!$K$11:$K$310,Mau15a!$B$11:$B$310,B89)-SUMIFS(Mau15a!$E$11:$E$310,Mau15a!$B$11:$B$310,B89))*G89)</f>
        <v/>
      </c>
      <c r="L89" s="36" t="str">
        <f t="shared" si="8"/>
        <v/>
      </c>
      <c r="M89" s="36" t="str">
        <f>IF(B89="","",BOM!G89&amp;"")</f>
        <v/>
      </c>
      <c r="N89" s="36" t="str">
        <f t="shared" si="9"/>
        <v/>
      </c>
    </row>
    <row r="90" spans="1:14" x14ac:dyDescent="0.25">
      <c r="A90" s="35" t="str">
        <f t="shared" si="5"/>
        <v/>
      </c>
      <c r="B90" s="35" t="str">
        <f>IF(BOM!A90="","",BOM!A90)</f>
        <v/>
      </c>
      <c r="C90" s="35" t="str">
        <f>IF(B90="","",BOM!B90)</f>
        <v/>
      </c>
      <c r="D90" s="35" t="str">
        <f>IF(B90="","",IFERROR(INDEX(DM_NL!$B$5:$B$304,MATCH(C90,DM_NL!$A$5:$A$304,0)),""))</f>
        <v/>
      </c>
      <c r="E90" s="35" t="str">
        <f>IF(B90="","",IFERROR(INDEX(DM_NL!$C$5:$C$304,MATCH(C90,DM_NL!$A$5:$A$304,0)),""))</f>
        <v/>
      </c>
      <c r="F90" s="39" t="str">
        <f>IF(B90="","",SUMIFS(Mau15a!$F$11:$F$310,Mau15a!$B$11:$B$310,B90))</f>
        <v/>
      </c>
      <c r="G90" s="39" t="str">
        <f>IF(B90="","",IF(OR(M90="KXDDM",BOM!F90=""),0,BOM!F90))</f>
        <v/>
      </c>
      <c r="H90" s="39" t="str">
        <f t="shared" si="6"/>
        <v/>
      </c>
      <c r="I90" s="39" t="str">
        <f>IF(B90="","",SUMIFS(Mau15a!$H$11:$H$310,Mau15a!$B$11:$B$310,B90)+SUMIFS(Mau15a!$I$11:$I$310,Mau15a!$B$11:$B$310,B90)+SUMIFS(Mau15a!$J$11:$J$310,Mau15a!$B$11:$B$310,B90)-SUMIFS(Mau15a!$G$11:$G$310,Mau15a!$B$11:$B$310,B90))</f>
        <v/>
      </c>
      <c r="J90" s="39" t="str">
        <f t="shared" si="7"/>
        <v/>
      </c>
      <c r="K90" s="39" t="str">
        <f>IF(B90="","",(SUMIFS(Mau15a!$K$11:$K$310,Mau15a!$B$11:$B$310,B90)-SUMIFS(Mau15a!$E$11:$E$310,Mau15a!$B$11:$B$310,B90))*G90)</f>
        <v/>
      </c>
      <c r="L90" s="36" t="str">
        <f t="shared" si="8"/>
        <v/>
      </c>
      <c r="M90" s="36" t="str">
        <f>IF(B90="","",BOM!G90&amp;"")</f>
        <v/>
      </c>
      <c r="N90" s="36" t="str">
        <f t="shared" si="9"/>
        <v/>
      </c>
    </row>
    <row r="91" spans="1:14" x14ac:dyDescent="0.25">
      <c r="A91" s="35" t="str">
        <f t="shared" si="5"/>
        <v/>
      </c>
      <c r="B91" s="35" t="str">
        <f>IF(BOM!A91="","",BOM!A91)</f>
        <v/>
      </c>
      <c r="C91" s="35" t="str">
        <f>IF(B91="","",BOM!B91)</f>
        <v/>
      </c>
      <c r="D91" s="35" t="str">
        <f>IF(B91="","",IFERROR(INDEX(DM_NL!$B$5:$B$304,MATCH(C91,DM_NL!$A$5:$A$304,0)),""))</f>
        <v/>
      </c>
      <c r="E91" s="35" t="str">
        <f>IF(B91="","",IFERROR(INDEX(DM_NL!$C$5:$C$304,MATCH(C91,DM_NL!$A$5:$A$304,0)),""))</f>
        <v/>
      </c>
      <c r="F91" s="39" t="str">
        <f>IF(B91="","",SUMIFS(Mau15a!$F$11:$F$310,Mau15a!$B$11:$B$310,B91))</f>
        <v/>
      </c>
      <c r="G91" s="39" t="str">
        <f>IF(B91="","",IF(OR(M91="KXDDM",BOM!F91=""),0,BOM!F91))</f>
        <v/>
      </c>
      <c r="H91" s="39" t="str">
        <f t="shared" si="6"/>
        <v/>
      </c>
      <c r="I91" s="39" t="str">
        <f>IF(B91="","",SUMIFS(Mau15a!$H$11:$H$310,Mau15a!$B$11:$B$310,B91)+SUMIFS(Mau15a!$I$11:$I$310,Mau15a!$B$11:$B$310,B91)+SUMIFS(Mau15a!$J$11:$J$310,Mau15a!$B$11:$B$310,B91)-SUMIFS(Mau15a!$G$11:$G$310,Mau15a!$B$11:$B$310,B91))</f>
        <v/>
      </c>
      <c r="J91" s="39" t="str">
        <f t="shared" si="7"/>
        <v/>
      </c>
      <c r="K91" s="39" t="str">
        <f>IF(B91="","",(SUMIFS(Mau15a!$K$11:$K$310,Mau15a!$B$11:$B$310,B91)-SUMIFS(Mau15a!$E$11:$E$310,Mau15a!$B$11:$B$310,B91))*G91)</f>
        <v/>
      </c>
      <c r="L91" s="36" t="str">
        <f t="shared" si="8"/>
        <v/>
      </c>
      <c r="M91" s="36" t="str">
        <f>IF(B91="","",BOM!G91&amp;"")</f>
        <v/>
      </c>
      <c r="N91" s="36" t="str">
        <f t="shared" si="9"/>
        <v/>
      </c>
    </row>
    <row r="92" spans="1:14" x14ac:dyDescent="0.25">
      <c r="A92" s="35" t="str">
        <f t="shared" si="5"/>
        <v/>
      </c>
      <c r="B92" s="35" t="str">
        <f>IF(BOM!A92="","",BOM!A92)</f>
        <v/>
      </c>
      <c r="C92" s="35" t="str">
        <f>IF(B92="","",BOM!B92)</f>
        <v/>
      </c>
      <c r="D92" s="35" t="str">
        <f>IF(B92="","",IFERROR(INDEX(DM_NL!$B$5:$B$304,MATCH(C92,DM_NL!$A$5:$A$304,0)),""))</f>
        <v/>
      </c>
      <c r="E92" s="35" t="str">
        <f>IF(B92="","",IFERROR(INDEX(DM_NL!$C$5:$C$304,MATCH(C92,DM_NL!$A$5:$A$304,0)),""))</f>
        <v/>
      </c>
      <c r="F92" s="39" t="str">
        <f>IF(B92="","",SUMIFS(Mau15a!$F$11:$F$310,Mau15a!$B$11:$B$310,B92))</f>
        <v/>
      </c>
      <c r="G92" s="39" t="str">
        <f>IF(B92="","",IF(OR(M92="KXDDM",BOM!F92=""),0,BOM!F92))</f>
        <v/>
      </c>
      <c r="H92" s="39" t="str">
        <f t="shared" si="6"/>
        <v/>
      </c>
      <c r="I92" s="39" t="str">
        <f>IF(B92="","",SUMIFS(Mau15a!$H$11:$H$310,Mau15a!$B$11:$B$310,B92)+SUMIFS(Mau15a!$I$11:$I$310,Mau15a!$B$11:$B$310,B92)+SUMIFS(Mau15a!$J$11:$J$310,Mau15a!$B$11:$B$310,B92)-SUMIFS(Mau15a!$G$11:$G$310,Mau15a!$B$11:$B$310,B92))</f>
        <v/>
      </c>
      <c r="J92" s="39" t="str">
        <f t="shared" si="7"/>
        <v/>
      </c>
      <c r="K92" s="39" t="str">
        <f>IF(B92="","",(SUMIFS(Mau15a!$K$11:$K$310,Mau15a!$B$11:$B$310,B92)-SUMIFS(Mau15a!$E$11:$E$310,Mau15a!$B$11:$B$310,B92))*G92)</f>
        <v/>
      </c>
      <c r="L92" s="36" t="str">
        <f t="shared" si="8"/>
        <v/>
      </c>
      <c r="M92" s="36" t="str">
        <f>IF(B92="","",BOM!G92&amp;"")</f>
        <v/>
      </c>
      <c r="N92" s="36" t="str">
        <f t="shared" si="9"/>
        <v/>
      </c>
    </row>
    <row r="93" spans="1:14" x14ac:dyDescent="0.25">
      <c r="A93" s="35" t="str">
        <f t="shared" si="5"/>
        <v/>
      </c>
      <c r="B93" s="35" t="str">
        <f>IF(BOM!A93="","",BOM!A93)</f>
        <v/>
      </c>
      <c r="C93" s="35" t="str">
        <f>IF(B93="","",BOM!B93)</f>
        <v/>
      </c>
      <c r="D93" s="35" t="str">
        <f>IF(B93="","",IFERROR(INDEX(DM_NL!$B$5:$B$304,MATCH(C93,DM_NL!$A$5:$A$304,0)),""))</f>
        <v/>
      </c>
      <c r="E93" s="35" t="str">
        <f>IF(B93="","",IFERROR(INDEX(DM_NL!$C$5:$C$304,MATCH(C93,DM_NL!$A$5:$A$304,0)),""))</f>
        <v/>
      </c>
      <c r="F93" s="39" t="str">
        <f>IF(B93="","",SUMIFS(Mau15a!$F$11:$F$310,Mau15a!$B$11:$B$310,B93))</f>
        <v/>
      </c>
      <c r="G93" s="39" t="str">
        <f>IF(B93="","",IF(OR(M93="KXDDM",BOM!F93=""),0,BOM!F93))</f>
        <v/>
      </c>
      <c r="H93" s="39" t="str">
        <f t="shared" si="6"/>
        <v/>
      </c>
      <c r="I93" s="39" t="str">
        <f>IF(B93="","",SUMIFS(Mau15a!$H$11:$H$310,Mau15a!$B$11:$B$310,B93)+SUMIFS(Mau15a!$I$11:$I$310,Mau15a!$B$11:$B$310,B93)+SUMIFS(Mau15a!$J$11:$J$310,Mau15a!$B$11:$B$310,B93)-SUMIFS(Mau15a!$G$11:$G$310,Mau15a!$B$11:$B$310,B93))</f>
        <v/>
      </c>
      <c r="J93" s="39" t="str">
        <f t="shared" si="7"/>
        <v/>
      </c>
      <c r="K93" s="39" t="str">
        <f>IF(B93="","",(SUMIFS(Mau15a!$K$11:$K$310,Mau15a!$B$11:$B$310,B93)-SUMIFS(Mau15a!$E$11:$E$310,Mau15a!$B$11:$B$310,B93))*G93)</f>
        <v/>
      </c>
      <c r="L93" s="36" t="str">
        <f t="shared" si="8"/>
        <v/>
      </c>
      <c r="M93" s="36" t="str">
        <f>IF(B93="","",BOM!G93&amp;"")</f>
        <v/>
      </c>
      <c r="N93" s="36" t="str">
        <f t="shared" si="9"/>
        <v/>
      </c>
    </row>
    <row r="94" spans="1:14" x14ac:dyDescent="0.25">
      <c r="A94" s="35" t="str">
        <f t="shared" si="5"/>
        <v/>
      </c>
      <c r="B94" s="35" t="str">
        <f>IF(BOM!A94="","",BOM!A94)</f>
        <v/>
      </c>
      <c r="C94" s="35" t="str">
        <f>IF(B94="","",BOM!B94)</f>
        <v/>
      </c>
      <c r="D94" s="35" t="str">
        <f>IF(B94="","",IFERROR(INDEX(DM_NL!$B$5:$B$304,MATCH(C94,DM_NL!$A$5:$A$304,0)),""))</f>
        <v/>
      </c>
      <c r="E94" s="35" t="str">
        <f>IF(B94="","",IFERROR(INDEX(DM_NL!$C$5:$C$304,MATCH(C94,DM_NL!$A$5:$A$304,0)),""))</f>
        <v/>
      </c>
      <c r="F94" s="39" t="str">
        <f>IF(B94="","",SUMIFS(Mau15a!$F$11:$F$310,Mau15a!$B$11:$B$310,B94))</f>
        <v/>
      </c>
      <c r="G94" s="39" t="str">
        <f>IF(B94="","",IF(OR(M94="KXDDM",BOM!F94=""),0,BOM!F94))</f>
        <v/>
      </c>
      <c r="H94" s="39" t="str">
        <f t="shared" si="6"/>
        <v/>
      </c>
      <c r="I94" s="39" t="str">
        <f>IF(B94="","",SUMIFS(Mau15a!$H$11:$H$310,Mau15a!$B$11:$B$310,B94)+SUMIFS(Mau15a!$I$11:$I$310,Mau15a!$B$11:$B$310,B94)+SUMIFS(Mau15a!$J$11:$J$310,Mau15a!$B$11:$B$310,B94)-SUMIFS(Mau15a!$G$11:$G$310,Mau15a!$B$11:$B$310,B94))</f>
        <v/>
      </c>
      <c r="J94" s="39" t="str">
        <f t="shared" si="7"/>
        <v/>
      </c>
      <c r="K94" s="39" t="str">
        <f>IF(B94="","",(SUMIFS(Mau15a!$K$11:$K$310,Mau15a!$B$11:$B$310,B94)-SUMIFS(Mau15a!$E$11:$E$310,Mau15a!$B$11:$B$310,B94))*G94)</f>
        <v/>
      </c>
      <c r="L94" s="36" t="str">
        <f t="shared" si="8"/>
        <v/>
      </c>
      <c r="M94" s="36" t="str">
        <f>IF(B94="","",BOM!G94&amp;"")</f>
        <v/>
      </c>
      <c r="N94" s="36" t="str">
        <f t="shared" si="9"/>
        <v/>
      </c>
    </row>
    <row r="95" spans="1:14" x14ac:dyDescent="0.25">
      <c r="A95" s="35" t="str">
        <f t="shared" si="5"/>
        <v/>
      </c>
      <c r="B95" s="35" t="str">
        <f>IF(BOM!A95="","",BOM!A95)</f>
        <v/>
      </c>
      <c r="C95" s="35" t="str">
        <f>IF(B95="","",BOM!B95)</f>
        <v/>
      </c>
      <c r="D95" s="35" t="str">
        <f>IF(B95="","",IFERROR(INDEX(DM_NL!$B$5:$B$304,MATCH(C95,DM_NL!$A$5:$A$304,0)),""))</f>
        <v/>
      </c>
      <c r="E95" s="35" t="str">
        <f>IF(B95="","",IFERROR(INDEX(DM_NL!$C$5:$C$304,MATCH(C95,DM_NL!$A$5:$A$304,0)),""))</f>
        <v/>
      </c>
      <c r="F95" s="39" t="str">
        <f>IF(B95="","",SUMIFS(Mau15a!$F$11:$F$310,Mau15a!$B$11:$B$310,B95))</f>
        <v/>
      </c>
      <c r="G95" s="39" t="str">
        <f>IF(B95="","",IF(OR(M95="KXDDM",BOM!F95=""),0,BOM!F95))</f>
        <v/>
      </c>
      <c r="H95" s="39" t="str">
        <f t="shared" si="6"/>
        <v/>
      </c>
      <c r="I95" s="39" t="str">
        <f>IF(B95="","",SUMIFS(Mau15a!$H$11:$H$310,Mau15a!$B$11:$B$310,B95)+SUMIFS(Mau15a!$I$11:$I$310,Mau15a!$B$11:$B$310,B95)+SUMIFS(Mau15a!$J$11:$J$310,Mau15a!$B$11:$B$310,B95)-SUMIFS(Mau15a!$G$11:$G$310,Mau15a!$B$11:$B$310,B95))</f>
        <v/>
      </c>
      <c r="J95" s="39" t="str">
        <f t="shared" si="7"/>
        <v/>
      </c>
      <c r="K95" s="39" t="str">
        <f>IF(B95="","",(SUMIFS(Mau15a!$K$11:$K$310,Mau15a!$B$11:$B$310,B95)-SUMIFS(Mau15a!$E$11:$E$310,Mau15a!$B$11:$B$310,B95))*G95)</f>
        <v/>
      </c>
      <c r="L95" s="36" t="str">
        <f t="shared" si="8"/>
        <v/>
      </c>
      <c r="M95" s="36" t="str">
        <f>IF(B95="","",BOM!G95&amp;"")</f>
        <v/>
      </c>
      <c r="N95" s="36" t="str">
        <f t="shared" si="9"/>
        <v/>
      </c>
    </row>
    <row r="96" spans="1:14" x14ac:dyDescent="0.25">
      <c r="A96" s="35" t="str">
        <f t="shared" si="5"/>
        <v/>
      </c>
      <c r="B96" s="35" t="str">
        <f>IF(BOM!A96="","",BOM!A96)</f>
        <v/>
      </c>
      <c r="C96" s="35" t="str">
        <f>IF(B96="","",BOM!B96)</f>
        <v/>
      </c>
      <c r="D96" s="35" t="str">
        <f>IF(B96="","",IFERROR(INDEX(DM_NL!$B$5:$B$304,MATCH(C96,DM_NL!$A$5:$A$304,0)),""))</f>
        <v/>
      </c>
      <c r="E96" s="35" t="str">
        <f>IF(B96="","",IFERROR(INDEX(DM_NL!$C$5:$C$304,MATCH(C96,DM_NL!$A$5:$A$304,0)),""))</f>
        <v/>
      </c>
      <c r="F96" s="39" t="str">
        <f>IF(B96="","",SUMIFS(Mau15a!$F$11:$F$310,Mau15a!$B$11:$B$310,B96))</f>
        <v/>
      </c>
      <c r="G96" s="39" t="str">
        <f>IF(B96="","",IF(OR(M96="KXDDM",BOM!F96=""),0,BOM!F96))</f>
        <v/>
      </c>
      <c r="H96" s="39" t="str">
        <f t="shared" si="6"/>
        <v/>
      </c>
      <c r="I96" s="39" t="str">
        <f>IF(B96="","",SUMIFS(Mau15a!$H$11:$H$310,Mau15a!$B$11:$B$310,B96)+SUMIFS(Mau15a!$I$11:$I$310,Mau15a!$B$11:$B$310,B96)+SUMIFS(Mau15a!$J$11:$J$310,Mau15a!$B$11:$B$310,B96)-SUMIFS(Mau15a!$G$11:$G$310,Mau15a!$B$11:$B$310,B96))</f>
        <v/>
      </c>
      <c r="J96" s="39" t="str">
        <f t="shared" si="7"/>
        <v/>
      </c>
      <c r="K96" s="39" t="str">
        <f>IF(B96="","",(SUMIFS(Mau15a!$K$11:$K$310,Mau15a!$B$11:$B$310,B96)-SUMIFS(Mau15a!$E$11:$E$310,Mau15a!$B$11:$B$310,B96))*G96)</f>
        <v/>
      </c>
      <c r="L96" s="36" t="str">
        <f t="shared" si="8"/>
        <v/>
      </c>
      <c r="M96" s="36" t="str">
        <f>IF(B96="","",BOM!G96&amp;"")</f>
        <v/>
      </c>
      <c r="N96" s="36" t="str">
        <f t="shared" si="9"/>
        <v/>
      </c>
    </row>
    <row r="97" spans="1:14" x14ac:dyDescent="0.25">
      <c r="A97" s="35" t="str">
        <f t="shared" si="5"/>
        <v/>
      </c>
      <c r="B97" s="35" t="str">
        <f>IF(BOM!A97="","",BOM!A97)</f>
        <v/>
      </c>
      <c r="C97" s="35" t="str">
        <f>IF(B97="","",BOM!B97)</f>
        <v/>
      </c>
      <c r="D97" s="35" t="str">
        <f>IF(B97="","",IFERROR(INDEX(DM_NL!$B$5:$B$304,MATCH(C97,DM_NL!$A$5:$A$304,0)),""))</f>
        <v/>
      </c>
      <c r="E97" s="35" t="str">
        <f>IF(B97="","",IFERROR(INDEX(DM_NL!$C$5:$C$304,MATCH(C97,DM_NL!$A$5:$A$304,0)),""))</f>
        <v/>
      </c>
      <c r="F97" s="39" t="str">
        <f>IF(B97="","",SUMIFS(Mau15a!$F$11:$F$310,Mau15a!$B$11:$B$310,B97))</f>
        <v/>
      </c>
      <c r="G97" s="39" t="str">
        <f>IF(B97="","",IF(OR(M97="KXDDM",BOM!F97=""),0,BOM!F97))</f>
        <v/>
      </c>
      <c r="H97" s="39" t="str">
        <f t="shared" si="6"/>
        <v/>
      </c>
      <c r="I97" s="39" t="str">
        <f>IF(B97="","",SUMIFS(Mau15a!$H$11:$H$310,Mau15a!$B$11:$B$310,B97)+SUMIFS(Mau15a!$I$11:$I$310,Mau15a!$B$11:$B$310,B97)+SUMIFS(Mau15a!$J$11:$J$310,Mau15a!$B$11:$B$310,B97)-SUMIFS(Mau15a!$G$11:$G$310,Mau15a!$B$11:$B$310,B97))</f>
        <v/>
      </c>
      <c r="J97" s="39" t="str">
        <f t="shared" si="7"/>
        <v/>
      </c>
      <c r="K97" s="39" t="str">
        <f>IF(B97="","",(SUMIFS(Mau15a!$K$11:$K$310,Mau15a!$B$11:$B$310,B97)-SUMIFS(Mau15a!$E$11:$E$310,Mau15a!$B$11:$B$310,B97))*G97)</f>
        <v/>
      </c>
      <c r="L97" s="36" t="str">
        <f t="shared" si="8"/>
        <v/>
      </c>
      <c r="M97" s="36" t="str">
        <f>IF(B97="","",BOM!G97&amp;"")</f>
        <v/>
      </c>
      <c r="N97" s="36" t="str">
        <f t="shared" si="9"/>
        <v/>
      </c>
    </row>
    <row r="98" spans="1:14" x14ac:dyDescent="0.25">
      <c r="A98" s="35" t="str">
        <f t="shared" si="5"/>
        <v/>
      </c>
      <c r="B98" s="35" t="str">
        <f>IF(BOM!A98="","",BOM!A98)</f>
        <v/>
      </c>
      <c r="C98" s="35" t="str">
        <f>IF(B98="","",BOM!B98)</f>
        <v/>
      </c>
      <c r="D98" s="35" t="str">
        <f>IF(B98="","",IFERROR(INDEX(DM_NL!$B$5:$B$304,MATCH(C98,DM_NL!$A$5:$A$304,0)),""))</f>
        <v/>
      </c>
      <c r="E98" s="35" t="str">
        <f>IF(B98="","",IFERROR(INDEX(DM_NL!$C$5:$C$304,MATCH(C98,DM_NL!$A$5:$A$304,0)),""))</f>
        <v/>
      </c>
      <c r="F98" s="39" t="str">
        <f>IF(B98="","",SUMIFS(Mau15a!$F$11:$F$310,Mau15a!$B$11:$B$310,B98))</f>
        <v/>
      </c>
      <c r="G98" s="39" t="str">
        <f>IF(B98="","",IF(OR(M98="KXDDM",BOM!F98=""),0,BOM!F98))</f>
        <v/>
      </c>
      <c r="H98" s="39" t="str">
        <f t="shared" si="6"/>
        <v/>
      </c>
      <c r="I98" s="39" t="str">
        <f>IF(B98="","",SUMIFS(Mau15a!$H$11:$H$310,Mau15a!$B$11:$B$310,B98)+SUMIFS(Mau15a!$I$11:$I$310,Mau15a!$B$11:$B$310,B98)+SUMIFS(Mau15a!$J$11:$J$310,Mau15a!$B$11:$B$310,B98)-SUMIFS(Mau15a!$G$11:$G$310,Mau15a!$B$11:$B$310,B98))</f>
        <v/>
      </c>
      <c r="J98" s="39" t="str">
        <f t="shared" si="7"/>
        <v/>
      </c>
      <c r="K98" s="39" t="str">
        <f>IF(B98="","",(SUMIFS(Mau15a!$K$11:$K$310,Mau15a!$B$11:$B$310,B98)-SUMIFS(Mau15a!$E$11:$E$310,Mau15a!$B$11:$B$310,B98))*G98)</f>
        <v/>
      </c>
      <c r="L98" s="36" t="str">
        <f t="shared" si="8"/>
        <v/>
      </c>
      <c r="M98" s="36" t="str">
        <f>IF(B98="","",BOM!G98&amp;"")</f>
        <v/>
      </c>
      <c r="N98" s="36" t="str">
        <f t="shared" si="9"/>
        <v/>
      </c>
    </row>
    <row r="99" spans="1:14" x14ac:dyDescent="0.25">
      <c r="A99" s="35" t="str">
        <f t="shared" si="5"/>
        <v/>
      </c>
      <c r="B99" s="35" t="str">
        <f>IF(BOM!A99="","",BOM!A99)</f>
        <v/>
      </c>
      <c r="C99" s="35" t="str">
        <f>IF(B99="","",BOM!B99)</f>
        <v/>
      </c>
      <c r="D99" s="35" t="str">
        <f>IF(B99="","",IFERROR(INDEX(DM_NL!$B$5:$B$304,MATCH(C99,DM_NL!$A$5:$A$304,0)),""))</f>
        <v/>
      </c>
      <c r="E99" s="35" t="str">
        <f>IF(B99="","",IFERROR(INDEX(DM_NL!$C$5:$C$304,MATCH(C99,DM_NL!$A$5:$A$304,0)),""))</f>
        <v/>
      </c>
      <c r="F99" s="39" t="str">
        <f>IF(B99="","",SUMIFS(Mau15a!$F$11:$F$310,Mau15a!$B$11:$B$310,B99))</f>
        <v/>
      </c>
      <c r="G99" s="39" t="str">
        <f>IF(B99="","",IF(OR(M99="KXDDM",BOM!F99=""),0,BOM!F99))</f>
        <v/>
      </c>
      <c r="H99" s="39" t="str">
        <f t="shared" si="6"/>
        <v/>
      </c>
      <c r="I99" s="39" t="str">
        <f>IF(B99="","",SUMIFS(Mau15a!$H$11:$H$310,Mau15a!$B$11:$B$310,B99)+SUMIFS(Mau15a!$I$11:$I$310,Mau15a!$B$11:$B$310,B99)+SUMIFS(Mau15a!$J$11:$J$310,Mau15a!$B$11:$B$310,B99)-SUMIFS(Mau15a!$G$11:$G$310,Mau15a!$B$11:$B$310,B99))</f>
        <v/>
      </c>
      <c r="J99" s="39" t="str">
        <f t="shared" si="7"/>
        <v/>
      </c>
      <c r="K99" s="39" t="str">
        <f>IF(B99="","",(SUMIFS(Mau15a!$K$11:$K$310,Mau15a!$B$11:$B$310,B99)-SUMIFS(Mau15a!$E$11:$E$310,Mau15a!$B$11:$B$310,B99))*G99)</f>
        <v/>
      </c>
      <c r="L99" s="36" t="str">
        <f t="shared" si="8"/>
        <v/>
      </c>
      <c r="M99" s="36" t="str">
        <f>IF(B99="","",BOM!G99&amp;"")</f>
        <v/>
      </c>
      <c r="N99" s="36" t="str">
        <f t="shared" si="9"/>
        <v/>
      </c>
    </row>
    <row r="100" spans="1:14" x14ac:dyDescent="0.25">
      <c r="A100" s="35" t="str">
        <f t="shared" si="5"/>
        <v/>
      </c>
      <c r="B100" s="35" t="str">
        <f>IF(BOM!A100="","",BOM!A100)</f>
        <v/>
      </c>
      <c r="C100" s="35" t="str">
        <f>IF(B100="","",BOM!B100)</f>
        <v/>
      </c>
      <c r="D100" s="35" t="str">
        <f>IF(B100="","",IFERROR(INDEX(DM_NL!$B$5:$B$304,MATCH(C100,DM_NL!$A$5:$A$304,0)),""))</f>
        <v/>
      </c>
      <c r="E100" s="35" t="str">
        <f>IF(B100="","",IFERROR(INDEX(DM_NL!$C$5:$C$304,MATCH(C100,DM_NL!$A$5:$A$304,0)),""))</f>
        <v/>
      </c>
      <c r="F100" s="39" t="str">
        <f>IF(B100="","",SUMIFS(Mau15a!$F$11:$F$310,Mau15a!$B$11:$B$310,B100))</f>
        <v/>
      </c>
      <c r="G100" s="39" t="str">
        <f>IF(B100="","",IF(OR(M100="KXDDM",BOM!F100=""),0,BOM!F100))</f>
        <v/>
      </c>
      <c r="H100" s="39" t="str">
        <f t="shared" si="6"/>
        <v/>
      </c>
      <c r="I100" s="39" t="str">
        <f>IF(B100="","",SUMIFS(Mau15a!$H$11:$H$310,Mau15a!$B$11:$B$310,B100)+SUMIFS(Mau15a!$I$11:$I$310,Mau15a!$B$11:$B$310,B100)+SUMIFS(Mau15a!$J$11:$J$310,Mau15a!$B$11:$B$310,B100)-SUMIFS(Mau15a!$G$11:$G$310,Mau15a!$B$11:$B$310,B100))</f>
        <v/>
      </c>
      <c r="J100" s="39" t="str">
        <f t="shared" si="7"/>
        <v/>
      </c>
      <c r="K100" s="39" t="str">
        <f>IF(B100="","",(SUMIFS(Mau15a!$K$11:$K$310,Mau15a!$B$11:$B$310,B100)-SUMIFS(Mau15a!$E$11:$E$310,Mau15a!$B$11:$B$310,B100))*G100)</f>
        <v/>
      </c>
      <c r="L100" s="36" t="str">
        <f t="shared" si="8"/>
        <v/>
      </c>
      <c r="M100" s="36" t="str">
        <f>IF(B100="","",BOM!G100&amp;"")</f>
        <v/>
      </c>
      <c r="N100" s="36" t="str">
        <f t="shared" si="9"/>
        <v/>
      </c>
    </row>
    <row r="101" spans="1:14" x14ac:dyDescent="0.25">
      <c r="A101" s="35" t="str">
        <f t="shared" si="5"/>
        <v/>
      </c>
      <c r="B101" s="35" t="str">
        <f>IF(BOM!A101="","",BOM!A101)</f>
        <v/>
      </c>
      <c r="C101" s="35" t="str">
        <f>IF(B101="","",BOM!B101)</f>
        <v/>
      </c>
      <c r="D101" s="35" t="str">
        <f>IF(B101="","",IFERROR(INDEX(DM_NL!$B$5:$B$304,MATCH(C101,DM_NL!$A$5:$A$304,0)),""))</f>
        <v/>
      </c>
      <c r="E101" s="35" t="str">
        <f>IF(B101="","",IFERROR(INDEX(DM_NL!$C$5:$C$304,MATCH(C101,DM_NL!$A$5:$A$304,0)),""))</f>
        <v/>
      </c>
      <c r="F101" s="39" t="str">
        <f>IF(B101="","",SUMIFS(Mau15a!$F$11:$F$310,Mau15a!$B$11:$B$310,B101))</f>
        <v/>
      </c>
      <c r="G101" s="39" t="str">
        <f>IF(B101="","",IF(OR(M101="KXDDM",BOM!F101=""),0,BOM!F101))</f>
        <v/>
      </c>
      <c r="H101" s="39" t="str">
        <f t="shared" si="6"/>
        <v/>
      </c>
      <c r="I101" s="39" t="str">
        <f>IF(B101="","",SUMIFS(Mau15a!$H$11:$H$310,Mau15a!$B$11:$B$310,B101)+SUMIFS(Mau15a!$I$11:$I$310,Mau15a!$B$11:$B$310,B101)+SUMIFS(Mau15a!$J$11:$J$310,Mau15a!$B$11:$B$310,B101)-SUMIFS(Mau15a!$G$11:$G$310,Mau15a!$B$11:$B$310,B101))</f>
        <v/>
      </c>
      <c r="J101" s="39" t="str">
        <f t="shared" si="7"/>
        <v/>
      </c>
      <c r="K101" s="39" t="str">
        <f>IF(B101="","",(SUMIFS(Mau15a!$K$11:$K$310,Mau15a!$B$11:$B$310,B101)-SUMIFS(Mau15a!$E$11:$E$310,Mau15a!$B$11:$B$310,B101))*G101)</f>
        <v/>
      </c>
      <c r="L101" s="36" t="str">
        <f t="shared" si="8"/>
        <v/>
      </c>
      <c r="M101" s="36" t="str">
        <f>IF(B101="","",BOM!G101&amp;"")</f>
        <v/>
      </c>
      <c r="N101" s="36" t="str">
        <f t="shared" si="9"/>
        <v/>
      </c>
    </row>
    <row r="102" spans="1:14" x14ac:dyDescent="0.25">
      <c r="A102" s="35" t="str">
        <f t="shared" si="5"/>
        <v/>
      </c>
      <c r="B102" s="35" t="str">
        <f>IF(BOM!A102="","",BOM!A102)</f>
        <v/>
      </c>
      <c r="C102" s="35" t="str">
        <f>IF(B102="","",BOM!B102)</f>
        <v/>
      </c>
      <c r="D102" s="35" t="str">
        <f>IF(B102="","",IFERROR(INDEX(DM_NL!$B$5:$B$304,MATCH(C102,DM_NL!$A$5:$A$304,0)),""))</f>
        <v/>
      </c>
      <c r="E102" s="35" t="str">
        <f>IF(B102="","",IFERROR(INDEX(DM_NL!$C$5:$C$304,MATCH(C102,DM_NL!$A$5:$A$304,0)),""))</f>
        <v/>
      </c>
      <c r="F102" s="39" t="str">
        <f>IF(B102="","",SUMIFS(Mau15a!$F$11:$F$310,Mau15a!$B$11:$B$310,B102))</f>
        <v/>
      </c>
      <c r="G102" s="39" t="str">
        <f>IF(B102="","",IF(OR(M102="KXDDM",BOM!F102=""),0,BOM!F102))</f>
        <v/>
      </c>
      <c r="H102" s="39" t="str">
        <f t="shared" si="6"/>
        <v/>
      </c>
      <c r="I102" s="39" t="str">
        <f>IF(B102="","",SUMIFS(Mau15a!$H$11:$H$310,Mau15a!$B$11:$B$310,B102)+SUMIFS(Mau15a!$I$11:$I$310,Mau15a!$B$11:$B$310,B102)+SUMIFS(Mau15a!$J$11:$J$310,Mau15a!$B$11:$B$310,B102)-SUMIFS(Mau15a!$G$11:$G$310,Mau15a!$B$11:$B$310,B102))</f>
        <v/>
      </c>
      <c r="J102" s="39" t="str">
        <f t="shared" si="7"/>
        <v/>
      </c>
      <c r="K102" s="39" t="str">
        <f>IF(B102="","",(SUMIFS(Mau15a!$K$11:$K$310,Mau15a!$B$11:$B$310,B102)-SUMIFS(Mau15a!$E$11:$E$310,Mau15a!$B$11:$B$310,B102))*G102)</f>
        <v/>
      </c>
      <c r="L102" s="36" t="str">
        <f t="shared" si="8"/>
        <v/>
      </c>
      <c r="M102" s="36" t="str">
        <f>IF(B102="","",BOM!G102&amp;"")</f>
        <v/>
      </c>
      <c r="N102" s="36" t="str">
        <f t="shared" si="9"/>
        <v/>
      </c>
    </row>
    <row r="103" spans="1:14" x14ac:dyDescent="0.25">
      <c r="A103" s="35" t="str">
        <f t="shared" si="5"/>
        <v/>
      </c>
      <c r="B103" s="35" t="str">
        <f>IF(BOM!A103="","",BOM!A103)</f>
        <v/>
      </c>
      <c r="C103" s="35" t="str">
        <f>IF(B103="","",BOM!B103)</f>
        <v/>
      </c>
      <c r="D103" s="35" t="str">
        <f>IF(B103="","",IFERROR(INDEX(DM_NL!$B$5:$B$304,MATCH(C103,DM_NL!$A$5:$A$304,0)),""))</f>
        <v/>
      </c>
      <c r="E103" s="35" t="str">
        <f>IF(B103="","",IFERROR(INDEX(DM_NL!$C$5:$C$304,MATCH(C103,DM_NL!$A$5:$A$304,0)),""))</f>
        <v/>
      </c>
      <c r="F103" s="39" t="str">
        <f>IF(B103="","",SUMIFS(Mau15a!$F$11:$F$310,Mau15a!$B$11:$B$310,B103))</f>
        <v/>
      </c>
      <c r="G103" s="39" t="str">
        <f>IF(B103="","",IF(OR(M103="KXDDM",BOM!F103=""),0,BOM!F103))</f>
        <v/>
      </c>
      <c r="H103" s="39" t="str">
        <f t="shared" si="6"/>
        <v/>
      </c>
      <c r="I103" s="39" t="str">
        <f>IF(B103="","",SUMIFS(Mau15a!$H$11:$H$310,Mau15a!$B$11:$B$310,B103)+SUMIFS(Mau15a!$I$11:$I$310,Mau15a!$B$11:$B$310,B103)+SUMIFS(Mau15a!$J$11:$J$310,Mau15a!$B$11:$B$310,B103)-SUMIFS(Mau15a!$G$11:$G$310,Mau15a!$B$11:$B$310,B103))</f>
        <v/>
      </c>
      <c r="J103" s="39" t="str">
        <f t="shared" si="7"/>
        <v/>
      </c>
      <c r="K103" s="39" t="str">
        <f>IF(B103="","",(SUMIFS(Mau15a!$K$11:$K$310,Mau15a!$B$11:$B$310,B103)-SUMIFS(Mau15a!$E$11:$E$310,Mau15a!$B$11:$B$310,B103))*G103)</f>
        <v/>
      </c>
      <c r="L103" s="36" t="str">
        <f t="shared" si="8"/>
        <v/>
      </c>
      <c r="M103" s="36" t="str">
        <f>IF(B103="","",BOM!G103&amp;"")</f>
        <v/>
      </c>
      <c r="N103" s="36" t="str">
        <f t="shared" si="9"/>
        <v/>
      </c>
    </row>
    <row r="104" spans="1:14" x14ac:dyDescent="0.25">
      <c r="A104" s="35" t="str">
        <f t="shared" si="5"/>
        <v/>
      </c>
      <c r="B104" s="35" t="str">
        <f>IF(BOM!A104="","",BOM!A104)</f>
        <v/>
      </c>
      <c r="C104" s="35" t="str">
        <f>IF(B104="","",BOM!B104)</f>
        <v/>
      </c>
      <c r="D104" s="35" t="str">
        <f>IF(B104="","",IFERROR(INDEX(DM_NL!$B$5:$B$304,MATCH(C104,DM_NL!$A$5:$A$304,0)),""))</f>
        <v/>
      </c>
      <c r="E104" s="35" t="str">
        <f>IF(B104="","",IFERROR(INDEX(DM_NL!$C$5:$C$304,MATCH(C104,DM_NL!$A$5:$A$304,0)),""))</f>
        <v/>
      </c>
      <c r="F104" s="39" t="str">
        <f>IF(B104="","",SUMIFS(Mau15a!$F$11:$F$310,Mau15a!$B$11:$B$310,B104))</f>
        <v/>
      </c>
      <c r="G104" s="39" t="str">
        <f>IF(B104="","",IF(OR(M104="KXDDM",BOM!F104=""),0,BOM!F104))</f>
        <v/>
      </c>
      <c r="H104" s="39" t="str">
        <f t="shared" si="6"/>
        <v/>
      </c>
      <c r="I104" s="39" t="str">
        <f>IF(B104="","",SUMIFS(Mau15a!$H$11:$H$310,Mau15a!$B$11:$B$310,B104)+SUMIFS(Mau15a!$I$11:$I$310,Mau15a!$B$11:$B$310,B104)+SUMIFS(Mau15a!$J$11:$J$310,Mau15a!$B$11:$B$310,B104)-SUMIFS(Mau15a!$G$11:$G$310,Mau15a!$B$11:$B$310,B104))</f>
        <v/>
      </c>
      <c r="J104" s="39" t="str">
        <f t="shared" si="7"/>
        <v/>
      </c>
      <c r="K104" s="39" t="str">
        <f>IF(B104="","",(SUMIFS(Mau15a!$K$11:$K$310,Mau15a!$B$11:$B$310,B104)-SUMIFS(Mau15a!$E$11:$E$310,Mau15a!$B$11:$B$310,B104))*G104)</f>
        <v/>
      </c>
      <c r="L104" s="36" t="str">
        <f t="shared" si="8"/>
        <v/>
      </c>
      <c r="M104" s="36" t="str">
        <f>IF(B104="","",BOM!G104&amp;"")</f>
        <v/>
      </c>
      <c r="N104" s="36" t="str">
        <f t="shared" si="9"/>
        <v/>
      </c>
    </row>
    <row r="105" spans="1:14" x14ac:dyDescent="0.25">
      <c r="A105" s="35" t="str">
        <f t="shared" si="5"/>
        <v/>
      </c>
      <c r="B105" s="35" t="str">
        <f>IF(BOM!A105="","",BOM!A105)</f>
        <v/>
      </c>
      <c r="C105" s="35" t="str">
        <f>IF(B105="","",BOM!B105)</f>
        <v/>
      </c>
      <c r="D105" s="35" t="str">
        <f>IF(B105="","",IFERROR(INDEX(DM_NL!$B$5:$B$304,MATCH(C105,DM_NL!$A$5:$A$304,0)),""))</f>
        <v/>
      </c>
      <c r="E105" s="35" t="str">
        <f>IF(B105="","",IFERROR(INDEX(DM_NL!$C$5:$C$304,MATCH(C105,DM_NL!$A$5:$A$304,0)),""))</f>
        <v/>
      </c>
      <c r="F105" s="39" t="str">
        <f>IF(B105="","",SUMIFS(Mau15a!$F$11:$F$310,Mau15a!$B$11:$B$310,B105))</f>
        <v/>
      </c>
      <c r="G105" s="39" t="str">
        <f>IF(B105="","",IF(OR(M105="KXDDM",BOM!F105=""),0,BOM!F105))</f>
        <v/>
      </c>
      <c r="H105" s="39" t="str">
        <f t="shared" si="6"/>
        <v/>
      </c>
      <c r="I105" s="39" t="str">
        <f>IF(B105="","",SUMIFS(Mau15a!$H$11:$H$310,Mau15a!$B$11:$B$310,B105)+SUMIFS(Mau15a!$I$11:$I$310,Mau15a!$B$11:$B$310,B105)+SUMIFS(Mau15a!$J$11:$J$310,Mau15a!$B$11:$B$310,B105)-SUMIFS(Mau15a!$G$11:$G$310,Mau15a!$B$11:$B$310,B105))</f>
        <v/>
      </c>
      <c r="J105" s="39" t="str">
        <f t="shared" si="7"/>
        <v/>
      </c>
      <c r="K105" s="39" t="str">
        <f>IF(B105="","",(SUMIFS(Mau15a!$K$11:$K$310,Mau15a!$B$11:$B$310,B105)-SUMIFS(Mau15a!$E$11:$E$310,Mau15a!$B$11:$B$310,B105))*G105)</f>
        <v/>
      </c>
      <c r="L105" s="36" t="str">
        <f t="shared" si="8"/>
        <v/>
      </c>
      <c r="M105" s="36" t="str">
        <f>IF(B105="","",BOM!G105&amp;"")</f>
        <v/>
      </c>
      <c r="N105" s="36" t="str">
        <f t="shared" si="9"/>
        <v/>
      </c>
    </row>
    <row r="106" spans="1:14" x14ac:dyDescent="0.25">
      <c r="A106" s="35" t="str">
        <f t="shared" si="5"/>
        <v/>
      </c>
      <c r="B106" s="35" t="str">
        <f>IF(BOM!A106="","",BOM!A106)</f>
        <v/>
      </c>
      <c r="C106" s="35" t="str">
        <f>IF(B106="","",BOM!B106)</f>
        <v/>
      </c>
      <c r="D106" s="35" t="str">
        <f>IF(B106="","",IFERROR(INDEX(DM_NL!$B$5:$B$304,MATCH(C106,DM_NL!$A$5:$A$304,0)),""))</f>
        <v/>
      </c>
      <c r="E106" s="35" t="str">
        <f>IF(B106="","",IFERROR(INDEX(DM_NL!$C$5:$C$304,MATCH(C106,DM_NL!$A$5:$A$304,0)),""))</f>
        <v/>
      </c>
      <c r="F106" s="39" t="str">
        <f>IF(B106="","",SUMIFS(Mau15a!$F$11:$F$310,Mau15a!$B$11:$B$310,B106))</f>
        <v/>
      </c>
      <c r="G106" s="39" t="str">
        <f>IF(B106="","",IF(OR(M106="KXDDM",BOM!F106=""),0,BOM!F106))</f>
        <v/>
      </c>
      <c r="H106" s="39" t="str">
        <f t="shared" si="6"/>
        <v/>
      </c>
      <c r="I106" s="39" t="str">
        <f>IF(B106="","",SUMIFS(Mau15a!$H$11:$H$310,Mau15a!$B$11:$B$310,B106)+SUMIFS(Mau15a!$I$11:$I$310,Mau15a!$B$11:$B$310,B106)+SUMIFS(Mau15a!$J$11:$J$310,Mau15a!$B$11:$B$310,B106)-SUMIFS(Mau15a!$G$11:$G$310,Mau15a!$B$11:$B$310,B106))</f>
        <v/>
      </c>
      <c r="J106" s="39" t="str">
        <f t="shared" si="7"/>
        <v/>
      </c>
      <c r="K106" s="39" t="str">
        <f>IF(B106="","",(SUMIFS(Mau15a!$K$11:$K$310,Mau15a!$B$11:$B$310,B106)-SUMIFS(Mau15a!$E$11:$E$310,Mau15a!$B$11:$B$310,B106))*G106)</f>
        <v/>
      </c>
      <c r="L106" s="36" t="str">
        <f t="shared" si="8"/>
        <v/>
      </c>
      <c r="M106" s="36" t="str">
        <f>IF(B106="","",BOM!G106&amp;"")</f>
        <v/>
      </c>
      <c r="N106" s="36" t="str">
        <f t="shared" si="9"/>
        <v/>
      </c>
    </row>
    <row r="107" spans="1:14" x14ac:dyDescent="0.25">
      <c r="A107" s="35" t="str">
        <f t="shared" si="5"/>
        <v/>
      </c>
      <c r="B107" s="35" t="str">
        <f>IF(BOM!A107="","",BOM!A107)</f>
        <v/>
      </c>
      <c r="C107" s="35" t="str">
        <f>IF(B107="","",BOM!B107)</f>
        <v/>
      </c>
      <c r="D107" s="35" t="str">
        <f>IF(B107="","",IFERROR(INDEX(DM_NL!$B$5:$B$304,MATCH(C107,DM_NL!$A$5:$A$304,0)),""))</f>
        <v/>
      </c>
      <c r="E107" s="35" t="str">
        <f>IF(B107="","",IFERROR(INDEX(DM_NL!$C$5:$C$304,MATCH(C107,DM_NL!$A$5:$A$304,0)),""))</f>
        <v/>
      </c>
      <c r="F107" s="39" t="str">
        <f>IF(B107="","",SUMIFS(Mau15a!$F$11:$F$310,Mau15a!$B$11:$B$310,B107))</f>
        <v/>
      </c>
      <c r="G107" s="39" t="str">
        <f>IF(B107="","",IF(OR(M107="KXDDM",BOM!F107=""),0,BOM!F107))</f>
        <v/>
      </c>
      <c r="H107" s="39" t="str">
        <f t="shared" si="6"/>
        <v/>
      </c>
      <c r="I107" s="39" t="str">
        <f>IF(B107="","",SUMIFS(Mau15a!$H$11:$H$310,Mau15a!$B$11:$B$310,B107)+SUMIFS(Mau15a!$I$11:$I$310,Mau15a!$B$11:$B$310,B107)+SUMIFS(Mau15a!$J$11:$J$310,Mau15a!$B$11:$B$310,B107)-SUMIFS(Mau15a!$G$11:$G$310,Mau15a!$B$11:$B$310,B107))</f>
        <v/>
      </c>
      <c r="J107" s="39" t="str">
        <f t="shared" si="7"/>
        <v/>
      </c>
      <c r="K107" s="39" t="str">
        <f>IF(B107="","",(SUMIFS(Mau15a!$K$11:$K$310,Mau15a!$B$11:$B$310,B107)-SUMIFS(Mau15a!$E$11:$E$310,Mau15a!$B$11:$B$310,B107))*G107)</f>
        <v/>
      </c>
      <c r="L107" s="36" t="str">
        <f t="shared" si="8"/>
        <v/>
      </c>
      <c r="M107" s="36" t="str">
        <f>IF(B107="","",BOM!G107&amp;"")</f>
        <v/>
      </c>
      <c r="N107" s="36" t="str">
        <f t="shared" si="9"/>
        <v/>
      </c>
    </row>
    <row r="108" spans="1:14" x14ac:dyDescent="0.25">
      <c r="A108" s="35" t="str">
        <f t="shared" si="5"/>
        <v/>
      </c>
      <c r="B108" s="35" t="str">
        <f>IF(BOM!A108="","",BOM!A108)</f>
        <v/>
      </c>
      <c r="C108" s="35" t="str">
        <f>IF(B108="","",BOM!B108)</f>
        <v/>
      </c>
      <c r="D108" s="35" t="str">
        <f>IF(B108="","",IFERROR(INDEX(DM_NL!$B$5:$B$304,MATCH(C108,DM_NL!$A$5:$A$304,0)),""))</f>
        <v/>
      </c>
      <c r="E108" s="35" t="str">
        <f>IF(B108="","",IFERROR(INDEX(DM_NL!$C$5:$C$304,MATCH(C108,DM_NL!$A$5:$A$304,0)),""))</f>
        <v/>
      </c>
      <c r="F108" s="39" t="str">
        <f>IF(B108="","",SUMIFS(Mau15a!$F$11:$F$310,Mau15a!$B$11:$B$310,B108))</f>
        <v/>
      </c>
      <c r="G108" s="39" t="str">
        <f>IF(B108="","",IF(OR(M108="KXDDM",BOM!F108=""),0,BOM!F108))</f>
        <v/>
      </c>
      <c r="H108" s="39" t="str">
        <f t="shared" si="6"/>
        <v/>
      </c>
      <c r="I108" s="39" t="str">
        <f>IF(B108="","",SUMIFS(Mau15a!$H$11:$H$310,Mau15a!$B$11:$B$310,B108)+SUMIFS(Mau15a!$I$11:$I$310,Mau15a!$B$11:$B$310,B108)+SUMIFS(Mau15a!$J$11:$J$310,Mau15a!$B$11:$B$310,B108)-SUMIFS(Mau15a!$G$11:$G$310,Mau15a!$B$11:$B$310,B108))</f>
        <v/>
      </c>
      <c r="J108" s="39" t="str">
        <f t="shared" si="7"/>
        <v/>
      </c>
      <c r="K108" s="39" t="str">
        <f>IF(B108="","",(SUMIFS(Mau15a!$K$11:$K$310,Mau15a!$B$11:$B$310,B108)-SUMIFS(Mau15a!$E$11:$E$310,Mau15a!$B$11:$B$310,B108))*G108)</f>
        <v/>
      </c>
      <c r="L108" s="36" t="str">
        <f t="shared" si="8"/>
        <v/>
      </c>
      <c r="M108" s="36" t="str">
        <f>IF(B108="","",BOM!G108&amp;"")</f>
        <v/>
      </c>
      <c r="N108" s="36" t="str">
        <f t="shared" si="9"/>
        <v/>
      </c>
    </row>
    <row r="109" spans="1:14" x14ac:dyDescent="0.25">
      <c r="A109" s="35" t="str">
        <f t="shared" si="5"/>
        <v/>
      </c>
      <c r="B109" s="35" t="str">
        <f>IF(BOM!A109="","",BOM!A109)</f>
        <v/>
      </c>
      <c r="C109" s="35" t="str">
        <f>IF(B109="","",BOM!B109)</f>
        <v/>
      </c>
      <c r="D109" s="35" t="str">
        <f>IF(B109="","",IFERROR(INDEX(DM_NL!$B$5:$B$304,MATCH(C109,DM_NL!$A$5:$A$304,0)),""))</f>
        <v/>
      </c>
      <c r="E109" s="35" t="str">
        <f>IF(B109="","",IFERROR(INDEX(DM_NL!$C$5:$C$304,MATCH(C109,DM_NL!$A$5:$A$304,0)),""))</f>
        <v/>
      </c>
      <c r="F109" s="39" t="str">
        <f>IF(B109="","",SUMIFS(Mau15a!$F$11:$F$310,Mau15a!$B$11:$B$310,B109))</f>
        <v/>
      </c>
      <c r="G109" s="39" t="str">
        <f>IF(B109="","",IF(OR(M109="KXDDM",BOM!F109=""),0,BOM!F109))</f>
        <v/>
      </c>
      <c r="H109" s="39" t="str">
        <f t="shared" si="6"/>
        <v/>
      </c>
      <c r="I109" s="39" t="str">
        <f>IF(B109="","",SUMIFS(Mau15a!$H$11:$H$310,Mau15a!$B$11:$B$310,B109)+SUMIFS(Mau15a!$I$11:$I$310,Mau15a!$B$11:$B$310,B109)+SUMIFS(Mau15a!$J$11:$J$310,Mau15a!$B$11:$B$310,B109)-SUMIFS(Mau15a!$G$11:$G$310,Mau15a!$B$11:$B$310,B109))</f>
        <v/>
      </c>
      <c r="J109" s="39" t="str">
        <f t="shared" si="7"/>
        <v/>
      </c>
      <c r="K109" s="39" t="str">
        <f>IF(B109="","",(SUMIFS(Mau15a!$K$11:$K$310,Mau15a!$B$11:$B$310,B109)-SUMIFS(Mau15a!$E$11:$E$310,Mau15a!$B$11:$B$310,B109))*G109)</f>
        <v/>
      </c>
      <c r="L109" s="36" t="str">
        <f t="shared" si="8"/>
        <v/>
      </c>
      <c r="M109" s="36" t="str">
        <f>IF(B109="","",BOM!G109&amp;"")</f>
        <v/>
      </c>
      <c r="N109" s="36" t="str">
        <f t="shared" si="9"/>
        <v/>
      </c>
    </row>
    <row r="110" spans="1:14" x14ac:dyDescent="0.25">
      <c r="A110" s="35" t="str">
        <f t="shared" si="5"/>
        <v/>
      </c>
      <c r="B110" s="35" t="str">
        <f>IF(BOM!A110="","",BOM!A110)</f>
        <v/>
      </c>
      <c r="C110" s="35" t="str">
        <f>IF(B110="","",BOM!B110)</f>
        <v/>
      </c>
      <c r="D110" s="35" t="str">
        <f>IF(B110="","",IFERROR(INDEX(DM_NL!$B$5:$B$304,MATCH(C110,DM_NL!$A$5:$A$304,0)),""))</f>
        <v/>
      </c>
      <c r="E110" s="35" t="str">
        <f>IF(B110="","",IFERROR(INDEX(DM_NL!$C$5:$C$304,MATCH(C110,DM_NL!$A$5:$A$304,0)),""))</f>
        <v/>
      </c>
      <c r="F110" s="39" t="str">
        <f>IF(B110="","",SUMIFS(Mau15a!$F$11:$F$310,Mau15a!$B$11:$B$310,B110))</f>
        <v/>
      </c>
      <c r="G110" s="39" t="str">
        <f>IF(B110="","",IF(OR(M110="KXDDM",BOM!F110=""),0,BOM!F110))</f>
        <v/>
      </c>
      <c r="H110" s="39" t="str">
        <f t="shared" si="6"/>
        <v/>
      </c>
      <c r="I110" s="39" t="str">
        <f>IF(B110="","",SUMIFS(Mau15a!$H$11:$H$310,Mau15a!$B$11:$B$310,B110)+SUMIFS(Mau15a!$I$11:$I$310,Mau15a!$B$11:$B$310,B110)+SUMIFS(Mau15a!$J$11:$J$310,Mau15a!$B$11:$B$310,B110)-SUMIFS(Mau15a!$G$11:$G$310,Mau15a!$B$11:$B$310,B110))</f>
        <v/>
      </c>
      <c r="J110" s="39" t="str">
        <f t="shared" si="7"/>
        <v/>
      </c>
      <c r="K110" s="39" t="str">
        <f>IF(B110="","",(SUMIFS(Mau15a!$K$11:$K$310,Mau15a!$B$11:$B$310,B110)-SUMIFS(Mau15a!$E$11:$E$310,Mau15a!$B$11:$B$310,B110))*G110)</f>
        <v/>
      </c>
      <c r="L110" s="36" t="str">
        <f t="shared" si="8"/>
        <v/>
      </c>
      <c r="M110" s="36" t="str">
        <f>IF(B110="","",BOM!G110&amp;"")</f>
        <v/>
      </c>
      <c r="N110" s="36" t="str">
        <f t="shared" si="9"/>
        <v/>
      </c>
    </row>
    <row r="111" spans="1:14" x14ac:dyDescent="0.25">
      <c r="A111" s="35" t="str">
        <f t="shared" si="5"/>
        <v/>
      </c>
      <c r="B111" s="35" t="str">
        <f>IF(BOM!A111="","",BOM!A111)</f>
        <v/>
      </c>
      <c r="C111" s="35" t="str">
        <f>IF(B111="","",BOM!B111)</f>
        <v/>
      </c>
      <c r="D111" s="35" t="str">
        <f>IF(B111="","",IFERROR(INDEX(DM_NL!$B$5:$B$304,MATCH(C111,DM_NL!$A$5:$A$304,0)),""))</f>
        <v/>
      </c>
      <c r="E111" s="35" t="str">
        <f>IF(B111="","",IFERROR(INDEX(DM_NL!$C$5:$C$304,MATCH(C111,DM_NL!$A$5:$A$304,0)),""))</f>
        <v/>
      </c>
      <c r="F111" s="39" t="str">
        <f>IF(B111="","",SUMIFS(Mau15a!$F$11:$F$310,Mau15a!$B$11:$B$310,B111))</f>
        <v/>
      </c>
      <c r="G111" s="39" t="str">
        <f>IF(B111="","",IF(OR(M111="KXDDM",BOM!F111=""),0,BOM!F111))</f>
        <v/>
      </c>
      <c r="H111" s="39" t="str">
        <f t="shared" si="6"/>
        <v/>
      </c>
      <c r="I111" s="39" t="str">
        <f>IF(B111="","",SUMIFS(Mau15a!$H$11:$H$310,Mau15a!$B$11:$B$310,B111)+SUMIFS(Mau15a!$I$11:$I$310,Mau15a!$B$11:$B$310,B111)+SUMIFS(Mau15a!$J$11:$J$310,Mau15a!$B$11:$B$310,B111)-SUMIFS(Mau15a!$G$11:$G$310,Mau15a!$B$11:$B$310,B111))</f>
        <v/>
      </c>
      <c r="J111" s="39" t="str">
        <f t="shared" si="7"/>
        <v/>
      </c>
      <c r="K111" s="39" t="str">
        <f>IF(B111="","",(SUMIFS(Mau15a!$K$11:$K$310,Mau15a!$B$11:$B$310,B111)-SUMIFS(Mau15a!$E$11:$E$310,Mau15a!$B$11:$B$310,B111))*G111)</f>
        <v/>
      </c>
      <c r="L111" s="36" t="str">
        <f t="shared" si="8"/>
        <v/>
      </c>
      <c r="M111" s="36" t="str">
        <f>IF(B111="","",BOM!G111&amp;"")</f>
        <v/>
      </c>
      <c r="N111" s="36" t="str">
        <f t="shared" si="9"/>
        <v/>
      </c>
    </row>
    <row r="112" spans="1:14" x14ac:dyDescent="0.25">
      <c r="A112" s="35" t="str">
        <f t="shared" si="5"/>
        <v/>
      </c>
      <c r="B112" s="35" t="str">
        <f>IF(BOM!A112="","",BOM!A112)</f>
        <v/>
      </c>
      <c r="C112" s="35" t="str">
        <f>IF(B112="","",BOM!B112)</f>
        <v/>
      </c>
      <c r="D112" s="35" t="str">
        <f>IF(B112="","",IFERROR(INDEX(DM_NL!$B$5:$B$304,MATCH(C112,DM_NL!$A$5:$A$304,0)),""))</f>
        <v/>
      </c>
      <c r="E112" s="35" t="str">
        <f>IF(B112="","",IFERROR(INDEX(DM_NL!$C$5:$C$304,MATCH(C112,DM_NL!$A$5:$A$304,0)),""))</f>
        <v/>
      </c>
      <c r="F112" s="39" t="str">
        <f>IF(B112="","",SUMIFS(Mau15a!$F$11:$F$310,Mau15a!$B$11:$B$310,B112))</f>
        <v/>
      </c>
      <c r="G112" s="39" t="str">
        <f>IF(B112="","",IF(OR(M112="KXDDM",BOM!F112=""),0,BOM!F112))</f>
        <v/>
      </c>
      <c r="H112" s="39" t="str">
        <f t="shared" si="6"/>
        <v/>
      </c>
      <c r="I112" s="39" t="str">
        <f>IF(B112="","",SUMIFS(Mau15a!$H$11:$H$310,Mau15a!$B$11:$B$310,B112)+SUMIFS(Mau15a!$I$11:$I$310,Mau15a!$B$11:$B$310,B112)+SUMIFS(Mau15a!$J$11:$J$310,Mau15a!$B$11:$B$310,B112)-SUMIFS(Mau15a!$G$11:$G$310,Mau15a!$B$11:$B$310,B112))</f>
        <v/>
      </c>
      <c r="J112" s="39" t="str">
        <f t="shared" si="7"/>
        <v/>
      </c>
      <c r="K112" s="39" t="str">
        <f>IF(B112="","",(SUMIFS(Mau15a!$K$11:$K$310,Mau15a!$B$11:$B$310,B112)-SUMIFS(Mau15a!$E$11:$E$310,Mau15a!$B$11:$B$310,B112))*G112)</f>
        <v/>
      </c>
      <c r="L112" s="36" t="str">
        <f t="shared" si="8"/>
        <v/>
      </c>
      <c r="M112" s="36" t="str">
        <f>IF(B112="","",BOM!G112&amp;"")</f>
        <v/>
      </c>
      <c r="N112" s="36" t="str">
        <f t="shared" si="9"/>
        <v/>
      </c>
    </row>
    <row r="113" spans="1:14" x14ac:dyDescent="0.25">
      <c r="A113" s="35" t="str">
        <f t="shared" si="5"/>
        <v/>
      </c>
      <c r="B113" s="35" t="str">
        <f>IF(BOM!A113="","",BOM!A113)</f>
        <v/>
      </c>
      <c r="C113" s="35" t="str">
        <f>IF(B113="","",BOM!B113)</f>
        <v/>
      </c>
      <c r="D113" s="35" t="str">
        <f>IF(B113="","",IFERROR(INDEX(DM_NL!$B$5:$B$304,MATCH(C113,DM_NL!$A$5:$A$304,0)),""))</f>
        <v/>
      </c>
      <c r="E113" s="35" t="str">
        <f>IF(B113="","",IFERROR(INDEX(DM_NL!$C$5:$C$304,MATCH(C113,DM_NL!$A$5:$A$304,0)),""))</f>
        <v/>
      </c>
      <c r="F113" s="39" t="str">
        <f>IF(B113="","",SUMIFS(Mau15a!$F$11:$F$310,Mau15a!$B$11:$B$310,B113))</f>
        <v/>
      </c>
      <c r="G113" s="39" t="str">
        <f>IF(B113="","",IF(OR(M113="KXDDM",BOM!F113=""),0,BOM!F113))</f>
        <v/>
      </c>
      <c r="H113" s="39" t="str">
        <f t="shared" si="6"/>
        <v/>
      </c>
      <c r="I113" s="39" t="str">
        <f>IF(B113="","",SUMIFS(Mau15a!$H$11:$H$310,Mau15a!$B$11:$B$310,B113)+SUMIFS(Mau15a!$I$11:$I$310,Mau15a!$B$11:$B$310,B113)+SUMIFS(Mau15a!$J$11:$J$310,Mau15a!$B$11:$B$310,B113)-SUMIFS(Mau15a!$G$11:$G$310,Mau15a!$B$11:$B$310,B113))</f>
        <v/>
      </c>
      <c r="J113" s="39" t="str">
        <f t="shared" si="7"/>
        <v/>
      </c>
      <c r="K113" s="39" t="str">
        <f>IF(B113="","",(SUMIFS(Mau15a!$K$11:$K$310,Mau15a!$B$11:$B$310,B113)-SUMIFS(Mau15a!$E$11:$E$310,Mau15a!$B$11:$B$310,B113))*G113)</f>
        <v/>
      </c>
      <c r="L113" s="36" t="str">
        <f t="shared" si="8"/>
        <v/>
      </c>
      <c r="M113" s="36" t="str">
        <f>IF(B113="","",BOM!G113&amp;"")</f>
        <v/>
      </c>
      <c r="N113" s="36" t="str">
        <f t="shared" si="9"/>
        <v/>
      </c>
    </row>
    <row r="114" spans="1:14" x14ac:dyDescent="0.25">
      <c r="A114" s="35" t="str">
        <f t="shared" si="5"/>
        <v/>
      </c>
      <c r="B114" s="35" t="str">
        <f>IF(BOM!A114="","",BOM!A114)</f>
        <v/>
      </c>
      <c r="C114" s="35" t="str">
        <f>IF(B114="","",BOM!B114)</f>
        <v/>
      </c>
      <c r="D114" s="35" t="str">
        <f>IF(B114="","",IFERROR(INDEX(DM_NL!$B$5:$B$304,MATCH(C114,DM_NL!$A$5:$A$304,0)),""))</f>
        <v/>
      </c>
      <c r="E114" s="35" t="str">
        <f>IF(B114="","",IFERROR(INDEX(DM_NL!$C$5:$C$304,MATCH(C114,DM_NL!$A$5:$A$304,0)),""))</f>
        <v/>
      </c>
      <c r="F114" s="39" t="str">
        <f>IF(B114="","",SUMIFS(Mau15a!$F$11:$F$310,Mau15a!$B$11:$B$310,B114))</f>
        <v/>
      </c>
      <c r="G114" s="39" t="str">
        <f>IF(B114="","",IF(OR(M114="KXDDM",BOM!F114=""),0,BOM!F114))</f>
        <v/>
      </c>
      <c r="H114" s="39" t="str">
        <f t="shared" si="6"/>
        <v/>
      </c>
      <c r="I114" s="39" t="str">
        <f>IF(B114="","",SUMIFS(Mau15a!$H$11:$H$310,Mau15a!$B$11:$B$310,B114)+SUMIFS(Mau15a!$I$11:$I$310,Mau15a!$B$11:$B$310,B114)+SUMIFS(Mau15a!$J$11:$J$310,Mau15a!$B$11:$B$310,B114)-SUMIFS(Mau15a!$G$11:$G$310,Mau15a!$B$11:$B$310,B114))</f>
        <v/>
      </c>
      <c r="J114" s="39" t="str">
        <f t="shared" si="7"/>
        <v/>
      </c>
      <c r="K114" s="39" t="str">
        <f>IF(B114="","",(SUMIFS(Mau15a!$K$11:$K$310,Mau15a!$B$11:$B$310,B114)-SUMIFS(Mau15a!$E$11:$E$310,Mau15a!$B$11:$B$310,B114))*G114)</f>
        <v/>
      </c>
      <c r="L114" s="36" t="str">
        <f t="shared" si="8"/>
        <v/>
      </c>
      <c r="M114" s="36" t="str">
        <f>IF(B114="","",BOM!G114&amp;"")</f>
        <v/>
      </c>
      <c r="N114" s="36" t="str">
        <f t="shared" si="9"/>
        <v/>
      </c>
    </row>
    <row r="115" spans="1:14" x14ac:dyDescent="0.25">
      <c r="A115" s="35" t="str">
        <f t="shared" si="5"/>
        <v/>
      </c>
      <c r="B115" s="35" t="str">
        <f>IF(BOM!A115="","",BOM!A115)</f>
        <v/>
      </c>
      <c r="C115" s="35" t="str">
        <f>IF(B115="","",BOM!B115)</f>
        <v/>
      </c>
      <c r="D115" s="35" t="str">
        <f>IF(B115="","",IFERROR(INDEX(DM_NL!$B$5:$B$304,MATCH(C115,DM_NL!$A$5:$A$304,0)),""))</f>
        <v/>
      </c>
      <c r="E115" s="35" t="str">
        <f>IF(B115="","",IFERROR(INDEX(DM_NL!$C$5:$C$304,MATCH(C115,DM_NL!$A$5:$A$304,0)),""))</f>
        <v/>
      </c>
      <c r="F115" s="39" t="str">
        <f>IF(B115="","",SUMIFS(Mau15a!$F$11:$F$310,Mau15a!$B$11:$B$310,B115))</f>
        <v/>
      </c>
      <c r="G115" s="39" t="str">
        <f>IF(B115="","",IF(OR(M115="KXDDM",BOM!F115=""),0,BOM!F115))</f>
        <v/>
      </c>
      <c r="H115" s="39" t="str">
        <f t="shared" si="6"/>
        <v/>
      </c>
      <c r="I115" s="39" t="str">
        <f>IF(B115="","",SUMIFS(Mau15a!$H$11:$H$310,Mau15a!$B$11:$B$310,B115)+SUMIFS(Mau15a!$I$11:$I$310,Mau15a!$B$11:$B$310,B115)+SUMIFS(Mau15a!$J$11:$J$310,Mau15a!$B$11:$B$310,B115)-SUMIFS(Mau15a!$G$11:$G$310,Mau15a!$B$11:$B$310,B115))</f>
        <v/>
      </c>
      <c r="J115" s="39" t="str">
        <f t="shared" si="7"/>
        <v/>
      </c>
      <c r="K115" s="39" t="str">
        <f>IF(B115="","",(SUMIFS(Mau15a!$K$11:$K$310,Mau15a!$B$11:$B$310,B115)-SUMIFS(Mau15a!$E$11:$E$310,Mau15a!$B$11:$B$310,B115))*G115)</f>
        <v/>
      </c>
      <c r="L115" s="36" t="str">
        <f t="shared" si="8"/>
        <v/>
      </c>
      <c r="M115" s="36" t="str">
        <f>IF(B115="","",BOM!G115&amp;"")</f>
        <v/>
      </c>
      <c r="N115" s="36" t="str">
        <f t="shared" si="9"/>
        <v/>
      </c>
    </row>
    <row r="116" spans="1:14" x14ac:dyDescent="0.25">
      <c r="A116" s="35" t="str">
        <f t="shared" si="5"/>
        <v/>
      </c>
      <c r="B116" s="35" t="str">
        <f>IF(BOM!A116="","",BOM!A116)</f>
        <v/>
      </c>
      <c r="C116" s="35" t="str">
        <f>IF(B116="","",BOM!B116)</f>
        <v/>
      </c>
      <c r="D116" s="35" t="str">
        <f>IF(B116="","",IFERROR(INDEX(DM_NL!$B$5:$B$304,MATCH(C116,DM_NL!$A$5:$A$304,0)),""))</f>
        <v/>
      </c>
      <c r="E116" s="35" t="str">
        <f>IF(B116="","",IFERROR(INDEX(DM_NL!$C$5:$C$304,MATCH(C116,DM_NL!$A$5:$A$304,0)),""))</f>
        <v/>
      </c>
      <c r="F116" s="39" t="str">
        <f>IF(B116="","",SUMIFS(Mau15a!$F$11:$F$310,Mau15a!$B$11:$B$310,B116))</f>
        <v/>
      </c>
      <c r="G116" s="39" t="str">
        <f>IF(B116="","",IF(OR(M116="KXDDM",BOM!F116=""),0,BOM!F116))</f>
        <v/>
      </c>
      <c r="H116" s="39" t="str">
        <f t="shared" si="6"/>
        <v/>
      </c>
      <c r="I116" s="39" t="str">
        <f>IF(B116="","",SUMIFS(Mau15a!$H$11:$H$310,Mau15a!$B$11:$B$310,B116)+SUMIFS(Mau15a!$I$11:$I$310,Mau15a!$B$11:$B$310,B116)+SUMIFS(Mau15a!$J$11:$J$310,Mau15a!$B$11:$B$310,B116)-SUMIFS(Mau15a!$G$11:$G$310,Mau15a!$B$11:$B$310,B116))</f>
        <v/>
      </c>
      <c r="J116" s="39" t="str">
        <f t="shared" si="7"/>
        <v/>
      </c>
      <c r="K116" s="39" t="str">
        <f>IF(B116="","",(SUMIFS(Mau15a!$K$11:$K$310,Mau15a!$B$11:$B$310,B116)-SUMIFS(Mau15a!$E$11:$E$310,Mau15a!$B$11:$B$310,B116))*G116)</f>
        <v/>
      </c>
      <c r="L116" s="36" t="str">
        <f t="shared" si="8"/>
        <v/>
      </c>
      <c r="M116" s="36" t="str">
        <f>IF(B116="","",BOM!G116&amp;"")</f>
        <v/>
      </c>
      <c r="N116" s="36" t="str">
        <f t="shared" si="9"/>
        <v/>
      </c>
    </row>
    <row r="117" spans="1:14" x14ac:dyDescent="0.25">
      <c r="A117" s="35" t="str">
        <f t="shared" si="5"/>
        <v/>
      </c>
      <c r="B117" s="35" t="str">
        <f>IF(BOM!A117="","",BOM!A117)</f>
        <v/>
      </c>
      <c r="C117" s="35" t="str">
        <f>IF(B117="","",BOM!B117)</f>
        <v/>
      </c>
      <c r="D117" s="35" t="str">
        <f>IF(B117="","",IFERROR(INDEX(DM_NL!$B$5:$B$304,MATCH(C117,DM_NL!$A$5:$A$304,0)),""))</f>
        <v/>
      </c>
      <c r="E117" s="35" t="str">
        <f>IF(B117="","",IFERROR(INDEX(DM_NL!$C$5:$C$304,MATCH(C117,DM_NL!$A$5:$A$304,0)),""))</f>
        <v/>
      </c>
      <c r="F117" s="39" t="str">
        <f>IF(B117="","",SUMIFS(Mau15a!$F$11:$F$310,Mau15a!$B$11:$B$310,B117))</f>
        <v/>
      </c>
      <c r="G117" s="39" t="str">
        <f>IF(B117="","",IF(OR(M117="KXDDM",BOM!F117=""),0,BOM!F117))</f>
        <v/>
      </c>
      <c r="H117" s="39" t="str">
        <f t="shared" si="6"/>
        <v/>
      </c>
      <c r="I117" s="39" t="str">
        <f>IF(B117="","",SUMIFS(Mau15a!$H$11:$H$310,Mau15a!$B$11:$B$310,B117)+SUMIFS(Mau15a!$I$11:$I$310,Mau15a!$B$11:$B$310,B117)+SUMIFS(Mau15a!$J$11:$J$310,Mau15a!$B$11:$B$310,B117)-SUMIFS(Mau15a!$G$11:$G$310,Mau15a!$B$11:$B$310,B117))</f>
        <v/>
      </c>
      <c r="J117" s="39" t="str">
        <f t="shared" si="7"/>
        <v/>
      </c>
      <c r="K117" s="39" t="str">
        <f>IF(B117="","",(SUMIFS(Mau15a!$K$11:$K$310,Mau15a!$B$11:$B$310,B117)-SUMIFS(Mau15a!$E$11:$E$310,Mau15a!$B$11:$B$310,B117))*G117)</f>
        <v/>
      </c>
      <c r="L117" s="36" t="str">
        <f t="shared" si="8"/>
        <v/>
      </c>
      <c r="M117" s="36" t="str">
        <f>IF(B117="","",BOM!G117&amp;"")</f>
        <v/>
      </c>
      <c r="N117" s="36" t="str">
        <f t="shared" si="9"/>
        <v/>
      </c>
    </row>
    <row r="118" spans="1:14" x14ac:dyDescent="0.25">
      <c r="A118" s="35" t="str">
        <f t="shared" si="5"/>
        <v/>
      </c>
      <c r="B118" s="35" t="str">
        <f>IF(BOM!A118="","",BOM!A118)</f>
        <v/>
      </c>
      <c r="C118" s="35" t="str">
        <f>IF(B118="","",BOM!B118)</f>
        <v/>
      </c>
      <c r="D118" s="35" t="str">
        <f>IF(B118="","",IFERROR(INDEX(DM_NL!$B$5:$B$304,MATCH(C118,DM_NL!$A$5:$A$304,0)),""))</f>
        <v/>
      </c>
      <c r="E118" s="35" t="str">
        <f>IF(B118="","",IFERROR(INDEX(DM_NL!$C$5:$C$304,MATCH(C118,DM_NL!$A$5:$A$304,0)),""))</f>
        <v/>
      </c>
      <c r="F118" s="39" t="str">
        <f>IF(B118="","",SUMIFS(Mau15a!$F$11:$F$310,Mau15a!$B$11:$B$310,B118))</f>
        <v/>
      </c>
      <c r="G118" s="39" t="str">
        <f>IF(B118="","",IF(OR(M118="KXDDM",BOM!F118=""),0,BOM!F118))</f>
        <v/>
      </c>
      <c r="H118" s="39" t="str">
        <f t="shared" si="6"/>
        <v/>
      </c>
      <c r="I118" s="39" t="str">
        <f>IF(B118="","",SUMIFS(Mau15a!$H$11:$H$310,Mau15a!$B$11:$B$310,B118)+SUMIFS(Mau15a!$I$11:$I$310,Mau15a!$B$11:$B$310,B118)+SUMIFS(Mau15a!$J$11:$J$310,Mau15a!$B$11:$B$310,B118)-SUMIFS(Mau15a!$G$11:$G$310,Mau15a!$B$11:$B$310,B118))</f>
        <v/>
      </c>
      <c r="J118" s="39" t="str">
        <f t="shared" si="7"/>
        <v/>
      </c>
      <c r="K118" s="39" t="str">
        <f>IF(B118="","",(SUMIFS(Mau15a!$K$11:$K$310,Mau15a!$B$11:$B$310,B118)-SUMIFS(Mau15a!$E$11:$E$310,Mau15a!$B$11:$B$310,B118))*G118)</f>
        <v/>
      </c>
      <c r="L118" s="36" t="str">
        <f t="shared" si="8"/>
        <v/>
      </c>
      <c r="M118" s="36" t="str">
        <f>IF(B118="","",BOM!G118&amp;"")</f>
        <v/>
      </c>
      <c r="N118" s="36" t="str">
        <f t="shared" si="9"/>
        <v/>
      </c>
    </row>
    <row r="119" spans="1:14" x14ac:dyDescent="0.25">
      <c r="A119" s="35" t="str">
        <f t="shared" si="5"/>
        <v/>
      </c>
      <c r="B119" s="35" t="str">
        <f>IF(BOM!A119="","",BOM!A119)</f>
        <v/>
      </c>
      <c r="C119" s="35" t="str">
        <f>IF(B119="","",BOM!B119)</f>
        <v/>
      </c>
      <c r="D119" s="35" t="str">
        <f>IF(B119="","",IFERROR(INDEX(DM_NL!$B$5:$B$304,MATCH(C119,DM_NL!$A$5:$A$304,0)),""))</f>
        <v/>
      </c>
      <c r="E119" s="35" t="str">
        <f>IF(B119="","",IFERROR(INDEX(DM_NL!$C$5:$C$304,MATCH(C119,DM_NL!$A$5:$A$304,0)),""))</f>
        <v/>
      </c>
      <c r="F119" s="39" t="str">
        <f>IF(B119="","",SUMIFS(Mau15a!$F$11:$F$310,Mau15a!$B$11:$B$310,B119))</f>
        <v/>
      </c>
      <c r="G119" s="39" t="str">
        <f>IF(B119="","",IF(OR(M119="KXDDM",BOM!F119=""),0,BOM!F119))</f>
        <v/>
      </c>
      <c r="H119" s="39" t="str">
        <f t="shared" si="6"/>
        <v/>
      </c>
      <c r="I119" s="39" t="str">
        <f>IF(B119="","",SUMIFS(Mau15a!$H$11:$H$310,Mau15a!$B$11:$B$310,B119)+SUMIFS(Mau15a!$I$11:$I$310,Mau15a!$B$11:$B$310,B119)+SUMIFS(Mau15a!$J$11:$J$310,Mau15a!$B$11:$B$310,B119)-SUMIFS(Mau15a!$G$11:$G$310,Mau15a!$B$11:$B$310,B119))</f>
        <v/>
      </c>
      <c r="J119" s="39" t="str">
        <f t="shared" si="7"/>
        <v/>
      </c>
      <c r="K119" s="39" t="str">
        <f>IF(B119="","",(SUMIFS(Mau15a!$K$11:$K$310,Mau15a!$B$11:$B$310,B119)-SUMIFS(Mau15a!$E$11:$E$310,Mau15a!$B$11:$B$310,B119))*G119)</f>
        <v/>
      </c>
      <c r="L119" s="36" t="str">
        <f t="shared" si="8"/>
        <v/>
      </c>
      <c r="M119" s="36" t="str">
        <f>IF(B119="","",BOM!G119&amp;"")</f>
        <v/>
      </c>
      <c r="N119" s="36" t="str">
        <f t="shared" si="9"/>
        <v/>
      </c>
    </row>
    <row r="120" spans="1:14" x14ac:dyDescent="0.25">
      <c r="A120" s="35" t="str">
        <f t="shared" si="5"/>
        <v/>
      </c>
      <c r="B120" s="35" t="str">
        <f>IF(BOM!A120="","",BOM!A120)</f>
        <v/>
      </c>
      <c r="C120" s="35" t="str">
        <f>IF(B120="","",BOM!B120)</f>
        <v/>
      </c>
      <c r="D120" s="35" t="str">
        <f>IF(B120="","",IFERROR(INDEX(DM_NL!$B$5:$B$304,MATCH(C120,DM_NL!$A$5:$A$304,0)),""))</f>
        <v/>
      </c>
      <c r="E120" s="35" t="str">
        <f>IF(B120="","",IFERROR(INDEX(DM_NL!$C$5:$C$304,MATCH(C120,DM_NL!$A$5:$A$304,0)),""))</f>
        <v/>
      </c>
      <c r="F120" s="39" t="str">
        <f>IF(B120="","",SUMIFS(Mau15a!$F$11:$F$310,Mau15a!$B$11:$B$310,B120))</f>
        <v/>
      </c>
      <c r="G120" s="39" t="str">
        <f>IF(B120="","",IF(OR(M120="KXDDM",BOM!F120=""),0,BOM!F120))</f>
        <v/>
      </c>
      <c r="H120" s="39" t="str">
        <f t="shared" si="6"/>
        <v/>
      </c>
      <c r="I120" s="39" t="str">
        <f>IF(B120="","",SUMIFS(Mau15a!$H$11:$H$310,Mau15a!$B$11:$B$310,B120)+SUMIFS(Mau15a!$I$11:$I$310,Mau15a!$B$11:$B$310,B120)+SUMIFS(Mau15a!$J$11:$J$310,Mau15a!$B$11:$B$310,B120)-SUMIFS(Mau15a!$G$11:$G$310,Mau15a!$B$11:$B$310,B120))</f>
        <v/>
      </c>
      <c r="J120" s="39" t="str">
        <f t="shared" si="7"/>
        <v/>
      </c>
      <c r="K120" s="39" t="str">
        <f>IF(B120="","",(SUMIFS(Mau15a!$K$11:$K$310,Mau15a!$B$11:$B$310,B120)-SUMIFS(Mau15a!$E$11:$E$310,Mau15a!$B$11:$B$310,B120))*G120)</f>
        <v/>
      </c>
      <c r="L120" s="36" t="str">
        <f t="shared" si="8"/>
        <v/>
      </c>
      <c r="M120" s="36" t="str">
        <f>IF(B120="","",BOM!G120&amp;"")</f>
        <v/>
      </c>
      <c r="N120" s="36" t="str">
        <f t="shared" si="9"/>
        <v/>
      </c>
    </row>
    <row r="121" spans="1:14" x14ac:dyDescent="0.25">
      <c r="A121" s="35" t="str">
        <f t="shared" si="5"/>
        <v/>
      </c>
      <c r="B121" s="35" t="str">
        <f>IF(BOM!A121="","",BOM!A121)</f>
        <v/>
      </c>
      <c r="C121" s="35" t="str">
        <f>IF(B121="","",BOM!B121)</f>
        <v/>
      </c>
      <c r="D121" s="35" t="str">
        <f>IF(B121="","",IFERROR(INDEX(DM_NL!$B$5:$B$304,MATCH(C121,DM_NL!$A$5:$A$304,0)),""))</f>
        <v/>
      </c>
      <c r="E121" s="35" t="str">
        <f>IF(B121="","",IFERROR(INDEX(DM_NL!$C$5:$C$304,MATCH(C121,DM_NL!$A$5:$A$304,0)),""))</f>
        <v/>
      </c>
      <c r="F121" s="39" t="str">
        <f>IF(B121="","",SUMIFS(Mau15a!$F$11:$F$310,Mau15a!$B$11:$B$310,B121))</f>
        <v/>
      </c>
      <c r="G121" s="39" t="str">
        <f>IF(B121="","",IF(OR(M121="KXDDM",BOM!F121=""),0,BOM!F121))</f>
        <v/>
      </c>
      <c r="H121" s="39" t="str">
        <f t="shared" si="6"/>
        <v/>
      </c>
      <c r="I121" s="39" t="str">
        <f>IF(B121="","",SUMIFS(Mau15a!$H$11:$H$310,Mau15a!$B$11:$B$310,B121)+SUMIFS(Mau15a!$I$11:$I$310,Mau15a!$B$11:$B$310,B121)+SUMIFS(Mau15a!$J$11:$J$310,Mau15a!$B$11:$B$310,B121)-SUMIFS(Mau15a!$G$11:$G$310,Mau15a!$B$11:$B$310,B121))</f>
        <v/>
      </c>
      <c r="J121" s="39" t="str">
        <f t="shared" si="7"/>
        <v/>
      </c>
      <c r="K121" s="39" t="str">
        <f>IF(B121="","",(SUMIFS(Mau15a!$K$11:$K$310,Mau15a!$B$11:$B$310,B121)-SUMIFS(Mau15a!$E$11:$E$310,Mau15a!$B$11:$B$310,B121))*G121)</f>
        <v/>
      </c>
      <c r="L121" s="36" t="str">
        <f t="shared" si="8"/>
        <v/>
      </c>
      <c r="M121" s="36" t="str">
        <f>IF(B121="","",BOM!G121&amp;"")</f>
        <v/>
      </c>
      <c r="N121" s="36" t="str">
        <f t="shared" si="9"/>
        <v/>
      </c>
    </row>
    <row r="122" spans="1:14" x14ac:dyDescent="0.25">
      <c r="A122" s="35" t="str">
        <f t="shared" si="5"/>
        <v/>
      </c>
      <c r="B122" s="35" t="str">
        <f>IF(BOM!A122="","",BOM!A122)</f>
        <v/>
      </c>
      <c r="C122" s="35" t="str">
        <f>IF(B122="","",BOM!B122)</f>
        <v/>
      </c>
      <c r="D122" s="35" t="str">
        <f>IF(B122="","",IFERROR(INDEX(DM_NL!$B$5:$B$304,MATCH(C122,DM_NL!$A$5:$A$304,0)),""))</f>
        <v/>
      </c>
      <c r="E122" s="35" t="str">
        <f>IF(B122="","",IFERROR(INDEX(DM_NL!$C$5:$C$304,MATCH(C122,DM_NL!$A$5:$A$304,0)),""))</f>
        <v/>
      </c>
      <c r="F122" s="39" t="str">
        <f>IF(B122="","",SUMIFS(Mau15a!$F$11:$F$310,Mau15a!$B$11:$B$310,B122))</f>
        <v/>
      </c>
      <c r="G122" s="39" t="str">
        <f>IF(B122="","",IF(OR(M122="KXDDM",BOM!F122=""),0,BOM!F122))</f>
        <v/>
      </c>
      <c r="H122" s="39" t="str">
        <f t="shared" si="6"/>
        <v/>
      </c>
      <c r="I122" s="39" t="str">
        <f>IF(B122="","",SUMIFS(Mau15a!$H$11:$H$310,Mau15a!$B$11:$B$310,B122)+SUMIFS(Mau15a!$I$11:$I$310,Mau15a!$B$11:$B$310,B122)+SUMIFS(Mau15a!$J$11:$J$310,Mau15a!$B$11:$B$310,B122)-SUMIFS(Mau15a!$G$11:$G$310,Mau15a!$B$11:$B$310,B122))</f>
        <v/>
      </c>
      <c r="J122" s="39" t="str">
        <f t="shared" si="7"/>
        <v/>
      </c>
      <c r="K122" s="39" t="str">
        <f>IF(B122="","",(SUMIFS(Mau15a!$K$11:$K$310,Mau15a!$B$11:$B$310,B122)-SUMIFS(Mau15a!$E$11:$E$310,Mau15a!$B$11:$B$310,B122))*G122)</f>
        <v/>
      </c>
      <c r="L122" s="36" t="str">
        <f t="shared" si="8"/>
        <v/>
      </c>
      <c r="M122" s="36" t="str">
        <f>IF(B122="","",BOM!G122&amp;"")</f>
        <v/>
      </c>
      <c r="N122" s="36" t="str">
        <f t="shared" si="9"/>
        <v/>
      </c>
    </row>
    <row r="123" spans="1:14" x14ac:dyDescent="0.25">
      <c r="A123" s="35" t="str">
        <f t="shared" si="5"/>
        <v/>
      </c>
      <c r="B123" s="35" t="str">
        <f>IF(BOM!A123="","",BOM!A123)</f>
        <v/>
      </c>
      <c r="C123" s="35" t="str">
        <f>IF(B123="","",BOM!B123)</f>
        <v/>
      </c>
      <c r="D123" s="35" t="str">
        <f>IF(B123="","",IFERROR(INDEX(DM_NL!$B$5:$B$304,MATCH(C123,DM_NL!$A$5:$A$304,0)),""))</f>
        <v/>
      </c>
      <c r="E123" s="35" t="str">
        <f>IF(B123="","",IFERROR(INDEX(DM_NL!$C$5:$C$304,MATCH(C123,DM_NL!$A$5:$A$304,0)),""))</f>
        <v/>
      </c>
      <c r="F123" s="39" t="str">
        <f>IF(B123="","",SUMIFS(Mau15a!$F$11:$F$310,Mau15a!$B$11:$B$310,B123))</f>
        <v/>
      </c>
      <c r="G123" s="39" t="str">
        <f>IF(B123="","",IF(OR(M123="KXDDM",BOM!F123=""),0,BOM!F123))</f>
        <v/>
      </c>
      <c r="H123" s="39" t="str">
        <f t="shared" si="6"/>
        <v/>
      </c>
      <c r="I123" s="39" t="str">
        <f>IF(B123="","",SUMIFS(Mau15a!$H$11:$H$310,Mau15a!$B$11:$B$310,B123)+SUMIFS(Mau15a!$I$11:$I$310,Mau15a!$B$11:$B$310,B123)+SUMIFS(Mau15a!$J$11:$J$310,Mau15a!$B$11:$B$310,B123)-SUMIFS(Mau15a!$G$11:$G$310,Mau15a!$B$11:$B$310,B123))</f>
        <v/>
      </c>
      <c r="J123" s="39" t="str">
        <f t="shared" si="7"/>
        <v/>
      </c>
      <c r="K123" s="39" t="str">
        <f>IF(B123="","",(SUMIFS(Mau15a!$K$11:$K$310,Mau15a!$B$11:$B$310,B123)-SUMIFS(Mau15a!$E$11:$E$310,Mau15a!$B$11:$B$310,B123))*G123)</f>
        <v/>
      </c>
      <c r="L123" s="36" t="str">
        <f t="shared" si="8"/>
        <v/>
      </c>
      <c r="M123" s="36" t="str">
        <f>IF(B123="","",BOM!G123&amp;"")</f>
        <v/>
      </c>
      <c r="N123" s="36" t="str">
        <f t="shared" si="9"/>
        <v/>
      </c>
    </row>
    <row r="124" spans="1:14" x14ac:dyDescent="0.25">
      <c r="A124" s="35" t="str">
        <f t="shared" si="5"/>
        <v/>
      </c>
      <c r="B124" s="35" t="str">
        <f>IF(BOM!A124="","",BOM!A124)</f>
        <v/>
      </c>
      <c r="C124" s="35" t="str">
        <f>IF(B124="","",BOM!B124)</f>
        <v/>
      </c>
      <c r="D124" s="35" t="str">
        <f>IF(B124="","",IFERROR(INDEX(DM_NL!$B$5:$B$304,MATCH(C124,DM_NL!$A$5:$A$304,0)),""))</f>
        <v/>
      </c>
      <c r="E124" s="35" t="str">
        <f>IF(B124="","",IFERROR(INDEX(DM_NL!$C$5:$C$304,MATCH(C124,DM_NL!$A$5:$A$304,0)),""))</f>
        <v/>
      </c>
      <c r="F124" s="39" t="str">
        <f>IF(B124="","",SUMIFS(Mau15a!$F$11:$F$310,Mau15a!$B$11:$B$310,B124))</f>
        <v/>
      </c>
      <c r="G124" s="39" t="str">
        <f>IF(B124="","",IF(OR(M124="KXDDM",BOM!F124=""),0,BOM!F124))</f>
        <v/>
      </c>
      <c r="H124" s="39" t="str">
        <f t="shared" si="6"/>
        <v/>
      </c>
      <c r="I124" s="39" t="str">
        <f>IF(B124="","",SUMIFS(Mau15a!$H$11:$H$310,Mau15a!$B$11:$B$310,B124)+SUMIFS(Mau15a!$I$11:$I$310,Mau15a!$B$11:$B$310,B124)+SUMIFS(Mau15a!$J$11:$J$310,Mau15a!$B$11:$B$310,B124)-SUMIFS(Mau15a!$G$11:$G$310,Mau15a!$B$11:$B$310,B124))</f>
        <v/>
      </c>
      <c r="J124" s="39" t="str">
        <f t="shared" si="7"/>
        <v/>
      </c>
      <c r="K124" s="39" t="str">
        <f>IF(B124="","",(SUMIFS(Mau15a!$K$11:$K$310,Mau15a!$B$11:$B$310,B124)-SUMIFS(Mau15a!$E$11:$E$310,Mau15a!$B$11:$B$310,B124))*G124)</f>
        <v/>
      </c>
      <c r="L124" s="36" t="str">
        <f t="shared" si="8"/>
        <v/>
      </c>
      <c r="M124" s="36" t="str">
        <f>IF(B124="","",BOM!G124&amp;"")</f>
        <v/>
      </c>
      <c r="N124" s="36" t="str">
        <f t="shared" si="9"/>
        <v/>
      </c>
    </row>
    <row r="125" spans="1:14" x14ac:dyDescent="0.25">
      <c r="A125" s="35" t="str">
        <f t="shared" si="5"/>
        <v/>
      </c>
      <c r="B125" s="35" t="str">
        <f>IF(BOM!A125="","",BOM!A125)</f>
        <v/>
      </c>
      <c r="C125" s="35" t="str">
        <f>IF(B125="","",BOM!B125)</f>
        <v/>
      </c>
      <c r="D125" s="35" t="str">
        <f>IF(B125="","",IFERROR(INDEX(DM_NL!$B$5:$B$304,MATCH(C125,DM_NL!$A$5:$A$304,0)),""))</f>
        <v/>
      </c>
      <c r="E125" s="35" t="str">
        <f>IF(B125="","",IFERROR(INDEX(DM_NL!$C$5:$C$304,MATCH(C125,DM_NL!$A$5:$A$304,0)),""))</f>
        <v/>
      </c>
      <c r="F125" s="39" t="str">
        <f>IF(B125="","",SUMIFS(Mau15a!$F$11:$F$310,Mau15a!$B$11:$B$310,B125))</f>
        <v/>
      </c>
      <c r="G125" s="39" t="str">
        <f>IF(B125="","",IF(OR(M125="KXDDM",BOM!F125=""),0,BOM!F125))</f>
        <v/>
      </c>
      <c r="H125" s="39" t="str">
        <f t="shared" si="6"/>
        <v/>
      </c>
      <c r="I125" s="39" t="str">
        <f>IF(B125="","",SUMIFS(Mau15a!$H$11:$H$310,Mau15a!$B$11:$B$310,B125)+SUMIFS(Mau15a!$I$11:$I$310,Mau15a!$B$11:$B$310,B125)+SUMIFS(Mau15a!$J$11:$J$310,Mau15a!$B$11:$B$310,B125)-SUMIFS(Mau15a!$G$11:$G$310,Mau15a!$B$11:$B$310,B125))</f>
        <v/>
      </c>
      <c r="J125" s="39" t="str">
        <f t="shared" si="7"/>
        <v/>
      </c>
      <c r="K125" s="39" t="str">
        <f>IF(B125="","",(SUMIFS(Mau15a!$K$11:$K$310,Mau15a!$B$11:$B$310,B125)-SUMIFS(Mau15a!$E$11:$E$310,Mau15a!$B$11:$B$310,B125))*G125)</f>
        <v/>
      </c>
      <c r="L125" s="36" t="str">
        <f t="shared" si="8"/>
        <v/>
      </c>
      <c r="M125" s="36" t="str">
        <f>IF(B125="","",BOM!G125&amp;"")</f>
        <v/>
      </c>
      <c r="N125" s="36" t="str">
        <f t="shared" si="9"/>
        <v/>
      </c>
    </row>
    <row r="126" spans="1:14" x14ac:dyDescent="0.25">
      <c r="A126" s="35" t="str">
        <f t="shared" si="5"/>
        <v/>
      </c>
      <c r="B126" s="35" t="str">
        <f>IF(BOM!A126="","",BOM!A126)</f>
        <v/>
      </c>
      <c r="C126" s="35" t="str">
        <f>IF(B126="","",BOM!B126)</f>
        <v/>
      </c>
      <c r="D126" s="35" t="str">
        <f>IF(B126="","",IFERROR(INDEX(DM_NL!$B$5:$B$304,MATCH(C126,DM_NL!$A$5:$A$304,0)),""))</f>
        <v/>
      </c>
      <c r="E126" s="35" t="str">
        <f>IF(B126="","",IFERROR(INDEX(DM_NL!$C$5:$C$304,MATCH(C126,DM_NL!$A$5:$A$304,0)),""))</f>
        <v/>
      </c>
      <c r="F126" s="39" t="str">
        <f>IF(B126="","",SUMIFS(Mau15a!$F$11:$F$310,Mau15a!$B$11:$B$310,B126))</f>
        <v/>
      </c>
      <c r="G126" s="39" t="str">
        <f>IF(B126="","",IF(OR(M126="KXDDM",BOM!F126=""),0,BOM!F126))</f>
        <v/>
      </c>
      <c r="H126" s="39" t="str">
        <f t="shared" si="6"/>
        <v/>
      </c>
      <c r="I126" s="39" t="str">
        <f>IF(B126="","",SUMIFS(Mau15a!$H$11:$H$310,Mau15a!$B$11:$B$310,B126)+SUMIFS(Mau15a!$I$11:$I$310,Mau15a!$B$11:$B$310,B126)+SUMIFS(Mau15a!$J$11:$J$310,Mau15a!$B$11:$B$310,B126)-SUMIFS(Mau15a!$G$11:$G$310,Mau15a!$B$11:$B$310,B126))</f>
        <v/>
      </c>
      <c r="J126" s="39" t="str">
        <f t="shared" si="7"/>
        <v/>
      </c>
      <c r="K126" s="39" t="str">
        <f>IF(B126="","",(SUMIFS(Mau15a!$K$11:$K$310,Mau15a!$B$11:$B$310,B126)-SUMIFS(Mau15a!$E$11:$E$310,Mau15a!$B$11:$B$310,B126))*G126)</f>
        <v/>
      </c>
      <c r="L126" s="36" t="str">
        <f t="shared" si="8"/>
        <v/>
      </c>
      <c r="M126" s="36" t="str">
        <f>IF(B126="","",BOM!G126&amp;"")</f>
        <v/>
      </c>
      <c r="N126" s="36" t="str">
        <f t="shared" si="9"/>
        <v/>
      </c>
    </row>
    <row r="127" spans="1:14" x14ac:dyDescent="0.25">
      <c r="A127" s="35" t="str">
        <f t="shared" si="5"/>
        <v/>
      </c>
      <c r="B127" s="35" t="str">
        <f>IF(BOM!A127="","",BOM!A127)</f>
        <v/>
      </c>
      <c r="C127" s="35" t="str">
        <f>IF(B127="","",BOM!B127)</f>
        <v/>
      </c>
      <c r="D127" s="35" t="str">
        <f>IF(B127="","",IFERROR(INDEX(DM_NL!$B$5:$B$304,MATCH(C127,DM_NL!$A$5:$A$304,0)),""))</f>
        <v/>
      </c>
      <c r="E127" s="35" t="str">
        <f>IF(B127="","",IFERROR(INDEX(DM_NL!$C$5:$C$304,MATCH(C127,DM_NL!$A$5:$A$304,0)),""))</f>
        <v/>
      </c>
      <c r="F127" s="39" t="str">
        <f>IF(B127="","",SUMIFS(Mau15a!$F$11:$F$310,Mau15a!$B$11:$B$310,B127))</f>
        <v/>
      </c>
      <c r="G127" s="39" t="str">
        <f>IF(B127="","",IF(OR(M127="KXDDM",BOM!F127=""),0,BOM!F127))</f>
        <v/>
      </c>
      <c r="H127" s="39" t="str">
        <f t="shared" si="6"/>
        <v/>
      </c>
      <c r="I127" s="39" t="str">
        <f>IF(B127="","",SUMIFS(Mau15a!$H$11:$H$310,Mau15a!$B$11:$B$310,B127)+SUMIFS(Mau15a!$I$11:$I$310,Mau15a!$B$11:$B$310,B127)+SUMIFS(Mau15a!$J$11:$J$310,Mau15a!$B$11:$B$310,B127)-SUMIFS(Mau15a!$G$11:$G$310,Mau15a!$B$11:$B$310,B127))</f>
        <v/>
      </c>
      <c r="J127" s="39" t="str">
        <f t="shared" si="7"/>
        <v/>
      </c>
      <c r="K127" s="39" t="str">
        <f>IF(B127="","",(SUMIFS(Mau15a!$K$11:$K$310,Mau15a!$B$11:$B$310,B127)-SUMIFS(Mau15a!$E$11:$E$310,Mau15a!$B$11:$B$310,B127))*G127)</f>
        <v/>
      </c>
      <c r="L127" s="36" t="str">
        <f t="shared" si="8"/>
        <v/>
      </c>
      <c r="M127" s="36" t="str">
        <f>IF(B127="","",BOM!G127&amp;"")</f>
        <v/>
      </c>
      <c r="N127" s="36" t="str">
        <f t="shared" si="9"/>
        <v/>
      </c>
    </row>
    <row r="128" spans="1:14" x14ac:dyDescent="0.25">
      <c r="A128" s="35" t="str">
        <f t="shared" si="5"/>
        <v/>
      </c>
      <c r="B128" s="35" t="str">
        <f>IF(BOM!A128="","",BOM!A128)</f>
        <v/>
      </c>
      <c r="C128" s="35" t="str">
        <f>IF(B128="","",BOM!B128)</f>
        <v/>
      </c>
      <c r="D128" s="35" t="str">
        <f>IF(B128="","",IFERROR(INDEX(DM_NL!$B$5:$B$304,MATCH(C128,DM_NL!$A$5:$A$304,0)),""))</f>
        <v/>
      </c>
      <c r="E128" s="35" t="str">
        <f>IF(B128="","",IFERROR(INDEX(DM_NL!$C$5:$C$304,MATCH(C128,DM_NL!$A$5:$A$304,0)),""))</f>
        <v/>
      </c>
      <c r="F128" s="39" t="str">
        <f>IF(B128="","",SUMIFS(Mau15a!$F$11:$F$310,Mau15a!$B$11:$B$310,B128))</f>
        <v/>
      </c>
      <c r="G128" s="39" t="str">
        <f>IF(B128="","",IF(OR(M128="KXDDM",BOM!F128=""),0,BOM!F128))</f>
        <v/>
      </c>
      <c r="H128" s="39" t="str">
        <f t="shared" si="6"/>
        <v/>
      </c>
      <c r="I128" s="39" t="str">
        <f>IF(B128="","",SUMIFS(Mau15a!$H$11:$H$310,Mau15a!$B$11:$B$310,B128)+SUMIFS(Mau15a!$I$11:$I$310,Mau15a!$B$11:$B$310,B128)+SUMIFS(Mau15a!$J$11:$J$310,Mau15a!$B$11:$B$310,B128)-SUMIFS(Mau15a!$G$11:$G$310,Mau15a!$B$11:$B$310,B128))</f>
        <v/>
      </c>
      <c r="J128" s="39" t="str">
        <f t="shared" si="7"/>
        <v/>
      </c>
      <c r="K128" s="39" t="str">
        <f>IF(B128="","",(SUMIFS(Mau15a!$K$11:$K$310,Mau15a!$B$11:$B$310,B128)-SUMIFS(Mau15a!$E$11:$E$310,Mau15a!$B$11:$B$310,B128))*G128)</f>
        <v/>
      </c>
      <c r="L128" s="36" t="str">
        <f t="shared" si="8"/>
        <v/>
      </c>
      <c r="M128" s="36" t="str">
        <f>IF(B128="","",BOM!G128&amp;"")</f>
        <v/>
      </c>
      <c r="N128" s="36" t="str">
        <f t="shared" si="9"/>
        <v/>
      </c>
    </row>
    <row r="129" spans="1:14" x14ac:dyDescent="0.25">
      <c r="A129" s="35" t="str">
        <f t="shared" si="5"/>
        <v/>
      </c>
      <c r="B129" s="35" t="str">
        <f>IF(BOM!A129="","",BOM!A129)</f>
        <v/>
      </c>
      <c r="C129" s="35" t="str">
        <f>IF(B129="","",BOM!B129)</f>
        <v/>
      </c>
      <c r="D129" s="35" t="str">
        <f>IF(B129="","",IFERROR(INDEX(DM_NL!$B$5:$B$304,MATCH(C129,DM_NL!$A$5:$A$304,0)),""))</f>
        <v/>
      </c>
      <c r="E129" s="35" t="str">
        <f>IF(B129="","",IFERROR(INDEX(DM_NL!$C$5:$C$304,MATCH(C129,DM_NL!$A$5:$A$304,0)),""))</f>
        <v/>
      </c>
      <c r="F129" s="39" t="str">
        <f>IF(B129="","",SUMIFS(Mau15a!$F$11:$F$310,Mau15a!$B$11:$B$310,B129))</f>
        <v/>
      </c>
      <c r="G129" s="39" t="str">
        <f>IF(B129="","",IF(OR(M129="KXDDM",BOM!F129=""),0,BOM!F129))</f>
        <v/>
      </c>
      <c r="H129" s="39" t="str">
        <f t="shared" si="6"/>
        <v/>
      </c>
      <c r="I129" s="39" t="str">
        <f>IF(B129="","",SUMIFS(Mau15a!$H$11:$H$310,Mau15a!$B$11:$B$310,B129)+SUMIFS(Mau15a!$I$11:$I$310,Mau15a!$B$11:$B$310,B129)+SUMIFS(Mau15a!$J$11:$J$310,Mau15a!$B$11:$B$310,B129)-SUMIFS(Mau15a!$G$11:$G$310,Mau15a!$B$11:$B$310,B129))</f>
        <v/>
      </c>
      <c r="J129" s="39" t="str">
        <f t="shared" si="7"/>
        <v/>
      </c>
      <c r="K129" s="39" t="str">
        <f>IF(B129="","",(SUMIFS(Mau15a!$K$11:$K$310,Mau15a!$B$11:$B$310,B129)-SUMIFS(Mau15a!$E$11:$E$310,Mau15a!$B$11:$B$310,B129))*G129)</f>
        <v/>
      </c>
      <c r="L129" s="36" t="str">
        <f t="shared" si="8"/>
        <v/>
      </c>
      <c r="M129" s="36" t="str">
        <f>IF(B129="","",BOM!G129&amp;"")</f>
        <v/>
      </c>
      <c r="N129" s="36" t="str">
        <f t="shared" si="9"/>
        <v/>
      </c>
    </row>
    <row r="130" spans="1:14" x14ac:dyDescent="0.25">
      <c r="A130" s="35" t="str">
        <f t="shared" si="5"/>
        <v/>
      </c>
      <c r="B130" s="35" t="str">
        <f>IF(BOM!A130="","",BOM!A130)</f>
        <v/>
      </c>
      <c r="C130" s="35" t="str">
        <f>IF(B130="","",BOM!B130)</f>
        <v/>
      </c>
      <c r="D130" s="35" t="str">
        <f>IF(B130="","",IFERROR(INDEX(DM_NL!$B$5:$B$304,MATCH(C130,DM_NL!$A$5:$A$304,0)),""))</f>
        <v/>
      </c>
      <c r="E130" s="35" t="str">
        <f>IF(B130="","",IFERROR(INDEX(DM_NL!$C$5:$C$304,MATCH(C130,DM_NL!$A$5:$A$304,0)),""))</f>
        <v/>
      </c>
      <c r="F130" s="39" t="str">
        <f>IF(B130="","",SUMIFS(Mau15a!$F$11:$F$310,Mau15a!$B$11:$B$310,B130))</f>
        <v/>
      </c>
      <c r="G130" s="39" t="str">
        <f>IF(B130="","",IF(OR(M130="KXDDM",BOM!F130=""),0,BOM!F130))</f>
        <v/>
      </c>
      <c r="H130" s="39" t="str">
        <f t="shared" si="6"/>
        <v/>
      </c>
      <c r="I130" s="39" t="str">
        <f>IF(B130="","",SUMIFS(Mau15a!$H$11:$H$310,Mau15a!$B$11:$B$310,B130)+SUMIFS(Mau15a!$I$11:$I$310,Mau15a!$B$11:$B$310,B130)+SUMIFS(Mau15a!$J$11:$J$310,Mau15a!$B$11:$B$310,B130)-SUMIFS(Mau15a!$G$11:$G$310,Mau15a!$B$11:$B$310,B130))</f>
        <v/>
      </c>
      <c r="J130" s="39" t="str">
        <f t="shared" si="7"/>
        <v/>
      </c>
      <c r="K130" s="39" t="str">
        <f>IF(B130="","",(SUMIFS(Mau15a!$K$11:$K$310,Mau15a!$B$11:$B$310,B130)-SUMIFS(Mau15a!$E$11:$E$310,Mau15a!$B$11:$B$310,B130))*G130)</f>
        <v/>
      </c>
      <c r="L130" s="36" t="str">
        <f t="shared" si="8"/>
        <v/>
      </c>
      <c r="M130" s="36" t="str">
        <f>IF(B130="","",BOM!G130&amp;"")</f>
        <v/>
      </c>
      <c r="N130" s="36" t="str">
        <f t="shared" si="9"/>
        <v/>
      </c>
    </row>
    <row r="131" spans="1:14" x14ac:dyDescent="0.25">
      <c r="A131" s="35" t="str">
        <f t="shared" si="5"/>
        <v/>
      </c>
      <c r="B131" s="35" t="str">
        <f>IF(BOM!A131="","",BOM!A131)</f>
        <v/>
      </c>
      <c r="C131" s="35" t="str">
        <f>IF(B131="","",BOM!B131)</f>
        <v/>
      </c>
      <c r="D131" s="35" t="str">
        <f>IF(B131="","",IFERROR(INDEX(DM_NL!$B$5:$B$304,MATCH(C131,DM_NL!$A$5:$A$304,0)),""))</f>
        <v/>
      </c>
      <c r="E131" s="35" t="str">
        <f>IF(B131="","",IFERROR(INDEX(DM_NL!$C$5:$C$304,MATCH(C131,DM_NL!$A$5:$A$304,0)),""))</f>
        <v/>
      </c>
      <c r="F131" s="39" t="str">
        <f>IF(B131="","",SUMIFS(Mau15a!$F$11:$F$310,Mau15a!$B$11:$B$310,B131))</f>
        <v/>
      </c>
      <c r="G131" s="39" t="str">
        <f>IF(B131="","",IF(OR(M131="KXDDM",BOM!F131=""),0,BOM!F131))</f>
        <v/>
      </c>
      <c r="H131" s="39" t="str">
        <f t="shared" si="6"/>
        <v/>
      </c>
      <c r="I131" s="39" t="str">
        <f>IF(B131="","",SUMIFS(Mau15a!$H$11:$H$310,Mau15a!$B$11:$B$310,B131)+SUMIFS(Mau15a!$I$11:$I$310,Mau15a!$B$11:$B$310,B131)+SUMIFS(Mau15a!$J$11:$J$310,Mau15a!$B$11:$B$310,B131)-SUMIFS(Mau15a!$G$11:$G$310,Mau15a!$B$11:$B$310,B131))</f>
        <v/>
      </c>
      <c r="J131" s="39" t="str">
        <f t="shared" si="7"/>
        <v/>
      </c>
      <c r="K131" s="39" t="str">
        <f>IF(B131="","",(SUMIFS(Mau15a!$K$11:$K$310,Mau15a!$B$11:$B$310,B131)-SUMIFS(Mau15a!$E$11:$E$310,Mau15a!$B$11:$B$310,B131))*G131)</f>
        <v/>
      </c>
      <c r="L131" s="36" t="str">
        <f t="shared" si="8"/>
        <v/>
      </c>
      <c r="M131" s="36" t="str">
        <f>IF(B131="","",BOM!G131&amp;"")</f>
        <v/>
      </c>
      <c r="N131" s="36" t="str">
        <f t="shared" si="9"/>
        <v/>
      </c>
    </row>
    <row r="132" spans="1:14" x14ac:dyDescent="0.25">
      <c r="A132" s="35" t="str">
        <f t="shared" si="5"/>
        <v/>
      </c>
      <c r="B132" s="35" t="str">
        <f>IF(BOM!A132="","",BOM!A132)</f>
        <v/>
      </c>
      <c r="C132" s="35" t="str">
        <f>IF(B132="","",BOM!B132)</f>
        <v/>
      </c>
      <c r="D132" s="35" t="str">
        <f>IF(B132="","",IFERROR(INDEX(DM_NL!$B$5:$B$304,MATCH(C132,DM_NL!$A$5:$A$304,0)),""))</f>
        <v/>
      </c>
      <c r="E132" s="35" t="str">
        <f>IF(B132="","",IFERROR(INDEX(DM_NL!$C$5:$C$304,MATCH(C132,DM_NL!$A$5:$A$304,0)),""))</f>
        <v/>
      </c>
      <c r="F132" s="39" t="str">
        <f>IF(B132="","",SUMIFS(Mau15a!$F$11:$F$310,Mau15a!$B$11:$B$310,B132))</f>
        <v/>
      </c>
      <c r="G132" s="39" t="str">
        <f>IF(B132="","",IF(OR(M132="KXDDM",BOM!F132=""),0,BOM!F132))</f>
        <v/>
      </c>
      <c r="H132" s="39" t="str">
        <f t="shared" si="6"/>
        <v/>
      </c>
      <c r="I132" s="39" t="str">
        <f>IF(B132="","",SUMIFS(Mau15a!$H$11:$H$310,Mau15a!$B$11:$B$310,B132)+SUMIFS(Mau15a!$I$11:$I$310,Mau15a!$B$11:$B$310,B132)+SUMIFS(Mau15a!$J$11:$J$310,Mau15a!$B$11:$B$310,B132)-SUMIFS(Mau15a!$G$11:$G$310,Mau15a!$B$11:$B$310,B132))</f>
        <v/>
      </c>
      <c r="J132" s="39" t="str">
        <f t="shared" si="7"/>
        <v/>
      </c>
      <c r="K132" s="39" t="str">
        <f>IF(B132="","",(SUMIFS(Mau15a!$K$11:$K$310,Mau15a!$B$11:$B$310,B132)-SUMIFS(Mau15a!$E$11:$E$310,Mau15a!$B$11:$B$310,B132))*G132)</f>
        <v/>
      </c>
      <c r="L132" s="36" t="str">
        <f t="shared" si="8"/>
        <v/>
      </c>
      <c r="M132" s="36" t="str">
        <f>IF(B132="","",BOM!G132&amp;"")</f>
        <v/>
      </c>
      <c r="N132" s="36" t="str">
        <f t="shared" si="9"/>
        <v/>
      </c>
    </row>
    <row r="133" spans="1:14" x14ac:dyDescent="0.25">
      <c r="A133" s="35" t="str">
        <f t="shared" ref="A133:A196" si="10">IF(B133="","",ROW()-4)</f>
        <v/>
      </c>
      <c r="B133" s="35" t="str">
        <f>IF(BOM!A133="","",BOM!A133)</f>
        <v/>
      </c>
      <c r="C133" s="35" t="str">
        <f>IF(B133="","",BOM!B133)</f>
        <v/>
      </c>
      <c r="D133" s="35" t="str">
        <f>IF(B133="","",IFERROR(INDEX(DM_NL!$B$5:$B$304,MATCH(C133,DM_NL!$A$5:$A$304,0)),""))</f>
        <v/>
      </c>
      <c r="E133" s="35" t="str">
        <f>IF(B133="","",IFERROR(INDEX(DM_NL!$C$5:$C$304,MATCH(C133,DM_NL!$A$5:$A$304,0)),""))</f>
        <v/>
      </c>
      <c r="F133" s="39" t="str">
        <f>IF(B133="","",SUMIFS(Mau15a!$F$11:$F$310,Mau15a!$B$11:$B$310,B133))</f>
        <v/>
      </c>
      <c r="G133" s="39" t="str">
        <f>IF(B133="","",IF(OR(M133="KXDDM",BOM!F133=""),0,BOM!F133))</f>
        <v/>
      </c>
      <c r="H133" s="39" t="str">
        <f t="shared" ref="H133:H196" si="11">IF(B133="","",F133*G133)</f>
        <v/>
      </c>
      <c r="I133" s="39" t="str">
        <f>IF(B133="","",SUMIFS(Mau15a!$H$11:$H$310,Mau15a!$B$11:$B$310,B133)+SUMIFS(Mau15a!$I$11:$I$310,Mau15a!$B$11:$B$310,B133)+SUMIFS(Mau15a!$J$11:$J$310,Mau15a!$B$11:$B$310,B133)-SUMIFS(Mau15a!$G$11:$G$310,Mau15a!$B$11:$B$310,B133))</f>
        <v/>
      </c>
      <c r="J133" s="39" t="str">
        <f t="shared" ref="J133:J196" si="12">IF(B133="","",I133*G133)</f>
        <v/>
      </c>
      <c r="K133" s="39" t="str">
        <f>IF(B133="","",(SUMIFS(Mau15a!$K$11:$K$310,Mau15a!$B$11:$B$310,B133)-SUMIFS(Mau15a!$E$11:$E$310,Mau15a!$B$11:$B$310,B133))*G133)</f>
        <v/>
      </c>
      <c r="L133" s="36" t="str">
        <f t="shared" ref="L133:L196" si="13">IF(B133="","",IF(ABS(H133-J133-K133)&lt;0.000001,"Khớp","Lệch"))</f>
        <v/>
      </c>
      <c r="M133" s="36" t="str">
        <f>IF(B133="","",BOM!G133&amp;"")</f>
        <v/>
      </c>
      <c r="N133" s="36" t="str">
        <f t="shared" ref="N133:N196" si="14">IF(B133="","",IF(M133="",1,0))</f>
        <v/>
      </c>
    </row>
    <row r="134" spans="1:14" x14ac:dyDescent="0.25">
      <c r="A134" s="35" t="str">
        <f t="shared" si="10"/>
        <v/>
      </c>
      <c r="B134" s="35" t="str">
        <f>IF(BOM!A134="","",BOM!A134)</f>
        <v/>
      </c>
      <c r="C134" s="35" t="str">
        <f>IF(B134="","",BOM!B134)</f>
        <v/>
      </c>
      <c r="D134" s="35" t="str">
        <f>IF(B134="","",IFERROR(INDEX(DM_NL!$B$5:$B$304,MATCH(C134,DM_NL!$A$5:$A$304,0)),""))</f>
        <v/>
      </c>
      <c r="E134" s="35" t="str">
        <f>IF(B134="","",IFERROR(INDEX(DM_NL!$C$5:$C$304,MATCH(C134,DM_NL!$A$5:$A$304,0)),""))</f>
        <v/>
      </c>
      <c r="F134" s="39" t="str">
        <f>IF(B134="","",SUMIFS(Mau15a!$F$11:$F$310,Mau15a!$B$11:$B$310,B134))</f>
        <v/>
      </c>
      <c r="G134" s="39" t="str">
        <f>IF(B134="","",IF(OR(M134="KXDDM",BOM!F134=""),0,BOM!F134))</f>
        <v/>
      </c>
      <c r="H134" s="39" t="str">
        <f t="shared" si="11"/>
        <v/>
      </c>
      <c r="I134" s="39" t="str">
        <f>IF(B134="","",SUMIFS(Mau15a!$H$11:$H$310,Mau15a!$B$11:$B$310,B134)+SUMIFS(Mau15a!$I$11:$I$310,Mau15a!$B$11:$B$310,B134)+SUMIFS(Mau15a!$J$11:$J$310,Mau15a!$B$11:$B$310,B134)-SUMIFS(Mau15a!$G$11:$G$310,Mau15a!$B$11:$B$310,B134))</f>
        <v/>
      </c>
      <c r="J134" s="39" t="str">
        <f t="shared" si="12"/>
        <v/>
      </c>
      <c r="K134" s="39" t="str">
        <f>IF(B134="","",(SUMIFS(Mau15a!$K$11:$K$310,Mau15a!$B$11:$B$310,B134)-SUMIFS(Mau15a!$E$11:$E$310,Mau15a!$B$11:$B$310,B134))*G134)</f>
        <v/>
      </c>
      <c r="L134" s="36" t="str">
        <f t="shared" si="13"/>
        <v/>
      </c>
      <c r="M134" s="36" t="str">
        <f>IF(B134="","",BOM!G134&amp;"")</f>
        <v/>
      </c>
      <c r="N134" s="36" t="str">
        <f t="shared" si="14"/>
        <v/>
      </c>
    </row>
    <row r="135" spans="1:14" x14ac:dyDescent="0.25">
      <c r="A135" s="35" t="str">
        <f t="shared" si="10"/>
        <v/>
      </c>
      <c r="B135" s="35" t="str">
        <f>IF(BOM!A135="","",BOM!A135)</f>
        <v/>
      </c>
      <c r="C135" s="35" t="str">
        <f>IF(B135="","",BOM!B135)</f>
        <v/>
      </c>
      <c r="D135" s="35" t="str">
        <f>IF(B135="","",IFERROR(INDEX(DM_NL!$B$5:$B$304,MATCH(C135,DM_NL!$A$5:$A$304,0)),""))</f>
        <v/>
      </c>
      <c r="E135" s="35" t="str">
        <f>IF(B135="","",IFERROR(INDEX(DM_NL!$C$5:$C$304,MATCH(C135,DM_NL!$A$5:$A$304,0)),""))</f>
        <v/>
      </c>
      <c r="F135" s="39" t="str">
        <f>IF(B135="","",SUMIFS(Mau15a!$F$11:$F$310,Mau15a!$B$11:$B$310,B135))</f>
        <v/>
      </c>
      <c r="G135" s="39" t="str">
        <f>IF(B135="","",IF(OR(M135="KXDDM",BOM!F135=""),0,BOM!F135))</f>
        <v/>
      </c>
      <c r="H135" s="39" t="str">
        <f t="shared" si="11"/>
        <v/>
      </c>
      <c r="I135" s="39" t="str">
        <f>IF(B135="","",SUMIFS(Mau15a!$H$11:$H$310,Mau15a!$B$11:$B$310,B135)+SUMIFS(Mau15a!$I$11:$I$310,Mau15a!$B$11:$B$310,B135)+SUMIFS(Mau15a!$J$11:$J$310,Mau15a!$B$11:$B$310,B135)-SUMIFS(Mau15a!$G$11:$G$310,Mau15a!$B$11:$B$310,B135))</f>
        <v/>
      </c>
      <c r="J135" s="39" t="str">
        <f t="shared" si="12"/>
        <v/>
      </c>
      <c r="K135" s="39" t="str">
        <f>IF(B135="","",(SUMIFS(Mau15a!$K$11:$K$310,Mau15a!$B$11:$B$310,B135)-SUMIFS(Mau15a!$E$11:$E$310,Mau15a!$B$11:$B$310,B135))*G135)</f>
        <v/>
      </c>
      <c r="L135" s="36" t="str">
        <f t="shared" si="13"/>
        <v/>
      </c>
      <c r="M135" s="36" t="str">
        <f>IF(B135="","",BOM!G135&amp;"")</f>
        <v/>
      </c>
      <c r="N135" s="36" t="str">
        <f t="shared" si="14"/>
        <v/>
      </c>
    </row>
    <row r="136" spans="1:14" x14ac:dyDescent="0.25">
      <c r="A136" s="35" t="str">
        <f t="shared" si="10"/>
        <v/>
      </c>
      <c r="B136" s="35" t="str">
        <f>IF(BOM!A136="","",BOM!A136)</f>
        <v/>
      </c>
      <c r="C136" s="35" t="str">
        <f>IF(B136="","",BOM!B136)</f>
        <v/>
      </c>
      <c r="D136" s="35" t="str">
        <f>IF(B136="","",IFERROR(INDEX(DM_NL!$B$5:$B$304,MATCH(C136,DM_NL!$A$5:$A$304,0)),""))</f>
        <v/>
      </c>
      <c r="E136" s="35" t="str">
        <f>IF(B136="","",IFERROR(INDEX(DM_NL!$C$5:$C$304,MATCH(C136,DM_NL!$A$5:$A$304,0)),""))</f>
        <v/>
      </c>
      <c r="F136" s="39" t="str">
        <f>IF(B136="","",SUMIFS(Mau15a!$F$11:$F$310,Mau15a!$B$11:$B$310,B136))</f>
        <v/>
      </c>
      <c r="G136" s="39" t="str">
        <f>IF(B136="","",IF(OR(M136="KXDDM",BOM!F136=""),0,BOM!F136))</f>
        <v/>
      </c>
      <c r="H136" s="39" t="str">
        <f t="shared" si="11"/>
        <v/>
      </c>
      <c r="I136" s="39" t="str">
        <f>IF(B136="","",SUMIFS(Mau15a!$H$11:$H$310,Mau15a!$B$11:$B$310,B136)+SUMIFS(Mau15a!$I$11:$I$310,Mau15a!$B$11:$B$310,B136)+SUMIFS(Mau15a!$J$11:$J$310,Mau15a!$B$11:$B$310,B136)-SUMIFS(Mau15a!$G$11:$G$310,Mau15a!$B$11:$B$310,B136))</f>
        <v/>
      </c>
      <c r="J136" s="39" t="str">
        <f t="shared" si="12"/>
        <v/>
      </c>
      <c r="K136" s="39" t="str">
        <f>IF(B136="","",(SUMIFS(Mau15a!$K$11:$K$310,Mau15a!$B$11:$B$310,B136)-SUMIFS(Mau15a!$E$11:$E$310,Mau15a!$B$11:$B$310,B136))*G136)</f>
        <v/>
      </c>
      <c r="L136" s="36" t="str">
        <f t="shared" si="13"/>
        <v/>
      </c>
      <c r="M136" s="36" t="str">
        <f>IF(B136="","",BOM!G136&amp;"")</f>
        <v/>
      </c>
      <c r="N136" s="36" t="str">
        <f t="shared" si="14"/>
        <v/>
      </c>
    </row>
    <row r="137" spans="1:14" x14ac:dyDescent="0.25">
      <c r="A137" s="35" t="str">
        <f t="shared" si="10"/>
        <v/>
      </c>
      <c r="B137" s="35" t="str">
        <f>IF(BOM!A137="","",BOM!A137)</f>
        <v/>
      </c>
      <c r="C137" s="35" t="str">
        <f>IF(B137="","",BOM!B137)</f>
        <v/>
      </c>
      <c r="D137" s="35" t="str">
        <f>IF(B137="","",IFERROR(INDEX(DM_NL!$B$5:$B$304,MATCH(C137,DM_NL!$A$5:$A$304,0)),""))</f>
        <v/>
      </c>
      <c r="E137" s="35" t="str">
        <f>IF(B137="","",IFERROR(INDEX(DM_NL!$C$5:$C$304,MATCH(C137,DM_NL!$A$5:$A$304,0)),""))</f>
        <v/>
      </c>
      <c r="F137" s="39" t="str">
        <f>IF(B137="","",SUMIFS(Mau15a!$F$11:$F$310,Mau15a!$B$11:$B$310,B137))</f>
        <v/>
      </c>
      <c r="G137" s="39" t="str">
        <f>IF(B137="","",IF(OR(M137="KXDDM",BOM!F137=""),0,BOM!F137))</f>
        <v/>
      </c>
      <c r="H137" s="39" t="str">
        <f t="shared" si="11"/>
        <v/>
      </c>
      <c r="I137" s="39" t="str">
        <f>IF(B137="","",SUMIFS(Mau15a!$H$11:$H$310,Mau15a!$B$11:$B$310,B137)+SUMIFS(Mau15a!$I$11:$I$310,Mau15a!$B$11:$B$310,B137)+SUMIFS(Mau15a!$J$11:$J$310,Mau15a!$B$11:$B$310,B137)-SUMIFS(Mau15a!$G$11:$G$310,Mau15a!$B$11:$B$310,B137))</f>
        <v/>
      </c>
      <c r="J137" s="39" t="str">
        <f t="shared" si="12"/>
        <v/>
      </c>
      <c r="K137" s="39" t="str">
        <f>IF(B137="","",(SUMIFS(Mau15a!$K$11:$K$310,Mau15a!$B$11:$B$310,B137)-SUMIFS(Mau15a!$E$11:$E$310,Mau15a!$B$11:$B$310,B137))*G137)</f>
        <v/>
      </c>
      <c r="L137" s="36" t="str">
        <f t="shared" si="13"/>
        <v/>
      </c>
      <c r="M137" s="36" t="str">
        <f>IF(B137="","",BOM!G137&amp;"")</f>
        <v/>
      </c>
      <c r="N137" s="36" t="str">
        <f t="shared" si="14"/>
        <v/>
      </c>
    </row>
    <row r="138" spans="1:14" x14ac:dyDescent="0.25">
      <c r="A138" s="35" t="str">
        <f t="shared" si="10"/>
        <v/>
      </c>
      <c r="B138" s="35" t="str">
        <f>IF(BOM!A138="","",BOM!A138)</f>
        <v/>
      </c>
      <c r="C138" s="35" t="str">
        <f>IF(B138="","",BOM!B138)</f>
        <v/>
      </c>
      <c r="D138" s="35" t="str">
        <f>IF(B138="","",IFERROR(INDEX(DM_NL!$B$5:$B$304,MATCH(C138,DM_NL!$A$5:$A$304,0)),""))</f>
        <v/>
      </c>
      <c r="E138" s="35" t="str">
        <f>IF(B138="","",IFERROR(INDEX(DM_NL!$C$5:$C$304,MATCH(C138,DM_NL!$A$5:$A$304,0)),""))</f>
        <v/>
      </c>
      <c r="F138" s="39" t="str">
        <f>IF(B138="","",SUMIFS(Mau15a!$F$11:$F$310,Mau15a!$B$11:$B$310,B138))</f>
        <v/>
      </c>
      <c r="G138" s="39" t="str">
        <f>IF(B138="","",IF(OR(M138="KXDDM",BOM!F138=""),0,BOM!F138))</f>
        <v/>
      </c>
      <c r="H138" s="39" t="str">
        <f t="shared" si="11"/>
        <v/>
      </c>
      <c r="I138" s="39" t="str">
        <f>IF(B138="","",SUMIFS(Mau15a!$H$11:$H$310,Mau15a!$B$11:$B$310,B138)+SUMIFS(Mau15a!$I$11:$I$310,Mau15a!$B$11:$B$310,B138)+SUMIFS(Mau15a!$J$11:$J$310,Mau15a!$B$11:$B$310,B138)-SUMIFS(Mau15a!$G$11:$G$310,Mau15a!$B$11:$B$310,B138))</f>
        <v/>
      </c>
      <c r="J138" s="39" t="str">
        <f t="shared" si="12"/>
        <v/>
      </c>
      <c r="K138" s="39" t="str">
        <f>IF(B138="","",(SUMIFS(Mau15a!$K$11:$K$310,Mau15a!$B$11:$B$310,B138)-SUMIFS(Mau15a!$E$11:$E$310,Mau15a!$B$11:$B$310,B138))*G138)</f>
        <v/>
      </c>
      <c r="L138" s="36" t="str">
        <f t="shared" si="13"/>
        <v/>
      </c>
      <c r="M138" s="36" t="str">
        <f>IF(B138="","",BOM!G138&amp;"")</f>
        <v/>
      </c>
      <c r="N138" s="36" t="str">
        <f t="shared" si="14"/>
        <v/>
      </c>
    </row>
    <row r="139" spans="1:14" x14ac:dyDescent="0.25">
      <c r="A139" s="35" t="str">
        <f t="shared" si="10"/>
        <v/>
      </c>
      <c r="B139" s="35" t="str">
        <f>IF(BOM!A139="","",BOM!A139)</f>
        <v/>
      </c>
      <c r="C139" s="35" t="str">
        <f>IF(B139="","",BOM!B139)</f>
        <v/>
      </c>
      <c r="D139" s="35" t="str">
        <f>IF(B139="","",IFERROR(INDEX(DM_NL!$B$5:$B$304,MATCH(C139,DM_NL!$A$5:$A$304,0)),""))</f>
        <v/>
      </c>
      <c r="E139" s="35" t="str">
        <f>IF(B139="","",IFERROR(INDEX(DM_NL!$C$5:$C$304,MATCH(C139,DM_NL!$A$5:$A$304,0)),""))</f>
        <v/>
      </c>
      <c r="F139" s="39" t="str">
        <f>IF(B139="","",SUMIFS(Mau15a!$F$11:$F$310,Mau15a!$B$11:$B$310,B139))</f>
        <v/>
      </c>
      <c r="G139" s="39" t="str">
        <f>IF(B139="","",IF(OR(M139="KXDDM",BOM!F139=""),0,BOM!F139))</f>
        <v/>
      </c>
      <c r="H139" s="39" t="str">
        <f t="shared" si="11"/>
        <v/>
      </c>
      <c r="I139" s="39" t="str">
        <f>IF(B139="","",SUMIFS(Mau15a!$H$11:$H$310,Mau15a!$B$11:$B$310,B139)+SUMIFS(Mau15a!$I$11:$I$310,Mau15a!$B$11:$B$310,B139)+SUMIFS(Mau15a!$J$11:$J$310,Mau15a!$B$11:$B$310,B139)-SUMIFS(Mau15a!$G$11:$G$310,Mau15a!$B$11:$B$310,B139))</f>
        <v/>
      </c>
      <c r="J139" s="39" t="str">
        <f t="shared" si="12"/>
        <v/>
      </c>
      <c r="K139" s="39" t="str">
        <f>IF(B139="","",(SUMIFS(Mau15a!$K$11:$K$310,Mau15a!$B$11:$B$310,B139)-SUMIFS(Mau15a!$E$11:$E$310,Mau15a!$B$11:$B$310,B139))*G139)</f>
        <v/>
      </c>
      <c r="L139" s="36" t="str">
        <f t="shared" si="13"/>
        <v/>
      </c>
      <c r="M139" s="36" t="str">
        <f>IF(B139="","",BOM!G139&amp;"")</f>
        <v/>
      </c>
      <c r="N139" s="36" t="str">
        <f t="shared" si="14"/>
        <v/>
      </c>
    </row>
    <row r="140" spans="1:14" x14ac:dyDescent="0.25">
      <c r="A140" s="35" t="str">
        <f t="shared" si="10"/>
        <v/>
      </c>
      <c r="B140" s="35" t="str">
        <f>IF(BOM!A140="","",BOM!A140)</f>
        <v/>
      </c>
      <c r="C140" s="35" t="str">
        <f>IF(B140="","",BOM!B140)</f>
        <v/>
      </c>
      <c r="D140" s="35" t="str">
        <f>IF(B140="","",IFERROR(INDEX(DM_NL!$B$5:$B$304,MATCH(C140,DM_NL!$A$5:$A$304,0)),""))</f>
        <v/>
      </c>
      <c r="E140" s="35" t="str">
        <f>IF(B140="","",IFERROR(INDEX(DM_NL!$C$5:$C$304,MATCH(C140,DM_NL!$A$5:$A$304,0)),""))</f>
        <v/>
      </c>
      <c r="F140" s="39" t="str">
        <f>IF(B140="","",SUMIFS(Mau15a!$F$11:$F$310,Mau15a!$B$11:$B$310,B140))</f>
        <v/>
      </c>
      <c r="G140" s="39" t="str">
        <f>IF(B140="","",IF(OR(M140="KXDDM",BOM!F140=""),0,BOM!F140))</f>
        <v/>
      </c>
      <c r="H140" s="39" t="str">
        <f t="shared" si="11"/>
        <v/>
      </c>
      <c r="I140" s="39" t="str">
        <f>IF(B140="","",SUMIFS(Mau15a!$H$11:$H$310,Mau15a!$B$11:$B$310,B140)+SUMIFS(Mau15a!$I$11:$I$310,Mau15a!$B$11:$B$310,B140)+SUMIFS(Mau15a!$J$11:$J$310,Mau15a!$B$11:$B$310,B140)-SUMIFS(Mau15a!$G$11:$G$310,Mau15a!$B$11:$B$310,B140))</f>
        <v/>
      </c>
      <c r="J140" s="39" t="str">
        <f t="shared" si="12"/>
        <v/>
      </c>
      <c r="K140" s="39" t="str">
        <f>IF(B140="","",(SUMIFS(Mau15a!$K$11:$K$310,Mau15a!$B$11:$B$310,B140)-SUMIFS(Mau15a!$E$11:$E$310,Mau15a!$B$11:$B$310,B140))*G140)</f>
        <v/>
      </c>
      <c r="L140" s="36" t="str">
        <f t="shared" si="13"/>
        <v/>
      </c>
      <c r="M140" s="36" t="str">
        <f>IF(B140="","",BOM!G140&amp;"")</f>
        <v/>
      </c>
      <c r="N140" s="36" t="str">
        <f t="shared" si="14"/>
        <v/>
      </c>
    </row>
    <row r="141" spans="1:14" x14ac:dyDescent="0.25">
      <c r="A141" s="35" t="str">
        <f t="shared" si="10"/>
        <v/>
      </c>
      <c r="B141" s="35" t="str">
        <f>IF(BOM!A141="","",BOM!A141)</f>
        <v/>
      </c>
      <c r="C141" s="35" t="str">
        <f>IF(B141="","",BOM!B141)</f>
        <v/>
      </c>
      <c r="D141" s="35" t="str">
        <f>IF(B141="","",IFERROR(INDEX(DM_NL!$B$5:$B$304,MATCH(C141,DM_NL!$A$5:$A$304,0)),""))</f>
        <v/>
      </c>
      <c r="E141" s="35" t="str">
        <f>IF(B141="","",IFERROR(INDEX(DM_NL!$C$5:$C$304,MATCH(C141,DM_NL!$A$5:$A$304,0)),""))</f>
        <v/>
      </c>
      <c r="F141" s="39" t="str">
        <f>IF(B141="","",SUMIFS(Mau15a!$F$11:$F$310,Mau15a!$B$11:$B$310,B141))</f>
        <v/>
      </c>
      <c r="G141" s="39" t="str">
        <f>IF(B141="","",IF(OR(M141="KXDDM",BOM!F141=""),0,BOM!F141))</f>
        <v/>
      </c>
      <c r="H141" s="39" t="str">
        <f t="shared" si="11"/>
        <v/>
      </c>
      <c r="I141" s="39" t="str">
        <f>IF(B141="","",SUMIFS(Mau15a!$H$11:$H$310,Mau15a!$B$11:$B$310,B141)+SUMIFS(Mau15a!$I$11:$I$310,Mau15a!$B$11:$B$310,B141)+SUMIFS(Mau15a!$J$11:$J$310,Mau15a!$B$11:$B$310,B141)-SUMIFS(Mau15a!$G$11:$G$310,Mau15a!$B$11:$B$310,B141))</f>
        <v/>
      </c>
      <c r="J141" s="39" t="str">
        <f t="shared" si="12"/>
        <v/>
      </c>
      <c r="K141" s="39" t="str">
        <f>IF(B141="","",(SUMIFS(Mau15a!$K$11:$K$310,Mau15a!$B$11:$B$310,B141)-SUMIFS(Mau15a!$E$11:$E$310,Mau15a!$B$11:$B$310,B141))*G141)</f>
        <v/>
      </c>
      <c r="L141" s="36" t="str">
        <f t="shared" si="13"/>
        <v/>
      </c>
      <c r="M141" s="36" t="str">
        <f>IF(B141="","",BOM!G141&amp;"")</f>
        <v/>
      </c>
      <c r="N141" s="36" t="str">
        <f t="shared" si="14"/>
        <v/>
      </c>
    </row>
    <row r="142" spans="1:14" x14ac:dyDescent="0.25">
      <c r="A142" s="35" t="str">
        <f t="shared" si="10"/>
        <v/>
      </c>
      <c r="B142" s="35" t="str">
        <f>IF(BOM!A142="","",BOM!A142)</f>
        <v/>
      </c>
      <c r="C142" s="35" t="str">
        <f>IF(B142="","",BOM!B142)</f>
        <v/>
      </c>
      <c r="D142" s="35" t="str">
        <f>IF(B142="","",IFERROR(INDEX(DM_NL!$B$5:$B$304,MATCH(C142,DM_NL!$A$5:$A$304,0)),""))</f>
        <v/>
      </c>
      <c r="E142" s="35" t="str">
        <f>IF(B142="","",IFERROR(INDEX(DM_NL!$C$5:$C$304,MATCH(C142,DM_NL!$A$5:$A$304,0)),""))</f>
        <v/>
      </c>
      <c r="F142" s="39" t="str">
        <f>IF(B142="","",SUMIFS(Mau15a!$F$11:$F$310,Mau15a!$B$11:$B$310,B142))</f>
        <v/>
      </c>
      <c r="G142" s="39" t="str">
        <f>IF(B142="","",IF(OR(M142="KXDDM",BOM!F142=""),0,BOM!F142))</f>
        <v/>
      </c>
      <c r="H142" s="39" t="str">
        <f t="shared" si="11"/>
        <v/>
      </c>
      <c r="I142" s="39" t="str">
        <f>IF(B142="","",SUMIFS(Mau15a!$H$11:$H$310,Mau15a!$B$11:$B$310,B142)+SUMIFS(Mau15a!$I$11:$I$310,Mau15a!$B$11:$B$310,B142)+SUMIFS(Mau15a!$J$11:$J$310,Mau15a!$B$11:$B$310,B142)-SUMIFS(Mau15a!$G$11:$G$310,Mau15a!$B$11:$B$310,B142))</f>
        <v/>
      </c>
      <c r="J142" s="39" t="str">
        <f t="shared" si="12"/>
        <v/>
      </c>
      <c r="K142" s="39" t="str">
        <f>IF(B142="","",(SUMIFS(Mau15a!$K$11:$K$310,Mau15a!$B$11:$B$310,B142)-SUMIFS(Mau15a!$E$11:$E$310,Mau15a!$B$11:$B$310,B142))*G142)</f>
        <v/>
      </c>
      <c r="L142" s="36" t="str">
        <f t="shared" si="13"/>
        <v/>
      </c>
      <c r="M142" s="36" t="str">
        <f>IF(B142="","",BOM!G142&amp;"")</f>
        <v/>
      </c>
      <c r="N142" s="36" t="str">
        <f t="shared" si="14"/>
        <v/>
      </c>
    </row>
    <row r="143" spans="1:14" x14ac:dyDescent="0.25">
      <c r="A143" s="35" t="str">
        <f t="shared" si="10"/>
        <v/>
      </c>
      <c r="B143" s="35" t="str">
        <f>IF(BOM!A143="","",BOM!A143)</f>
        <v/>
      </c>
      <c r="C143" s="35" t="str">
        <f>IF(B143="","",BOM!B143)</f>
        <v/>
      </c>
      <c r="D143" s="35" t="str">
        <f>IF(B143="","",IFERROR(INDEX(DM_NL!$B$5:$B$304,MATCH(C143,DM_NL!$A$5:$A$304,0)),""))</f>
        <v/>
      </c>
      <c r="E143" s="35" t="str">
        <f>IF(B143="","",IFERROR(INDEX(DM_NL!$C$5:$C$304,MATCH(C143,DM_NL!$A$5:$A$304,0)),""))</f>
        <v/>
      </c>
      <c r="F143" s="39" t="str">
        <f>IF(B143="","",SUMIFS(Mau15a!$F$11:$F$310,Mau15a!$B$11:$B$310,B143))</f>
        <v/>
      </c>
      <c r="G143" s="39" t="str">
        <f>IF(B143="","",IF(OR(M143="KXDDM",BOM!F143=""),0,BOM!F143))</f>
        <v/>
      </c>
      <c r="H143" s="39" t="str">
        <f t="shared" si="11"/>
        <v/>
      </c>
      <c r="I143" s="39" t="str">
        <f>IF(B143="","",SUMIFS(Mau15a!$H$11:$H$310,Mau15a!$B$11:$B$310,B143)+SUMIFS(Mau15a!$I$11:$I$310,Mau15a!$B$11:$B$310,B143)+SUMIFS(Mau15a!$J$11:$J$310,Mau15a!$B$11:$B$310,B143)-SUMIFS(Mau15a!$G$11:$G$310,Mau15a!$B$11:$B$310,B143))</f>
        <v/>
      </c>
      <c r="J143" s="39" t="str">
        <f t="shared" si="12"/>
        <v/>
      </c>
      <c r="K143" s="39" t="str">
        <f>IF(B143="","",(SUMIFS(Mau15a!$K$11:$K$310,Mau15a!$B$11:$B$310,B143)-SUMIFS(Mau15a!$E$11:$E$310,Mau15a!$B$11:$B$310,B143))*G143)</f>
        <v/>
      </c>
      <c r="L143" s="36" t="str">
        <f t="shared" si="13"/>
        <v/>
      </c>
      <c r="M143" s="36" t="str">
        <f>IF(B143="","",BOM!G143&amp;"")</f>
        <v/>
      </c>
      <c r="N143" s="36" t="str">
        <f t="shared" si="14"/>
        <v/>
      </c>
    </row>
    <row r="144" spans="1:14" x14ac:dyDescent="0.25">
      <c r="A144" s="35" t="str">
        <f t="shared" si="10"/>
        <v/>
      </c>
      <c r="B144" s="35" t="str">
        <f>IF(BOM!A144="","",BOM!A144)</f>
        <v/>
      </c>
      <c r="C144" s="35" t="str">
        <f>IF(B144="","",BOM!B144)</f>
        <v/>
      </c>
      <c r="D144" s="35" t="str">
        <f>IF(B144="","",IFERROR(INDEX(DM_NL!$B$5:$B$304,MATCH(C144,DM_NL!$A$5:$A$304,0)),""))</f>
        <v/>
      </c>
      <c r="E144" s="35" t="str">
        <f>IF(B144="","",IFERROR(INDEX(DM_NL!$C$5:$C$304,MATCH(C144,DM_NL!$A$5:$A$304,0)),""))</f>
        <v/>
      </c>
      <c r="F144" s="39" t="str">
        <f>IF(B144="","",SUMIFS(Mau15a!$F$11:$F$310,Mau15a!$B$11:$B$310,B144))</f>
        <v/>
      </c>
      <c r="G144" s="39" t="str">
        <f>IF(B144="","",IF(OR(M144="KXDDM",BOM!F144=""),0,BOM!F144))</f>
        <v/>
      </c>
      <c r="H144" s="39" t="str">
        <f t="shared" si="11"/>
        <v/>
      </c>
      <c r="I144" s="39" t="str">
        <f>IF(B144="","",SUMIFS(Mau15a!$H$11:$H$310,Mau15a!$B$11:$B$310,B144)+SUMIFS(Mau15a!$I$11:$I$310,Mau15a!$B$11:$B$310,B144)+SUMIFS(Mau15a!$J$11:$J$310,Mau15a!$B$11:$B$310,B144)-SUMIFS(Mau15a!$G$11:$G$310,Mau15a!$B$11:$B$310,B144))</f>
        <v/>
      </c>
      <c r="J144" s="39" t="str">
        <f t="shared" si="12"/>
        <v/>
      </c>
      <c r="K144" s="39" t="str">
        <f>IF(B144="","",(SUMIFS(Mau15a!$K$11:$K$310,Mau15a!$B$11:$B$310,B144)-SUMIFS(Mau15a!$E$11:$E$310,Mau15a!$B$11:$B$310,B144))*G144)</f>
        <v/>
      </c>
      <c r="L144" s="36" t="str">
        <f t="shared" si="13"/>
        <v/>
      </c>
      <c r="M144" s="36" t="str">
        <f>IF(B144="","",BOM!G144&amp;"")</f>
        <v/>
      </c>
      <c r="N144" s="36" t="str">
        <f t="shared" si="14"/>
        <v/>
      </c>
    </row>
    <row r="145" spans="1:14" x14ac:dyDescent="0.25">
      <c r="A145" s="35" t="str">
        <f t="shared" si="10"/>
        <v/>
      </c>
      <c r="B145" s="35" t="str">
        <f>IF(BOM!A145="","",BOM!A145)</f>
        <v/>
      </c>
      <c r="C145" s="35" t="str">
        <f>IF(B145="","",BOM!B145)</f>
        <v/>
      </c>
      <c r="D145" s="35" t="str">
        <f>IF(B145="","",IFERROR(INDEX(DM_NL!$B$5:$B$304,MATCH(C145,DM_NL!$A$5:$A$304,0)),""))</f>
        <v/>
      </c>
      <c r="E145" s="35" t="str">
        <f>IF(B145="","",IFERROR(INDEX(DM_NL!$C$5:$C$304,MATCH(C145,DM_NL!$A$5:$A$304,0)),""))</f>
        <v/>
      </c>
      <c r="F145" s="39" t="str">
        <f>IF(B145="","",SUMIFS(Mau15a!$F$11:$F$310,Mau15a!$B$11:$B$310,B145))</f>
        <v/>
      </c>
      <c r="G145" s="39" t="str">
        <f>IF(B145="","",IF(OR(M145="KXDDM",BOM!F145=""),0,BOM!F145))</f>
        <v/>
      </c>
      <c r="H145" s="39" t="str">
        <f t="shared" si="11"/>
        <v/>
      </c>
      <c r="I145" s="39" t="str">
        <f>IF(B145="","",SUMIFS(Mau15a!$H$11:$H$310,Mau15a!$B$11:$B$310,B145)+SUMIFS(Mau15a!$I$11:$I$310,Mau15a!$B$11:$B$310,B145)+SUMIFS(Mau15a!$J$11:$J$310,Mau15a!$B$11:$B$310,B145)-SUMIFS(Mau15a!$G$11:$G$310,Mau15a!$B$11:$B$310,B145))</f>
        <v/>
      </c>
      <c r="J145" s="39" t="str">
        <f t="shared" si="12"/>
        <v/>
      </c>
      <c r="K145" s="39" t="str">
        <f>IF(B145="","",(SUMIFS(Mau15a!$K$11:$K$310,Mau15a!$B$11:$B$310,B145)-SUMIFS(Mau15a!$E$11:$E$310,Mau15a!$B$11:$B$310,B145))*G145)</f>
        <v/>
      </c>
      <c r="L145" s="36" t="str">
        <f t="shared" si="13"/>
        <v/>
      </c>
      <c r="M145" s="36" t="str">
        <f>IF(B145="","",BOM!G145&amp;"")</f>
        <v/>
      </c>
      <c r="N145" s="36" t="str">
        <f t="shared" si="14"/>
        <v/>
      </c>
    </row>
    <row r="146" spans="1:14" x14ac:dyDescent="0.25">
      <c r="A146" s="35" t="str">
        <f t="shared" si="10"/>
        <v/>
      </c>
      <c r="B146" s="35" t="str">
        <f>IF(BOM!A146="","",BOM!A146)</f>
        <v/>
      </c>
      <c r="C146" s="35" t="str">
        <f>IF(B146="","",BOM!B146)</f>
        <v/>
      </c>
      <c r="D146" s="35" t="str">
        <f>IF(B146="","",IFERROR(INDEX(DM_NL!$B$5:$B$304,MATCH(C146,DM_NL!$A$5:$A$304,0)),""))</f>
        <v/>
      </c>
      <c r="E146" s="35" t="str">
        <f>IF(B146="","",IFERROR(INDEX(DM_NL!$C$5:$C$304,MATCH(C146,DM_NL!$A$5:$A$304,0)),""))</f>
        <v/>
      </c>
      <c r="F146" s="39" t="str">
        <f>IF(B146="","",SUMIFS(Mau15a!$F$11:$F$310,Mau15a!$B$11:$B$310,B146))</f>
        <v/>
      </c>
      <c r="G146" s="39" t="str">
        <f>IF(B146="","",IF(OR(M146="KXDDM",BOM!F146=""),0,BOM!F146))</f>
        <v/>
      </c>
      <c r="H146" s="39" t="str">
        <f t="shared" si="11"/>
        <v/>
      </c>
      <c r="I146" s="39" t="str">
        <f>IF(B146="","",SUMIFS(Mau15a!$H$11:$H$310,Mau15a!$B$11:$B$310,B146)+SUMIFS(Mau15a!$I$11:$I$310,Mau15a!$B$11:$B$310,B146)+SUMIFS(Mau15a!$J$11:$J$310,Mau15a!$B$11:$B$310,B146)-SUMIFS(Mau15a!$G$11:$G$310,Mau15a!$B$11:$B$310,B146))</f>
        <v/>
      </c>
      <c r="J146" s="39" t="str">
        <f t="shared" si="12"/>
        <v/>
      </c>
      <c r="K146" s="39" t="str">
        <f>IF(B146="","",(SUMIFS(Mau15a!$K$11:$K$310,Mau15a!$B$11:$B$310,B146)-SUMIFS(Mau15a!$E$11:$E$310,Mau15a!$B$11:$B$310,B146))*G146)</f>
        <v/>
      </c>
      <c r="L146" s="36" t="str">
        <f t="shared" si="13"/>
        <v/>
      </c>
      <c r="M146" s="36" t="str">
        <f>IF(B146="","",BOM!G146&amp;"")</f>
        <v/>
      </c>
      <c r="N146" s="36" t="str">
        <f t="shared" si="14"/>
        <v/>
      </c>
    </row>
    <row r="147" spans="1:14" x14ac:dyDescent="0.25">
      <c r="A147" s="35" t="str">
        <f t="shared" si="10"/>
        <v/>
      </c>
      <c r="B147" s="35" t="str">
        <f>IF(BOM!A147="","",BOM!A147)</f>
        <v/>
      </c>
      <c r="C147" s="35" t="str">
        <f>IF(B147="","",BOM!B147)</f>
        <v/>
      </c>
      <c r="D147" s="35" t="str">
        <f>IF(B147="","",IFERROR(INDEX(DM_NL!$B$5:$B$304,MATCH(C147,DM_NL!$A$5:$A$304,0)),""))</f>
        <v/>
      </c>
      <c r="E147" s="35" t="str">
        <f>IF(B147="","",IFERROR(INDEX(DM_NL!$C$5:$C$304,MATCH(C147,DM_NL!$A$5:$A$304,0)),""))</f>
        <v/>
      </c>
      <c r="F147" s="39" t="str">
        <f>IF(B147="","",SUMIFS(Mau15a!$F$11:$F$310,Mau15a!$B$11:$B$310,B147))</f>
        <v/>
      </c>
      <c r="G147" s="39" t="str">
        <f>IF(B147="","",IF(OR(M147="KXDDM",BOM!F147=""),0,BOM!F147))</f>
        <v/>
      </c>
      <c r="H147" s="39" t="str">
        <f t="shared" si="11"/>
        <v/>
      </c>
      <c r="I147" s="39" t="str">
        <f>IF(B147="","",SUMIFS(Mau15a!$H$11:$H$310,Mau15a!$B$11:$B$310,B147)+SUMIFS(Mau15a!$I$11:$I$310,Mau15a!$B$11:$B$310,B147)+SUMIFS(Mau15a!$J$11:$J$310,Mau15a!$B$11:$B$310,B147)-SUMIFS(Mau15a!$G$11:$G$310,Mau15a!$B$11:$B$310,B147))</f>
        <v/>
      </c>
      <c r="J147" s="39" t="str">
        <f t="shared" si="12"/>
        <v/>
      </c>
      <c r="K147" s="39" t="str">
        <f>IF(B147="","",(SUMIFS(Mau15a!$K$11:$K$310,Mau15a!$B$11:$B$310,B147)-SUMIFS(Mau15a!$E$11:$E$310,Mau15a!$B$11:$B$310,B147))*G147)</f>
        <v/>
      </c>
      <c r="L147" s="36" t="str">
        <f t="shared" si="13"/>
        <v/>
      </c>
      <c r="M147" s="36" t="str">
        <f>IF(B147="","",BOM!G147&amp;"")</f>
        <v/>
      </c>
      <c r="N147" s="36" t="str">
        <f t="shared" si="14"/>
        <v/>
      </c>
    </row>
    <row r="148" spans="1:14" x14ac:dyDescent="0.25">
      <c r="A148" s="35" t="str">
        <f t="shared" si="10"/>
        <v/>
      </c>
      <c r="B148" s="35" t="str">
        <f>IF(BOM!A148="","",BOM!A148)</f>
        <v/>
      </c>
      <c r="C148" s="35" t="str">
        <f>IF(B148="","",BOM!B148)</f>
        <v/>
      </c>
      <c r="D148" s="35" t="str">
        <f>IF(B148="","",IFERROR(INDEX(DM_NL!$B$5:$B$304,MATCH(C148,DM_NL!$A$5:$A$304,0)),""))</f>
        <v/>
      </c>
      <c r="E148" s="35" t="str">
        <f>IF(B148="","",IFERROR(INDEX(DM_NL!$C$5:$C$304,MATCH(C148,DM_NL!$A$5:$A$304,0)),""))</f>
        <v/>
      </c>
      <c r="F148" s="39" t="str">
        <f>IF(B148="","",SUMIFS(Mau15a!$F$11:$F$310,Mau15a!$B$11:$B$310,B148))</f>
        <v/>
      </c>
      <c r="G148" s="39" t="str">
        <f>IF(B148="","",IF(OR(M148="KXDDM",BOM!F148=""),0,BOM!F148))</f>
        <v/>
      </c>
      <c r="H148" s="39" t="str">
        <f t="shared" si="11"/>
        <v/>
      </c>
      <c r="I148" s="39" t="str">
        <f>IF(B148="","",SUMIFS(Mau15a!$H$11:$H$310,Mau15a!$B$11:$B$310,B148)+SUMIFS(Mau15a!$I$11:$I$310,Mau15a!$B$11:$B$310,B148)+SUMIFS(Mau15a!$J$11:$J$310,Mau15a!$B$11:$B$310,B148)-SUMIFS(Mau15a!$G$11:$G$310,Mau15a!$B$11:$B$310,B148))</f>
        <v/>
      </c>
      <c r="J148" s="39" t="str">
        <f t="shared" si="12"/>
        <v/>
      </c>
      <c r="K148" s="39" t="str">
        <f>IF(B148="","",(SUMIFS(Mau15a!$K$11:$K$310,Mau15a!$B$11:$B$310,B148)-SUMIFS(Mau15a!$E$11:$E$310,Mau15a!$B$11:$B$310,B148))*G148)</f>
        <v/>
      </c>
      <c r="L148" s="36" t="str">
        <f t="shared" si="13"/>
        <v/>
      </c>
      <c r="M148" s="36" t="str">
        <f>IF(B148="","",BOM!G148&amp;"")</f>
        <v/>
      </c>
      <c r="N148" s="36" t="str">
        <f t="shared" si="14"/>
        <v/>
      </c>
    </row>
    <row r="149" spans="1:14" x14ac:dyDescent="0.25">
      <c r="A149" s="35" t="str">
        <f t="shared" si="10"/>
        <v/>
      </c>
      <c r="B149" s="35" t="str">
        <f>IF(BOM!A149="","",BOM!A149)</f>
        <v/>
      </c>
      <c r="C149" s="35" t="str">
        <f>IF(B149="","",BOM!B149)</f>
        <v/>
      </c>
      <c r="D149" s="35" t="str">
        <f>IF(B149="","",IFERROR(INDEX(DM_NL!$B$5:$B$304,MATCH(C149,DM_NL!$A$5:$A$304,0)),""))</f>
        <v/>
      </c>
      <c r="E149" s="35" t="str">
        <f>IF(B149="","",IFERROR(INDEX(DM_NL!$C$5:$C$304,MATCH(C149,DM_NL!$A$5:$A$304,0)),""))</f>
        <v/>
      </c>
      <c r="F149" s="39" t="str">
        <f>IF(B149="","",SUMIFS(Mau15a!$F$11:$F$310,Mau15a!$B$11:$B$310,B149))</f>
        <v/>
      </c>
      <c r="G149" s="39" t="str">
        <f>IF(B149="","",IF(OR(M149="KXDDM",BOM!F149=""),0,BOM!F149))</f>
        <v/>
      </c>
      <c r="H149" s="39" t="str">
        <f t="shared" si="11"/>
        <v/>
      </c>
      <c r="I149" s="39" t="str">
        <f>IF(B149="","",SUMIFS(Mau15a!$H$11:$H$310,Mau15a!$B$11:$B$310,B149)+SUMIFS(Mau15a!$I$11:$I$310,Mau15a!$B$11:$B$310,B149)+SUMIFS(Mau15a!$J$11:$J$310,Mau15a!$B$11:$B$310,B149)-SUMIFS(Mau15a!$G$11:$G$310,Mau15a!$B$11:$B$310,B149))</f>
        <v/>
      </c>
      <c r="J149" s="39" t="str">
        <f t="shared" si="12"/>
        <v/>
      </c>
      <c r="K149" s="39" t="str">
        <f>IF(B149="","",(SUMIFS(Mau15a!$K$11:$K$310,Mau15a!$B$11:$B$310,B149)-SUMIFS(Mau15a!$E$11:$E$310,Mau15a!$B$11:$B$310,B149))*G149)</f>
        <v/>
      </c>
      <c r="L149" s="36" t="str">
        <f t="shared" si="13"/>
        <v/>
      </c>
      <c r="M149" s="36" t="str">
        <f>IF(B149="","",BOM!G149&amp;"")</f>
        <v/>
      </c>
      <c r="N149" s="36" t="str">
        <f t="shared" si="14"/>
        <v/>
      </c>
    </row>
    <row r="150" spans="1:14" x14ac:dyDescent="0.25">
      <c r="A150" s="35" t="str">
        <f t="shared" si="10"/>
        <v/>
      </c>
      <c r="B150" s="35" t="str">
        <f>IF(BOM!A150="","",BOM!A150)</f>
        <v/>
      </c>
      <c r="C150" s="35" t="str">
        <f>IF(B150="","",BOM!B150)</f>
        <v/>
      </c>
      <c r="D150" s="35" t="str">
        <f>IF(B150="","",IFERROR(INDEX(DM_NL!$B$5:$B$304,MATCH(C150,DM_NL!$A$5:$A$304,0)),""))</f>
        <v/>
      </c>
      <c r="E150" s="35" t="str">
        <f>IF(B150="","",IFERROR(INDEX(DM_NL!$C$5:$C$304,MATCH(C150,DM_NL!$A$5:$A$304,0)),""))</f>
        <v/>
      </c>
      <c r="F150" s="39" t="str">
        <f>IF(B150="","",SUMIFS(Mau15a!$F$11:$F$310,Mau15a!$B$11:$B$310,B150))</f>
        <v/>
      </c>
      <c r="G150" s="39" t="str">
        <f>IF(B150="","",IF(OR(M150="KXDDM",BOM!F150=""),0,BOM!F150))</f>
        <v/>
      </c>
      <c r="H150" s="39" t="str">
        <f t="shared" si="11"/>
        <v/>
      </c>
      <c r="I150" s="39" t="str">
        <f>IF(B150="","",SUMIFS(Mau15a!$H$11:$H$310,Mau15a!$B$11:$B$310,B150)+SUMIFS(Mau15a!$I$11:$I$310,Mau15a!$B$11:$B$310,B150)+SUMIFS(Mau15a!$J$11:$J$310,Mau15a!$B$11:$B$310,B150)-SUMIFS(Mau15a!$G$11:$G$310,Mau15a!$B$11:$B$310,B150))</f>
        <v/>
      </c>
      <c r="J150" s="39" t="str">
        <f t="shared" si="12"/>
        <v/>
      </c>
      <c r="K150" s="39" t="str">
        <f>IF(B150="","",(SUMIFS(Mau15a!$K$11:$K$310,Mau15a!$B$11:$B$310,B150)-SUMIFS(Mau15a!$E$11:$E$310,Mau15a!$B$11:$B$310,B150))*G150)</f>
        <v/>
      </c>
      <c r="L150" s="36" t="str">
        <f t="shared" si="13"/>
        <v/>
      </c>
      <c r="M150" s="36" t="str">
        <f>IF(B150="","",BOM!G150&amp;"")</f>
        <v/>
      </c>
      <c r="N150" s="36" t="str">
        <f t="shared" si="14"/>
        <v/>
      </c>
    </row>
    <row r="151" spans="1:14" x14ac:dyDescent="0.25">
      <c r="A151" s="35" t="str">
        <f t="shared" si="10"/>
        <v/>
      </c>
      <c r="B151" s="35" t="str">
        <f>IF(BOM!A151="","",BOM!A151)</f>
        <v/>
      </c>
      <c r="C151" s="35" t="str">
        <f>IF(B151="","",BOM!B151)</f>
        <v/>
      </c>
      <c r="D151" s="35" t="str">
        <f>IF(B151="","",IFERROR(INDEX(DM_NL!$B$5:$B$304,MATCH(C151,DM_NL!$A$5:$A$304,0)),""))</f>
        <v/>
      </c>
      <c r="E151" s="35" t="str">
        <f>IF(B151="","",IFERROR(INDEX(DM_NL!$C$5:$C$304,MATCH(C151,DM_NL!$A$5:$A$304,0)),""))</f>
        <v/>
      </c>
      <c r="F151" s="39" t="str">
        <f>IF(B151="","",SUMIFS(Mau15a!$F$11:$F$310,Mau15a!$B$11:$B$310,B151))</f>
        <v/>
      </c>
      <c r="G151" s="39" t="str">
        <f>IF(B151="","",IF(OR(M151="KXDDM",BOM!F151=""),0,BOM!F151))</f>
        <v/>
      </c>
      <c r="H151" s="39" t="str">
        <f t="shared" si="11"/>
        <v/>
      </c>
      <c r="I151" s="39" t="str">
        <f>IF(B151="","",SUMIFS(Mau15a!$H$11:$H$310,Mau15a!$B$11:$B$310,B151)+SUMIFS(Mau15a!$I$11:$I$310,Mau15a!$B$11:$B$310,B151)+SUMIFS(Mau15a!$J$11:$J$310,Mau15a!$B$11:$B$310,B151)-SUMIFS(Mau15a!$G$11:$G$310,Mau15a!$B$11:$B$310,B151))</f>
        <v/>
      </c>
      <c r="J151" s="39" t="str">
        <f t="shared" si="12"/>
        <v/>
      </c>
      <c r="K151" s="39" t="str">
        <f>IF(B151="","",(SUMIFS(Mau15a!$K$11:$K$310,Mau15a!$B$11:$B$310,B151)-SUMIFS(Mau15a!$E$11:$E$310,Mau15a!$B$11:$B$310,B151))*G151)</f>
        <v/>
      </c>
      <c r="L151" s="36" t="str">
        <f t="shared" si="13"/>
        <v/>
      </c>
      <c r="M151" s="36" t="str">
        <f>IF(B151="","",BOM!G151&amp;"")</f>
        <v/>
      </c>
      <c r="N151" s="36" t="str">
        <f t="shared" si="14"/>
        <v/>
      </c>
    </row>
    <row r="152" spans="1:14" x14ac:dyDescent="0.25">
      <c r="A152" s="35" t="str">
        <f t="shared" si="10"/>
        <v/>
      </c>
      <c r="B152" s="35" t="str">
        <f>IF(BOM!A152="","",BOM!A152)</f>
        <v/>
      </c>
      <c r="C152" s="35" t="str">
        <f>IF(B152="","",BOM!B152)</f>
        <v/>
      </c>
      <c r="D152" s="35" t="str">
        <f>IF(B152="","",IFERROR(INDEX(DM_NL!$B$5:$B$304,MATCH(C152,DM_NL!$A$5:$A$304,0)),""))</f>
        <v/>
      </c>
      <c r="E152" s="35" t="str">
        <f>IF(B152="","",IFERROR(INDEX(DM_NL!$C$5:$C$304,MATCH(C152,DM_NL!$A$5:$A$304,0)),""))</f>
        <v/>
      </c>
      <c r="F152" s="39" t="str">
        <f>IF(B152="","",SUMIFS(Mau15a!$F$11:$F$310,Mau15a!$B$11:$B$310,B152))</f>
        <v/>
      </c>
      <c r="G152" s="39" t="str">
        <f>IF(B152="","",IF(OR(M152="KXDDM",BOM!F152=""),0,BOM!F152))</f>
        <v/>
      </c>
      <c r="H152" s="39" t="str">
        <f t="shared" si="11"/>
        <v/>
      </c>
      <c r="I152" s="39" t="str">
        <f>IF(B152="","",SUMIFS(Mau15a!$H$11:$H$310,Mau15a!$B$11:$B$310,B152)+SUMIFS(Mau15a!$I$11:$I$310,Mau15a!$B$11:$B$310,B152)+SUMIFS(Mau15a!$J$11:$J$310,Mau15a!$B$11:$B$310,B152)-SUMIFS(Mau15a!$G$11:$G$310,Mau15a!$B$11:$B$310,B152))</f>
        <v/>
      </c>
      <c r="J152" s="39" t="str">
        <f t="shared" si="12"/>
        <v/>
      </c>
      <c r="K152" s="39" t="str">
        <f>IF(B152="","",(SUMIFS(Mau15a!$K$11:$K$310,Mau15a!$B$11:$B$310,B152)-SUMIFS(Mau15a!$E$11:$E$310,Mau15a!$B$11:$B$310,B152))*G152)</f>
        <v/>
      </c>
      <c r="L152" s="36" t="str">
        <f t="shared" si="13"/>
        <v/>
      </c>
      <c r="M152" s="36" t="str">
        <f>IF(B152="","",BOM!G152&amp;"")</f>
        <v/>
      </c>
      <c r="N152" s="36" t="str">
        <f t="shared" si="14"/>
        <v/>
      </c>
    </row>
    <row r="153" spans="1:14" x14ac:dyDescent="0.25">
      <c r="A153" s="35" t="str">
        <f t="shared" si="10"/>
        <v/>
      </c>
      <c r="B153" s="35" t="str">
        <f>IF(BOM!A153="","",BOM!A153)</f>
        <v/>
      </c>
      <c r="C153" s="35" t="str">
        <f>IF(B153="","",BOM!B153)</f>
        <v/>
      </c>
      <c r="D153" s="35" t="str">
        <f>IF(B153="","",IFERROR(INDEX(DM_NL!$B$5:$B$304,MATCH(C153,DM_NL!$A$5:$A$304,0)),""))</f>
        <v/>
      </c>
      <c r="E153" s="35" t="str">
        <f>IF(B153="","",IFERROR(INDEX(DM_NL!$C$5:$C$304,MATCH(C153,DM_NL!$A$5:$A$304,0)),""))</f>
        <v/>
      </c>
      <c r="F153" s="39" t="str">
        <f>IF(B153="","",SUMIFS(Mau15a!$F$11:$F$310,Mau15a!$B$11:$B$310,B153))</f>
        <v/>
      </c>
      <c r="G153" s="39" t="str">
        <f>IF(B153="","",IF(OR(M153="KXDDM",BOM!F153=""),0,BOM!F153))</f>
        <v/>
      </c>
      <c r="H153" s="39" t="str">
        <f t="shared" si="11"/>
        <v/>
      </c>
      <c r="I153" s="39" t="str">
        <f>IF(B153="","",SUMIFS(Mau15a!$H$11:$H$310,Mau15a!$B$11:$B$310,B153)+SUMIFS(Mau15a!$I$11:$I$310,Mau15a!$B$11:$B$310,B153)+SUMIFS(Mau15a!$J$11:$J$310,Mau15a!$B$11:$B$310,B153)-SUMIFS(Mau15a!$G$11:$G$310,Mau15a!$B$11:$B$310,B153))</f>
        <v/>
      </c>
      <c r="J153" s="39" t="str">
        <f t="shared" si="12"/>
        <v/>
      </c>
      <c r="K153" s="39" t="str">
        <f>IF(B153="","",(SUMIFS(Mau15a!$K$11:$K$310,Mau15a!$B$11:$B$310,B153)-SUMIFS(Mau15a!$E$11:$E$310,Mau15a!$B$11:$B$310,B153))*G153)</f>
        <v/>
      </c>
      <c r="L153" s="36" t="str">
        <f t="shared" si="13"/>
        <v/>
      </c>
      <c r="M153" s="36" t="str">
        <f>IF(B153="","",BOM!G153&amp;"")</f>
        <v/>
      </c>
      <c r="N153" s="36" t="str">
        <f t="shared" si="14"/>
        <v/>
      </c>
    </row>
    <row r="154" spans="1:14" x14ac:dyDescent="0.25">
      <c r="A154" s="35" t="str">
        <f t="shared" si="10"/>
        <v/>
      </c>
      <c r="B154" s="35" t="str">
        <f>IF(BOM!A154="","",BOM!A154)</f>
        <v/>
      </c>
      <c r="C154" s="35" t="str">
        <f>IF(B154="","",BOM!B154)</f>
        <v/>
      </c>
      <c r="D154" s="35" t="str">
        <f>IF(B154="","",IFERROR(INDEX(DM_NL!$B$5:$B$304,MATCH(C154,DM_NL!$A$5:$A$304,0)),""))</f>
        <v/>
      </c>
      <c r="E154" s="35" t="str">
        <f>IF(B154="","",IFERROR(INDEX(DM_NL!$C$5:$C$304,MATCH(C154,DM_NL!$A$5:$A$304,0)),""))</f>
        <v/>
      </c>
      <c r="F154" s="39" t="str">
        <f>IF(B154="","",SUMIFS(Mau15a!$F$11:$F$310,Mau15a!$B$11:$B$310,B154))</f>
        <v/>
      </c>
      <c r="G154" s="39" t="str">
        <f>IF(B154="","",IF(OR(M154="KXDDM",BOM!F154=""),0,BOM!F154))</f>
        <v/>
      </c>
      <c r="H154" s="39" t="str">
        <f t="shared" si="11"/>
        <v/>
      </c>
      <c r="I154" s="39" t="str">
        <f>IF(B154="","",SUMIFS(Mau15a!$H$11:$H$310,Mau15a!$B$11:$B$310,B154)+SUMIFS(Mau15a!$I$11:$I$310,Mau15a!$B$11:$B$310,B154)+SUMIFS(Mau15a!$J$11:$J$310,Mau15a!$B$11:$B$310,B154)-SUMIFS(Mau15a!$G$11:$G$310,Mau15a!$B$11:$B$310,B154))</f>
        <v/>
      </c>
      <c r="J154" s="39" t="str">
        <f t="shared" si="12"/>
        <v/>
      </c>
      <c r="K154" s="39" t="str">
        <f>IF(B154="","",(SUMIFS(Mau15a!$K$11:$K$310,Mau15a!$B$11:$B$310,B154)-SUMIFS(Mau15a!$E$11:$E$310,Mau15a!$B$11:$B$310,B154))*G154)</f>
        <v/>
      </c>
      <c r="L154" s="36" t="str">
        <f t="shared" si="13"/>
        <v/>
      </c>
      <c r="M154" s="36" t="str">
        <f>IF(B154="","",BOM!G154&amp;"")</f>
        <v/>
      </c>
      <c r="N154" s="36" t="str">
        <f t="shared" si="14"/>
        <v/>
      </c>
    </row>
    <row r="155" spans="1:14" x14ac:dyDescent="0.25">
      <c r="A155" s="35" t="str">
        <f t="shared" si="10"/>
        <v/>
      </c>
      <c r="B155" s="35" t="str">
        <f>IF(BOM!A155="","",BOM!A155)</f>
        <v/>
      </c>
      <c r="C155" s="35" t="str">
        <f>IF(B155="","",BOM!B155)</f>
        <v/>
      </c>
      <c r="D155" s="35" t="str">
        <f>IF(B155="","",IFERROR(INDEX(DM_NL!$B$5:$B$304,MATCH(C155,DM_NL!$A$5:$A$304,0)),""))</f>
        <v/>
      </c>
      <c r="E155" s="35" t="str">
        <f>IF(B155="","",IFERROR(INDEX(DM_NL!$C$5:$C$304,MATCH(C155,DM_NL!$A$5:$A$304,0)),""))</f>
        <v/>
      </c>
      <c r="F155" s="39" t="str">
        <f>IF(B155="","",SUMIFS(Mau15a!$F$11:$F$310,Mau15a!$B$11:$B$310,B155))</f>
        <v/>
      </c>
      <c r="G155" s="39" t="str">
        <f>IF(B155="","",IF(OR(M155="KXDDM",BOM!F155=""),0,BOM!F155))</f>
        <v/>
      </c>
      <c r="H155" s="39" t="str">
        <f t="shared" si="11"/>
        <v/>
      </c>
      <c r="I155" s="39" t="str">
        <f>IF(B155="","",SUMIFS(Mau15a!$H$11:$H$310,Mau15a!$B$11:$B$310,B155)+SUMIFS(Mau15a!$I$11:$I$310,Mau15a!$B$11:$B$310,B155)+SUMIFS(Mau15a!$J$11:$J$310,Mau15a!$B$11:$B$310,B155)-SUMIFS(Mau15a!$G$11:$G$310,Mau15a!$B$11:$B$310,B155))</f>
        <v/>
      </c>
      <c r="J155" s="39" t="str">
        <f t="shared" si="12"/>
        <v/>
      </c>
      <c r="K155" s="39" t="str">
        <f>IF(B155="","",(SUMIFS(Mau15a!$K$11:$K$310,Mau15a!$B$11:$B$310,B155)-SUMIFS(Mau15a!$E$11:$E$310,Mau15a!$B$11:$B$310,B155))*G155)</f>
        <v/>
      </c>
      <c r="L155" s="36" t="str">
        <f t="shared" si="13"/>
        <v/>
      </c>
      <c r="M155" s="36" t="str">
        <f>IF(B155="","",BOM!G155&amp;"")</f>
        <v/>
      </c>
      <c r="N155" s="36" t="str">
        <f t="shared" si="14"/>
        <v/>
      </c>
    </row>
    <row r="156" spans="1:14" x14ac:dyDescent="0.25">
      <c r="A156" s="35" t="str">
        <f t="shared" si="10"/>
        <v/>
      </c>
      <c r="B156" s="35" t="str">
        <f>IF(BOM!A156="","",BOM!A156)</f>
        <v/>
      </c>
      <c r="C156" s="35" t="str">
        <f>IF(B156="","",BOM!B156)</f>
        <v/>
      </c>
      <c r="D156" s="35" t="str">
        <f>IF(B156="","",IFERROR(INDEX(DM_NL!$B$5:$B$304,MATCH(C156,DM_NL!$A$5:$A$304,0)),""))</f>
        <v/>
      </c>
      <c r="E156" s="35" t="str">
        <f>IF(B156="","",IFERROR(INDEX(DM_NL!$C$5:$C$304,MATCH(C156,DM_NL!$A$5:$A$304,0)),""))</f>
        <v/>
      </c>
      <c r="F156" s="39" t="str">
        <f>IF(B156="","",SUMIFS(Mau15a!$F$11:$F$310,Mau15a!$B$11:$B$310,B156))</f>
        <v/>
      </c>
      <c r="G156" s="39" t="str">
        <f>IF(B156="","",IF(OR(M156="KXDDM",BOM!F156=""),0,BOM!F156))</f>
        <v/>
      </c>
      <c r="H156" s="39" t="str">
        <f t="shared" si="11"/>
        <v/>
      </c>
      <c r="I156" s="39" t="str">
        <f>IF(B156="","",SUMIFS(Mau15a!$H$11:$H$310,Mau15a!$B$11:$B$310,B156)+SUMIFS(Mau15a!$I$11:$I$310,Mau15a!$B$11:$B$310,B156)+SUMIFS(Mau15a!$J$11:$J$310,Mau15a!$B$11:$B$310,B156)-SUMIFS(Mau15a!$G$11:$G$310,Mau15a!$B$11:$B$310,B156))</f>
        <v/>
      </c>
      <c r="J156" s="39" t="str">
        <f t="shared" si="12"/>
        <v/>
      </c>
      <c r="K156" s="39" t="str">
        <f>IF(B156="","",(SUMIFS(Mau15a!$K$11:$K$310,Mau15a!$B$11:$B$310,B156)-SUMIFS(Mau15a!$E$11:$E$310,Mau15a!$B$11:$B$310,B156))*G156)</f>
        <v/>
      </c>
      <c r="L156" s="36" t="str">
        <f t="shared" si="13"/>
        <v/>
      </c>
      <c r="M156" s="36" t="str">
        <f>IF(B156="","",BOM!G156&amp;"")</f>
        <v/>
      </c>
      <c r="N156" s="36" t="str">
        <f t="shared" si="14"/>
        <v/>
      </c>
    </row>
    <row r="157" spans="1:14" x14ac:dyDescent="0.25">
      <c r="A157" s="35" t="str">
        <f t="shared" si="10"/>
        <v/>
      </c>
      <c r="B157" s="35" t="str">
        <f>IF(BOM!A157="","",BOM!A157)</f>
        <v/>
      </c>
      <c r="C157" s="35" t="str">
        <f>IF(B157="","",BOM!B157)</f>
        <v/>
      </c>
      <c r="D157" s="35" t="str">
        <f>IF(B157="","",IFERROR(INDEX(DM_NL!$B$5:$B$304,MATCH(C157,DM_NL!$A$5:$A$304,0)),""))</f>
        <v/>
      </c>
      <c r="E157" s="35" t="str">
        <f>IF(B157="","",IFERROR(INDEX(DM_NL!$C$5:$C$304,MATCH(C157,DM_NL!$A$5:$A$304,0)),""))</f>
        <v/>
      </c>
      <c r="F157" s="39" t="str">
        <f>IF(B157="","",SUMIFS(Mau15a!$F$11:$F$310,Mau15a!$B$11:$B$310,B157))</f>
        <v/>
      </c>
      <c r="G157" s="39" t="str">
        <f>IF(B157="","",IF(OR(M157="KXDDM",BOM!F157=""),0,BOM!F157))</f>
        <v/>
      </c>
      <c r="H157" s="39" t="str">
        <f t="shared" si="11"/>
        <v/>
      </c>
      <c r="I157" s="39" t="str">
        <f>IF(B157="","",SUMIFS(Mau15a!$H$11:$H$310,Mau15a!$B$11:$B$310,B157)+SUMIFS(Mau15a!$I$11:$I$310,Mau15a!$B$11:$B$310,B157)+SUMIFS(Mau15a!$J$11:$J$310,Mau15a!$B$11:$B$310,B157)-SUMIFS(Mau15a!$G$11:$G$310,Mau15a!$B$11:$B$310,B157))</f>
        <v/>
      </c>
      <c r="J157" s="39" t="str">
        <f t="shared" si="12"/>
        <v/>
      </c>
      <c r="K157" s="39" t="str">
        <f>IF(B157="","",(SUMIFS(Mau15a!$K$11:$K$310,Mau15a!$B$11:$B$310,B157)-SUMIFS(Mau15a!$E$11:$E$310,Mau15a!$B$11:$B$310,B157))*G157)</f>
        <v/>
      </c>
      <c r="L157" s="36" t="str">
        <f t="shared" si="13"/>
        <v/>
      </c>
      <c r="M157" s="36" t="str">
        <f>IF(B157="","",BOM!G157&amp;"")</f>
        <v/>
      </c>
      <c r="N157" s="36" t="str">
        <f t="shared" si="14"/>
        <v/>
      </c>
    </row>
    <row r="158" spans="1:14" x14ac:dyDescent="0.25">
      <c r="A158" s="35" t="str">
        <f t="shared" si="10"/>
        <v/>
      </c>
      <c r="B158" s="35" t="str">
        <f>IF(BOM!A158="","",BOM!A158)</f>
        <v/>
      </c>
      <c r="C158" s="35" t="str">
        <f>IF(B158="","",BOM!B158)</f>
        <v/>
      </c>
      <c r="D158" s="35" t="str">
        <f>IF(B158="","",IFERROR(INDEX(DM_NL!$B$5:$B$304,MATCH(C158,DM_NL!$A$5:$A$304,0)),""))</f>
        <v/>
      </c>
      <c r="E158" s="35" t="str">
        <f>IF(B158="","",IFERROR(INDEX(DM_NL!$C$5:$C$304,MATCH(C158,DM_NL!$A$5:$A$304,0)),""))</f>
        <v/>
      </c>
      <c r="F158" s="39" t="str">
        <f>IF(B158="","",SUMIFS(Mau15a!$F$11:$F$310,Mau15a!$B$11:$B$310,B158))</f>
        <v/>
      </c>
      <c r="G158" s="39" t="str">
        <f>IF(B158="","",IF(OR(M158="KXDDM",BOM!F158=""),0,BOM!F158))</f>
        <v/>
      </c>
      <c r="H158" s="39" t="str">
        <f t="shared" si="11"/>
        <v/>
      </c>
      <c r="I158" s="39" t="str">
        <f>IF(B158="","",SUMIFS(Mau15a!$H$11:$H$310,Mau15a!$B$11:$B$310,B158)+SUMIFS(Mau15a!$I$11:$I$310,Mau15a!$B$11:$B$310,B158)+SUMIFS(Mau15a!$J$11:$J$310,Mau15a!$B$11:$B$310,B158)-SUMIFS(Mau15a!$G$11:$G$310,Mau15a!$B$11:$B$310,B158))</f>
        <v/>
      </c>
      <c r="J158" s="39" t="str">
        <f t="shared" si="12"/>
        <v/>
      </c>
      <c r="K158" s="39" t="str">
        <f>IF(B158="","",(SUMIFS(Mau15a!$K$11:$K$310,Mau15a!$B$11:$B$310,B158)-SUMIFS(Mau15a!$E$11:$E$310,Mau15a!$B$11:$B$310,B158))*G158)</f>
        <v/>
      </c>
      <c r="L158" s="36" t="str">
        <f t="shared" si="13"/>
        <v/>
      </c>
      <c r="M158" s="36" t="str">
        <f>IF(B158="","",BOM!G158&amp;"")</f>
        <v/>
      </c>
      <c r="N158" s="36" t="str">
        <f t="shared" si="14"/>
        <v/>
      </c>
    </row>
    <row r="159" spans="1:14" x14ac:dyDescent="0.25">
      <c r="A159" s="35" t="str">
        <f t="shared" si="10"/>
        <v/>
      </c>
      <c r="B159" s="35" t="str">
        <f>IF(BOM!A159="","",BOM!A159)</f>
        <v/>
      </c>
      <c r="C159" s="35" t="str">
        <f>IF(B159="","",BOM!B159)</f>
        <v/>
      </c>
      <c r="D159" s="35" t="str">
        <f>IF(B159="","",IFERROR(INDEX(DM_NL!$B$5:$B$304,MATCH(C159,DM_NL!$A$5:$A$304,0)),""))</f>
        <v/>
      </c>
      <c r="E159" s="35" t="str">
        <f>IF(B159="","",IFERROR(INDEX(DM_NL!$C$5:$C$304,MATCH(C159,DM_NL!$A$5:$A$304,0)),""))</f>
        <v/>
      </c>
      <c r="F159" s="39" t="str">
        <f>IF(B159="","",SUMIFS(Mau15a!$F$11:$F$310,Mau15a!$B$11:$B$310,B159))</f>
        <v/>
      </c>
      <c r="G159" s="39" t="str">
        <f>IF(B159="","",IF(OR(M159="KXDDM",BOM!F159=""),0,BOM!F159))</f>
        <v/>
      </c>
      <c r="H159" s="39" t="str">
        <f t="shared" si="11"/>
        <v/>
      </c>
      <c r="I159" s="39" t="str">
        <f>IF(B159="","",SUMIFS(Mau15a!$H$11:$H$310,Mau15a!$B$11:$B$310,B159)+SUMIFS(Mau15a!$I$11:$I$310,Mau15a!$B$11:$B$310,B159)+SUMIFS(Mau15a!$J$11:$J$310,Mau15a!$B$11:$B$310,B159)-SUMIFS(Mau15a!$G$11:$G$310,Mau15a!$B$11:$B$310,B159))</f>
        <v/>
      </c>
      <c r="J159" s="39" t="str">
        <f t="shared" si="12"/>
        <v/>
      </c>
      <c r="K159" s="39" t="str">
        <f>IF(B159="","",(SUMIFS(Mau15a!$K$11:$K$310,Mau15a!$B$11:$B$310,B159)-SUMIFS(Mau15a!$E$11:$E$310,Mau15a!$B$11:$B$310,B159))*G159)</f>
        <v/>
      </c>
      <c r="L159" s="36" t="str">
        <f t="shared" si="13"/>
        <v/>
      </c>
      <c r="M159" s="36" t="str">
        <f>IF(B159="","",BOM!G159&amp;"")</f>
        <v/>
      </c>
      <c r="N159" s="36" t="str">
        <f t="shared" si="14"/>
        <v/>
      </c>
    </row>
    <row r="160" spans="1:14" x14ac:dyDescent="0.25">
      <c r="A160" s="35" t="str">
        <f t="shared" si="10"/>
        <v/>
      </c>
      <c r="B160" s="35" t="str">
        <f>IF(BOM!A160="","",BOM!A160)</f>
        <v/>
      </c>
      <c r="C160" s="35" t="str">
        <f>IF(B160="","",BOM!B160)</f>
        <v/>
      </c>
      <c r="D160" s="35" t="str">
        <f>IF(B160="","",IFERROR(INDEX(DM_NL!$B$5:$B$304,MATCH(C160,DM_NL!$A$5:$A$304,0)),""))</f>
        <v/>
      </c>
      <c r="E160" s="35" t="str">
        <f>IF(B160="","",IFERROR(INDEX(DM_NL!$C$5:$C$304,MATCH(C160,DM_NL!$A$5:$A$304,0)),""))</f>
        <v/>
      </c>
      <c r="F160" s="39" t="str">
        <f>IF(B160="","",SUMIFS(Mau15a!$F$11:$F$310,Mau15a!$B$11:$B$310,B160))</f>
        <v/>
      </c>
      <c r="G160" s="39" t="str">
        <f>IF(B160="","",IF(OR(M160="KXDDM",BOM!F160=""),0,BOM!F160))</f>
        <v/>
      </c>
      <c r="H160" s="39" t="str">
        <f t="shared" si="11"/>
        <v/>
      </c>
      <c r="I160" s="39" t="str">
        <f>IF(B160="","",SUMIFS(Mau15a!$H$11:$H$310,Mau15a!$B$11:$B$310,B160)+SUMIFS(Mau15a!$I$11:$I$310,Mau15a!$B$11:$B$310,B160)+SUMIFS(Mau15a!$J$11:$J$310,Mau15a!$B$11:$B$310,B160)-SUMIFS(Mau15a!$G$11:$G$310,Mau15a!$B$11:$B$310,B160))</f>
        <v/>
      </c>
      <c r="J160" s="39" t="str">
        <f t="shared" si="12"/>
        <v/>
      </c>
      <c r="K160" s="39" t="str">
        <f>IF(B160="","",(SUMIFS(Mau15a!$K$11:$K$310,Mau15a!$B$11:$B$310,B160)-SUMIFS(Mau15a!$E$11:$E$310,Mau15a!$B$11:$B$310,B160))*G160)</f>
        <v/>
      </c>
      <c r="L160" s="36" t="str">
        <f t="shared" si="13"/>
        <v/>
      </c>
      <c r="M160" s="36" t="str">
        <f>IF(B160="","",BOM!G160&amp;"")</f>
        <v/>
      </c>
      <c r="N160" s="36" t="str">
        <f t="shared" si="14"/>
        <v/>
      </c>
    </row>
    <row r="161" spans="1:14" x14ac:dyDescent="0.25">
      <c r="A161" s="35" t="str">
        <f t="shared" si="10"/>
        <v/>
      </c>
      <c r="B161" s="35" t="str">
        <f>IF(BOM!A161="","",BOM!A161)</f>
        <v/>
      </c>
      <c r="C161" s="35" t="str">
        <f>IF(B161="","",BOM!B161)</f>
        <v/>
      </c>
      <c r="D161" s="35" t="str">
        <f>IF(B161="","",IFERROR(INDEX(DM_NL!$B$5:$B$304,MATCH(C161,DM_NL!$A$5:$A$304,0)),""))</f>
        <v/>
      </c>
      <c r="E161" s="35" t="str">
        <f>IF(B161="","",IFERROR(INDEX(DM_NL!$C$5:$C$304,MATCH(C161,DM_NL!$A$5:$A$304,0)),""))</f>
        <v/>
      </c>
      <c r="F161" s="39" t="str">
        <f>IF(B161="","",SUMIFS(Mau15a!$F$11:$F$310,Mau15a!$B$11:$B$310,B161))</f>
        <v/>
      </c>
      <c r="G161" s="39" t="str">
        <f>IF(B161="","",IF(OR(M161="KXDDM",BOM!F161=""),0,BOM!F161))</f>
        <v/>
      </c>
      <c r="H161" s="39" t="str">
        <f t="shared" si="11"/>
        <v/>
      </c>
      <c r="I161" s="39" t="str">
        <f>IF(B161="","",SUMIFS(Mau15a!$H$11:$H$310,Mau15a!$B$11:$B$310,B161)+SUMIFS(Mau15a!$I$11:$I$310,Mau15a!$B$11:$B$310,B161)+SUMIFS(Mau15a!$J$11:$J$310,Mau15a!$B$11:$B$310,B161)-SUMIFS(Mau15a!$G$11:$G$310,Mau15a!$B$11:$B$310,B161))</f>
        <v/>
      </c>
      <c r="J161" s="39" t="str">
        <f t="shared" si="12"/>
        <v/>
      </c>
      <c r="K161" s="39" t="str">
        <f>IF(B161="","",(SUMIFS(Mau15a!$K$11:$K$310,Mau15a!$B$11:$B$310,B161)-SUMIFS(Mau15a!$E$11:$E$310,Mau15a!$B$11:$B$310,B161))*G161)</f>
        <v/>
      </c>
      <c r="L161" s="36" t="str">
        <f t="shared" si="13"/>
        <v/>
      </c>
      <c r="M161" s="36" t="str">
        <f>IF(B161="","",BOM!G161&amp;"")</f>
        <v/>
      </c>
      <c r="N161" s="36" t="str">
        <f t="shared" si="14"/>
        <v/>
      </c>
    </row>
    <row r="162" spans="1:14" x14ac:dyDescent="0.25">
      <c r="A162" s="35" t="str">
        <f t="shared" si="10"/>
        <v/>
      </c>
      <c r="B162" s="35" t="str">
        <f>IF(BOM!A162="","",BOM!A162)</f>
        <v/>
      </c>
      <c r="C162" s="35" t="str">
        <f>IF(B162="","",BOM!B162)</f>
        <v/>
      </c>
      <c r="D162" s="35" t="str">
        <f>IF(B162="","",IFERROR(INDEX(DM_NL!$B$5:$B$304,MATCH(C162,DM_NL!$A$5:$A$304,0)),""))</f>
        <v/>
      </c>
      <c r="E162" s="35" t="str">
        <f>IF(B162="","",IFERROR(INDEX(DM_NL!$C$5:$C$304,MATCH(C162,DM_NL!$A$5:$A$304,0)),""))</f>
        <v/>
      </c>
      <c r="F162" s="39" t="str">
        <f>IF(B162="","",SUMIFS(Mau15a!$F$11:$F$310,Mau15a!$B$11:$B$310,B162))</f>
        <v/>
      </c>
      <c r="G162" s="39" t="str">
        <f>IF(B162="","",IF(OR(M162="KXDDM",BOM!F162=""),0,BOM!F162))</f>
        <v/>
      </c>
      <c r="H162" s="39" t="str">
        <f t="shared" si="11"/>
        <v/>
      </c>
      <c r="I162" s="39" t="str">
        <f>IF(B162="","",SUMIFS(Mau15a!$H$11:$H$310,Mau15a!$B$11:$B$310,B162)+SUMIFS(Mau15a!$I$11:$I$310,Mau15a!$B$11:$B$310,B162)+SUMIFS(Mau15a!$J$11:$J$310,Mau15a!$B$11:$B$310,B162)-SUMIFS(Mau15a!$G$11:$G$310,Mau15a!$B$11:$B$310,B162))</f>
        <v/>
      </c>
      <c r="J162" s="39" t="str">
        <f t="shared" si="12"/>
        <v/>
      </c>
      <c r="K162" s="39" t="str">
        <f>IF(B162="","",(SUMIFS(Mau15a!$K$11:$K$310,Mau15a!$B$11:$B$310,B162)-SUMIFS(Mau15a!$E$11:$E$310,Mau15a!$B$11:$B$310,B162))*G162)</f>
        <v/>
      </c>
      <c r="L162" s="36" t="str">
        <f t="shared" si="13"/>
        <v/>
      </c>
      <c r="M162" s="36" t="str">
        <f>IF(B162="","",BOM!G162&amp;"")</f>
        <v/>
      </c>
      <c r="N162" s="36" t="str">
        <f t="shared" si="14"/>
        <v/>
      </c>
    </row>
    <row r="163" spans="1:14" x14ac:dyDescent="0.25">
      <c r="A163" s="35" t="str">
        <f t="shared" si="10"/>
        <v/>
      </c>
      <c r="B163" s="35" t="str">
        <f>IF(BOM!A163="","",BOM!A163)</f>
        <v/>
      </c>
      <c r="C163" s="35" t="str">
        <f>IF(B163="","",BOM!B163)</f>
        <v/>
      </c>
      <c r="D163" s="35" t="str">
        <f>IF(B163="","",IFERROR(INDEX(DM_NL!$B$5:$B$304,MATCH(C163,DM_NL!$A$5:$A$304,0)),""))</f>
        <v/>
      </c>
      <c r="E163" s="35" t="str">
        <f>IF(B163="","",IFERROR(INDEX(DM_NL!$C$5:$C$304,MATCH(C163,DM_NL!$A$5:$A$304,0)),""))</f>
        <v/>
      </c>
      <c r="F163" s="39" t="str">
        <f>IF(B163="","",SUMIFS(Mau15a!$F$11:$F$310,Mau15a!$B$11:$B$310,B163))</f>
        <v/>
      </c>
      <c r="G163" s="39" t="str">
        <f>IF(B163="","",IF(OR(M163="KXDDM",BOM!F163=""),0,BOM!F163))</f>
        <v/>
      </c>
      <c r="H163" s="39" t="str">
        <f t="shared" si="11"/>
        <v/>
      </c>
      <c r="I163" s="39" t="str">
        <f>IF(B163="","",SUMIFS(Mau15a!$H$11:$H$310,Mau15a!$B$11:$B$310,B163)+SUMIFS(Mau15a!$I$11:$I$310,Mau15a!$B$11:$B$310,B163)+SUMIFS(Mau15a!$J$11:$J$310,Mau15a!$B$11:$B$310,B163)-SUMIFS(Mau15a!$G$11:$G$310,Mau15a!$B$11:$B$310,B163))</f>
        <v/>
      </c>
      <c r="J163" s="39" t="str">
        <f t="shared" si="12"/>
        <v/>
      </c>
      <c r="K163" s="39" t="str">
        <f>IF(B163="","",(SUMIFS(Mau15a!$K$11:$K$310,Mau15a!$B$11:$B$310,B163)-SUMIFS(Mau15a!$E$11:$E$310,Mau15a!$B$11:$B$310,B163))*G163)</f>
        <v/>
      </c>
      <c r="L163" s="36" t="str">
        <f t="shared" si="13"/>
        <v/>
      </c>
      <c r="M163" s="36" t="str">
        <f>IF(B163="","",BOM!G163&amp;"")</f>
        <v/>
      </c>
      <c r="N163" s="36" t="str">
        <f t="shared" si="14"/>
        <v/>
      </c>
    </row>
    <row r="164" spans="1:14" x14ac:dyDescent="0.25">
      <c r="A164" s="35" t="str">
        <f t="shared" si="10"/>
        <v/>
      </c>
      <c r="B164" s="35" t="str">
        <f>IF(BOM!A164="","",BOM!A164)</f>
        <v/>
      </c>
      <c r="C164" s="35" t="str">
        <f>IF(B164="","",BOM!B164)</f>
        <v/>
      </c>
      <c r="D164" s="35" t="str">
        <f>IF(B164="","",IFERROR(INDEX(DM_NL!$B$5:$B$304,MATCH(C164,DM_NL!$A$5:$A$304,0)),""))</f>
        <v/>
      </c>
      <c r="E164" s="35" t="str">
        <f>IF(B164="","",IFERROR(INDEX(DM_NL!$C$5:$C$304,MATCH(C164,DM_NL!$A$5:$A$304,0)),""))</f>
        <v/>
      </c>
      <c r="F164" s="39" t="str">
        <f>IF(B164="","",SUMIFS(Mau15a!$F$11:$F$310,Mau15a!$B$11:$B$310,B164))</f>
        <v/>
      </c>
      <c r="G164" s="39" t="str">
        <f>IF(B164="","",IF(OR(M164="KXDDM",BOM!F164=""),0,BOM!F164))</f>
        <v/>
      </c>
      <c r="H164" s="39" t="str">
        <f t="shared" si="11"/>
        <v/>
      </c>
      <c r="I164" s="39" t="str">
        <f>IF(B164="","",SUMIFS(Mau15a!$H$11:$H$310,Mau15a!$B$11:$B$310,B164)+SUMIFS(Mau15a!$I$11:$I$310,Mau15a!$B$11:$B$310,B164)+SUMIFS(Mau15a!$J$11:$J$310,Mau15a!$B$11:$B$310,B164)-SUMIFS(Mau15a!$G$11:$G$310,Mau15a!$B$11:$B$310,B164))</f>
        <v/>
      </c>
      <c r="J164" s="39" t="str">
        <f t="shared" si="12"/>
        <v/>
      </c>
      <c r="K164" s="39" t="str">
        <f>IF(B164="","",(SUMIFS(Mau15a!$K$11:$K$310,Mau15a!$B$11:$B$310,B164)-SUMIFS(Mau15a!$E$11:$E$310,Mau15a!$B$11:$B$310,B164))*G164)</f>
        <v/>
      </c>
      <c r="L164" s="36" t="str">
        <f t="shared" si="13"/>
        <v/>
      </c>
      <c r="M164" s="36" t="str">
        <f>IF(B164="","",BOM!G164&amp;"")</f>
        <v/>
      </c>
      <c r="N164" s="36" t="str">
        <f t="shared" si="14"/>
        <v/>
      </c>
    </row>
    <row r="165" spans="1:14" x14ac:dyDescent="0.25">
      <c r="A165" s="35" t="str">
        <f t="shared" si="10"/>
        <v/>
      </c>
      <c r="B165" s="35" t="str">
        <f>IF(BOM!A165="","",BOM!A165)</f>
        <v/>
      </c>
      <c r="C165" s="35" t="str">
        <f>IF(B165="","",BOM!B165)</f>
        <v/>
      </c>
      <c r="D165" s="35" t="str">
        <f>IF(B165="","",IFERROR(INDEX(DM_NL!$B$5:$B$304,MATCH(C165,DM_NL!$A$5:$A$304,0)),""))</f>
        <v/>
      </c>
      <c r="E165" s="35" t="str">
        <f>IF(B165="","",IFERROR(INDEX(DM_NL!$C$5:$C$304,MATCH(C165,DM_NL!$A$5:$A$304,0)),""))</f>
        <v/>
      </c>
      <c r="F165" s="39" t="str">
        <f>IF(B165="","",SUMIFS(Mau15a!$F$11:$F$310,Mau15a!$B$11:$B$310,B165))</f>
        <v/>
      </c>
      <c r="G165" s="39" t="str">
        <f>IF(B165="","",IF(OR(M165="KXDDM",BOM!F165=""),0,BOM!F165))</f>
        <v/>
      </c>
      <c r="H165" s="39" t="str">
        <f t="shared" si="11"/>
        <v/>
      </c>
      <c r="I165" s="39" t="str">
        <f>IF(B165="","",SUMIFS(Mau15a!$H$11:$H$310,Mau15a!$B$11:$B$310,B165)+SUMIFS(Mau15a!$I$11:$I$310,Mau15a!$B$11:$B$310,B165)+SUMIFS(Mau15a!$J$11:$J$310,Mau15a!$B$11:$B$310,B165)-SUMIFS(Mau15a!$G$11:$G$310,Mau15a!$B$11:$B$310,B165))</f>
        <v/>
      </c>
      <c r="J165" s="39" t="str">
        <f t="shared" si="12"/>
        <v/>
      </c>
      <c r="K165" s="39" t="str">
        <f>IF(B165="","",(SUMIFS(Mau15a!$K$11:$K$310,Mau15a!$B$11:$B$310,B165)-SUMIFS(Mau15a!$E$11:$E$310,Mau15a!$B$11:$B$310,B165))*G165)</f>
        <v/>
      </c>
      <c r="L165" s="36" t="str">
        <f t="shared" si="13"/>
        <v/>
      </c>
      <c r="M165" s="36" t="str">
        <f>IF(B165="","",BOM!G165&amp;"")</f>
        <v/>
      </c>
      <c r="N165" s="36" t="str">
        <f t="shared" si="14"/>
        <v/>
      </c>
    </row>
    <row r="166" spans="1:14" x14ac:dyDescent="0.25">
      <c r="A166" s="35" t="str">
        <f t="shared" si="10"/>
        <v/>
      </c>
      <c r="B166" s="35" t="str">
        <f>IF(BOM!A166="","",BOM!A166)</f>
        <v/>
      </c>
      <c r="C166" s="35" t="str">
        <f>IF(B166="","",BOM!B166)</f>
        <v/>
      </c>
      <c r="D166" s="35" t="str">
        <f>IF(B166="","",IFERROR(INDEX(DM_NL!$B$5:$B$304,MATCH(C166,DM_NL!$A$5:$A$304,0)),""))</f>
        <v/>
      </c>
      <c r="E166" s="35" t="str">
        <f>IF(B166="","",IFERROR(INDEX(DM_NL!$C$5:$C$304,MATCH(C166,DM_NL!$A$5:$A$304,0)),""))</f>
        <v/>
      </c>
      <c r="F166" s="39" t="str">
        <f>IF(B166="","",SUMIFS(Mau15a!$F$11:$F$310,Mau15a!$B$11:$B$310,B166))</f>
        <v/>
      </c>
      <c r="G166" s="39" t="str">
        <f>IF(B166="","",IF(OR(M166="KXDDM",BOM!F166=""),0,BOM!F166))</f>
        <v/>
      </c>
      <c r="H166" s="39" t="str">
        <f t="shared" si="11"/>
        <v/>
      </c>
      <c r="I166" s="39" t="str">
        <f>IF(B166="","",SUMIFS(Mau15a!$H$11:$H$310,Mau15a!$B$11:$B$310,B166)+SUMIFS(Mau15a!$I$11:$I$310,Mau15a!$B$11:$B$310,B166)+SUMIFS(Mau15a!$J$11:$J$310,Mau15a!$B$11:$B$310,B166)-SUMIFS(Mau15a!$G$11:$G$310,Mau15a!$B$11:$B$310,B166))</f>
        <v/>
      </c>
      <c r="J166" s="39" t="str">
        <f t="shared" si="12"/>
        <v/>
      </c>
      <c r="K166" s="39" t="str">
        <f>IF(B166="","",(SUMIFS(Mau15a!$K$11:$K$310,Mau15a!$B$11:$B$310,B166)-SUMIFS(Mau15a!$E$11:$E$310,Mau15a!$B$11:$B$310,B166))*G166)</f>
        <v/>
      </c>
      <c r="L166" s="36" t="str">
        <f t="shared" si="13"/>
        <v/>
      </c>
      <c r="M166" s="36" t="str">
        <f>IF(B166="","",BOM!G166&amp;"")</f>
        <v/>
      </c>
      <c r="N166" s="36" t="str">
        <f t="shared" si="14"/>
        <v/>
      </c>
    </row>
    <row r="167" spans="1:14" x14ac:dyDescent="0.25">
      <c r="A167" s="35" t="str">
        <f t="shared" si="10"/>
        <v/>
      </c>
      <c r="B167" s="35" t="str">
        <f>IF(BOM!A167="","",BOM!A167)</f>
        <v/>
      </c>
      <c r="C167" s="35" t="str">
        <f>IF(B167="","",BOM!B167)</f>
        <v/>
      </c>
      <c r="D167" s="35" t="str">
        <f>IF(B167="","",IFERROR(INDEX(DM_NL!$B$5:$B$304,MATCH(C167,DM_NL!$A$5:$A$304,0)),""))</f>
        <v/>
      </c>
      <c r="E167" s="35" t="str">
        <f>IF(B167="","",IFERROR(INDEX(DM_NL!$C$5:$C$304,MATCH(C167,DM_NL!$A$5:$A$304,0)),""))</f>
        <v/>
      </c>
      <c r="F167" s="39" t="str">
        <f>IF(B167="","",SUMIFS(Mau15a!$F$11:$F$310,Mau15a!$B$11:$B$310,B167))</f>
        <v/>
      </c>
      <c r="G167" s="39" t="str">
        <f>IF(B167="","",IF(OR(M167="KXDDM",BOM!F167=""),0,BOM!F167))</f>
        <v/>
      </c>
      <c r="H167" s="39" t="str">
        <f t="shared" si="11"/>
        <v/>
      </c>
      <c r="I167" s="39" t="str">
        <f>IF(B167="","",SUMIFS(Mau15a!$H$11:$H$310,Mau15a!$B$11:$B$310,B167)+SUMIFS(Mau15a!$I$11:$I$310,Mau15a!$B$11:$B$310,B167)+SUMIFS(Mau15a!$J$11:$J$310,Mau15a!$B$11:$B$310,B167)-SUMIFS(Mau15a!$G$11:$G$310,Mau15a!$B$11:$B$310,B167))</f>
        <v/>
      </c>
      <c r="J167" s="39" t="str">
        <f t="shared" si="12"/>
        <v/>
      </c>
      <c r="K167" s="39" t="str">
        <f>IF(B167="","",(SUMIFS(Mau15a!$K$11:$K$310,Mau15a!$B$11:$B$310,B167)-SUMIFS(Mau15a!$E$11:$E$310,Mau15a!$B$11:$B$310,B167))*G167)</f>
        <v/>
      </c>
      <c r="L167" s="36" t="str">
        <f t="shared" si="13"/>
        <v/>
      </c>
      <c r="M167" s="36" t="str">
        <f>IF(B167="","",BOM!G167&amp;"")</f>
        <v/>
      </c>
      <c r="N167" s="36" t="str">
        <f t="shared" si="14"/>
        <v/>
      </c>
    </row>
    <row r="168" spans="1:14" x14ac:dyDescent="0.25">
      <c r="A168" s="35" t="str">
        <f t="shared" si="10"/>
        <v/>
      </c>
      <c r="B168" s="35" t="str">
        <f>IF(BOM!A168="","",BOM!A168)</f>
        <v/>
      </c>
      <c r="C168" s="35" t="str">
        <f>IF(B168="","",BOM!B168)</f>
        <v/>
      </c>
      <c r="D168" s="35" t="str">
        <f>IF(B168="","",IFERROR(INDEX(DM_NL!$B$5:$B$304,MATCH(C168,DM_NL!$A$5:$A$304,0)),""))</f>
        <v/>
      </c>
      <c r="E168" s="35" t="str">
        <f>IF(B168="","",IFERROR(INDEX(DM_NL!$C$5:$C$304,MATCH(C168,DM_NL!$A$5:$A$304,0)),""))</f>
        <v/>
      </c>
      <c r="F168" s="39" t="str">
        <f>IF(B168="","",SUMIFS(Mau15a!$F$11:$F$310,Mau15a!$B$11:$B$310,B168))</f>
        <v/>
      </c>
      <c r="G168" s="39" t="str">
        <f>IF(B168="","",IF(OR(M168="KXDDM",BOM!F168=""),0,BOM!F168))</f>
        <v/>
      </c>
      <c r="H168" s="39" t="str">
        <f t="shared" si="11"/>
        <v/>
      </c>
      <c r="I168" s="39" t="str">
        <f>IF(B168="","",SUMIFS(Mau15a!$H$11:$H$310,Mau15a!$B$11:$B$310,B168)+SUMIFS(Mau15a!$I$11:$I$310,Mau15a!$B$11:$B$310,B168)+SUMIFS(Mau15a!$J$11:$J$310,Mau15a!$B$11:$B$310,B168)-SUMIFS(Mau15a!$G$11:$G$310,Mau15a!$B$11:$B$310,B168))</f>
        <v/>
      </c>
      <c r="J168" s="39" t="str">
        <f t="shared" si="12"/>
        <v/>
      </c>
      <c r="K168" s="39" t="str">
        <f>IF(B168="","",(SUMIFS(Mau15a!$K$11:$K$310,Mau15a!$B$11:$B$310,B168)-SUMIFS(Mau15a!$E$11:$E$310,Mau15a!$B$11:$B$310,B168))*G168)</f>
        <v/>
      </c>
      <c r="L168" s="36" t="str">
        <f t="shared" si="13"/>
        <v/>
      </c>
      <c r="M168" s="36" t="str">
        <f>IF(B168="","",BOM!G168&amp;"")</f>
        <v/>
      </c>
      <c r="N168" s="36" t="str">
        <f t="shared" si="14"/>
        <v/>
      </c>
    </row>
    <row r="169" spans="1:14" x14ac:dyDescent="0.25">
      <c r="A169" s="35" t="str">
        <f t="shared" si="10"/>
        <v/>
      </c>
      <c r="B169" s="35" t="str">
        <f>IF(BOM!A169="","",BOM!A169)</f>
        <v/>
      </c>
      <c r="C169" s="35" t="str">
        <f>IF(B169="","",BOM!B169)</f>
        <v/>
      </c>
      <c r="D169" s="35" t="str">
        <f>IF(B169="","",IFERROR(INDEX(DM_NL!$B$5:$B$304,MATCH(C169,DM_NL!$A$5:$A$304,0)),""))</f>
        <v/>
      </c>
      <c r="E169" s="35" t="str">
        <f>IF(B169="","",IFERROR(INDEX(DM_NL!$C$5:$C$304,MATCH(C169,DM_NL!$A$5:$A$304,0)),""))</f>
        <v/>
      </c>
      <c r="F169" s="39" t="str">
        <f>IF(B169="","",SUMIFS(Mau15a!$F$11:$F$310,Mau15a!$B$11:$B$310,B169))</f>
        <v/>
      </c>
      <c r="G169" s="39" t="str">
        <f>IF(B169="","",IF(OR(M169="KXDDM",BOM!F169=""),0,BOM!F169))</f>
        <v/>
      </c>
      <c r="H169" s="39" t="str">
        <f t="shared" si="11"/>
        <v/>
      </c>
      <c r="I169" s="39" t="str">
        <f>IF(B169="","",SUMIFS(Mau15a!$H$11:$H$310,Mau15a!$B$11:$B$310,B169)+SUMIFS(Mau15a!$I$11:$I$310,Mau15a!$B$11:$B$310,B169)+SUMIFS(Mau15a!$J$11:$J$310,Mau15a!$B$11:$B$310,B169)-SUMIFS(Mau15a!$G$11:$G$310,Mau15a!$B$11:$B$310,B169))</f>
        <v/>
      </c>
      <c r="J169" s="39" t="str">
        <f t="shared" si="12"/>
        <v/>
      </c>
      <c r="K169" s="39" t="str">
        <f>IF(B169="","",(SUMIFS(Mau15a!$K$11:$K$310,Mau15a!$B$11:$B$310,B169)-SUMIFS(Mau15a!$E$11:$E$310,Mau15a!$B$11:$B$310,B169))*G169)</f>
        <v/>
      </c>
      <c r="L169" s="36" t="str">
        <f t="shared" si="13"/>
        <v/>
      </c>
      <c r="M169" s="36" t="str">
        <f>IF(B169="","",BOM!G169&amp;"")</f>
        <v/>
      </c>
      <c r="N169" s="36" t="str">
        <f t="shared" si="14"/>
        <v/>
      </c>
    </row>
    <row r="170" spans="1:14" x14ac:dyDescent="0.25">
      <c r="A170" s="35" t="str">
        <f t="shared" si="10"/>
        <v/>
      </c>
      <c r="B170" s="35" t="str">
        <f>IF(BOM!A170="","",BOM!A170)</f>
        <v/>
      </c>
      <c r="C170" s="35" t="str">
        <f>IF(B170="","",BOM!B170)</f>
        <v/>
      </c>
      <c r="D170" s="35" t="str">
        <f>IF(B170="","",IFERROR(INDEX(DM_NL!$B$5:$B$304,MATCH(C170,DM_NL!$A$5:$A$304,0)),""))</f>
        <v/>
      </c>
      <c r="E170" s="35" t="str">
        <f>IF(B170="","",IFERROR(INDEX(DM_NL!$C$5:$C$304,MATCH(C170,DM_NL!$A$5:$A$304,0)),""))</f>
        <v/>
      </c>
      <c r="F170" s="39" t="str">
        <f>IF(B170="","",SUMIFS(Mau15a!$F$11:$F$310,Mau15a!$B$11:$B$310,B170))</f>
        <v/>
      </c>
      <c r="G170" s="39" t="str">
        <f>IF(B170="","",IF(OR(M170="KXDDM",BOM!F170=""),0,BOM!F170))</f>
        <v/>
      </c>
      <c r="H170" s="39" t="str">
        <f t="shared" si="11"/>
        <v/>
      </c>
      <c r="I170" s="39" t="str">
        <f>IF(B170="","",SUMIFS(Mau15a!$H$11:$H$310,Mau15a!$B$11:$B$310,B170)+SUMIFS(Mau15a!$I$11:$I$310,Mau15a!$B$11:$B$310,B170)+SUMIFS(Mau15a!$J$11:$J$310,Mau15a!$B$11:$B$310,B170)-SUMIFS(Mau15a!$G$11:$G$310,Mau15a!$B$11:$B$310,B170))</f>
        <v/>
      </c>
      <c r="J170" s="39" t="str">
        <f t="shared" si="12"/>
        <v/>
      </c>
      <c r="K170" s="39" t="str">
        <f>IF(B170="","",(SUMIFS(Mau15a!$K$11:$K$310,Mau15a!$B$11:$B$310,B170)-SUMIFS(Mau15a!$E$11:$E$310,Mau15a!$B$11:$B$310,B170))*G170)</f>
        <v/>
      </c>
      <c r="L170" s="36" t="str">
        <f t="shared" si="13"/>
        <v/>
      </c>
      <c r="M170" s="36" t="str">
        <f>IF(B170="","",BOM!G170&amp;"")</f>
        <v/>
      </c>
      <c r="N170" s="36" t="str">
        <f t="shared" si="14"/>
        <v/>
      </c>
    </row>
    <row r="171" spans="1:14" x14ac:dyDescent="0.25">
      <c r="A171" s="35" t="str">
        <f t="shared" si="10"/>
        <v/>
      </c>
      <c r="B171" s="35" t="str">
        <f>IF(BOM!A171="","",BOM!A171)</f>
        <v/>
      </c>
      <c r="C171" s="35" t="str">
        <f>IF(B171="","",BOM!B171)</f>
        <v/>
      </c>
      <c r="D171" s="35" t="str">
        <f>IF(B171="","",IFERROR(INDEX(DM_NL!$B$5:$B$304,MATCH(C171,DM_NL!$A$5:$A$304,0)),""))</f>
        <v/>
      </c>
      <c r="E171" s="35" t="str">
        <f>IF(B171="","",IFERROR(INDEX(DM_NL!$C$5:$C$304,MATCH(C171,DM_NL!$A$5:$A$304,0)),""))</f>
        <v/>
      </c>
      <c r="F171" s="39" t="str">
        <f>IF(B171="","",SUMIFS(Mau15a!$F$11:$F$310,Mau15a!$B$11:$B$310,B171))</f>
        <v/>
      </c>
      <c r="G171" s="39" t="str">
        <f>IF(B171="","",IF(OR(M171="KXDDM",BOM!F171=""),0,BOM!F171))</f>
        <v/>
      </c>
      <c r="H171" s="39" t="str">
        <f t="shared" si="11"/>
        <v/>
      </c>
      <c r="I171" s="39" t="str">
        <f>IF(B171="","",SUMIFS(Mau15a!$H$11:$H$310,Mau15a!$B$11:$B$310,B171)+SUMIFS(Mau15a!$I$11:$I$310,Mau15a!$B$11:$B$310,B171)+SUMIFS(Mau15a!$J$11:$J$310,Mau15a!$B$11:$B$310,B171)-SUMIFS(Mau15a!$G$11:$G$310,Mau15a!$B$11:$B$310,B171))</f>
        <v/>
      </c>
      <c r="J171" s="39" t="str">
        <f t="shared" si="12"/>
        <v/>
      </c>
      <c r="K171" s="39" t="str">
        <f>IF(B171="","",(SUMIFS(Mau15a!$K$11:$K$310,Mau15a!$B$11:$B$310,B171)-SUMIFS(Mau15a!$E$11:$E$310,Mau15a!$B$11:$B$310,B171))*G171)</f>
        <v/>
      </c>
      <c r="L171" s="36" t="str">
        <f t="shared" si="13"/>
        <v/>
      </c>
      <c r="M171" s="36" t="str">
        <f>IF(B171="","",BOM!G171&amp;"")</f>
        <v/>
      </c>
      <c r="N171" s="36" t="str">
        <f t="shared" si="14"/>
        <v/>
      </c>
    </row>
    <row r="172" spans="1:14" x14ac:dyDescent="0.25">
      <c r="A172" s="35" t="str">
        <f t="shared" si="10"/>
        <v/>
      </c>
      <c r="B172" s="35" t="str">
        <f>IF(BOM!A172="","",BOM!A172)</f>
        <v/>
      </c>
      <c r="C172" s="35" t="str">
        <f>IF(B172="","",BOM!B172)</f>
        <v/>
      </c>
      <c r="D172" s="35" t="str">
        <f>IF(B172="","",IFERROR(INDEX(DM_NL!$B$5:$B$304,MATCH(C172,DM_NL!$A$5:$A$304,0)),""))</f>
        <v/>
      </c>
      <c r="E172" s="35" t="str">
        <f>IF(B172="","",IFERROR(INDEX(DM_NL!$C$5:$C$304,MATCH(C172,DM_NL!$A$5:$A$304,0)),""))</f>
        <v/>
      </c>
      <c r="F172" s="39" t="str">
        <f>IF(B172="","",SUMIFS(Mau15a!$F$11:$F$310,Mau15a!$B$11:$B$310,B172))</f>
        <v/>
      </c>
      <c r="G172" s="39" t="str">
        <f>IF(B172="","",IF(OR(M172="KXDDM",BOM!F172=""),0,BOM!F172))</f>
        <v/>
      </c>
      <c r="H172" s="39" t="str">
        <f t="shared" si="11"/>
        <v/>
      </c>
      <c r="I172" s="39" t="str">
        <f>IF(B172="","",SUMIFS(Mau15a!$H$11:$H$310,Mau15a!$B$11:$B$310,B172)+SUMIFS(Mau15a!$I$11:$I$310,Mau15a!$B$11:$B$310,B172)+SUMIFS(Mau15a!$J$11:$J$310,Mau15a!$B$11:$B$310,B172)-SUMIFS(Mau15a!$G$11:$G$310,Mau15a!$B$11:$B$310,B172))</f>
        <v/>
      </c>
      <c r="J172" s="39" t="str">
        <f t="shared" si="12"/>
        <v/>
      </c>
      <c r="K172" s="39" t="str">
        <f>IF(B172="","",(SUMIFS(Mau15a!$K$11:$K$310,Mau15a!$B$11:$B$310,B172)-SUMIFS(Mau15a!$E$11:$E$310,Mau15a!$B$11:$B$310,B172))*G172)</f>
        <v/>
      </c>
      <c r="L172" s="36" t="str">
        <f t="shared" si="13"/>
        <v/>
      </c>
      <c r="M172" s="36" t="str">
        <f>IF(B172="","",BOM!G172&amp;"")</f>
        <v/>
      </c>
      <c r="N172" s="36" t="str">
        <f t="shared" si="14"/>
        <v/>
      </c>
    </row>
    <row r="173" spans="1:14" x14ac:dyDescent="0.25">
      <c r="A173" s="35" t="str">
        <f t="shared" si="10"/>
        <v/>
      </c>
      <c r="B173" s="35" t="str">
        <f>IF(BOM!A173="","",BOM!A173)</f>
        <v/>
      </c>
      <c r="C173" s="35" t="str">
        <f>IF(B173="","",BOM!B173)</f>
        <v/>
      </c>
      <c r="D173" s="35" t="str">
        <f>IF(B173="","",IFERROR(INDEX(DM_NL!$B$5:$B$304,MATCH(C173,DM_NL!$A$5:$A$304,0)),""))</f>
        <v/>
      </c>
      <c r="E173" s="35" t="str">
        <f>IF(B173="","",IFERROR(INDEX(DM_NL!$C$5:$C$304,MATCH(C173,DM_NL!$A$5:$A$304,0)),""))</f>
        <v/>
      </c>
      <c r="F173" s="39" t="str">
        <f>IF(B173="","",SUMIFS(Mau15a!$F$11:$F$310,Mau15a!$B$11:$B$310,B173))</f>
        <v/>
      </c>
      <c r="G173" s="39" t="str">
        <f>IF(B173="","",IF(OR(M173="KXDDM",BOM!F173=""),0,BOM!F173))</f>
        <v/>
      </c>
      <c r="H173" s="39" t="str">
        <f t="shared" si="11"/>
        <v/>
      </c>
      <c r="I173" s="39" t="str">
        <f>IF(B173="","",SUMIFS(Mau15a!$H$11:$H$310,Mau15a!$B$11:$B$310,B173)+SUMIFS(Mau15a!$I$11:$I$310,Mau15a!$B$11:$B$310,B173)+SUMIFS(Mau15a!$J$11:$J$310,Mau15a!$B$11:$B$310,B173)-SUMIFS(Mau15a!$G$11:$G$310,Mau15a!$B$11:$B$310,B173))</f>
        <v/>
      </c>
      <c r="J173" s="39" t="str">
        <f t="shared" si="12"/>
        <v/>
      </c>
      <c r="K173" s="39" t="str">
        <f>IF(B173="","",(SUMIFS(Mau15a!$K$11:$K$310,Mau15a!$B$11:$B$310,B173)-SUMIFS(Mau15a!$E$11:$E$310,Mau15a!$B$11:$B$310,B173))*G173)</f>
        <v/>
      </c>
      <c r="L173" s="36" t="str">
        <f t="shared" si="13"/>
        <v/>
      </c>
      <c r="M173" s="36" t="str">
        <f>IF(B173="","",BOM!G173&amp;"")</f>
        <v/>
      </c>
      <c r="N173" s="36" t="str">
        <f t="shared" si="14"/>
        <v/>
      </c>
    </row>
    <row r="174" spans="1:14" x14ac:dyDescent="0.25">
      <c r="A174" s="35" t="str">
        <f t="shared" si="10"/>
        <v/>
      </c>
      <c r="B174" s="35" t="str">
        <f>IF(BOM!A174="","",BOM!A174)</f>
        <v/>
      </c>
      <c r="C174" s="35" t="str">
        <f>IF(B174="","",BOM!B174)</f>
        <v/>
      </c>
      <c r="D174" s="35" t="str">
        <f>IF(B174="","",IFERROR(INDEX(DM_NL!$B$5:$B$304,MATCH(C174,DM_NL!$A$5:$A$304,0)),""))</f>
        <v/>
      </c>
      <c r="E174" s="35" t="str">
        <f>IF(B174="","",IFERROR(INDEX(DM_NL!$C$5:$C$304,MATCH(C174,DM_NL!$A$5:$A$304,0)),""))</f>
        <v/>
      </c>
      <c r="F174" s="39" t="str">
        <f>IF(B174="","",SUMIFS(Mau15a!$F$11:$F$310,Mau15a!$B$11:$B$310,B174))</f>
        <v/>
      </c>
      <c r="G174" s="39" t="str">
        <f>IF(B174="","",IF(OR(M174="KXDDM",BOM!F174=""),0,BOM!F174))</f>
        <v/>
      </c>
      <c r="H174" s="39" t="str">
        <f t="shared" si="11"/>
        <v/>
      </c>
      <c r="I174" s="39" t="str">
        <f>IF(B174="","",SUMIFS(Mau15a!$H$11:$H$310,Mau15a!$B$11:$B$310,B174)+SUMIFS(Mau15a!$I$11:$I$310,Mau15a!$B$11:$B$310,B174)+SUMIFS(Mau15a!$J$11:$J$310,Mau15a!$B$11:$B$310,B174)-SUMIFS(Mau15a!$G$11:$G$310,Mau15a!$B$11:$B$310,B174))</f>
        <v/>
      </c>
      <c r="J174" s="39" t="str">
        <f t="shared" si="12"/>
        <v/>
      </c>
      <c r="K174" s="39" t="str">
        <f>IF(B174="","",(SUMIFS(Mau15a!$K$11:$K$310,Mau15a!$B$11:$B$310,B174)-SUMIFS(Mau15a!$E$11:$E$310,Mau15a!$B$11:$B$310,B174))*G174)</f>
        <v/>
      </c>
      <c r="L174" s="36" t="str">
        <f t="shared" si="13"/>
        <v/>
      </c>
      <c r="M174" s="36" t="str">
        <f>IF(B174="","",BOM!G174&amp;"")</f>
        <v/>
      </c>
      <c r="N174" s="36" t="str">
        <f t="shared" si="14"/>
        <v/>
      </c>
    </row>
    <row r="175" spans="1:14" x14ac:dyDescent="0.25">
      <c r="A175" s="35" t="str">
        <f t="shared" si="10"/>
        <v/>
      </c>
      <c r="B175" s="35" t="str">
        <f>IF(BOM!A175="","",BOM!A175)</f>
        <v/>
      </c>
      <c r="C175" s="35" t="str">
        <f>IF(B175="","",BOM!B175)</f>
        <v/>
      </c>
      <c r="D175" s="35" t="str">
        <f>IF(B175="","",IFERROR(INDEX(DM_NL!$B$5:$B$304,MATCH(C175,DM_NL!$A$5:$A$304,0)),""))</f>
        <v/>
      </c>
      <c r="E175" s="35" t="str">
        <f>IF(B175="","",IFERROR(INDEX(DM_NL!$C$5:$C$304,MATCH(C175,DM_NL!$A$5:$A$304,0)),""))</f>
        <v/>
      </c>
      <c r="F175" s="39" t="str">
        <f>IF(B175="","",SUMIFS(Mau15a!$F$11:$F$310,Mau15a!$B$11:$B$310,B175))</f>
        <v/>
      </c>
      <c r="G175" s="39" t="str">
        <f>IF(B175="","",IF(OR(M175="KXDDM",BOM!F175=""),0,BOM!F175))</f>
        <v/>
      </c>
      <c r="H175" s="39" t="str">
        <f t="shared" si="11"/>
        <v/>
      </c>
      <c r="I175" s="39" t="str">
        <f>IF(B175="","",SUMIFS(Mau15a!$H$11:$H$310,Mau15a!$B$11:$B$310,B175)+SUMIFS(Mau15a!$I$11:$I$310,Mau15a!$B$11:$B$310,B175)+SUMIFS(Mau15a!$J$11:$J$310,Mau15a!$B$11:$B$310,B175)-SUMIFS(Mau15a!$G$11:$G$310,Mau15a!$B$11:$B$310,B175))</f>
        <v/>
      </c>
      <c r="J175" s="39" t="str">
        <f t="shared" si="12"/>
        <v/>
      </c>
      <c r="K175" s="39" t="str">
        <f>IF(B175="","",(SUMIFS(Mau15a!$K$11:$K$310,Mau15a!$B$11:$B$310,B175)-SUMIFS(Mau15a!$E$11:$E$310,Mau15a!$B$11:$B$310,B175))*G175)</f>
        <v/>
      </c>
      <c r="L175" s="36" t="str">
        <f t="shared" si="13"/>
        <v/>
      </c>
      <c r="M175" s="36" t="str">
        <f>IF(B175="","",BOM!G175&amp;"")</f>
        <v/>
      </c>
      <c r="N175" s="36" t="str">
        <f t="shared" si="14"/>
        <v/>
      </c>
    </row>
    <row r="176" spans="1:14" x14ac:dyDescent="0.25">
      <c r="A176" s="35" t="str">
        <f t="shared" si="10"/>
        <v/>
      </c>
      <c r="B176" s="35" t="str">
        <f>IF(BOM!A176="","",BOM!A176)</f>
        <v/>
      </c>
      <c r="C176" s="35" t="str">
        <f>IF(B176="","",BOM!B176)</f>
        <v/>
      </c>
      <c r="D176" s="35" t="str">
        <f>IF(B176="","",IFERROR(INDEX(DM_NL!$B$5:$B$304,MATCH(C176,DM_NL!$A$5:$A$304,0)),""))</f>
        <v/>
      </c>
      <c r="E176" s="35" t="str">
        <f>IF(B176="","",IFERROR(INDEX(DM_NL!$C$5:$C$304,MATCH(C176,DM_NL!$A$5:$A$304,0)),""))</f>
        <v/>
      </c>
      <c r="F176" s="39" t="str">
        <f>IF(B176="","",SUMIFS(Mau15a!$F$11:$F$310,Mau15a!$B$11:$B$310,B176))</f>
        <v/>
      </c>
      <c r="G176" s="39" t="str">
        <f>IF(B176="","",IF(OR(M176="KXDDM",BOM!F176=""),0,BOM!F176))</f>
        <v/>
      </c>
      <c r="H176" s="39" t="str">
        <f t="shared" si="11"/>
        <v/>
      </c>
      <c r="I176" s="39" t="str">
        <f>IF(B176="","",SUMIFS(Mau15a!$H$11:$H$310,Mau15a!$B$11:$B$310,B176)+SUMIFS(Mau15a!$I$11:$I$310,Mau15a!$B$11:$B$310,B176)+SUMIFS(Mau15a!$J$11:$J$310,Mau15a!$B$11:$B$310,B176)-SUMIFS(Mau15a!$G$11:$G$310,Mau15a!$B$11:$B$310,B176))</f>
        <v/>
      </c>
      <c r="J176" s="39" t="str">
        <f t="shared" si="12"/>
        <v/>
      </c>
      <c r="K176" s="39" t="str">
        <f>IF(B176="","",(SUMIFS(Mau15a!$K$11:$K$310,Mau15a!$B$11:$B$310,B176)-SUMIFS(Mau15a!$E$11:$E$310,Mau15a!$B$11:$B$310,B176))*G176)</f>
        <v/>
      </c>
      <c r="L176" s="36" t="str">
        <f t="shared" si="13"/>
        <v/>
      </c>
      <c r="M176" s="36" t="str">
        <f>IF(B176="","",BOM!G176&amp;"")</f>
        <v/>
      </c>
      <c r="N176" s="36" t="str">
        <f t="shared" si="14"/>
        <v/>
      </c>
    </row>
    <row r="177" spans="1:14" x14ac:dyDescent="0.25">
      <c r="A177" s="35" t="str">
        <f t="shared" si="10"/>
        <v/>
      </c>
      <c r="B177" s="35" t="str">
        <f>IF(BOM!A177="","",BOM!A177)</f>
        <v/>
      </c>
      <c r="C177" s="35" t="str">
        <f>IF(B177="","",BOM!B177)</f>
        <v/>
      </c>
      <c r="D177" s="35" t="str">
        <f>IF(B177="","",IFERROR(INDEX(DM_NL!$B$5:$B$304,MATCH(C177,DM_NL!$A$5:$A$304,0)),""))</f>
        <v/>
      </c>
      <c r="E177" s="35" t="str">
        <f>IF(B177="","",IFERROR(INDEX(DM_NL!$C$5:$C$304,MATCH(C177,DM_NL!$A$5:$A$304,0)),""))</f>
        <v/>
      </c>
      <c r="F177" s="39" t="str">
        <f>IF(B177="","",SUMIFS(Mau15a!$F$11:$F$310,Mau15a!$B$11:$B$310,B177))</f>
        <v/>
      </c>
      <c r="G177" s="39" t="str">
        <f>IF(B177="","",IF(OR(M177="KXDDM",BOM!F177=""),0,BOM!F177))</f>
        <v/>
      </c>
      <c r="H177" s="39" t="str">
        <f t="shared" si="11"/>
        <v/>
      </c>
      <c r="I177" s="39" t="str">
        <f>IF(B177="","",SUMIFS(Mau15a!$H$11:$H$310,Mau15a!$B$11:$B$310,B177)+SUMIFS(Mau15a!$I$11:$I$310,Mau15a!$B$11:$B$310,B177)+SUMIFS(Mau15a!$J$11:$J$310,Mau15a!$B$11:$B$310,B177)-SUMIFS(Mau15a!$G$11:$G$310,Mau15a!$B$11:$B$310,B177))</f>
        <v/>
      </c>
      <c r="J177" s="39" t="str">
        <f t="shared" si="12"/>
        <v/>
      </c>
      <c r="K177" s="39" t="str">
        <f>IF(B177="","",(SUMIFS(Mau15a!$K$11:$K$310,Mau15a!$B$11:$B$310,B177)-SUMIFS(Mau15a!$E$11:$E$310,Mau15a!$B$11:$B$310,B177))*G177)</f>
        <v/>
      </c>
      <c r="L177" s="36" t="str">
        <f t="shared" si="13"/>
        <v/>
      </c>
      <c r="M177" s="36" t="str">
        <f>IF(B177="","",BOM!G177&amp;"")</f>
        <v/>
      </c>
      <c r="N177" s="36" t="str">
        <f t="shared" si="14"/>
        <v/>
      </c>
    </row>
    <row r="178" spans="1:14" x14ac:dyDescent="0.25">
      <c r="A178" s="35" t="str">
        <f t="shared" si="10"/>
        <v/>
      </c>
      <c r="B178" s="35" t="str">
        <f>IF(BOM!A178="","",BOM!A178)</f>
        <v/>
      </c>
      <c r="C178" s="35" t="str">
        <f>IF(B178="","",BOM!B178)</f>
        <v/>
      </c>
      <c r="D178" s="35" t="str">
        <f>IF(B178="","",IFERROR(INDEX(DM_NL!$B$5:$B$304,MATCH(C178,DM_NL!$A$5:$A$304,0)),""))</f>
        <v/>
      </c>
      <c r="E178" s="35" t="str">
        <f>IF(B178="","",IFERROR(INDEX(DM_NL!$C$5:$C$304,MATCH(C178,DM_NL!$A$5:$A$304,0)),""))</f>
        <v/>
      </c>
      <c r="F178" s="39" t="str">
        <f>IF(B178="","",SUMIFS(Mau15a!$F$11:$F$310,Mau15a!$B$11:$B$310,B178))</f>
        <v/>
      </c>
      <c r="G178" s="39" t="str">
        <f>IF(B178="","",IF(OR(M178="KXDDM",BOM!F178=""),0,BOM!F178))</f>
        <v/>
      </c>
      <c r="H178" s="39" t="str">
        <f t="shared" si="11"/>
        <v/>
      </c>
      <c r="I178" s="39" t="str">
        <f>IF(B178="","",SUMIFS(Mau15a!$H$11:$H$310,Mau15a!$B$11:$B$310,B178)+SUMIFS(Mau15a!$I$11:$I$310,Mau15a!$B$11:$B$310,B178)+SUMIFS(Mau15a!$J$11:$J$310,Mau15a!$B$11:$B$310,B178)-SUMIFS(Mau15a!$G$11:$G$310,Mau15a!$B$11:$B$310,B178))</f>
        <v/>
      </c>
      <c r="J178" s="39" t="str">
        <f t="shared" si="12"/>
        <v/>
      </c>
      <c r="K178" s="39" t="str">
        <f>IF(B178="","",(SUMIFS(Mau15a!$K$11:$K$310,Mau15a!$B$11:$B$310,B178)-SUMIFS(Mau15a!$E$11:$E$310,Mau15a!$B$11:$B$310,B178))*G178)</f>
        <v/>
      </c>
      <c r="L178" s="36" t="str">
        <f t="shared" si="13"/>
        <v/>
      </c>
      <c r="M178" s="36" t="str">
        <f>IF(B178="","",BOM!G178&amp;"")</f>
        <v/>
      </c>
      <c r="N178" s="36" t="str">
        <f t="shared" si="14"/>
        <v/>
      </c>
    </row>
    <row r="179" spans="1:14" x14ac:dyDescent="0.25">
      <c r="A179" s="35" t="str">
        <f t="shared" si="10"/>
        <v/>
      </c>
      <c r="B179" s="35" t="str">
        <f>IF(BOM!A179="","",BOM!A179)</f>
        <v/>
      </c>
      <c r="C179" s="35" t="str">
        <f>IF(B179="","",BOM!B179)</f>
        <v/>
      </c>
      <c r="D179" s="35" t="str">
        <f>IF(B179="","",IFERROR(INDEX(DM_NL!$B$5:$B$304,MATCH(C179,DM_NL!$A$5:$A$304,0)),""))</f>
        <v/>
      </c>
      <c r="E179" s="35" t="str">
        <f>IF(B179="","",IFERROR(INDEX(DM_NL!$C$5:$C$304,MATCH(C179,DM_NL!$A$5:$A$304,0)),""))</f>
        <v/>
      </c>
      <c r="F179" s="39" t="str">
        <f>IF(B179="","",SUMIFS(Mau15a!$F$11:$F$310,Mau15a!$B$11:$B$310,B179))</f>
        <v/>
      </c>
      <c r="G179" s="39" t="str">
        <f>IF(B179="","",IF(OR(M179="KXDDM",BOM!F179=""),0,BOM!F179))</f>
        <v/>
      </c>
      <c r="H179" s="39" t="str">
        <f t="shared" si="11"/>
        <v/>
      </c>
      <c r="I179" s="39" t="str">
        <f>IF(B179="","",SUMIFS(Mau15a!$H$11:$H$310,Mau15a!$B$11:$B$310,B179)+SUMIFS(Mau15a!$I$11:$I$310,Mau15a!$B$11:$B$310,B179)+SUMIFS(Mau15a!$J$11:$J$310,Mau15a!$B$11:$B$310,B179)-SUMIFS(Mau15a!$G$11:$G$310,Mau15a!$B$11:$B$310,B179))</f>
        <v/>
      </c>
      <c r="J179" s="39" t="str">
        <f t="shared" si="12"/>
        <v/>
      </c>
      <c r="K179" s="39" t="str">
        <f>IF(B179="","",(SUMIFS(Mau15a!$K$11:$K$310,Mau15a!$B$11:$B$310,B179)-SUMIFS(Mau15a!$E$11:$E$310,Mau15a!$B$11:$B$310,B179))*G179)</f>
        <v/>
      </c>
      <c r="L179" s="36" t="str">
        <f t="shared" si="13"/>
        <v/>
      </c>
      <c r="M179" s="36" t="str">
        <f>IF(B179="","",BOM!G179&amp;"")</f>
        <v/>
      </c>
      <c r="N179" s="36" t="str">
        <f t="shared" si="14"/>
        <v/>
      </c>
    </row>
    <row r="180" spans="1:14" x14ac:dyDescent="0.25">
      <c r="A180" s="35" t="str">
        <f t="shared" si="10"/>
        <v/>
      </c>
      <c r="B180" s="35" t="str">
        <f>IF(BOM!A180="","",BOM!A180)</f>
        <v/>
      </c>
      <c r="C180" s="35" t="str">
        <f>IF(B180="","",BOM!B180)</f>
        <v/>
      </c>
      <c r="D180" s="35" t="str">
        <f>IF(B180="","",IFERROR(INDEX(DM_NL!$B$5:$B$304,MATCH(C180,DM_NL!$A$5:$A$304,0)),""))</f>
        <v/>
      </c>
      <c r="E180" s="35" t="str">
        <f>IF(B180="","",IFERROR(INDEX(DM_NL!$C$5:$C$304,MATCH(C180,DM_NL!$A$5:$A$304,0)),""))</f>
        <v/>
      </c>
      <c r="F180" s="39" t="str">
        <f>IF(B180="","",SUMIFS(Mau15a!$F$11:$F$310,Mau15a!$B$11:$B$310,B180))</f>
        <v/>
      </c>
      <c r="G180" s="39" t="str">
        <f>IF(B180="","",IF(OR(M180="KXDDM",BOM!F180=""),0,BOM!F180))</f>
        <v/>
      </c>
      <c r="H180" s="39" t="str">
        <f t="shared" si="11"/>
        <v/>
      </c>
      <c r="I180" s="39" t="str">
        <f>IF(B180="","",SUMIFS(Mau15a!$H$11:$H$310,Mau15a!$B$11:$B$310,B180)+SUMIFS(Mau15a!$I$11:$I$310,Mau15a!$B$11:$B$310,B180)+SUMIFS(Mau15a!$J$11:$J$310,Mau15a!$B$11:$B$310,B180)-SUMIFS(Mau15a!$G$11:$G$310,Mau15a!$B$11:$B$310,B180))</f>
        <v/>
      </c>
      <c r="J180" s="39" t="str">
        <f t="shared" si="12"/>
        <v/>
      </c>
      <c r="K180" s="39" t="str">
        <f>IF(B180="","",(SUMIFS(Mau15a!$K$11:$K$310,Mau15a!$B$11:$B$310,B180)-SUMIFS(Mau15a!$E$11:$E$310,Mau15a!$B$11:$B$310,B180))*G180)</f>
        <v/>
      </c>
      <c r="L180" s="36" t="str">
        <f t="shared" si="13"/>
        <v/>
      </c>
      <c r="M180" s="36" t="str">
        <f>IF(B180="","",BOM!G180&amp;"")</f>
        <v/>
      </c>
      <c r="N180" s="36" t="str">
        <f t="shared" si="14"/>
        <v/>
      </c>
    </row>
    <row r="181" spans="1:14" x14ac:dyDescent="0.25">
      <c r="A181" s="35" t="str">
        <f t="shared" si="10"/>
        <v/>
      </c>
      <c r="B181" s="35" t="str">
        <f>IF(BOM!A181="","",BOM!A181)</f>
        <v/>
      </c>
      <c r="C181" s="35" t="str">
        <f>IF(B181="","",BOM!B181)</f>
        <v/>
      </c>
      <c r="D181" s="35" t="str">
        <f>IF(B181="","",IFERROR(INDEX(DM_NL!$B$5:$B$304,MATCH(C181,DM_NL!$A$5:$A$304,0)),""))</f>
        <v/>
      </c>
      <c r="E181" s="35" t="str">
        <f>IF(B181="","",IFERROR(INDEX(DM_NL!$C$5:$C$304,MATCH(C181,DM_NL!$A$5:$A$304,0)),""))</f>
        <v/>
      </c>
      <c r="F181" s="39" t="str">
        <f>IF(B181="","",SUMIFS(Mau15a!$F$11:$F$310,Mau15a!$B$11:$B$310,B181))</f>
        <v/>
      </c>
      <c r="G181" s="39" t="str">
        <f>IF(B181="","",IF(OR(M181="KXDDM",BOM!F181=""),0,BOM!F181))</f>
        <v/>
      </c>
      <c r="H181" s="39" t="str">
        <f t="shared" si="11"/>
        <v/>
      </c>
      <c r="I181" s="39" t="str">
        <f>IF(B181="","",SUMIFS(Mau15a!$H$11:$H$310,Mau15a!$B$11:$B$310,B181)+SUMIFS(Mau15a!$I$11:$I$310,Mau15a!$B$11:$B$310,B181)+SUMIFS(Mau15a!$J$11:$J$310,Mau15a!$B$11:$B$310,B181)-SUMIFS(Mau15a!$G$11:$G$310,Mau15a!$B$11:$B$310,B181))</f>
        <v/>
      </c>
      <c r="J181" s="39" t="str">
        <f t="shared" si="12"/>
        <v/>
      </c>
      <c r="K181" s="39" t="str">
        <f>IF(B181="","",(SUMIFS(Mau15a!$K$11:$K$310,Mau15a!$B$11:$B$310,B181)-SUMIFS(Mau15a!$E$11:$E$310,Mau15a!$B$11:$B$310,B181))*G181)</f>
        <v/>
      </c>
      <c r="L181" s="36" t="str">
        <f t="shared" si="13"/>
        <v/>
      </c>
      <c r="M181" s="36" t="str">
        <f>IF(B181="","",BOM!G181&amp;"")</f>
        <v/>
      </c>
      <c r="N181" s="36" t="str">
        <f t="shared" si="14"/>
        <v/>
      </c>
    </row>
    <row r="182" spans="1:14" x14ac:dyDescent="0.25">
      <c r="A182" s="35" t="str">
        <f t="shared" si="10"/>
        <v/>
      </c>
      <c r="B182" s="35" t="str">
        <f>IF(BOM!A182="","",BOM!A182)</f>
        <v/>
      </c>
      <c r="C182" s="35" t="str">
        <f>IF(B182="","",BOM!B182)</f>
        <v/>
      </c>
      <c r="D182" s="35" t="str">
        <f>IF(B182="","",IFERROR(INDEX(DM_NL!$B$5:$B$304,MATCH(C182,DM_NL!$A$5:$A$304,0)),""))</f>
        <v/>
      </c>
      <c r="E182" s="35" t="str">
        <f>IF(B182="","",IFERROR(INDEX(DM_NL!$C$5:$C$304,MATCH(C182,DM_NL!$A$5:$A$304,0)),""))</f>
        <v/>
      </c>
      <c r="F182" s="39" t="str">
        <f>IF(B182="","",SUMIFS(Mau15a!$F$11:$F$310,Mau15a!$B$11:$B$310,B182))</f>
        <v/>
      </c>
      <c r="G182" s="39" t="str">
        <f>IF(B182="","",IF(OR(M182="KXDDM",BOM!F182=""),0,BOM!F182))</f>
        <v/>
      </c>
      <c r="H182" s="39" t="str">
        <f t="shared" si="11"/>
        <v/>
      </c>
      <c r="I182" s="39" t="str">
        <f>IF(B182="","",SUMIFS(Mau15a!$H$11:$H$310,Mau15a!$B$11:$B$310,B182)+SUMIFS(Mau15a!$I$11:$I$310,Mau15a!$B$11:$B$310,B182)+SUMIFS(Mau15a!$J$11:$J$310,Mau15a!$B$11:$B$310,B182)-SUMIFS(Mau15a!$G$11:$G$310,Mau15a!$B$11:$B$310,B182))</f>
        <v/>
      </c>
      <c r="J182" s="39" t="str">
        <f t="shared" si="12"/>
        <v/>
      </c>
      <c r="K182" s="39" t="str">
        <f>IF(B182="","",(SUMIFS(Mau15a!$K$11:$K$310,Mau15a!$B$11:$B$310,B182)-SUMIFS(Mau15a!$E$11:$E$310,Mau15a!$B$11:$B$310,B182))*G182)</f>
        <v/>
      </c>
      <c r="L182" s="36" t="str">
        <f t="shared" si="13"/>
        <v/>
      </c>
      <c r="M182" s="36" t="str">
        <f>IF(B182="","",BOM!G182&amp;"")</f>
        <v/>
      </c>
      <c r="N182" s="36" t="str">
        <f t="shared" si="14"/>
        <v/>
      </c>
    </row>
    <row r="183" spans="1:14" x14ac:dyDescent="0.25">
      <c r="A183" s="35" t="str">
        <f t="shared" si="10"/>
        <v/>
      </c>
      <c r="B183" s="35" t="str">
        <f>IF(BOM!A183="","",BOM!A183)</f>
        <v/>
      </c>
      <c r="C183" s="35" t="str">
        <f>IF(B183="","",BOM!B183)</f>
        <v/>
      </c>
      <c r="D183" s="35" t="str">
        <f>IF(B183="","",IFERROR(INDEX(DM_NL!$B$5:$B$304,MATCH(C183,DM_NL!$A$5:$A$304,0)),""))</f>
        <v/>
      </c>
      <c r="E183" s="35" t="str">
        <f>IF(B183="","",IFERROR(INDEX(DM_NL!$C$5:$C$304,MATCH(C183,DM_NL!$A$5:$A$304,0)),""))</f>
        <v/>
      </c>
      <c r="F183" s="39" t="str">
        <f>IF(B183="","",SUMIFS(Mau15a!$F$11:$F$310,Mau15a!$B$11:$B$310,B183))</f>
        <v/>
      </c>
      <c r="G183" s="39" t="str">
        <f>IF(B183="","",IF(OR(M183="KXDDM",BOM!F183=""),0,BOM!F183))</f>
        <v/>
      </c>
      <c r="H183" s="39" t="str">
        <f t="shared" si="11"/>
        <v/>
      </c>
      <c r="I183" s="39" t="str">
        <f>IF(B183="","",SUMIFS(Mau15a!$H$11:$H$310,Mau15a!$B$11:$B$310,B183)+SUMIFS(Mau15a!$I$11:$I$310,Mau15a!$B$11:$B$310,B183)+SUMIFS(Mau15a!$J$11:$J$310,Mau15a!$B$11:$B$310,B183)-SUMIFS(Mau15a!$G$11:$G$310,Mau15a!$B$11:$B$310,B183))</f>
        <v/>
      </c>
      <c r="J183" s="39" t="str">
        <f t="shared" si="12"/>
        <v/>
      </c>
      <c r="K183" s="39" t="str">
        <f>IF(B183="","",(SUMIFS(Mau15a!$K$11:$K$310,Mau15a!$B$11:$B$310,B183)-SUMIFS(Mau15a!$E$11:$E$310,Mau15a!$B$11:$B$310,B183))*G183)</f>
        <v/>
      </c>
      <c r="L183" s="36" t="str">
        <f t="shared" si="13"/>
        <v/>
      </c>
      <c r="M183" s="36" t="str">
        <f>IF(B183="","",BOM!G183&amp;"")</f>
        <v/>
      </c>
      <c r="N183" s="36" t="str">
        <f t="shared" si="14"/>
        <v/>
      </c>
    </row>
    <row r="184" spans="1:14" x14ac:dyDescent="0.25">
      <c r="A184" s="35" t="str">
        <f t="shared" si="10"/>
        <v/>
      </c>
      <c r="B184" s="35" t="str">
        <f>IF(BOM!A184="","",BOM!A184)</f>
        <v/>
      </c>
      <c r="C184" s="35" t="str">
        <f>IF(B184="","",BOM!B184)</f>
        <v/>
      </c>
      <c r="D184" s="35" t="str">
        <f>IF(B184="","",IFERROR(INDEX(DM_NL!$B$5:$B$304,MATCH(C184,DM_NL!$A$5:$A$304,0)),""))</f>
        <v/>
      </c>
      <c r="E184" s="35" t="str">
        <f>IF(B184="","",IFERROR(INDEX(DM_NL!$C$5:$C$304,MATCH(C184,DM_NL!$A$5:$A$304,0)),""))</f>
        <v/>
      </c>
      <c r="F184" s="39" t="str">
        <f>IF(B184="","",SUMIFS(Mau15a!$F$11:$F$310,Mau15a!$B$11:$B$310,B184))</f>
        <v/>
      </c>
      <c r="G184" s="39" t="str">
        <f>IF(B184="","",IF(OR(M184="KXDDM",BOM!F184=""),0,BOM!F184))</f>
        <v/>
      </c>
      <c r="H184" s="39" t="str">
        <f t="shared" si="11"/>
        <v/>
      </c>
      <c r="I184" s="39" t="str">
        <f>IF(B184="","",SUMIFS(Mau15a!$H$11:$H$310,Mau15a!$B$11:$B$310,B184)+SUMIFS(Mau15a!$I$11:$I$310,Mau15a!$B$11:$B$310,B184)+SUMIFS(Mau15a!$J$11:$J$310,Mau15a!$B$11:$B$310,B184)-SUMIFS(Mau15a!$G$11:$G$310,Mau15a!$B$11:$B$310,B184))</f>
        <v/>
      </c>
      <c r="J184" s="39" t="str">
        <f t="shared" si="12"/>
        <v/>
      </c>
      <c r="K184" s="39" t="str">
        <f>IF(B184="","",(SUMIFS(Mau15a!$K$11:$K$310,Mau15a!$B$11:$B$310,B184)-SUMIFS(Mau15a!$E$11:$E$310,Mau15a!$B$11:$B$310,B184))*G184)</f>
        <v/>
      </c>
      <c r="L184" s="36" t="str">
        <f t="shared" si="13"/>
        <v/>
      </c>
      <c r="M184" s="36" t="str">
        <f>IF(B184="","",BOM!G184&amp;"")</f>
        <v/>
      </c>
      <c r="N184" s="36" t="str">
        <f t="shared" si="14"/>
        <v/>
      </c>
    </row>
    <row r="185" spans="1:14" x14ac:dyDescent="0.25">
      <c r="A185" s="35" t="str">
        <f t="shared" si="10"/>
        <v/>
      </c>
      <c r="B185" s="35" t="str">
        <f>IF(BOM!A185="","",BOM!A185)</f>
        <v/>
      </c>
      <c r="C185" s="35" t="str">
        <f>IF(B185="","",BOM!B185)</f>
        <v/>
      </c>
      <c r="D185" s="35" t="str">
        <f>IF(B185="","",IFERROR(INDEX(DM_NL!$B$5:$B$304,MATCH(C185,DM_NL!$A$5:$A$304,0)),""))</f>
        <v/>
      </c>
      <c r="E185" s="35" t="str">
        <f>IF(B185="","",IFERROR(INDEX(DM_NL!$C$5:$C$304,MATCH(C185,DM_NL!$A$5:$A$304,0)),""))</f>
        <v/>
      </c>
      <c r="F185" s="39" t="str">
        <f>IF(B185="","",SUMIFS(Mau15a!$F$11:$F$310,Mau15a!$B$11:$B$310,B185))</f>
        <v/>
      </c>
      <c r="G185" s="39" t="str">
        <f>IF(B185="","",IF(OR(M185="KXDDM",BOM!F185=""),0,BOM!F185))</f>
        <v/>
      </c>
      <c r="H185" s="39" t="str">
        <f t="shared" si="11"/>
        <v/>
      </c>
      <c r="I185" s="39" t="str">
        <f>IF(B185="","",SUMIFS(Mau15a!$H$11:$H$310,Mau15a!$B$11:$B$310,B185)+SUMIFS(Mau15a!$I$11:$I$310,Mau15a!$B$11:$B$310,B185)+SUMIFS(Mau15a!$J$11:$J$310,Mau15a!$B$11:$B$310,B185)-SUMIFS(Mau15a!$G$11:$G$310,Mau15a!$B$11:$B$310,B185))</f>
        <v/>
      </c>
      <c r="J185" s="39" t="str">
        <f t="shared" si="12"/>
        <v/>
      </c>
      <c r="K185" s="39" t="str">
        <f>IF(B185="","",(SUMIFS(Mau15a!$K$11:$K$310,Mau15a!$B$11:$B$310,B185)-SUMIFS(Mau15a!$E$11:$E$310,Mau15a!$B$11:$B$310,B185))*G185)</f>
        <v/>
      </c>
      <c r="L185" s="36" t="str">
        <f t="shared" si="13"/>
        <v/>
      </c>
      <c r="M185" s="36" t="str">
        <f>IF(B185="","",BOM!G185&amp;"")</f>
        <v/>
      </c>
      <c r="N185" s="36" t="str">
        <f t="shared" si="14"/>
        <v/>
      </c>
    </row>
    <row r="186" spans="1:14" x14ac:dyDescent="0.25">
      <c r="A186" s="35" t="str">
        <f t="shared" si="10"/>
        <v/>
      </c>
      <c r="B186" s="35" t="str">
        <f>IF(BOM!A186="","",BOM!A186)</f>
        <v/>
      </c>
      <c r="C186" s="35" t="str">
        <f>IF(B186="","",BOM!B186)</f>
        <v/>
      </c>
      <c r="D186" s="35" t="str">
        <f>IF(B186="","",IFERROR(INDEX(DM_NL!$B$5:$B$304,MATCH(C186,DM_NL!$A$5:$A$304,0)),""))</f>
        <v/>
      </c>
      <c r="E186" s="35" t="str">
        <f>IF(B186="","",IFERROR(INDEX(DM_NL!$C$5:$C$304,MATCH(C186,DM_NL!$A$5:$A$304,0)),""))</f>
        <v/>
      </c>
      <c r="F186" s="39" t="str">
        <f>IF(B186="","",SUMIFS(Mau15a!$F$11:$F$310,Mau15a!$B$11:$B$310,B186))</f>
        <v/>
      </c>
      <c r="G186" s="39" t="str">
        <f>IF(B186="","",IF(OR(M186="KXDDM",BOM!F186=""),0,BOM!F186))</f>
        <v/>
      </c>
      <c r="H186" s="39" t="str">
        <f t="shared" si="11"/>
        <v/>
      </c>
      <c r="I186" s="39" t="str">
        <f>IF(B186="","",SUMIFS(Mau15a!$H$11:$H$310,Mau15a!$B$11:$B$310,B186)+SUMIFS(Mau15a!$I$11:$I$310,Mau15a!$B$11:$B$310,B186)+SUMIFS(Mau15a!$J$11:$J$310,Mau15a!$B$11:$B$310,B186)-SUMIFS(Mau15a!$G$11:$G$310,Mau15a!$B$11:$B$310,B186))</f>
        <v/>
      </c>
      <c r="J186" s="39" t="str">
        <f t="shared" si="12"/>
        <v/>
      </c>
      <c r="K186" s="39" t="str">
        <f>IF(B186="","",(SUMIFS(Mau15a!$K$11:$K$310,Mau15a!$B$11:$B$310,B186)-SUMIFS(Mau15a!$E$11:$E$310,Mau15a!$B$11:$B$310,B186))*G186)</f>
        <v/>
      </c>
      <c r="L186" s="36" t="str">
        <f t="shared" si="13"/>
        <v/>
      </c>
      <c r="M186" s="36" t="str">
        <f>IF(B186="","",BOM!G186&amp;"")</f>
        <v/>
      </c>
      <c r="N186" s="36" t="str">
        <f t="shared" si="14"/>
        <v/>
      </c>
    </row>
    <row r="187" spans="1:14" x14ac:dyDescent="0.25">
      <c r="A187" s="35" t="str">
        <f t="shared" si="10"/>
        <v/>
      </c>
      <c r="B187" s="35" t="str">
        <f>IF(BOM!A187="","",BOM!A187)</f>
        <v/>
      </c>
      <c r="C187" s="35" t="str">
        <f>IF(B187="","",BOM!B187)</f>
        <v/>
      </c>
      <c r="D187" s="35" t="str">
        <f>IF(B187="","",IFERROR(INDEX(DM_NL!$B$5:$B$304,MATCH(C187,DM_NL!$A$5:$A$304,0)),""))</f>
        <v/>
      </c>
      <c r="E187" s="35" t="str">
        <f>IF(B187="","",IFERROR(INDEX(DM_NL!$C$5:$C$304,MATCH(C187,DM_NL!$A$5:$A$304,0)),""))</f>
        <v/>
      </c>
      <c r="F187" s="39" t="str">
        <f>IF(B187="","",SUMIFS(Mau15a!$F$11:$F$310,Mau15a!$B$11:$B$310,B187))</f>
        <v/>
      </c>
      <c r="G187" s="39" t="str">
        <f>IF(B187="","",IF(OR(M187="KXDDM",BOM!F187=""),0,BOM!F187))</f>
        <v/>
      </c>
      <c r="H187" s="39" t="str">
        <f t="shared" si="11"/>
        <v/>
      </c>
      <c r="I187" s="39" t="str">
        <f>IF(B187="","",SUMIFS(Mau15a!$H$11:$H$310,Mau15a!$B$11:$B$310,B187)+SUMIFS(Mau15a!$I$11:$I$310,Mau15a!$B$11:$B$310,B187)+SUMIFS(Mau15a!$J$11:$J$310,Mau15a!$B$11:$B$310,B187)-SUMIFS(Mau15a!$G$11:$G$310,Mau15a!$B$11:$B$310,B187))</f>
        <v/>
      </c>
      <c r="J187" s="39" t="str">
        <f t="shared" si="12"/>
        <v/>
      </c>
      <c r="K187" s="39" t="str">
        <f>IF(B187="","",(SUMIFS(Mau15a!$K$11:$K$310,Mau15a!$B$11:$B$310,B187)-SUMIFS(Mau15a!$E$11:$E$310,Mau15a!$B$11:$B$310,B187))*G187)</f>
        <v/>
      </c>
      <c r="L187" s="36" t="str">
        <f t="shared" si="13"/>
        <v/>
      </c>
      <c r="M187" s="36" t="str">
        <f>IF(B187="","",BOM!G187&amp;"")</f>
        <v/>
      </c>
      <c r="N187" s="36" t="str">
        <f t="shared" si="14"/>
        <v/>
      </c>
    </row>
    <row r="188" spans="1:14" x14ac:dyDescent="0.25">
      <c r="A188" s="35" t="str">
        <f t="shared" si="10"/>
        <v/>
      </c>
      <c r="B188" s="35" t="str">
        <f>IF(BOM!A188="","",BOM!A188)</f>
        <v/>
      </c>
      <c r="C188" s="35" t="str">
        <f>IF(B188="","",BOM!B188)</f>
        <v/>
      </c>
      <c r="D188" s="35" t="str">
        <f>IF(B188="","",IFERROR(INDEX(DM_NL!$B$5:$B$304,MATCH(C188,DM_NL!$A$5:$A$304,0)),""))</f>
        <v/>
      </c>
      <c r="E188" s="35" t="str">
        <f>IF(B188="","",IFERROR(INDEX(DM_NL!$C$5:$C$304,MATCH(C188,DM_NL!$A$5:$A$304,0)),""))</f>
        <v/>
      </c>
      <c r="F188" s="39" t="str">
        <f>IF(B188="","",SUMIFS(Mau15a!$F$11:$F$310,Mau15a!$B$11:$B$310,B188))</f>
        <v/>
      </c>
      <c r="G188" s="39" t="str">
        <f>IF(B188="","",IF(OR(M188="KXDDM",BOM!F188=""),0,BOM!F188))</f>
        <v/>
      </c>
      <c r="H188" s="39" t="str">
        <f t="shared" si="11"/>
        <v/>
      </c>
      <c r="I188" s="39" t="str">
        <f>IF(B188="","",SUMIFS(Mau15a!$H$11:$H$310,Mau15a!$B$11:$B$310,B188)+SUMIFS(Mau15a!$I$11:$I$310,Mau15a!$B$11:$B$310,B188)+SUMIFS(Mau15a!$J$11:$J$310,Mau15a!$B$11:$B$310,B188)-SUMIFS(Mau15a!$G$11:$G$310,Mau15a!$B$11:$B$310,B188))</f>
        <v/>
      </c>
      <c r="J188" s="39" t="str">
        <f t="shared" si="12"/>
        <v/>
      </c>
      <c r="K188" s="39" t="str">
        <f>IF(B188="","",(SUMIFS(Mau15a!$K$11:$K$310,Mau15a!$B$11:$B$310,B188)-SUMIFS(Mau15a!$E$11:$E$310,Mau15a!$B$11:$B$310,B188))*G188)</f>
        <v/>
      </c>
      <c r="L188" s="36" t="str">
        <f t="shared" si="13"/>
        <v/>
      </c>
      <c r="M188" s="36" t="str">
        <f>IF(B188="","",BOM!G188&amp;"")</f>
        <v/>
      </c>
      <c r="N188" s="36" t="str">
        <f t="shared" si="14"/>
        <v/>
      </c>
    </row>
    <row r="189" spans="1:14" x14ac:dyDescent="0.25">
      <c r="A189" s="35" t="str">
        <f t="shared" si="10"/>
        <v/>
      </c>
      <c r="B189" s="35" t="str">
        <f>IF(BOM!A189="","",BOM!A189)</f>
        <v/>
      </c>
      <c r="C189" s="35" t="str">
        <f>IF(B189="","",BOM!B189)</f>
        <v/>
      </c>
      <c r="D189" s="35" t="str">
        <f>IF(B189="","",IFERROR(INDEX(DM_NL!$B$5:$B$304,MATCH(C189,DM_NL!$A$5:$A$304,0)),""))</f>
        <v/>
      </c>
      <c r="E189" s="35" t="str">
        <f>IF(B189="","",IFERROR(INDEX(DM_NL!$C$5:$C$304,MATCH(C189,DM_NL!$A$5:$A$304,0)),""))</f>
        <v/>
      </c>
      <c r="F189" s="39" t="str">
        <f>IF(B189="","",SUMIFS(Mau15a!$F$11:$F$310,Mau15a!$B$11:$B$310,B189))</f>
        <v/>
      </c>
      <c r="G189" s="39" t="str">
        <f>IF(B189="","",IF(OR(M189="KXDDM",BOM!F189=""),0,BOM!F189))</f>
        <v/>
      </c>
      <c r="H189" s="39" t="str">
        <f t="shared" si="11"/>
        <v/>
      </c>
      <c r="I189" s="39" t="str">
        <f>IF(B189="","",SUMIFS(Mau15a!$H$11:$H$310,Mau15a!$B$11:$B$310,B189)+SUMIFS(Mau15a!$I$11:$I$310,Mau15a!$B$11:$B$310,B189)+SUMIFS(Mau15a!$J$11:$J$310,Mau15a!$B$11:$B$310,B189)-SUMIFS(Mau15a!$G$11:$G$310,Mau15a!$B$11:$B$310,B189))</f>
        <v/>
      </c>
      <c r="J189" s="39" t="str">
        <f t="shared" si="12"/>
        <v/>
      </c>
      <c r="K189" s="39" t="str">
        <f>IF(B189="","",(SUMIFS(Mau15a!$K$11:$K$310,Mau15a!$B$11:$B$310,B189)-SUMIFS(Mau15a!$E$11:$E$310,Mau15a!$B$11:$B$310,B189))*G189)</f>
        <v/>
      </c>
      <c r="L189" s="36" t="str">
        <f t="shared" si="13"/>
        <v/>
      </c>
      <c r="M189" s="36" t="str">
        <f>IF(B189="","",BOM!G189&amp;"")</f>
        <v/>
      </c>
      <c r="N189" s="36" t="str">
        <f t="shared" si="14"/>
        <v/>
      </c>
    </row>
    <row r="190" spans="1:14" x14ac:dyDescent="0.25">
      <c r="A190" s="35" t="str">
        <f t="shared" si="10"/>
        <v/>
      </c>
      <c r="B190" s="35" t="str">
        <f>IF(BOM!A190="","",BOM!A190)</f>
        <v/>
      </c>
      <c r="C190" s="35" t="str">
        <f>IF(B190="","",BOM!B190)</f>
        <v/>
      </c>
      <c r="D190" s="35" t="str">
        <f>IF(B190="","",IFERROR(INDEX(DM_NL!$B$5:$B$304,MATCH(C190,DM_NL!$A$5:$A$304,0)),""))</f>
        <v/>
      </c>
      <c r="E190" s="35" t="str">
        <f>IF(B190="","",IFERROR(INDEX(DM_NL!$C$5:$C$304,MATCH(C190,DM_NL!$A$5:$A$304,0)),""))</f>
        <v/>
      </c>
      <c r="F190" s="39" t="str">
        <f>IF(B190="","",SUMIFS(Mau15a!$F$11:$F$310,Mau15a!$B$11:$B$310,B190))</f>
        <v/>
      </c>
      <c r="G190" s="39" t="str">
        <f>IF(B190="","",IF(OR(M190="KXDDM",BOM!F190=""),0,BOM!F190))</f>
        <v/>
      </c>
      <c r="H190" s="39" t="str">
        <f t="shared" si="11"/>
        <v/>
      </c>
      <c r="I190" s="39" t="str">
        <f>IF(B190="","",SUMIFS(Mau15a!$H$11:$H$310,Mau15a!$B$11:$B$310,B190)+SUMIFS(Mau15a!$I$11:$I$310,Mau15a!$B$11:$B$310,B190)+SUMIFS(Mau15a!$J$11:$J$310,Mau15a!$B$11:$B$310,B190)-SUMIFS(Mau15a!$G$11:$G$310,Mau15a!$B$11:$B$310,B190))</f>
        <v/>
      </c>
      <c r="J190" s="39" t="str">
        <f t="shared" si="12"/>
        <v/>
      </c>
      <c r="K190" s="39" t="str">
        <f>IF(B190="","",(SUMIFS(Mau15a!$K$11:$K$310,Mau15a!$B$11:$B$310,B190)-SUMIFS(Mau15a!$E$11:$E$310,Mau15a!$B$11:$B$310,B190))*G190)</f>
        <v/>
      </c>
      <c r="L190" s="36" t="str">
        <f t="shared" si="13"/>
        <v/>
      </c>
      <c r="M190" s="36" t="str">
        <f>IF(B190="","",BOM!G190&amp;"")</f>
        <v/>
      </c>
      <c r="N190" s="36" t="str">
        <f t="shared" si="14"/>
        <v/>
      </c>
    </row>
    <row r="191" spans="1:14" x14ac:dyDescent="0.25">
      <c r="A191" s="35" t="str">
        <f t="shared" si="10"/>
        <v/>
      </c>
      <c r="B191" s="35" t="str">
        <f>IF(BOM!A191="","",BOM!A191)</f>
        <v/>
      </c>
      <c r="C191" s="35" t="str">
        <f>IF(B191="","",BOM!B191)</f>
        <v/>
      </c>
      <c r="D191" s="35" t="str">
        <f>IF(B191="","",IFERROR(INDEX(DM_NL!$B$5:$B$304,MATCH(C191,DM_NL!$A$5:$A$304,0)),""))</f>
        <v/>
      </c>
      <c r="E191" s="35" t="str">
        <f>IF(B191="","",IFERROR(INDEX(DM_NL!$C$5:$C$304,MATCH(C191,DM_NL!$A$5:$A$304,0)),""))</f>
        <v/>
      </c>
      <c r="F191" s="39" t="str">
        <f>IF(B191="","",SUMIFS(Mau15a!$F$11:$F$310,Mau15a!$B$11:$B$310,B191))</f>
        <v/>
      </c>
      <c r="G191" s="39" t="str">
        <f>IF(B191="","",IF(OR(M191="KXDDM",BOM!F191=""),0,BOM!F191))</f>
        <v/>
      </c>
      <c r="H191" s="39" t="str">
        <f t="shared" si="11"/>
        <v/>
      </c>
      <c r="I191" s="39" t="str">
        <f>IF(B191="","",SUMIFS(Mau15a!$H$11:$H$310,Mau15a!$B$11:$B$310,B191)+SUMIFS(Mau15a!$I$11:$I$310,Mau15a!$B$11:$B$310,B191)+SUMIFS(Mau15a!$J$11:$J$310,Mau15a!$B$11:$B$310,B191)-SUMIFS(Mau15a!$G$11:$G$310,Mau15a!$B$11:$B$310,B191))</f>
        <v/>
      </c>
      <c r="J191" s="39" t="str">
        <f t="shared" si="12"/>
        <v/>
      </c>
      <c r="K191" s="39" t="str">
        <f>IF(B191="","",(SUMIFS(Mau15a!$K$11:$K$310,Mau15a!$B$11:$B$310,B191)-SUMIFS(Mau15a!$E$11:$E$310,Mau15a!$B$11:$B$310,B191))*G191)</f>
        <v/>
      </c>
      <c r="L191" s="36" t="str">
        <f t="shared" si="13"/>
        <v/>
      </c>
      <c r="M191" s="36" t="str">
        <f>IF(B191="","",BOM!G191&amp;"")</f>
        <v/>
      </c>
      <c r="N191" s="36" t="str">
        <f t="shared" si="14"/>
        <v/>
      </c>
    </row>
    <row r="192" spans="1:14" x14ac:dyDescent="0.25">
      <c r="A192" s="35" t="str">
        <f t="shared" si="10"/>
        <v/>
      </c>
      <c r="B192" s="35" t="str">
        <f>IF(BOM!A192="","",BOM!A192)</f>
        <v/>
      </c>
      <c r="C192" s="35" t="str">
        <f>IF(B192="","",BOM!B192)</f>
        <v/>
      </c>
      <c r="D192" s="35" t="str">
        <f>IF(B192="","",IFERROR(INDEX(DM_NL!$B$5:$B$304,MATCH(C192,DM_NL!$A$5:$A$304,0)),""))</f>
        <v/>
      </c>
      <c r="E192" s="35" t="str">
        <f>IF(B192="","",IFERROR(INDEX(DM_NL!$C$5:$C$304,MATCH(C192,DM_NL!$A$5:$A$304,0)),""))</f>
        <v/>
      </c>
      <c r="F192" s="39" t="str">
        <f>IF(B192="","",SUMIFS(Mau15a!$F$11:$F$310,Mau15a!$B$11:$B$310,B192))</f>
        <v/>
      </c>
      <c r="G192" s="39" t="str">
        <f>IF(B192="","",IF(OR(M192="KXDDM",BOM!F192=""),0,BOM!F192))</f>
        <v/>
      </c>
      <c r="H192" s="39" t="str">
        <f t="shared" si="11"/>
        <v/>
      </c>
      <c r="I192" s="39" t="str">
        <f>IF(B192="","",SUMIFS(Mau15a!$H$11:$H$310,Mau15a!$B$11:$B$310,B192)+SUMIFS(Mau15a!$I$11:$I$310,Mau15a!$B$11:$B$310,B192)+SUMIFS(Mau15a!$J$11:$J$310,Mau15a!$B$11:$B$310,B192)-SUMIFS(Mau15a!$G$11:$G$310,Mau15a!$B$11:$B$310,B192))</f>
        <v/>
      </c>
      <c r="J192" s="39" t="str">
        <f t="shared" si="12"/>
        <v/>
      </c>
      <c r="K192" s="39" t="str">
        <f>IF(B192="","",(SUMIFS(Mau15a!$K$11:$K$310,Mau15a!$B$11:$B$310,B192)-SUMIFS(Mau15a!$E$11:$E$310,Mau15a!$B$11:$B$310,B192))*G192)</f>
        <v/>
      </c>
      <c r="L192" s="36" t="str">
        <f t="shared" si="13"/>
        <v/>
      </c>
      <c r="M192" s="36" t="str">
        <f>IF(B192="","",BOM!G192&amp;"")</f>
        <v/>
      </c>
      <c r="N192" s="36" t="str">
        <f t="shared" si="14"/>
        <v/>
      </c>
    </row>
    <row r="193" spans="1:14" x14ac:dyDescent="0.25">
      <c r="A193" s="35" t="str">
        <f t="shared" si="10"/>
        <v/>
      </c>
      <c r="B193" s="35" t="str">
        <f>IF(BOM!A193="","",BOM!A193)</f>
        <v/>
      </c>
      <c r="C193" s="35" t="str">
        <f>IF(B193="","",BOM!B193)</f>
        <v/>
      </c>
      <c r="D193" s="35" t="str">
        <f>IF(B193="","",IFERROR(INDEX(DM_NL!$B$5:$B$304,MATCH(C193,DM_NL!$A$5:$A$304,0)),""))</f>
        <v/>
      </c>
      <c r="E193" s="35" t="str">
        <f>IF(B193="","",IFERROR(INDEX(DM_NL!$C$5:$C$304,MATCH(C193,DM_NL!$A$5:$A$304,0)),""))</f>
        <v/>
      </c>
      <c r="F193" s="39" t="str">
        <f>IF(B193="","",SUMIFS(Mau15a!$F$11:$F$310,Mau15a!$B$11:$B$310,B193))</f>
        <v/>
      </c>
      <c r="G193" s="39" t="str">
        <f>IF(B193="","",IF(OR(M193="KXDDM",BOM!F193=""),0,BOM!F193))</f>
        <v/>
      </c>
      <c r="H193" s="39" t="str">
        <f t="shared" si="11"/>
        <v/>
      </c>
      <c r="I193" s="39" t="str">
        <f>IF(B193="","",SUMIFS(Mau15a!$H$11:$H$310,Mau15a!$B$11:$B$310,B193)+SUMIFS(Mau15a!$I$11:$I$310,Mau15a!$B$11:$B$310,B193)+SUMIFS(Mau15a!$J$11:$J$310,Mau15a!$B$11:$B$310,B193)-SUMIFS(Mau15a!$G$11:$G$310,Mau15a!$B$11:$B$310,B193))</f>
        <v/>
      </c>
      <c r="J193" s="39" t="str">
        <f t="shared" si="12"/>
        <v/>
      </c>
      <c r="K193" s="39" t="str">
        <f>IF(B193="","",(SUMIFS(Mau15a!$K$11:$K$310,Mau15a!$B$11:$B$310,B193)-SUMIFS(Mau15a!$E$11:$E$310,Mau15a!$B$11:$B$310,B193))*G193)</f>
        <v/>
      </c>
      <c r="L193" s="36" t="str">
        <f t="shared" si="13"/>
        <v/>
      </c>
      <c r="M193" s="36" t="str">
        <f>IF(B193="","",BOM!G193&amp;"")</f>
        <v/>
      </c>
      <c r="N193" s="36" t="str">
        <f t="shared" si="14"/>
        <v/>
      </c>
    </row>
    <row r="194" spans="1:14" x14ac:dyDescent="0.25">
      <c r="A194" s="35" t="str">
        <f t="shared" si="10"/>
        <v/>
      </c>
      <c r="B194" s="35" t="str">
        <f>IF(BOM!A194="","",BOM!A194)</f>
        <v/>
      </c>
      <c r="C194" s="35" t="str">
        <f>IF(B194="","",BOM!B194)</f>
        <v/>
      </c>
      <c r="D194" s="35" t="str">
        <f>IF(B194="","",IFERROR(INDEX(DM_NL!$B$5:$B$304,MATCH(C194,DM_NL!$A$5:$A$304,0)),""))</f>
        <v/>
      </c>
      <c r="E194" s="35" t="str">
        <f>IF(B194="","",IFERROR(INDEX(DM_NL!$C$5:$C$304,MATCH(C194,DM_NL!$A$5:$A$304,0)),""))</f>
        <v/>
      </c>
      <c r="F194" s="39" t="str">
        <f>IF(B194="","",SUMIFS(Mau15a!$F$11:$F$310,Mau15a!$B$11:$B$310,B194))</f>
        <v/>
      </c>
      <c r="G194" s="39" t="str">
        <f>IF(B194="","",IF(OR(M194="KXDDM",BOM!F194=""),0,BOM!F194))</f>
        <v/>
      </c>
      <c r="H194" s="39" t="str">
        <f t="shared" si="11"/>
        <v/>
      </c>
      <c r="I194" s="39" t="str">
        <f>IF(B194="","",SUMIFS(Mau15a!$H$11:$H$310,Mau15a!$B$11:$B$310,B194)+SUMIFS(Mau15a!$I$11:$I$310,Mau15a!$B$11:$B$310,B194)+SUMIFS(Mau15a!$J$11:$J$310,Mau15a!$B$11:$B$310,B194)-SUMIFS(Mau15a!$G$11:$G$310,Mau15a!$B$11:$B$310,B194))</f>
        <v/>
      </c>
      <c r="J194" s="39" t="str">
        <f t="shared" si="12"/>
        <v/>
      </c>
      <c r="K194" s="39" t="str">
        <f>IF(B194="","",(SUMIFS(Mau15a!$K$11:$K$310,Mau15a!$B$11:$B$310,B194)-SUMIFS(Mau15a!$E$11:$E$310,Mau15a!$B$11:$B$310,B194))*G194)</f>
        <v/>
      </c>
      <c r="L194" s="36" t="str">
        <f t="shared" si="13"/>
        <v/>
      </c>
      <c r="M194" s="36" t="str">
        <f>IF(B194="","",BOM!G194&amp;"")</f>
        <v/>
      </c>
      <c r="N194" s="36" t="str">
        <f t="shared" si="14"/>
        <v/>
      </c>
    </row>
    <row r="195" spans="1:14" x14ac:dyDescent="0.25">
      <c r="A195" s="35" t="str">
        <f t="shared" si="10"/>
        <v/>
      </c>
      <c r="B195" s="35" t="str">
        <f>IF(BOM!A195="","",BOM!A195)</f>
        <v/>
      </c>
      <c r="C195" s="35" t="str">
        <f>IF(B195="","",BOM!B195)</f>
        <v/>
      </c>
      <c r="D195" s="35" t="str">
        <f>IF(B195="","",IFERROR(INDEX(DM_NL!$B$5:$B$304,MATCH(C195,DM_NL!$A$5:$A$304,0)),""))</f>
        <v/>
      </c>
      <c r="E195" s="35" t="str">
        <f>IF(B195="","",IFERROR(INDEX(DM_NL!$C$5:$C$304,MATCH(C195,DM_NL!$A$5:$A$304,0)),""))</f>
        <v/>
      </c>
      <c r="F195" s="39" t="str">
        <f>IF(B195="","",SUMIFS(Mau15a!$F$11:$F$310,Mau15a!$B$11:$B$310,B195))</f>
        <v/>
      </c>
      <c r="G195" s="39" t="str">
        <f>IF(B195="","",IF(OR(M195="KXDDM",BOM!F195=""),0,BOM!F195))</f>
        <v/>
      </c>
      <c r="H195" s="39" t="str">
        <f t="shared" si="11"/>
        <v/>
      </c>
      <c r="I195" s="39" t="str">
        <f>IF(B195="","",SUMIFS(Mau15a!$H$11:$H$310,Mau15a!$B$11:$B$310,B195)+SUMIFS(Mau15a!$I$11:$I$310,Mau15a!$B$11:$B$310,B195)+SUMIFS(Mau15a!$J$11:$J$310,Mau15a!$B$11:$B$310,B195)-SUMIFS(Mau15a!$G$11:$G$310,Mau15a!$B$11:$B$310,B195))</f>
        <v/>
      </c>
      <c r="J195" s="39" t="str">
        <f t="shared" si="12"/>
        <v/>
      </c>
      <c r="K195" s="39" t="str">
        <f>IF(B195="","",(SUMIFS(Mau15a!$K$11:$K$310,Mau15a!$B$11:$B$310,B195)-SUMIFS(Mau15a!$E$11:$E$310,Mau15a!$B$11:$B$310,B195))*G195)</f>
        <v/>
      </c>
      <c r="L195" s="36" t="str">
        <f t="shared" si="13"/>
        <v/>
      </c>
      <c r="M195" s="36" t="str">
        <f>IF(B195="","",BOM!G195&amp;"")</f>
        <v/>
      </c>
      <c r="N195" s="36" t="str">
        <f t="shared" si="14"/>
        <v/>
      </c>
    </row>
    <row r="196" spans="1:14" x14ac:dyDescent="0.25">
      <c r="A196" s="35" t="str">
        <f t="shared" si="10"/>
        <v/>
      </c>
      <c r="B196" s="35" t="str">
        <f>IF(BOM!A196="","",BOM!A196)</f>
        <v/>
      </c>
      <c r="C196" s="35" t="str">
        <f>IF(B196="","",BOM!B196)</f>
        <v/>
      </c>
      <c r="D196" s="35" t="str">
        <f>IF(B196="","",IFERROR(INDEX(DM_NL!$B$5:$B$304,MATCH(C196,DM_NL!$A$5:$A$304,0)),""))</f>
        <v/>
      </c>
      <c r="E196" s="35" t="str">
        <f>IF(B196="","",IFERROR(INDEX(DM_NL!$C$5:$C$304,MATCH(C196,DM_NL!$A$5:$A$304,0)),""))</f>
        <v/>
      </c>
      <c r="F196" s="39" t="str">
        <f>IF(B196="","",SUMIFS(Mau15a!$F$11:$F$310,Mau15a!$B$11:$B$310,B196))</f>
        <v/>
      </c>
      <c r="G196" s="39" t="str">
        <f>IF(B196="","",IF(OR(M196="KXDDM",BOM!F196=""),0,BOM!F196))</f>
        <v/>
      </c>
      <c r="H196" s="39" t="str">
        <f t="shared" si="11"/>
        <v/>
      </c>
      <c r="I196" s="39" t="str">
        <f>IF(B196="","",SUMIFS(Mau15a!$H$11:$H$310,Mau15a!$B$11:$B$310,B196)+SUMIFS(Mau15a!$I$11:$I$310,Mau15a!$B$11:$B$310,B196)+SUMIFS(Mau15a!$J$11:$J$310,Mau15a!$B$11:$B$310,B196)-SUMIFS(Mau15a!$G$11:$G$310,Mau15a!$B$11:$B$310,B196))</f>
        <v/>
      </c>
      <c r="J196" s="39" t="str">
        <f t="shared" si="12"/>
        <v/>
      </c>
      <c r="K196" s="39" t="str">
        <f>IF(B196="","",(SUMIFS(Mau15a!$K$11:$K$310,Mau15a!$B$11:$B$310,B196)-SUMIFS(Mau15a!$E$11:$E$310,Mau15a!$B$11:$B$310,B196))*G196)</f>
        <v/>
      </c>
      <c r="L196" s="36" t="str">
        <f t="shared" si="13"/>
        <v/>
      </c>
      <c r="M196" s="36" t="str">
        <f>IF(B196="","",BOM!G196&amp;"")</f>
        <v/>
      </c>
      <c r="N196" s="36" t="str">
        <f t="shared" si="14"/>
        <v/>
      </c>
    </row>
    <row r="197" spans="1:14" x14ac:dyDescent="0.25">
      <c r="A197" s="35" t="str">
        <f t="shared" ref="A197:A260" si="15">IF(B197="","",ROW()-4)</f>
        <v/>
      </c>
      <c r="B197" s="35" t="str">
        <f>IF(BOM!A197="","",BOM!A197)</f>
        <v/>
      </c>
      <c r="C197" s="35" t="str">
        <f>IF(B197="","",BOM!B197)</f>
        <v/>
      </c>
      <c r="D197" s="35" t="str">
        <f>IF(B197="","",IFERROR(INDEX(DM_NL!$B$5:$B$304,MATCH(C197,DM_NL!$A$5:$A$304,0)),""))</f>
        <v/>
      </c>
      <c r="E197" s="35" t="str">
        <f>IF(B197="","",IFERROR(INDEX(DM_NL!$C$5:$C$304,MATCH(C197,DM_NL!$A$5:$A$304,0)),""))</f>
        <v/>
      </c>
      <c r="F197" s="39" t="str">
        <f>IF(B197="","",SUMIFS(Mau15a!$F$11:$F$310,Mau15a!$B$11:$B$310,B197))</f>
        <v/>
      </c>
      <c r="G197" s="39" t="str">
        <f>IF(B197="","",IF(OR(M197="KXDDM",BOM!F197=""),0,BOM!F197))</f>
        <v/>
      </c>
      <c r="H197" s="39" t="str">
        <f t="shared" ref="H197:H260" si="16">IF(B197="","",F197*G197)</f>
        <v/>
      </c>
      <c r="I197" s="39" t="str">
        <f>IF(B197="","",SUMIFS(Mau15a!$H$11:$H$310,Mau15a!$B$11:$B$310,B197)+SUMIFS(Mau15a!$I$11:$I$310,Mau15a!$B$11:$B$310,B197)+SUMIFS(Mau15a!$J$11:$J$310,Mau15a!$B$11:$B$310,B197)-SUMIFS(Mau15a!$G$11:$G$310,Mau15a!$B$11:$B$310,B197))</f>
        <v/>
      </c>
      <c r="J197" s="39" t="str">
        <f t="shared" ref="J197:J260" si="17">IF(B197="","",I197*G197)</f>
        <v/>
      </c>
      <c r="K197" s="39" t="str">
        <f>IF(B197="","",(SUMIFS(Mau15a!$K$11:$K$310,Mau15a!$B$11:$B$310,B197)-SUMIFS(Mau15a!$E$11:$E$310,Mau15a!$B$11:$B$310,B197))*G197)</f>
        <v/>
      </c>
      <c r="L197" s="36" t="str">
        <f t="shared" ref="L197:L260" si="18">IF(B197="","",IF(ABS(H197-J197-K197)&lt;0.000001,"Khớp","Lệch"))</f>
        <v/>
      </c>
      <c r="M197" s="36" t="str">
        <f>IF(B197="","",BOM!G197&amp;"")</f>
        <v/>
      </c>
      <c r="N197" s="36" t="str">
        <f t="shared" ref="N197:N260" si="19">IF(B197="","",IF(M197="",1,0))</f>
        <v/>
      </c>
    </row>
    <row r="198" spans="1:14" x14ac:dyDescent="0.25">
      <c r="A198" s="35" t="str">
        <f t="shared" si="15"/>
        <v/>
      </c>
      <c r="B198" s="35" t="str">
        <f>IF(BOM!A198="","",BOM!A198)</f>
        <v/>
      </c>
      <c r="C198" s="35" t="str">
        <f>IF(B198="","",BOM!B198)</f>
        <v/>
      </c>
      <c r="D198" s="35" t="str">
        <f>IF(B198="","",IFERROR(INDEX(DM_NL!$B$5:$B$304,MATCH(C198,DM_NL!$A$5:$A$304,0)),""))</f>
        <v/>
      </c>
      <c r="E198" s="35" t="str">
        <f>IF(B198="","",IFERROR(INDEX(DM_NL!$C$5:$C$304,MATCH(C198,DM_NL!$A$5:$A$304,0)),""))</f>
        <v/>
      </c>
      <c r="F198" s="39" t="str">
        <f>IF(B198="","",SUMIFS(Mau15a!$F$11:$F$310,Mau15a!$B$11:$B$310,B198))</f>
        <v/>
      </c>
      <c r="G198" s="39" t="str">
        <f>IF(B198="","",IF(OR(M198="KXDDM",BOM!F198=""),0,BOM!F198))</f>
        <v/>
      </c>
      <c r="H198" s="39" t="str">
        <f t="shared" si="16"/>
        <v/>
      </c>
      <c r="I198" s="39" t="str">
        <f>IF(B198="","",SUMIFS(Mau15a!$H$11:$H$310,Mau15a!$B$11:$B$310,B198)+SUMIFS(Mau15a!$I$11:$I$310,Mau15a!$B$11:$B$310,B198)+SUMIFS(Mau15a!$J$11:$J$310,Mau15a!$B$11:$B$310,B198)-SUMIFS(Mau15a!$G$11:$G$310,Mau15a!$B$11:$B$310,B198))</f>
        <v/>
      </c>
      <c r="J198" s="39" t="str">
        <f t="shared" si="17"/>
        <v/>
      </c>
      <c r="K198" s="39" t="str">
        <f>IF(B198="","",(SUMIFS(Mau15a!$K$11:$K$310,Mau15a!$B$11:$B$310,B198)-SUMIFS(Mau15a!$E$11:$E$310,Mau15a!$B$11:$B$310,B198))*G198)</f>
        <v/>
      </c>
      <c r="L198" s="36" t="str">
        <f t="shared" si="18"/>
        <v/>
      </c>
      <c r="M198" s="36" t="str">
        <f>IF(B198="","",BOM!G198&amp;"")</f>
        <v/>
      </c>
      <c r="N198" s="36" t="str">
        <f t="shared" si="19"/>
        <v/>
      </c>
    </row>
    <row r="199" spans="1:14" x14ac:dyDescent="0.25">
      <c r="A199" s="35" t="str">
        <f t="shared" si="15"/>
        <v/>
      </c>
      <c r="B199" s="35" t="str">
        <f>IF(BOM!A199="","",BOM!A199)</f>
        <v/>
      </c>
      <c r="C199" s="35" t="str">
        <f>IF(B199="","",BOM!B199)</f>
        <v/>
      </c>
      <c r="D199" s="35" t="str">
        <f>IF(B199="","",IFERROR(INDEX(DM_NL!$B$5:$B$304,MATCH(C199,DM_NL!$A$5:$A$304,0)),""))</f>
        <v/>
      </c>
      <c r="E199" s="35" t="str">
        <f>IF(B199="","",IFERROR(INDEX(DM_NL!$C$5:$C$304,MATCH(C199,DM_NL!$A$5:$A$304,0)),""))</f>
        <v/>
      </c>
      <c r="F199" s="39" t="str">
        <f>IF(B199="","",SUMIFS(Mau15a!$F$11:$F$310,Mau15a!$B$11:$B$310,B199))</f>
        <v/>
      </c>
      <c r="G199" s="39" t="str">
        <f>IF(B199="","",IF(OR(M199="KXDDM",BOM!F199=""),0,BOM!F199))</f>
        <v/>
      </c>
      <c r="H199" s="39" t="str">
        <f t="shared" si="16"/>
        <v/>
      </c>
      <c r="I199" s="39" t="str">
        <f>IF(B199="","",SUMIFS(Mau15a!$H$11:$H$310,Mau15a!$B$11:$B$310,B199)+SUMIFS(Mau15a!$I$11:$I$310,Mau15a!$B$11:$B$310,B199)+SUMIFS(Mau15a!$J$11:$J$310,Mau15a!$B$11:$B$310,B199)-SUMIFS(Mau15a!$G$11:$G$310,Mau15a!$B$11:$B$310,B199))</f>
        <v/>
      </c>
      <c r="J199" s="39" t="str">
        <f t="shared" si="17"/>
        <v/>
      </c>
      <c r="K199" s="39" t="str">
        <f>IF(B199="","",(SUMIFS(Mau15a!$K$11:$K$310,Mau15a!$B$11:$B$310,B199)-SUMIFS(Mau15a!$E$11:$E$310,Mau15a!$B$11:$B$310,B199))*G199)</f>
        <v/>
      </c>
      <c r="L199" s="36" t="str">
        <f t="shared" si="18"/>
        <v/>
      </c>
      <c r="M199" s="36" t="str">
        <f>IF(B199="","",BOM!G199&amp;"")</f>
        <v/>
      </c>
      <c r="N199" s="36" t="str">
        <f t="shared" si="19"/>
        <v/>
      </c>
    </row>
    <row r="200" spans="1:14" x14ac:dyDescent="0.25">
      <c r="A200" s="35" t="str">
        <f t="shared" si="15"/>
        <v/>
      </c>
      <c r="B200" s="35" t="str">
        <f>IF(BOM!A200="","",BOM!A200)</f>
        <v/>
      </c>
      <c r="C200" s="35" t="str">
        <f>IF(B200="","",BOM!B200)</f>
        <v/>
      </c>
      <c r="D200" s="35" t="str">
        <f>IF(B200="","",IFERROR(INDEX(DM_NL!$B$5:$B$304,MATCH(C200,DM_NL!$A$5:$A$304,0)),""))</f>
        <v/>
      </c>
      <c r="E200" s="35" t="str">
        <f>IF(B200="","",IFERROR(INDEX(DM_NL!$C$5:$C$304,MATCH(C200,DM_NL!$A$5:$A$304,0)),""))</f>
        <v/>
      </c>
      <c r="F200" s="39" t="str">
        <f>IF(B200="","",SUMIFS(Mau15a!$F$11:$F$310,Mau15a!$B$11:$B$310,B200))</f>
        <v/>
      </c>
      <c r="G200" s="39" t="str">
        <f>IF(B200="","",IF(OR(M200="KXDDM",BOM!F200=""),0,BOM!F200))</f>
        <v/>
      </c>
      <c r="H200" s="39" t="str">
        <f t="shared" si="16"/>
        <v/>
      </c>
      <c r="I200" s="39" t="str">
        <f>IF(B200="","",SUMIFS(Mau15a!$H$11:$H$310,Mau15a!$B$11:$B$310,B200)+SUMIFS(Mau15a!$I$11:$I$310,Mau15a!$B$11:$B$310,B200)+SUMIFS(Mau15a!$J$11:$J$310,Mau15a!$B$11:$B$310,B200)-SUMIFS(Mau15a!$G$11:$G$310,Mau15a!$B$11:$B$310,B200))</f>
        <v/>
      </c>
      <c r="J200" s="39" t="str">
        <f t="shared" si="17"/>
        <v/>
      </c>
      <c r="K200" s="39" t="str">
        <f>IF(B200="","",(SUMIFS(Mau15a!$K$11:$K$310,Mau15a!$B$11:$B$310,B200)-SUMIFS(Mau15a!$E$11:$E$310,Mau15a!$B$11:$B$310,B200))*G200)</f>
        <v/>
      </c>
      <c r="L200" s="36" t="str">
        <f t="shared" si="18"/>
        <v/>
      </c>
      <c r="M200" s="36" t="str">
        <f>IF(B200="","",BOM!G200&amp;"")</f>
        <v/>
      </c>
      <c r="N200" s="36" t="str">
        <f t="shared" si="19"/>
        <v/>
      </c>
    </row>
    <row r="201" spans="1:14" x14ac:dyDescent="0.25">
      <c r="A201" s="35" t="str">
        <f t="shared" si="15"/>
        <v/>
      </c>
      <c r="B201" s="35" t="str">
        <f>IF(BOM!A201="","",BOM!A201)</f>
        <v/>
      </c>
      <c r="C201" s="35" t="str">
        <f>IF(B201="","",BOM!B201)</f>
        <v/>
      </c>
      <c r="D201" s="35" t="str">
        <f>IF(B201="","",IFERROR(INDEX(DM_NL!$B$5:$B$304,MATCH(C201,DM_NL!$A$5:$A$304,0)),""))</f>
        <v/>
      </c>
      <c r="E201" s="35" t="str">
        <f>IF(B201="","",IFERROR(INDEX(DM_NL!$C$5:$C$304,MATCH(C201,DM_NL!$A$5:$A$304,0)),""))</f>
        <v/>
      </c>
      <c r="F201" s="39" t="str">
        <f>IF(B201="","",SUMIFS(Mau15a!$F$11:$F$310,Mau15a!$B$11:$B$310,B201))</f>
        <v/>
      </c>
      <c r="G201" s="39" t="str">
        <f>IF(B201="","",IF(OR(M201="KXDDM",BOM!F201=""),0,BOM!F201))</f>
        <v/>
      </c>
      <c r="H201" s="39" t="str">
        <f t="shared" si="16"/>
        <v/>
      </c>
      <c r="I201" s="39" t="str">
        <f>IF(B201="","",SUMIFS(Mau15a!$H$11:$H$310,Mau15a!$B$11:$B$310,B201)+SUMIFS(Mau15a!$I$11:$I$310,Mau15a!$B$11:$B$310,B201)+SUMIFS(Mau15a!$J$11:$J$310,Mau15a!$B$11:$B$310,B201)-SUMIFS(Mau15a!$G$11:$G$310,Mau15a!$B$11:$B$310,B201))</f>
        <v/>
      </c>
      <c r="J201" s="39" t="str">
        <f t="shared" si="17"/>
        <v/>
      </c>
      <c r="K201" s="39" t="str">
        <f>IF(B201="","",(SUMIFS(Mau15a!$K$11:$K$310,Mau15a!$B$11:$B$310,B201)-SUMIFS(Mau15a!$E$11:$E$310,Mau15a!$B$11:$B$310,B201))*G201)</f>
        <v/>
      </c>
      <c r="L201" s="36" t="str">
        <f t="shared" si="18"/>
        <v/>
      </c>
      <c r="M201" s="36" t="str">
        <f>IF(B201="","",BOM!G201&amp;"")</f>
        <v/>
      </c>
      <c r="N201" s="36" t="str">
        <f t="shared" si="19"/>
        <v/>
      </c>
    </row>
    <row r="202" spans="1:14" x14ac:dyDescent="0.25">
      <c r="A202" s="35" t="str">
        <f t="shared" si="15"/>
        <v/>
      </c>
      <c r="B202" s="35" t="str">
        <f>IF(BOM!A202="","",BOM!A202)</f>
        <v/>
      </c>
      <c r="C202" s="35" t="str">
        <f>IF(B202="","",BOM!B202)</f>
        <v/>
      </c>
      <c r="D202" s="35" t="str">
        <f>IF(B202="","",IFERROR(INDEX(DM_NL!$B$5:$B$304,MATCH(C202,DM_NL!$A$5:$A$304,0)),""))</f>
        <v/>
      </c>
      <c r="E202" s="35" t="str">
        <f>IF(B202="","",IFERROR(INDEX(DM_NL!$C$5:$C$304,MATCH(C202,DM_NL!$A$5:$A$304,0)),""))</f>
        <v/>
      </c>
      <c r="F202" s="39" t="str">
        <f>IF(B202="","",SUMIFS(Mau15a!$F$11:$F$310,Mau15a!$B$11:$B$310,B202))</f>
        <v/>
      </c>
      <c r="G202" s="39" t="str">
        <f>IF(B202="","",IF(OR(M202="KXDDM",BOM!F202=""),0,BOM!F202))</f>
        <v/>
      </c>
      <c r="H202" s="39" t="str">
        <f t="shared" si="16"/>
        <v/>
      </c>
      <c r="I202" s="39" t="str">
        <f>IF(B202="","",SUMIFS(Mau15a!$H$11:$H$310,Mau15a!$B$11:$B$310,B202)+SUMIFS(Mau15a!$I$11:$I$310,Mau15a!$B$11:$B$310,B202)+SUMIFS(Mau15a!$J$11:$J$310,Mau15a!$B$11:$B$310,B202)-SUMIFS(Mau15a!$G$11:$G$310,Mau15a!$B$11:$B$310,B202))</f>
        <v/>
      </c>
      <c r="J202" s="39" t="str">
        <f t="shared" si="17"/>
        <v/>
      </c>
      <c r="K202" s="39" t="str">
        <f>IF(B202="","",(SUMIFS(Mau15a!$K$11:$K$310,Mau15a!$B$11:$B$310,B202)-SUMIFS(Mau15a!$E$11:$E$310,Mau15a!$B$11:$B$310,B202))*G202)</f>
        <v/>
      </c>
      <c r="L202" s="36" t="str">
        <f t="shared" si="18"/>
        <v/>
      </c>
      <c r="M202" s="36" t="str">
        <f>IF(B202="","",BOM!G202&amp;"")</f>
        <v/>
      </c>
      <c r="N202" s="36" t="str">
        <f t="shared" si="19"/>
        <v/>
      </c>
    </row>
    <row r="203" spans="1:14" x14ac:dyDescent="0.25">
      <c r="A203" s="35" t="str">
        <f t="shared" si="15"/>
        <v/>
      </c>
      <c r="B203" s="35" t="str">
        <f>IF(BOM!A203="","",BOM!A203)</f>
        <v/>
      </c>
      <c r="C203" s="35" t="str">
        <f>IF(B203="","",BOM!B203)</f>
        <v/>
      </c>
      <c r="D203" s="35" t="str">
        <f>IF(B203="","",IFERROR(INDEX(DM_NL!$B$5:$B$304,MATCH(C203,DM_NL!$A$5:$A$304,0)),""))</f>
        <v/>
      </c>
      <c r="E203" s="35" t="str">
        <f>IF(B203="","",IFERROR(INDEX(DM_NL!$C$5:$C$304,MATCH(C203,DM_NL!$A$5:$A$304,0)),""))</f>
        <v/>
      </c>
      <c r="F203" s="39" t="str">
        <f>IF(B203="","",SUMIFS(Mau15a!$F$11:$F$310,Mau15a!$B$11:$B$310,B203))</f>
        <v/>
      </c>
      <c r="G203" s="39" t="str">
        <f>IF(B203="","",IF(OR(M203="KXDDM",BOM!F203=""),0,BOM!F203))</f>
        <v/>
      </c>
      <c r="H203" s="39" t="str">
        <f t="shared" si="16"/>
        <v/>
      </c>
      <c r="I203" s="39" t="str">
        <f>IF(B203="","",SUMIFS(Mau15a!$H$11:$H$310,Mau15a!$B$11:$B$310,B203)+SUMIFS(Mau15a!$I$11:$I$310,Mau15a!$B$11:$B$310,B203)+SUMIFS(Mau15a!$J$11:$J$310,Mau15a!$B$11:$B$310,B203)-SUMIFS(Mau15a!$G$11:$G$310,Mau15a!$B$11:$B$310,B203))</f>
        <v/>
      </c>
      <c r="J203" s="39" t="str">
        <f t="shared" si="17"/>
        <v/>
      </c>
      <c r="K203" s="39" t="str">
        <f>IF(B203="","",(SUMIFS(Mau15a!$K$11:$K$310,Mau15a!$B$11:$B$310,B203)-SUMIFS(Mau15a!$E$11:$E$310,Mau15a!$B$11:$B$310,B203))*G203)</f>
        <v/>
      </c>
      <c r="L203" s="36" t="str">
        <f t="shared" si="18"/>
        <v/>
      </c>
      <c r="M203" s="36" t="str">
        <f>IF(B203="","",BOM!G203&amp;"")</f>
        <v/>
      </c>
      <c r="N203" s="36" t="str">
        <f t="shared" si="19"/>
        <v/>
      </c>
    </row>
    <row r="204" spans="1:14" x14ac:dyDescent="0.25">
      <c r="A204" s="35" t="str">
        <f t="shared" si="15"/>
        <v/>
      </c>
      <c r="B204" s="35" t="str">
        <f>IF(BOM!A204="","",BOM!A204)</f>
        <v/>
      </c>
      <c r="C204" s="35" t="str">
        <f>IF(B204="","",BOM!B204)</f>
        <v/>
      </c>
      <c r="D204" s="35" t="str">
        <f>IF(B204="","",IFERROR(INDEX(DM_NL!$B$5:$B$304,MATCH(C204,DM_NL!$A$5:$A$304,0)),""))</f>
        <v/>
      </c>
      <c r="E204" s="35" t="str">
        <f>IF(B204="","",IFERROR(INDEX(DM_NL!$C$5:$C$304,MATCH(C204,DM_NL!$A$5:$A$304,0)),""))</f>
        <v/>
      </c>
      <c r="F204" s="39" t="str">
        <f>IF(B204="","",SUMIFS(Mau15a!$F$11:$F$310,Mau15a!$B$11:$B$310,B204))</f>
        <v/>
      </c>
      <c r="G204" s="39" t="str">
        <f>IF(B204="","",IF(OR(M204="KXDDM",BOM!F204=""),0,BOM!F204))</f>
        <v/>
      </c>
      <c r="H204" s="39" t="str">
        <f t="shared" si="16"/>
        <v/>
      </c>
      <c r="I204" s="39" t="str">
        <f>IF(B204="","",SUMIFS(Mau15a!$H$11:$H$310,Mau15a!$B$11:$B$310,B204)+SUMIFS(Mau15a!$I$11:$I$310,Mau15a!$B$11:$B$310,B204)+SUMIFS(Mau15a!$J$11:$J$310,Mau15a!$B$11:$B$310,B204)-SUMIFS(Mau15a!$G$11:$G$310,Mau15a!$B$11:$B$310,B204))</f>
        <v/>
      </c>
      <c r="J204" s="39" t="str">
        <f t="shared" si="17"/>
        <v/>
      </c>
      <c r="K204" s="39" t="str">
        <f>IF(B204="","",(SUMIFS(Mau15a!$K$11:$K$310,Mau15a!$B$11:$B$310,B204)-SUMIFS(Mau15a!$E$11:$E$310,Mau15a!$B$11:$B$310,B204))*G204)</f>
        <v/>
      </c>
      <c r="L204" s="36" t="str">
        <f t="shared" si="18"/>
        <v/>
      </c>
      <c r="M204" s="36" t="str">
        <f>IF(B204="","",BOM!G204&amp;"")</f>
        <v/>
      </c>
      <c r="N204" s="36" t="str">
        <f t="shared" si="19"/>
        <v/>
      </c>
    </row>
    <row r="205" spans="1:14" x14ac:dyDescent="0.25">
      <c r="A205" s="35" t="str">
        <f t="shared" si="15"/>
        <v/>
      </c>
      <c r="B205" s="35" t="str">
        <f>IF(BOM!A205="","",BOM!A205)</f>
        <v/>
      </c>
      <c r="C205" s="35" t="str">
        <f>IF(B205="","",BOM!B205)</f>
        <v/>
      </c>
      <c r="D205" s="35" t="str">
        <f>IF(B205="","",IFERROR(INDEX(DM_NL!$B$5:$B$304,MATCH(C205,DM_NL!$A$5:$A$304,0)),""))</f>
        <v/>
      </c>
      <c r="E205" s="35" t="str">
        <f>IF(B205="","",IFERROR(INDEX(DM_NL!$C$5:$C$304,MATCH(C205,DM_NL!$A$5:$A$304,0)),""))</f>
        <v/>
      </c>
      <c r="F205" s="39" t="str">
        <f>IF(B205="","",SUMIFS(Mau15a!$F$11:$F$310,Mau15a!$B$11:$B$310,B205))</f>
        <v/>
      </c>
      <c r="G205" s="39" t="str">
        <f>IF(B205="","",IF(OR(M205="KXDDM",BOM!F205=""),0,BOM!F205))</f>
        <v/>
      </c>
      <c r="H205" s="39" t="str">
        <f t="shared" si="16"/>
        <v/>
      </c>
      <c r="I205" s="39" t="str">
        <f>IF(B205="","",SUMIFS(Mau15a!$H$11:$H$310,Mau15a!$B$11:$B$310,B205)+SUMIFS(Mau15a!$I$11:$I$310,Mau15a!$B$11:$B$310,B205)+SUMIFS(Mau15a!$J$11:$J$310,Mau15a!$B$11:$B$310,B205)-SUMIFS(Mau15a!$G$11:$G$310,Mau15a!$B$11:$B$310,B205))</f>
        <v/>
      </c>
      <c r="J205" s="39" t="str">
        <f t="shared" si="17"/>
        <v/>
      </c>
      <c r="K205" s="39" t="str">
        <f>IF(B205="","",(SUMIFS(Mau15a!$K$11:$K$310,Mau15a!$B$11:$B$310,B205)-SUMIFS(Mau15a!$E$11:$E$310,Mau15a!$B$11:$B$310,B205))*G205)</f>
        <v/>
      </c>
      <c r="L205" s="36" t="str">
        <f t="shared" si="18"/>
        <v/>
      </c>
      <c r="M205" s="36" t="str">
        <f>IF(B205="","",BOM!G205&amp;"")</f>
        <v/>
      </c>
      <c r="N205" s="36" t="str">
        <f t="shared" si="19"/>
        <v/>
      </c>
    </row>
    <row r="206" spans="1:14" x14ac:dyDescent="0.25">
      <c r="A206" s="35" t="str">
        <f t="shared" si="15"/>
        <v/>
      </c>
      <c r="B206" s="35" t="str">
        <f>IF(BOM!A206="","",BOM!A206)</f>
        <v/>
      </c>
      <c r="C206" s="35" t="str">
        <f>IF(B206="","",BOM!B206)</f>
        <v/>
      </c>
      <c r="D206" s="35" t="str">
        <f>IF(B206="","",IFERROR(INDEX(DM_NL!$B$5:$B$304,MATCH(C206,DM_NL!$A$5:$A$304,0)),""))</f>
        <v/>
      </c>
      <c r="E206" s="35" t="str">
        <f>IF(B206="","",IFERROR(INDEX(DM_NL!$C$5:$C$304,MATCH(C206,DM_NL!$A$5:$A$304,0)),""))</f>
        <v/>
      </c>
      <c r="F206" s="39" t="str">
        <f>IF(B206="","",SUMIFS(Mau15a!$F$11:$F$310,Mau15a!$B$11:$B$310,B206))</f>
        <v/>
      </c>
      <c r="G206" s="39" t="str">
        <f>IF(B206="","",IF(OR(M206="KXDDM",BOM!F206=""),0,BOM!F206))</f>
        <v/>
      </c>
      <c r="H206" s="39" t="str">
        <f t="shared" si="16"/>
        <v/>
      </c>
      <c r="I206" s="39" t="str">
        <f>IF(B206="","",SUMIFS(Mau15a!$H$11:$H$310,Mau15a!$B$11:$B$310,B206)+SUMIFS(Mau15a!$I$11:$I$310,Mau15a!$B$11:$B$310,B206)+SUMIFS(Mau15a!$J$11:$J$310,Mau15a!$B$11:$B$310,B206)-SUMIFS(Mau15a!$G$11:$G$310,Mau15a!$B$11:$B$310,B206))</f>
        <v/>
      </c>
      <c r="J206" s="39" t="str">
        <f t="shared" si="17"/>
        <v/>
      </c>
      <c r="K206" s="39" t="str">
        <f>IF(B206="","",(SUMIFS(Mau15a!$K$11:$K$310,Mau15a!$B$11:$B$310,B206)-SUMIFS(Mau15a!$E$11:$E$310,Mau15a!$B$11:$B$310,B206))*G206)</f>
        <v/>
      </c>
      <c r="L206" s="36" t="str">
        <f t="shared" si="18"/>
        <v/>
      </c>
      <c r="M206" s="36" t="str">
        <f>IF(B206="","",BOM!G206&amp;"")</f>
        <v/>
      </c>
      <c r="N206" s="36" t="str">
        <f t="shared" si="19"/>
        <v/>
      </c>
    </row>
    <row r="207" spans="1:14" x14ac:dyDescent="0.25">
      <c r="A207" s="35" t="str">
        <f t="shared" si="15"/>
        <v/>
      </c>
      <c r="B207" s="35" t="str">
        <f>IF(BOM!A207="","",BOM!A207)</f>
        <v/>
      </c>
      <c r="C207" s="35" t="str">
        <f>IF(B207="","",BOM!B207)</f>
        <v/>
      </c>
      <c r="D207" s="35" t="str">
        <f>IF(B207="","",IFERROR(INDEX(DM_NL!$B$5:$B$304,MATCH(C207,DM_NL!$A$5:$A$304,0)),""))</f>
        <v/>
      </c>
      <c r="E207" s="35" t="str">
        <f>IF(B207="","",IFERROR(INDEX(DM_NL!$C$5:$C$304,MATCH(C207,DM_NL!$A$5:$A$304,0)),""))</f>
        <v/>
      </c>
      <c r="F207" s="39" t="str">
        <f>IF(B207="","",SUMIFS(Mau15a!$F$11:$F$310,Mau15a!$B$11:$B$310,B207))</f>
        <v/>
      </c>
      <c r="G207" s="39" t="str">
        <f>IF(B207="","",IF(OR(M207="KXDDM",BOM!F207=""),0,BOM!F207))</f>
        <v/>
      </c>
      <c r="H207" s="39" t="str">
        <f t="shared" si="16"/>
        <v/>
      </c>
      <c r="I207" s="39" t="str">
        <f>IF(B207="","",SUMIFS(Mau15a!$H$11:$H$310,Mau15a!$B$11:$B$310,B207)+SUMIFS(Mau15a!$I$11:$I$310,Mau15a!$B$11:$B$310,B207)+SUMIFS(Mau15a!$J$11:$J$310,Mau15a!$B$11:$B$310,B207)-SUMIFS(Mau15a!$G$11:$G$310,Mau15a!$B$11:$B$310,B207))</f>
        <v/>
      </c>
      <c r="J207" s="39" t="str">
        <f t="shared" si="17"/>
        <v/>
      </c>
      <c r="K207" s="39" t="str">
        <f>IF(B207="","",(SUMIFS(Mau15a!$K$11:$K$310,Mau15a!$B$11:$B$310,B207)-SUMIFS(Mau15a!$E$11:$E$310,Mau15a!$B$11:$B$310,B207))*G207)</f>
        <v/>
      </c>
      <c r="L207" s="36" t="str">
        <f t="shared" si="18"/>
        <v/>
      </c>
      <c r="M207" s="36" t="str">
        <f>IF(B207="","",BOM!G207&amp;"")</f>
        <v/>
      </c>
      <c r="N207" s="36" t="str">
        <f t="shared" si="19"/>
        <v/>
      </c>
    </row>
    <row r="208" spans="1:14" x14ac:dyDescent="0.25">
      <c r="A208" s="35" t="str">
        <f t="shared" si="15"/>
        <v/>
      </c>
      <c r="B208" s="35" t="str">
        <f>IF(BOM!A208="","",BOM!A208)</f>
        <v/>
      </c>
      <c r="C208" s="35" t="str">
        <f>IF(B208="","",BOM!B208)</f>
        <v/>
      </c>
      <c r="D208" s="35" t="str">
        <f>IF(B208="","",IFERROR(INDEX(DM_NL!$B$5:$B$304,MATCH(C208,DM_NL!$A$5:$A$304,0)),""))</f>
        <v/>
      </c>
      <c r="E208" s="35" t="str">
        <f>IF(B208="","",IFERROR(INDEX(DM_NL!$C$5:$C$304,MATCH(C208,DM_NL!$A$5:$A$304,0)),""))</f>
        <v/>
      </c>
      <c r="F208" s="39" t="str">
        <f>IF(B208="","",SUMIFS(Mau15a!$F$11:$F$310,Mau15a!$B$11:$B$310,B208))</f>
        <v/>
      </c>
      <c r="G208" s="39" t="str">
        <f>IF(B208="","",IF(OR(M208="KXDDM",BOM!F208=""),0,BOM!F208))</f>
        <v/>
      </c>
      <c r="H208" s="39" t="str">
        <f t="shared" si="16"/>
        <v/>
      </c>
      <c r="I208" s="39" t="str">
        <f>IF(B208="","",SUMIFS(Mau15a!$H$11:$H$310,Mau15a!$B$11:$B$310,B208)+SUMIFS(Mau15a!$I$11:$I$310,Mau15a!$B$11:$B$310,B208)+SUMIFS(Mau15a!$J$11:$J$310,Mau15a!$B$11:$B$310,B208)-SUMIFS(Mau15a!$G$11:$G$310,Mau15a!$B$11:$B$310,B208))</f>
        <v/>
      </c>
      <c r="J208" s="39" t="str">
        <f t="shared" si="17"/>
        <v/>
      </c>
      <c r="K208" s="39" t="str">
        <f>IF(B208="","",(SUMIFS(Mau15a!$K$11:$K$310,Mau15a!$B$11:$B$310,B208)-SUMIFS(Mau15a!$E$11:$E$310,Mau15a!$B$11:$B$310,B208))*G208)</f>
        <v/>
      </c>
      <c r="L208" s="36" t="str">
        <f t="shared" si="18"/>
        <v/>
      </c>
      <c r="M208" s="36" t="str">
        <f>IF(B208="","",BOM!G208&amp;"")</f>
        <v/>
      </c>
      <c r="N208" s="36" t="str">
        <f t="shared" si="19"/>
        <v/>
      </c>
    </row>
    <row r="209" spans="1:14" x14ac:dyDescent="0.25">
      <c r="A209" s="35" t="str">
        <f t="shared" si="15"/>
        <v/>
      </c>
      <c r="B209" s="35" t="str">
        <f>IF(BOM!A209="","",BOM!A209)</f>
        <v/>
      </c>
      <c r="C209" s="35" t="str">
        <f>IF(B209="","",BOM!B209)</f>
        <v/>
      </c>
      <c r="D209" s="35" t="str">
        <f>IF(B209="","",IFERROR(INDEX(DM_NL!$B$5:$B$304,MATCH(C209,DM_NL!$A$5:$A$304,0)),""))</f>
        <v/>
      </c>
      <c r="E209" s="35" t="str">
        <f>IF(B209="","",IFERROR(INDEX(DM_NL!$C$5:$C$304,MATCH(C209,DM_NL!$A$5:$A$304,0)),""))</f>
        <v/>
      </c>
      <c r="F209" s="39" t="str">
        <f>IF(B209="","",SUMIFS(Mau15a!$F$11:$F$310,Mau15a!$B$11:$B$310,B209))</f>
        <v/>
      </c>
      <c r="G209" s="39" t="str">
        <f>IF(B209="","",IF(OR(M209="KXDDM",BOM!F209=""),0,BOM!F209))</f>
        <v/>
      </c>
      <c r="H209" s="39" t="str">
        <f t="shared" si="16"/>
        <v/>
      </c>
      <c r="I209" s="39" t="str">
        <f>IF(B209="","",SUMIFS(Mau15a!$H$11:$H$310,Mau15a!$B$11:$B$310,B209)+SUMIFS(Mau15a!$I$11:$I$310,Mau15a!$B$11:$B$310,B209)+SUMIFS(Mau15a!$J$11:$J$310,Mau15a!$B$11:$B$310,B209)-SUMIFS(Mau15a!$G$11:$G$310,Mau15a!$B$11:$B$310,B209))</f>
        <v/>
      </c>
      <c r="J209" s="39" t="str">
        <f t="shared" si="17"/>
        <v/>
      </c>
      <c r="K209" s="39" t="str">
        <f>IF(B209="","",(SUMIFS(Mau15a!$K$11:$K$310,Mau15a!$B$11:$B$310,B209)-SUMIFS(Mau15a!$E$11:$E$310,Mau15a!$B$11:$B$310,B209))*G209)</f>
        <v/>
      </c>
      <c r="L209" s="36" t="str">
        <f t="shared" si="18"/>
        <v/>
      </c>
      <c r="M209" s="36" t="str">
        <f>IF(B209="","",BOM!G209&amp;"")</f>
        <v/>
      </c>
      <c r="N209" s="36" t="str">
        <f t="shared" si="19"/>
        <v/>
      </c>
    </row>
    <row r="210" spans="1:14" x14ac:dyDescent="0.25">
      <c r="A210" s="35" t="str">
        <f t="shared" si="15"/>
        <v/>
      </c>
      <c r="B210" s="35" t="str">
        <f>IF(BOM!A210="","",BOM!A210)</f>
        <v/>
      </c>
      <c r="C210" s="35" t="str">
        <f>IF(B210="","",BOM!B210)</f>
        <v/>
      </c>
      <c r="D210" s="35" t="str">
        <f>IF(B210="","",IFERROR(INDEX(DM_NL!$B$5:$B$304,MATCH(C210,DM_NL!$A$5:$A$304,0)),""))</f>
        <v/>
      </c>
      <c r="E210" s="35" t="str">
        <f>IF(B210="","",IFERROR(INDEX(DM_NL!$C$5:$C$304,MATCH(C210,DM_NL!$A$5:$A$304,0)),""))</f>
        <v/>
      </c>
      <c r="F210" s="39" t="str">
        <f>IF(B210="","",SUMIFS(Mau15a!$F$11:$F$310,Mau15a!$B$11:$B$310,B210))</f>
        <v/>
      </c>
      <c r="G210" s="39" t="str">
        <f>IF(B210="","",IF(OR(M210="KXDDM",BOM!F210=""),0,BOM!F210))</f>
        <v/>
      </c>
      <c r="H210" s="39" t="str">
        <f t="shared" si="16"/>
        <v/>
      </c>
      <c r="I210" s="39" t="str">
        <f>IF(B210="","",SUMIFS(Mau15a!$H$11:$H$310,Mau15a!$B$11:$B$310,B210)+SUMIFS(Mau15a!$I$11:$I$310,Mau15a!$B$11:$B$310,B210)+SUMIFS(Mau15a!$J$11:$J$310,Mau15a!$B$11:$B$310,B210)-SUMIFS(Mau15a!$G$11:$G$310,Mau15a!$B$11:$B$310,B210))</f>
        <v/>
      </c>
      <c r="J210" s="39" t="str">
        <f t="shared" si="17"/>
        <v/>
      </c>
      <c r="K210" s="39" t="str">
        <f>IF(B210="","",(SUMIFS(Mau15a!$K$11:$K$310,Mau15a!$B$11:$B$310,B210)-SUMIFS(Mau15a!$E$11:$E$310,Mau15a!$B$11:$B$310,B210))*G210)</f>
        <v/>
      </c>
      <c r="L210" s="36" t="str">
        <f t="shared" si="18"/>
        <v/>
      </c>
      <c r="M210" s="36" t="str">
        <f>IF(B210="","",BOM!G210&amp;"")</f>
        <v/>
      </c>
      <c r="N210" s="36" t="str">
        <f t="shared" si="19"/>
        <v/>
      </c>
    </row>
    <row r="211" spans="1:14" x14ac:dyDescent="0.25">
      <c r="A211" s="35" t="str">
        <f t="shared" si="15"/>
        <v/>
      </c>
      <c r="B211" s="35" t="str">
        <f>IF(BOM!A211="","",BOM!A211)</f>
        <v/>
      </c>
      <c r="C211" s="35" t="str">
        <f>IF(B211="","",BOM!B211)</f>
        <v/>
      </c>
      <c r="D211" s="35" t="str">
        <f>IF(B211="","",IFERROR(INDEX(DM_NL!$B$5:$B$304,MATCH(C211,DM_NL!$A$5:$A$304,0)),""))</f>
        <v/>
      </c>
      <c r="E211" s="35" t="str">
        <f>IF(B211="","",IFERROR(INDEX(DM_NL!$C$5:$C$304,MATCH(C211,DM_NL!$A$5:$A$304,0)),""))</f>
        <v/>
      </c>
      <c r="F211" s="39" t="str">
        <f>IF(B211="","",SUMIFS(Mau15a!$F$11:$F$310,Mau15a!$B$11:$B$310,B211))</f>
        <v/>
      </c>
      <c r="G211" s="39" t="str">
        <f>IF(B211="","",IF(OR(M211="KXDDM",BOM!F211=""),0,BOM!F211))</f>
        <v/>
      </c>
      <c r="H211" s="39" t="str">
        <f t="shared" si="16"/>
        <v/>
      </c>
      <c r="I211" s="39" t="str">
        <f>IF(B211="","",SUMIFS(Mau15a!$H$11:$H$310,Mau15a!$B$11:$B$310,B211)+SUMIFS(Mau15a!$I$11:$I$310,Mau15a!$B$11:$B$310,B211)+SUMIFS(Mau15a!$J$11:$J$310,Mau15a!$B$11:$B$310,B211)-SUMIFS(Mau15a!$G$11:$G$310,Mau15a!$B$11:$B$310,B211))</f>
        <v/>
      </c>
      <c r="J211" s="39" t="str">
        <f t="shared" si="17"/>
        <v/>
      </c>
      <c r="K211" s="39" t="str">
        <f>IF(B211="","",(SUMIFS(Mau15a!$K$11:$K$310,Mau15a!$B$11:$B$310,B211)-SUMIFS(Mau15a!$E$11:$E$310,Mau15a!$B$11:$B$310,B211))*G211)</f>
        <v/>
      </c>
      <c r="L211" s="36" t="str">
        <f t="shared" si="18"/>
        <v/>
      </c>
      <c r="M211" s="36" t="str">
        <f>IF(B211="","",BOM!G211&amp;"")</f>
        <v/>
      </c>
      <c r="N211" s="36" t="str">
        <f t="shared" si="19"/>
        <v/>
      </c>
    </row>
    <row r="212" spans="1:14" x14ac:dyDescent="0.25">
      <c r="A212" s="35" t="str">
        <f t="shared" si="15"/>
        <v/>
      </c>
      <c r="B212" s="35" t="str">
        <f>IF(BOM!A212="","",BOM!A212)</f>
        <v/>
      </c>
      <c r="C212" s="35" t="str">
        <f>IF(B212="","",BOM!B212)</f>
        <v/>
      </c>
      <c r="D212" s="35" t="str">
        <f>IF(B212="","",IFERROR(INDEX(DM_NL!$B$5:$B$304,MATCH(C212,DM_NL!$A$5:$A$304,0)),""))</f>
        <v/>
      </c>
      <c r="E212" s="35" t="str">
        <f>IF(B212="","",IFERROR(INDEX(DM_NL!$C$5:$C$304,MATCH(C212,DM_NL!$A$5:$A$304,0)),""))</f>
        <v/>
      </c>
      <c r="F212" s="39" t="str">
        <f>IF(B212="","",SUMIFS(Mau15a!$F$11:$F$310,Mau15a!$B$11:$B$310,B212))</f>
        <v/>
      </c>
      <c r="G212" s="39" t="str">
        <f>IF(B212="","",IF(OR(M212="KXDDM",BOM!F212=""),0,BOM!F212))</f>
        <v/>
      </c>
      <c r="H212" s="39" t="str">
        <f t="shared" si="16"/>
        <v/>
      </c>
      <c r="I212" s="39" t="str">
        <f>IF(B212="","",SUMIFS(Mau15a!$H$11:$H$310,Mau15a!$B$11:$B$310,B212)+SUMIFS(Mau15a!$I$11:$I$310,Mau15a!$B$11:$B$310,B212)+SUMIFS(Mau15a!$J$11:$J$310,Mau15a!$B$11:$B$310,B212)-SUMIFS(Mau15a!$G$11:$G$310,Mau15a!$B$11:$B$310,B212))</f>
        <v/>
      </c>
      <c r="J212" s="39" t="str">
        <f t="shared" si="17"/>
        <v/>
      </c>
      <c r="K212" s="39" t="str">
        <f>IF(B212="","",(SUMIFS(Mau15a!$K$11:$K$310,Mau15a!$B$11:$B$310,B212)-SUMIFS(Mau15a!$E$11:$E$310,Mau15a!$B$11:$B$310,B212))*G212)</f>
        <v/>
      </c>
      <c r="L212" s="36" t="str">
        <f t="shared" si="18"/>
        <v/>
      </c>
      <c r="M212" s="36" t="str">
        <f>IF(B212="","",BOM!G212&amp;"")</f>
        <v/>
      </c>
      <c r="N212" s="36" t="str">
        <f t="shared" si="19"/>
        <v/>
      </c>
    </row>
    <row r="213" spans="1:14" x14ac:dyDescent="0.25">
      <c r="A213" s="35" t="str">
        <f t="shared" si="15"/>
        <v/>
      </c>
      <c r="B213" s="35" t="str">
        <f>IF(BOM!A213="","",BOM!A213)</f>
        <v/>
      </c>
      <c r="C213" s="35" t="str">
        <f>IF(B213="","",BOM!B213)</f>
        <v/>
      </c>
      <c r="D213" s="35" t="str">
        <f>IF(B213="","",IFERROR(INDEX(DM_NL!$B$5:$B$304,MATCH(C213,DM_NL!$A$5:$A$304,0)),""))</f>
        <v/>
      </c>
      <c r="E213" s="35" t="str">
        <f>IF(B213="","",IFERROR(INDEX(DM_NL!$C$5:$C$304,MATCH(C213,DM_NL!$A$5:$A$304,0)),""))</f>
        <v/>
      </c>
      <c r="F213" s="39" t="str">
        <f>IF(B213="","",SUMIFS(Mau15a!$F$11:$F$310,Mau15a!$B$11:$B$310,B213))</f>
        <v/>
      </c>
      <c r="G213" s="39" t="str">
        <f>IF(B213="","",IF(OR(M213="KXDDM",BOM!F213=""),0,BOM!F213))</f>
        <v/>
      </c>
      <c r="H213" s="39" t="str">
        <f t="shared" si="16"/>
        <v/>
      </c>
      <c r="I213" s="39" t="str">
        <f>IF(B213="","",SUMIFS(Mau15a!$H$11:$H$310,Mau15a!$B$11:$B$310,B213)+SUMIFS(Mau15a!$I$11:$I$310,Mau15a!$B$11:$B$310,B213)+SUMIFS(Mau15a!$J$11:$J$310,Mau15a!$B$11:$B$310,B213)-SUMIFS(Mau15a!$G$11:$G$310,Mau15a!$B$11:$B$310,B213))</f>
        <v/>
      </c>
      <c r="J213" s="39" t="str">
        <f t="shared" si="17"/>
        <v/>
      </c>
      <c r="K213" s="39" t="str">
        <f>IF(B213="","",(SUMIFS(Mau15a!$K$11:$K$310,Mau15a!$B$11:$B$310,B213)-SUMIFS(Mau15a!$E$11:$E$310,Mau15a!$B$11:$B$310,B213))*G213)</f>
        <v/>
      </c>
      <c r="L213" s="36" t="str">
        <f t="shared" si="18"/>
        <v/>
      </c>
      <c r="M213" s="36" t="str">
        <f>IF(B213="","",BOM!G213&amp;"")</f>
        <v/>
      </c>
      <c r="N213" s="36" t="str">
        <f t="shared" si="19"/>
        <v/>
      </c>
    </row>
    <row r="214" spans="1:14" x14ac:dyDescent="0.25">
      <c r="A214" s="35" t="str">
        <f t="shared" si="15"/>
        <v/>
      </c>
      <c r="B214" s="35" t="str">
        <f>IF(BOM!A214="","",BOM!A214)</f>
        <v/>
      </c>
      <c r="C214" s="35" t="str">
        <f>IF(B214="","",BOM!B214)</f>
        <v/>
      </c>
      <c r="D214" s="35" t="str">
        <f>IF(B214="","",IFERROR(INDEX(DM_NL!$B$5:$B$304,MATCH(C214,DM_NL!$A$5:$A$304,0)),""))</f>
        <v/>
      </c>
      <c r="E214" s="35" t="str">
        <f>IF(B214="","",IFERROR(INDEX(DM_NL!$C$5:$C$304,MATCH(C214,DM_NL!$A$5:$A$304,0)),""))</f>
        <v/>
      </c>
      <c r="F214" s="39" t="str">
        <f>IF(B214="","",SUMIFS(Mau15a!$F$11:$F$310,Mau15a!$B$11:$B$310,B214))</f>
        <v/>
      </c>
      <c r="G214" s="39" t="str">
        <f>IF(B214="","",IF(OR(M214="KXDDM",BOM!F214=""),0,BOM!F214))</f>
        <v/>
      </c>
      <c r="H214" s="39" t="str">
        <f t="shared" si="16"/>
        <v/>
      </c>
      <c r="I214" s="39" t="str">
        <f>IF(B214="","",SUMIFS(Mau15a!$H$11:$H$310,Mau15a!$B$11:$B$310,B214)+SUMIFS(Mau15a!$I$11:$I$310,Mau15a!$B$11:$B$310,B214)+SUMIFS(Mau15a!$J$11:$J$310,Mau15a!$B$11:$B$310,B214)-SUMIFS(Mau15a!$G$11:$G$310,Mau15a!$B$11:$B$310,B214))</f>
        <v/>
      </c>
      <c r="J214" s="39" t="str">
        <f t="shared" si="17"/>
        <v/>
      </c>
      <c r="K214" s="39" t="str">
        <f>IF(B214="","",(SUMIFS(Mau15a!$K$11:$K$310,Mau15a!$B$11:$B$310,B214)-SUMIFS(Mau15a!$E$11:$E$310,Mau15a!$B$11:$B$310,B214))*G214)</f>
        <v/>
      </c>
      <c r="L214" s="36" t="str">
        <f t="shared" si="18"/>
        <v/>
      </c>
      <c r="M214" s="36" t="str">
        <f>IF(B214="","",BOM!G214&amp;"")</f>
        <v/>
      </c>
      <c r="N214" s="36" t="str">
        <f t="shared" si="19"/>
        <v/>
      </c>
    </row>
    <row r="215" spans="1:14" x14ac:dyDescent="0.25">
      <c r="A215" s="35" t="str">
        <f t="shared" si="15"/>
        <v/>
      </c>
      <c r="B215" s="35" t="str">
        <f>IF(BOM!A215="","",BOM!A215)</f>
        <v/>
      </c>
      <c r="C215" s="35" t="str">
        <f>IF(B215="","",BOM!B215)</f>
        <v/>
      </c>
      <c r="D215" s="35" t="str">
        <f>IF(B215="","",IFERROR(INDEX(DM_NL!$B$5:$B$304,MATCH(C215,DM_NL!$A$5:$A$304,0)),""))</f>
        <v/>
      </c>
      <c r="E215" s="35" t="str">
        <f>IF(B215="","",IFERROR(INDEX(DM_NL!$C$5:$C$304,MATCH(C215,DM_NL!$A$5:$A$304,0)),""))</f>
        <v/>
      </c>
      <c r="F215" s="39" t="str">
        <f>IF(B215="","",SUMIFS(Mau15a!$F$11:$F$310,Mau15a!$B$11:$B$310,B215))</f>
        <v/>
      </c>
      <c r="G215" s="39" t="str">
        <f>IF(B215="","",IF(OR(M215="KXDDM",BOM!F215=""),0,BOM!F215))</f>
        <v/>
      </c>
      <c r="H215" s="39" t="str">
        <f t="shared" si="16"/>
        <v/>
      </c>
      <c r="I215" s="39" t="str">
        <f>IF(B215="","",SUMIFS(Mau15a!$H$11:$H$310,Mau15a!$B$11:$B$310,B215)+SUMIFS(Mau15a!$I$11:$I$310,Mau15a!$B$11:$B$310,B215)+SUMIFS(Mau15a!$J$11:$J$310,Mau15a!$B$11:$B$310,B215)-SUMIFS(Mau15a!$G$11:$G$310,Mau15a!$B$11:$B$310,B215))</f>
        <v/>
      </c>
      <c r="J215" s="39" t="str">
        <f t="shared" si="17"/>
        <v/>
      </c>
      <c r="K215" s="39" t="str">
        <f>IF(B215="","",(SUMIFS(Mau15a!$K$11:$K$310,Mau15a!$B$11:$B$310,B215)-SUMIFS(Mau15a!$E$11:$E$310,Mau15a!$B$11:$B$310,B215))*G215)</f>
        <v/>
      </c>
      <c r="L215" s="36" t="str">
        <f t="shared" si="18"/>
        <v/>
      </c>
      <c r="M215" s="36" t="str">
        <f>IF(B215="","",BOM!G215&amp;"")</f>
        <v/>
      </c>
      <c r="N215" s="36" t="str">
        <f t="shared" si="19"/>
        <v/>
      </c>
    </row>
    <row r="216" spans="1:14" x14ac:dyDescent="0.25">
      <c r="A216" s="35" t="str">
        <f t="shared" si="15"/>
        <v/>
      </c>
      <c r="B216" s="35" t="str">
        <f>IF(BOM!A216="","",BOM!A216)</f>
        <v/>
      </c>
      <c r="C216" s="35" t="str">
        <f>IF(B216="","",BOM!B216)</f>
        <v/>
      </c>
      <c r="D216" s="35" t="str">
        <f>IF(B216="","",IFERROR(INDEX(DM_NL!$B$5:$B$304,MATCH(C216,DM_NL!$A$5:$A$304,0)),""))</f>
        <v/>
      </c>
      <c r="E216" s="35" t="str">
        <f>IF(B216="","",IFERROR(INDEX(DM_NL!$C$5:$C$304,MATCH(C216,DM_NL!$A$5:$A$304,0)),""))</f>
        <v/>
      </c>
      <c r="F216" s="39" t="str">
        <f>IF(B216="","",SUMIFS(Mau15a!$F$11:$F$310,Mau15a!$B$11:$B$310,B216))</f>
        <v/>
      </c>
      <c r="G216" s="39" t="str">
        <f>IF(B216="","",IF(OR(M216="KXDDM",BOM!F216=""),0,BOM!F216))</f>
        <v/>
      </c>
      <c r="H216" s="39" t="str">
        <f t="shared" si="16"/>
        <v/>
      </c>
      <c r="I216" s="39" t="str">
        <f>IF(B216="","",SUMIFS(Mau15a!$H$11:$H$310,Mau15a!$B$11:$B$310,B216)+SUMIFS(Mau15a!$I$11:$I$310,Mau15a!$B$11:$B$310,B216)+SUMIFS(Mau15a!$J$11:$J$310,Mau15a!$B$11:$B$310,B216)-SUMIFS(Mau15a!$G$11:$G$310,Mau15a!$B$11:$B$310,B216))</f>
        <v/>
      </c>
      <c r="J216" s="39" t="str">
        <f t="shared" si="17"/>
        <v/>
      </c>
      <c r="K216" s="39" t="str">
        <f>IF(B216="","",(SUMIFS(Mau15a!$K$11:$K$310,Mau15a!$B$11:$B$310,B216)-SUMIFS(Mau15a!$E$11:$E$310,Mau15a!$B$11:$B$310,B216))*G216)</f>
        <v/>
      </c>
      <c r="L216" s="36" t="str">
        <f t="shared" si="18"/>
        <v/>
      </c>
      <c r="M216" s="36" t="str">
        <f>IF(B216="","",BOM!G216&amp;"")</f>
        <v/>
      </c>
      <c r="N216" s="36" t="str">
        <f t="shared" si="19"/>
        <v/>
      </c>
    </row>
    <row r="217" spans="1:14" x14ac:dyDescent="0.25">
      <c r="A217" s="35" t="str">
        <f t="shared" si="15"/>
        <v/>
      </c>
      <c r="B217" s="35" t="str">
        <f>IF(BOM!A217="","",BOM!A217)</f>
        <v/>
      </c>
      <c r="C217" s="35" t="str">
        <f>IF(B217="","",BOM!B217)</f>
        <v/>
      </c>
      <c r="D217" s="35" t="str">
        <f>IF(B217="","",IFERROR(INDEX(DM_NL!$B$5:$B$304,MATCH(C217,DM_NL!$A$5:$A$304,0)),""))</f>
        <v/>
      </c>
      <c r="E217" s="35" t="str">
        <f>IF(B217="","",IFERROR(INDEX(DM_NL!$C$5:$C$304,MATCH(C217,DM_NL!$A$5:$A$304,0)),""))</f>
        <v/>
      </c>
      <c r="F217" s="39" t="str">
        <f>IF(B217="","",SUMIFS(Mau15a!$F$11:$F$310,Mau15a!$B$11:$B$310,B217))</f>
        <v/>
      </c>
      <c r="G217" s="39" t="str">
        <f>IF(B217="","",IF(OR(M217="KXDDM",BOM!F217=""),0,BOM!F217))</f>
        <v/>
      </c>
      <c r="H217" s="39" t="str">
        <f t="shared" si="16"/>
        <v/>
      </c>
      <c r="I217" s="39" t="str">
        <f>IF(B217="","",SUMIFS(Mau15a!$H$11:$H$310,Mau15a!$B$11:$B$310,B217)+SUMIFS(Mau15a!$I$11:$I$310,Mau15a!$B$11:$B$310,B217)+SUMIFS(Mau15a!$J$11:$J$310,Mau15a!$B$11:$B$310,B217)-SUMIFS(Mau15a!$G$11:$G$310,Mau15a!$B$11:$B$310,B217))</f>
        <v/>
      </c>
      <c r="J217" s="39" t="str">
        <f t="shared" si="17"/>
        <v/>
      </c>
      <c r="K217" s="39" t="str">
        <f>IF(B217="","",(SUMIFS(Mau15a!$K$11:$K$310,Mau15a!$B$11:$B$310,B217)-SUMIFS(Mau15a!$E$11:$E$310,Mau15a!$B$11:$B$310,B217))*G217)</f>
        <v/>
      </c>
      <c r="L217" s="36" t="str">
        <f t="shared" si="18"/>
        <v/>
      </c>
      <c r="M217" s="36" t="str">
        <f>IF(B217="","",BOM!G217&amp;"")</f>
        <v/>
      </c>
      <c r="N217" s="36" t="str">
        <f t="shared" si="19"/>
        <v/>
      </c>
    </row>
    <row r="218" spans="1:14" x14ac:dyDescent="0.25">
      <c r="A218" s="35" t="str">
        <f t="shared" si="15"/>
        <v/>
      </c>
      <c r="B218" s="35" t="str">
        <f>IF(BOM!A218="","",BOM!A218)</f>
        <v/>
      </c>
      <c r="C218" s="35" t="str">
        <f>IF(B218="","",BOM!B218)</f>
        <v/>
      </c>
      <c r="D218" s="35" t="str">
        <f>IF(B218="","",IFERROR(INDEX(DM_NL!$B$5:$B$304,MATCH(C218,DM_NL!$A$5:$A$304,0)),""))</f>
        <v/>
      </c>
      <c r="E218" s="35" t="str">
        <f>IF(B218="","",IFERROR(INDEX(DM_NL!$C$5:$C$304,MATCH(C218,DM_NL!$A$5:$A$304,0)),""))</f>
        <v/>
      </c>
      <c r="F218" s="39" t="str">
        <f>IF(B218="","",SUMIFS(Mau15a!$F$11:$F$310,Mau15a!$B$11:$B$310,B218))</f>
        <v/>
      </c>
      <c r="G218" s="39" t="str">
        <f>IF(B218="","",IF(OR(M218="KXDDM",BOM!F218=""),0,BOM!F218))</f>
        <v/>
      </c>
      <c r="H218" s="39" t="str">
        <f t="shared" si="16"/>
        <v/>
      </c>
      <c r="I218" s="39" t="str">
        <f>IF(B218="","",SUMIFS(Mau15a!$H$11:$H$310,Mau15a!$B$11:$B$310,B218)+SUMIFS(Mau15a!$I$11:$I$310,Mau15a!$B$11:$B$310,B218)+SUMIFS(Mau15a!$J$11:$J$310,Mau15a!$B$11:$B$310,B218)-SUMIFS(Mau15a!$G$11:$G$310,Mau15a!$B$11:$B$310,B218))</f>
        <v/>
      </c>
      <c r="J218" s="39" t="str">
        <f t="shared" si="17"/>
        <v/>
      </c>
      <c r="K218" s="39" t="str">
        <f>IF(B218="","",(SUMIFS(Mau15a!$K$11:$K$310,Mau15a!$B$11:$B$310,B218)-SUMIFS(Mau15a!$E$11:$E$310,Mau15a!$B$11:$B$310,B218))*G218)</f>
        <v/>
      </c>
      <c r="L218" s="36" t="str">
        <f t="shared" si="18"/>
        <v/>
      </c>
      <c r="M218" s="36" t="str">
        <f>IF(B218="","",BOM!G218&amp;"")</f>
        <v/>
      </c>
      <c r="N218" s="36" t="str">
        <f t="shared" si="19"/>
        <v/>
      </c>
    </row>
    <row r="219" spans="1:14" x14ac:dyDescent="0.25">
      <c r="A219" s="35" t="str">
        <f t="shared" si="15"/>
        <v/>
      </c>
      <c r="B219" s="35" t="str">
        <f>IF(BOM!A219="","",BOM!A219)</f>
        <v/>
      </c>
      <c r="C219" s="35" t="str">
        <f>IF(B219="","",BOM!B219)</f>
        <v/>
      </c>
      <c r="D219" s="35" t="str">
        <f>IF(B219="","",IFERROR(INDEX(DM_NL!$B$5:$B$304,MATCH(C219,DM_NL!$A$5:$A$304,0)),""))</f>
        <v/>
      </c>
      <c r="E219" s="35" t="str">
        <f>IF(B219="","",IFERROR(INDEX(DM_NL!$C$5:$C$304,MATCH(C219,DM_NL!$A$5:$A$304,0)),""))</f>
        <v/>
      </c>
      <c r="F219" s="39" t="str">
        <f>IF(B219="","",SUMIFS(Mau15a!$F$11:$F$310,Mau15a!$B$11:$B$310,B219))</f>
        <v/>
      </c>
      <c r="G219" s="39" t="str">
        <f>IF(B219="","",IF(OR(M219="KXDDM",BOM!F219=""),0,BOM!F219))</f>
        <v/>
      </c>
      <c r="H219" s="39" t="str">
        <f t="shared" si="16"/>
        <v/>
      </c>
      <c r="I219" s="39" t="str">
        <f>IF(B219="","",SUMIFS(Mau15a!$H$11:$H$310,Mau15a!$B$11:$B$310,B219)+SUMIFS(Mau15a!$I$11:$I$310,Mau15a!$B$11:$B$310,B219)+SUMIFS(Mau15a!$J$11:$J$310,Mau15a!$B$11:$B$310,B219)-SUMIFS(Mau15a!$G$11:$G$310,Mau15a!$B$11:$B$310,B219))</f>
        <v/>
      </c>
      <c r="J219" s="39" t="str">
        <f t="shared" si="17"/>
        <v/>
      </c>
      <c r="K219" s="39" t="str">
        <f>IF(B219="","",(SUMIFS(Mau15a!$K$11:$K$310,Mau15a!$B$11:$B$310,B219)-SUMIFS(Mau15a!$E$11:$E$310,Mau15a!$B$11:$B$310,B219))*G219)</f>
        <v/>
      </c>
      <c r="L219" s="36" t="str">
        <f t="shared" si="18"/>
        <v/>
      </c>
      <c r="M219" s="36" t="str">
        <f>IF(B219="","",BOM!G219&amp;"")</f>
        <v/>
      </c>
      <c r="N219" s="36" t="str">
        <f t="shared" si="19"/>
        <v/>
      </c>
    </row>
    <row r="220" spans="1:14" x14ac:dyDescent="0.25">
      <c r="A220" s="35" t="str">
        <f t="shared" si="15"/>
        <v/>
      </c>
      <c r="B220" s="35" t="str">
        <f>IF(BOM!A220="","",BOM!A220)</f>
        <v/>
      </c>
      <c r="C220" s="35" t="str">
        <f>IF(B220="","",BOM!B220)</f>
        <v/>
      </c>
      <c r="D220" s="35" t="str">
        <f>IF(B220="","",IFERROR(INDEX(DM_NL!$B$5:$B$304,MATCH(C220,DM_NL!$A$5:$A$304,0)),""))</f>
        <v/>
      </c>
      <c r="E220" s="35" t="str">
        <f>IF(B220="","",IFERROR(INDEX(DM_NL!$C$5:$C$304,MATCH(C220,DM_NL!$A$5:$A$304,0)),""))</f>
        <v/>
      </c>
      <c r="F220" s="39" t="str">
        <f>IF(B220="","",SUMIFS(Mau15a!$F$11:$F$310,Mau15a!$B$11:$B$310,B220))</f>
        <v/>
      </c>
      <c r="G220" s="39" t="str">
        <f>IF(B220="","",IF(OR(M220="KXDDM",BOM!F220=""),0,BOM!F220))</f>
        <v/>
      </c>
      <c r="H220" s="39" t="str">
        <f t="shared" si="16"/>
        <v/>
      </c>
      <c r="I220" s="39" t="str">
        <f>IF(B220="","",SUMIFS(Mau15a!$H$11:$H$310,Mau15a!$B$11:$B$310,B220)+SUMIFS(Mau15a!$I$11:$I$310,Mau15a!$B$11:$B$310,B220)+SUMIFS(Mau15a!$J$11:$J$310,Mau15a!$B$11:$B$310,B220)-SUMIFS(Mau15a!$G$11:$G$310,Mau15a!$B$11:$B$310,B220))</f>
        <v/>
      </c>
      <c r="J220" s="39" t="str">
        <f t="shared" si="17"/>
        <v/>
      </c>
      <c r="K220" s="39" t="str">
        <f>IF(B220="","",(SUMIFS(Mau15a!$K$11:$K$310,Mau15a!$B$11:$B$310,B220)-SUMIFS(Mau15a!$E$11:$E$310,Mau15a!$B$11:$B$310,B220))*G220)</f>
        <v/>
      </c>
      <c r="L220" s="36" t="str">
        <f t="shared" si="18"/>
        <v/>
      </c>
      <c r="M220" s="36" t="str">
        <f>IF(B220="","",BOM!G220&amp;"")</f>
        <v/>
      </c>
      <c r="N220" s="36" t="str">
        <f t="shared" si="19"/>
        <v/>
      </c>
    </row>
    <row r="221" spans="1:14" x14ac:dyDescent="0.25">
      <c r="A221" s="35" t="str">
        <f t="shared" si="15"/>
        <v/>
      </c>
      <c r="B221" s="35" t="str">
        <f>IF(BOM!A221="","",BOM!A221)</f>
        <v/>
      </c>
      <c r="C221" s="35" t="str">
        <f>IF(B221="","",BOM!B221)</f>
        <v/>
      </c>
      <c r="D221" s="35" t="str">
        <f>IF(B221="","",IFERROR(INDEX(DM_NL!$B$5:$B$304,MATCH(C221,DM_NL!$A$5:$A$304,0)),""))</f>
        <v/>
      </c>
      <c r="E221" s="35" t="str">
        <f>IF(B221="","",IFERROR(INDEX(DM_NL!$C$5:$C$304,MATCH(C221,DM_NL!$A$5:$A$304,0)),""))</f>
        <v/>
      </c>
      <c r="F221" s="39" t="str">
        <f>IF(B221="","",SUMIFS(Mau15a!$F$11:$F$310,Mau15a!$B$11:$B$310,B221))</f>
        <v/>
      </c>
      <c r="G221" s="39" t="str">
        <f>IF(B221="","",IF(OR(M221="KXDDM",BOM!F221=""),0,BOM!F221))</f>
        <v/>
      </c>
      <c r="H221" s="39" t="str">
        <f t="shared" si="16"/>
        <v/>
      </c>
      <c r="I221" s="39" t="str">
        <f>IF(B221="","",SUMIFS(Mau15a!$H$11:$H$310,Mau15a!$B$11:$B$310,B221)+SUMIFS(Mau15a!$I$11:$I$310,Mau15a!$B$11:$B$310,B221)+SUMIFS(Mau15a!$J$11:$J$310,Mau15a!$B$11:$B$310,B221)-SUMIFS(Mau15a!$G$11:$G$310,Mau15a!$B$11:$B$310,B221))</f>
        <v/>
      </c>
      <c r="J221" s="39" t="str">
        <f t="shared" si="17"/>
        <v/>
      </c>
      <c r="K221" s="39" t="str">
        <f>IF(B221="","",(SUMIFS(Mau15a!$K$11:$K$310,Mau15a!$B$11:$B$310,B221)-SUMIFS(Mau15a!$E$11:$E$310,Mau15a!$B$11:$B$310,B221))*G221)</f>
        <v/>
      </c>
      <c r="L221" s="36" t="str">
        <f t="shared" si="18"/>
        <v/>
      </c>
      <c r="M221" s="36" t="str">
        <f>IF(B221="","",BOM!G221&amp;"")</f>
        <v/>
      </c>
      <c r="N221" s="36" t="str">
        <f t="shared" si="19"/>
        <v/>
      </c>
    </row>
    <row r="222" spans="1:14" x14ac:dyDescent="0.25">
      <c r="A222" s="35" t="str">
        <f t="shared" si="15"/>
        <v/>
      </c>
      <c r="B222" s="35" t="str">
        <f>IF(BOM!A222="","",BOM!A222)</f>
        <v/>
      </c>
      <c r="C222" s="35" t="str">
        <f>IF(B222="","",BOM!B222)</f>
        <v/>
      </c>
      <c r="D222" s="35" t="str">
        <f>IF(B222="","",IFERROR(INDEX(DM_NL!$B$5:$B$304,MATCH(C222,DM_NL!$A$5:$A$304,0)),""))</f>
        <v/>
      </c>
      <c r="E222" s="35" t="str">
        <f>IF(B222="","",IFERROR(INDEX(DM_NL!$C$5:$C$304,MATCH(C222,DM_NL!$A$5:$A$304,0)),""))</f>
        <v/>
      </c>
      <c r="F222" s="39" t="str">
        <f>IF(B222="","",SUMIFS(Mau15a!$F$11:$F$310,Mau15a!$B$11:$B$310,B222))</f>
        <v/>
      </c>
      <c r="G222" s="39" t="str">
        <f>IF(B222="","",IF(OR(M222="KXDDM",BOM!F222=""),0,BOM!F222))</f>
        <v/>
      </c>
      <c r="H222" s="39" t="str">
        <f t="shared" si="16"/>
        <v/>
      </c>
      <c r="I222" s="39" t="str">
        <f>IF(B222="","",SUMIFS(Mau15a!$H$11:$H$310,Mau15a!$B$11:$B$310,B222)+SUMIFS(Mau15a!$I$11:$I$310,Mau15a!$B$11:$B$310,B222)+SUMIFS(Mau15a!$J$11:$J$310,Mau15a!$B$11:$B$310,B222)-SUMIFS(Mau15a!$G$11:$G$310,Mau15a!$B$11:$B$310,B222))</f>
        <v/>
      </c>
      <c r="J222" s="39" t="str">
        <f t="shared" si="17"/>
        <v/>
      </c>
      <c r="K222" s="39" t="str">
        <f>IF(B222="","",(SUMIFS(Mau15a!$K$11:$K$310,Mau15a!$B$11:$B$310,B222)-SUMIFS(Mau15a!$E$11:$E$310,Mau15a!$B$11:$B$310,B222))*G222)</f>
        <v/>
      </c>
      <c r="L222" s="36" t="str">
        <f t="shared" si="18"/>
        <v/>
      </c>
      <c r="M222" s="36" t="str">
        <f>IF(B222="","",BOM!G222&amp;"")</f>
        <v/>
      </c>
      <c r="N222" s="36" t="str">
        <f t="shared" si="19"/>
        <v/>
      </c>
    </row>
    <row r="223" spans="1:14" x14ac:dyDescent="0.25">
      <c r="A223" s="35" t="str">
        <f t="shared" si="15"/>
        <v/>
      </c>
      <c r="B223" s="35" t="str">
        <f>IF(BOM!A223="","",BOM!A223)</f>
        <v/>
      </c>
      <c r="C223" s="35" t="str">
        <f>IF(B223="","",BOM!B223)</f>
        <v/>
      </c>
      <c r="D223" s="35" t="str">
        <f>IF(B223="","",IFERROR(INDEX(DM_NL!$B$5:$B$304,MATCH(C223,DM_NL!$A$5:$A$304,0)),""))</f>
        <v/>
      </c>
      <c r="E223" s="35" t="str">
        <f>IF(B223="","",IFERROR(INDEX(DM_NL!$C$5:$C$304,MATCH(C223,DM_NL!$A$5:$A$304,0)),""))</f>
        <v/>
      </c>
      <c r="F223" s="39" t="str">
        <f>IF(B223="","",SUMIFS(Mau15a!$F$11:$F$310,Mau15a!$B$11:$B$310,B223))</f>
        <v/>
      </c>
      <c r="G223" s="39" t="str">
        <f>IF(B223="","",IF(OR(M223="KXDDM",BOM!F223=""),0,BOM!F223))</f>
        <v/>
      </c>
      <c r="H223" s="39" t="str">
        <f t="shared" si="16"/>
        <v/>
      </c>
      <c r="I223" s="39" t="str">
        <f>IF(B223="","",SUMIFS(Mau15a!$H$11:$H$310,Mau15a!$B$11:$B$310,B223)+SUMIFS(Mau15a!$I$11:$I$310,Mau15a!$B$11:$B$310,B223)+SUMIFS(Mau15a!$J$11:$J$310,Mau15a!$B$11:$B$310,B223)-SUMIFS(Mau15a!$G$11:$G$310,Mau15a!$B$11:$B$310,B223))</f>
        <v/>
      </c>
      <c r="J223" s="39" t="str">
        <f t="shared" si="17"/>
        <v/>
      </c>
      <c r="K223" s="39" t="str">
        <f>IF(B223="","",(SUMIFS(Mau15a!$K$11:$K$310,Mau15a!$B$11:$B$310,B223)-SUMIFS(Mau15a!$E$11:$E$310,Mau15a!$B$11:$B$310,B223))*G223)</f>
        <v/>
      </c>
      <c r="L223" s="36" t="str">
        <f t="shared" si="18"/>
        <v/>
      </c>
      <c r="M223" s="36" t="str">
        <f>IF(B223="","",BOM!G223&amp;"")</f>
        <v/>
      </c>
      <c r="N223" s="36" t="str">
        <f t="shared" si="19"/>
        <v/>
      </c>
    </row>
    <row r="224" spans="1:14" x14ac:dyDescent="0.25">
      <c r="A224" s="35" t="str">
        <f t="shared" si="15"/>
        <v/>
      </c>
      <c r="B224" s="35" t="str">
        <f>IF(BOM!A224="","",BOM!A224)</f>
        <v/>
      </c>
      <c r="C224" s="35" t="str">
        <f>IF(B224="","",BOM!B224)</f>
        <v/>
      </c>
      <c r="D224" s="35" t="str">
        <f>IF(B224="","",IFERROR(INDEX(DM_NL!$B$5:$B$304,MATCH(C224,DM_NL!$A$5:$A$304,0)),""))</f>
        <v/>
      </c>
      <c r="E224" s="35" t="str">
        <f>IF(B224="","",IFERROR(INDEX(DM_NL!$C$5:$C$304,MATCH(C224,DM_NL!$A$5:$A$304,0)),""))</f>
        <v/>
      </c>
      <c r="F224" s="39" t="str">
        <f>IF(B224="","",SUMIFS(Mau15a!$F$11:$F$310,Mau15a!$B$11:$B$310,B224))</f>
        <v/>
      </c>
      <c r="G224" s="39" t="str">
        <f>IF(B224="","",IF(OR(M224="KXDDM",BOM!F224=""),0,BOM!F224))</f>
        <v/>
      </c>
      <c r="H224" s="39" t="str">
        <f t="shared" si="16"/>
        <v/>
      </c>
      <c r="I224" s="39" t="str">
        <f>IF(B224="","",SUMIFS(Mau15a!$H$11:$H$310,Mau15a!$B$11:$B$310,B224)+SUMIFS(Mau15a!$I$11:$I$310,Mau15a!$B$11:$B$310,B224)+SUMIFS(Mau15a!$J$11:$J$310,Mau15a!$B$11:$B$310,B224)-SUMIFS(Mau15a!$G$11:$G$310,Mau15a!$B$11:$B$310,B224))</f>
        <v/>
      </c>
      <c r="J224" s="39" t="str">
        <f t="shared" si="17"/>
        <v/>
      </c>
      <c r="K224" s="39" t="str">
        <f>IF(B224="","",(SUMIFS(Mau15a!$K$11:$K$310,Mau15a!$B$11:$B$310,B224)-SUMIFS(Mau15a!$E$11:$E$310,Mau15a!$B$11:$B$310,B224))*G224)</f>
        <v/>
      </c>
      <c r="L224" s="36" t="str">
        <f t="shared" si="18"/>
        <v/>
      </c>
      <c r="M224" s="36" t="str">
        <f>IF(B224="","",BOM!G224&amp;"")</f>
        <v/>
      </c>
      <c r="N224" s="36" t="str">
        <f t="shared" si="19"/>
        <v/>
      </c>
    </row>
    <row r="225" spans="1:14" x14ac:dyDescent="0.25">
      <c r="A225" s="35" t="str">
        <f t="shared" si="15"/>
        <v/>
      </c>
      <c r="B225" s="35" t="str">
        <f>IF(BOM!A225="","",BOM!A225)</f>
        <v/>
      </c>
      <c r="C225" s="35" t="str">
        <f>IF(B225="","",BOM!B225)</f>
        <v/>
      </c>
      <c r="D225" s="35" t="str">
        <f>IF(B225="","",IFERROR(INDEX(DM_NL!$B$5:$B$304,MATCH(C225,DM_NL!$A$5:$A$304,0)),""))</f>
        <v/>
      </c>
      <c r="E225" s="35" t="str">
        <f>IF(B225="","",IFERROR(INDEX(DM_NL!$C$5:$C$304,MATCH(C225,DM_NL!$A$5:$A$304,0)),""))</f>
        <v/>
      </c>
      <c r="F225" s="39" t="str">
        <f>IF(B225="","",SUMIFS(Mau15a!$F$11:$F$310,Mau15a!$B$11:$B$310,B225))</f>
        <v/>
      </c>
      <c r="G225" s="39" t="str">
        <f>IF(B225="","",IF(OR(M225="KXDDM",BOM!F225=""),0,BOM!F225))</f>
        <v/>
      </c>
      <c r="H225" s="39" t="str">
        <f t="shared" si="16"/>
        <v/>
      </c>
      <c r="I225" s="39" t="str">
        <f>IF(B225="","",SUMIFS(Mau15a!$H$11:$H$310,Mau15a!$B$11:$B$310,B225)+SUMIFS(Mau15a!$I$11:$I$310,Mau15a!$B$11:$B$310,B225)+SUMIFS(Mau15a!$J$11:$J$310,Mau15a!$B$11:$B$310,B225)-SUMIFS(Mau15a!$G$11:$G$310,Mau15a!$B$11:$B$310,B225))</f>
        <v/>
      </c>
      <c r="J225" s="39" t="str">
        <f t="shared" si="17"/>
        <v/>
      </c>
      <c r="K225" s="39" t="str">
        <f>IF(B225="","",(SUMIFS(Mau15a!$K$11:$K$310,Mau15a!$B$11:$B$310,B225)-SUMIFS(Mau15a!$E$11:$E$310,Mau15a!$B$11:$B$310,B225))*G225)</f>
        <v/>
      </c>
      <c r="L225" s="36" t="str">
        <f t="shared" si="18"/>
        <v/>
      </c>
      <c r="M225" s="36" t="str">
        <f>IF(B225="","",BOM!G225&amp;"")</f>
        <v/>
      </c>
      <c r="N225" s="36" t="str">
        <f t="shared" si="19"/>
        <v/>
      </c>
    </row>
    <row r="226" spans="1:14" x14ac:dyDescent="0.25">
      <c r="A226" s="35" t="str">
        <f t="shared" si="15"/>
        <v/>
      </c>
      <c r="B226" s="35" t="str">
        <f>IF(BOM!A226="","",BOM!A226)</f>
        <v/>
      </c>
      <c r="C226" s="35" t="str">
        <f>IF(B226="","",BOM!B226)</f>
        <v/>
      </c>
      <c r="D226" s="35" t="str">
        <f>IF(B226="","",IFERROR(INDEX(DM_NL!$B$5:$B$304,MATCH(C226,DM_NL!$A$5:$A$304,0)),""))</f>
        <v/>
      </c>
      <c r="E226" s="35" t="str">
        <f>IF(B226="","",IFERROR(INDEX(DM_NL!$C$5:$C$304,MATCH(C226,DM_NL!$A$5:$A$304,0)),""))</f>
        <v/>
      </c>
      <c r="F226" s="39" t="str">
        <f>IF(B226="","",SUMIFS(Mau15a!$F$11:$F$310,Mau15a!$B$11:$B$310,B226))</f>
        <v/>
      </c>
      <c r="G226" s="39" t="str">
        <f>IF(B226="","",IF(OR(M226="KXDDM",BOM!F226=""),0,BOM!F226))</f>
        <v/>
      </c>
      <c r="H226" s="39" t="str">
        <f t="shared" si="16"/>
        <v/>
      </c>
      <c r="I226" s="39" t="str">
        <f>IF(B226="","",SUMIFS(Mau15a!$H$11:$H$310,Mau15a!$B$11:$B$310,B226)+SUMIFS(Mau15a!$I$11:$I$310,Mau15a!$B$11:$B$310,B226)+SUMIFS(Mau15a!$J$11:$J$310,Mau15a!$B$11:$B$310,B226)-SUMIFS(Mau15a!$G$11:$G$310,Mau15a!$B$11:$B$310,B226))</f>
        <v/>
      </c>
      <c r="J226" s="39" t="str">
        <f t="shared" si="17"/>
        <v/>
      </c>
      <c r="K226" s="39" t="str">
        <f>IF(B226="","",(SUMIFS(Mau15a!$K$11:$K$310,Mau15a!$B$11:$B$310,B226)-SUMIFS(Mau15a!$E$11:$E$310,Mau15a!$B$11:$B$310,B226))*G226)</f>
        <v/>
      </c>
      <c r="L226" s="36" t="str">
        <f t="shared" si="18"/>
        <v/>
      </c>
      <c r="M226" s="36" t="str">
        <f>IF(B226="","",BOM!G226&amp;"")</f>
        <v/>
      </c>
      <c r="N226" s="36" t="str">
        <f t="shared" si="19"/>
        <v/>
      </c>
    </row>
    <row r="227" spans="1:14" x14ac:dyDescent="0.25">
      <c r="A227" s="35" t="str">
        <f t="shared" si="15"/>
        <v/>
      </c>
      <c r="B227" s="35" t="str">
        <f>IF(BOM!A227="","",BOM!A227)</f>
        <v/>
      </c>
      <c r="C227" s="35" t="str">
        <f>IF(B227="","",BOM!B227)</f>
        <v/>
      </c>
      <c r="D227" s="35" t="str">
        <f>IF(B227="","",IFERROR(INDEX(DM_NL!$B$5:$B$304,MATCH(C227,DM_NL!$A$5:$A$304,0)),""))</f>
        <v/>
      </c>
      <c r="E227" s="35" t="str">
        <f>IF(B227="","",IFERROR(INDEX(DM_NL!$C$5:$C$304,MATCH(C227,DM_NL!$A$5:$A$304,0)),""))</f>
        <v/>
      </c>
      <c r="F227" s="39" t="str">
        <f>IF(B227="","",SUMIFS(Mau15a!$F$11:$F$310,Mau15a!$B$11:$B$310,B227))</f>
        <v/>
      </c>
      <c r="G227" s="39" t="str">
        <f>IF(B227="","",IF(OR(M227="KXDDM",BOM!F227=""),0,BOM!F227))</f>
        <v/>
      </c>
      <c r="H227" s="39" t="str">
        <f t="shared" si="16"/>
        <v/>
      </c>
      <c r="I227" s="39" t="str">
        <f>IF(B227="","",SUMIFS(Mau15a!$H$11:$H$310,Mau15a!$B$11:$B$310,B227)+SUMIFS(Mau15a!$I$11:$I$310,Mau15a!$B$11:$B$310,B227)+SUMIFS(Mau15a!$J$11:$J$310,Mau15a!$B$11:$B$310,B227)-SUMIFS(Mau15a!$G$11:$G$310,Mau15a!$B$11:$B$310,B227))</f>
        <v/>
      </c>
      <c r="J227" s="39" t="str">
        <f t="shared" si="17"/>
        <v/>
      </c>
      <c r="K227" s="39" t="str">
        <f>IF(B227="","",(SUMIFS(Mau15a!$K$11:$K$310,Mau15a!$B$11:$B$310,B227)-SUMIFS(Mau15a!$E$11:$E$310,Mau15a!$B$11:$B$310,B227))*G227)</f>
        <v/>
      </c>
      <c r="L227" s="36" t="str">
        <f t="shared" si="18"/>
        <v/>
      </c>
      <c r="M227" s="36" t="str">
        <f>IF(B227="","",BOM!G227&amp;"")</f>
        <v/>
      </c>
      <c r="N227" s="36" t="str">
        <f t="shared" si="19"/>
        <v/>
      </c>
    </row>
    <row r="228" spans="1:14" x14ac:dyDescent="0.25">
      <c r="A228" s="35" t="str">
        <f t="shared" si="15"/>
        <v/>
      </c>
      <c r="B228" s="35" t="str">
        <f>IF(BOM!A228="","",BOM!A228)</f>
        <v/>
      </c>
      <c r="C228" s="35" t="str">
        <f>IF(B228="","",BOM!B228)</f>
        <v/>
      </c>
      <c r="D228" s="35" t="str">
        <f>IF(B228="","",IFERROR(INDEX(DM_NL!$B$5:$B$304,MATCH(C228,DM_NL!$A$5:$A$304,0)),""))</f>
        <v/>
      </c>
      <c r="E228" s="35" t="str">
        <f>IF(B228="","",IFERROR(INDEX(DM_NL!$C$5:$C$304,MATCH(C228,DM_NL!$A$5:$A$304,0)),""))</f>
        <v/>
      </c>
      <c r="F228" s="39" t="str">
        <f>IF(B228="","",SUMIFS(Mau15a!$F$11:$F$310,Mau15a!$B$11:$B$310,B228))</f>
        <v/>
      </c>
      <c r="G228" s="39" t="str">
        <f>IF(B228="","",IF(OR(M228="KXDDM",BOM!F228=""),0,BOM!F228))</f>
        <v/>
      </c>
      <c r="H228" s="39" t="str">
        <f t="shared" si="16"/>
        <v/>
      </c>
      <c r="I228" s="39" t="str">
        <f>IF(B228="","",SUMIFS(Mau15a!$H$11:$H$310,Mau15a!$B$11:$B$310,B228)+SUMIFS(Mau15a!$I$11:$I$310,Mau15a!$B$11:$B$310,B228)+SUMIFS(Mau15a!$J$11:$J$310,Mau15a!$B$11:$B$310,B228)-SUMIFS(Mau15a!$G$11:$G$310,Mau15a!$B$11:$B$310,B228))</f>
        <v/>
      </c>
      <c r="J228" s="39" t="str">
        <f t="shared" si="17"/>
        <v/>
      </c>
      <c r="K228" s="39" t="str">
        <f>IF(B228="","",(SUMIFS(Mau15a!$K$11:$K$310,Mau15a!$B$11:$B$310,B228)-SUMIFS(Mau15a!$E$11:$E$310,Mau15a!$B$11:$B$310,B228))*G228)</f>
        <v/>
      </c>
      <c r="L228" s="36" t="str">
        <f t="shared" si="18"/>
        <v/>
      </c>
      <c r="M228" s="36" t="str">
        <f>IF(B228="","",BOM!G228&amp;"")</f>
        <v/>
      </c>
      <c r="N228" s="36" t="str">
        <f t="shared" si="19"/>
        <v/>
      </c>
    </row>
    <row r="229" spans="1:14" x14ac:dyDescent="0.25">
      <c r="A229" s="35" t="str">
        <f t="shared" si="15"/>
        <v/>
      </c>
      <c r="B229" s="35" t="str">
        <f>IF(BOM!A229="","",BOM!A229)</f>
        <v/>
      </c>
      <c r="C229" s="35" t="str">
        <f>IF(B229="","",BOM!B229)</f>
        <v/>
      </c>
      <c r="D229" s="35" t="str">
        <f>IF(B229="","",IFERROR(INDEX(DM_NL!$B$5:$B$304,MATCH(C229,DM_NL!$A$5:$A$304,0)),""))</f>
        <v/>
      </c>
      <c r="E229" s="35" t="str">
        <f>IF(B229="","",IFERROR(INDEX(DM_NL!$C$5:$C$304,MATCH(C229,DM_NL!$A$5:$A$304,0)),""))</f>
        <v/>
      </c>
      <c r="F229" s="39" t="str">
        <f>IF(B229="","",SUMIFS(Mau15a!$F$11:$F$310,Mau15a!$B$11:$B$310,B229))</f>
        <v/>
      </c>
      <c r="G229" s="39" t="str">
        <f>IF(B229="","",IF(OR(M229="KXDDM",BOM!F229=""),0,BOM!F229))</f>
        <v/>
      </c>
      <c r="H229" s="39" t="str">
        <f t="shared" si="16"/>
        <v/>
      </c>
      <c r="I229" s="39" t="str">
        <f>IF(B229="","",SUMIFS(Mau15a!$H$11:$H$310,Mau15a!$B$11:$B$310,B229)+SUMIFS(Mau15a!$I$11:$I$310,Mau15a!$B$11:$B$310,B229)+SUMIFS(Mau15a!$J$11:$J$310,Mau15a!$B$11:$B$310,B229)-SUMIFS(Mau15a!$G$11:$G$310,Mau15a!$B$11:$B$310,B229))</f>
        <v/>
      </c>
      <c r="J229" s="39" t="str">
        <f t="shared" si="17"/>
        <v/>
      </c>
      <c r="K229" s="39" t="str">
        <f>IF(B229="","",(SUMIFS(Mau15a!$K$11:$K$310,Mau15a!$B$11:$B$310,B229)-SUMIFS(Mau15a!$E$11:$E$310,Mau15a!$B$11:$B$310,B229))*G229)</f>
        <v/>
      </c>
      <c r="L229" s="36" t="str">
        <f t="shared" si="18"/>
        <v/>
      </c>
      <c r="M229" s="36" t="str">
        <f>IF(B229="","",BOM!G229&amp;"")</f>
        <v/>
      </c>
      <c r="N229" s="36" t="str">
        <f t="shared" si="19"/>
        <v/>
      </c>
    </row>
    <row r="230" spans="1:14" x14ac:dyDescent="0.25">
      <c r="A230" s="35" t="str">
        <f t="shared" si="15"/>
        <v/>
      </c>
      <c r="B230" s="35" t="str">
        <f>IF(BOM!A230="","",BOM!A230)</f>
        <v/>
      </c>
      <c r="C230" s="35" t="str">
        <f>IF(B230="","",BOM!B230)</f>
        <v/>
      </c>
      <c r="D230" s="35" t="str">
        <f>IF(B230="","",IFERROR(INDEX(DM_NL!$B$5:$B$304,MATCH(C230,DM_NL!$A$5:$A$304,0)),""))</f>
        <v/>
      </c>
      <c r="E230" s="35" t="str">
        <f>IF(B230="","",IFERROR(INDEX(DM_NL!$C$5:$C$304,MATCH(C230,DM_NL!$A$5:$A$304,0)),""))</f>
        <v/>
      </c>
      <c r="F230" s="39" t="str">
        <f>IF(B230="","",SUMIFS(Mau15a!$F$11:$F$310,Mau15a!$B$11:$B$310,B230))</f>
        <v/>
      </c>
      <c r="G230" s="39" t="str">
        <f>IF(B230="","",IF(OR(M230="KXDDM",BOM!F230=""),0,BOM!F230))</f>
        <v/>
      </c>
      <c r="H230" s="39" t="str">
        <f t="shared" si="16"/>
        <v/>
      </c>
      <c r="I230" s="39" t="str">
        <f>IF(B230="","",SUMIFS(Mau15a!$H$11:$H$310,Mau15a!$B$11:$B$310,B230)+SUMIFS(Mau15a!$I$11:$I$310,Mau15a!$B$11:$B$310,B230)+SUMIFS(Mau15a!$J$11:$J$310,Mau15a!$B$11:$B$310,B230)-SUMIFS(Mau15a!$G$11:$G$310,Mau15a!$B$11:$B$310,B230))</f>
        <v/>
      </c>
      <c r="J230" s="39" t="str">
        <f t="shared" si="17"/>
        <v/>
      </c>
      <c r="K230" s="39" t="str">
        <f>IF(B230="","",(SUMIFS(Mau15a!$K$11:$K$310,Mau15a!$B$11:$B$310,B230)-SUMIFS(Mau15a!$E$11:$E$310,Mau15a!$B$11:$B$310,B230))*G230)</f>
        <v/>
      </c>
      <c r="L230" s="36" t="str">
        <f t="shared" si="18"/>
        <v/>
      </c>
      <c r="M230" s="36" t="str">
        <f>IF(B230="","",BOM!G230&amp;"")</f>
        <v/>
      </c>
      <c r="N230" s="36" t="str">
        <f t="shared" si="19"/>
        <v/>
      </c>
    </row>
    <row r="231" spans="1:14" x14ac:dyDescent="0.25">
      <c r="A231" s="35" t="str">
        <f t="shared" si="15"/>
        <v/>
      </c>
      <c r="B231" s="35" t="str">
        <f>IF(BOM!A231="","",BOM!A231)</f>
        <v/>
      </c>
      <c r="C231" s="35" t="str">
        <f>IF(B231="","",BOM!B231)</f>
        <v/>
      </c>
      <c r="D231" s="35" t="str">
        <f>IF(B231="","",IFERROR(INDEX(DM_NL!$B$5:$B$304,MATCH(C231,DM_NL!$A$5:$A$304,0)),""))</f>
        <v/>
      </c>
      <c r="E231" s="35" t="str">
        <f>IF(B231="","",IFERROR(INDEX(DM_NL!$C$5:$C$304,MATCH(C231,DM_NL!$A$5:$A$304,0)),""))</f>
        <v/>
      </c>
      <c r="F231" s="39" t="str">
        <f>IF(B231="","",SUMIFS(Mau15a!$F$11:$F$310,Mau15a!$B$11:$B$310,B231))</f>
        <v/>
      </c>
      <c r="G231" s="39" t="str">
        <f>IF(B231="","",IF(OR(M231="KXDDM",BOM!F231=""),0,BOM!F231))</f>
        <v/>
      </c>
      <c r="H231" s="39" t="str">
        <f t="shared" si="16"/>
        <v/>
      </c>
      <c r="I231" s="39" t="str">
        <f>IF(B231="","",SUMIFS(Mau15a!$H$11:$H$310,Mau15a!$B$11:$B$310,B231)+SUMIFS(Mau15a!$I$11:$I$310,Mau15a!$B$11:$B$310,B231)+SUMIFS(Mau15a!$J$11:$J$310,Mau15a!$B$11:$B$310,B231)-SUMIFS(Mau15a!$G$11:$G$310,Mau15a!$B$11:$B$310,B231))</f>
        <v/>
      </c>
      <c r="J231" s="39" t="str">
        <f t="shared" si="17"/>
        <v/>
      </c>
      <c r="K231" s="39" t="str">
        <f>IF(B231="","",(SUMIFS(Mau15a!$K$11:$K$310,Mau15a!$B$11:$B$310,B231)-SUMIFS(Mau15a!$E$11:$E$310,Mau15a!$B$11:$B$310,B231))*G231)</f>
        <v/>
      </c>
      <c r="L231" s="36" t="str">
        <f t="shared" si="18"/>
        <v/>
      </c>
      <c r="M231" s="36" t="str">
        <f>IF(B231="","",BOM!G231&amp;"")</f>
        <v/>
      </c>
      <c r="N231" s="36" t="str">
        <f t="shared" si="19"/>
        <v/>
      </c>
    </row>
    <row r="232" spans="1:14" x14ac:dyDescent="0.25">
      <c r="A232" s="35" t="str">
        <f t="shared" si="15"/>
        <v/>
      </c>
      <c r="B232" s="35" t="str">
        <f>IF(BOM!A232="","",BOM!A232)</f>
        <v/>
      </c>
      <c r="C232" s="35" t="str">
        <f>IF(B232="","",BOM!B232)</f>
        <v/>
      </c>
      <c r="D232" s="35" t="str">
        <f>IF(B232="","",IFERROR(INDEX(DM_NL!$B$5:$B$304,MATCH(C232,DM_NL!$A$5:$A$304,0)),""))</f>
        <v/>
      </c>
      <c r="E232" s="35" t="str">
        <f>IF(B232="","",IFERROR(INDEX(DM_NL!$C$5:$C$304,MATCH(C232,DM_NL!$A$5:$A$304,0)),""))</f>
        <v/>
      </c>
      <c r="F232" s="39" t="str">
        <f>IF(B232="","",SUMIFS(Mau15a!$F$11:$F$310,Mau15a!$B$11:$B$310,B232))</f>
        <v/>
      </c>
      <c r="G232" s="39" t="str">
        <f>IF(B232="","",IF(OR(M232="KXDDM",BOM!F232=""),0,BOM!F232))</f>
        <v/>
      </c>
      <c r="H232" s="39" t="str">
        <f t="shared" si="16"/>
        <v/>
      </c>
      <c r="I232" s="39" t="str">
        <f>IF(B232="","",SUMIFS(Mau15a!$H$11:$H$310,Mau15a!$B$11:$B$310,B232)+SUMIFS(Mau15a!$I$11:$I$310,Mau15a!$B$11:$B$310,B232)+SUMIFS(Mau15a!$J$11:$J$310,Mau15a!$B$11:$B$310,B232)-SUMIFS(Mau15a!$G$11:$G$310,Mau15a!$B$11:$B$310,B232))</f>
        <v/>
      </c>
      <c r="J232" s="39" t="str">
        <f t="shared" si="17"/>
        <v/>
      </c>
      <c r="K232" s="39" t="str">
        <f>IF(B232="","",(SUMIFS(Mau15a!$K$11:$K$310,Mau15a!$B$11:$B$310,B232)-SUMIFS(Mau15a!$E$11:$E$310,Mau15a!$B$11:$B$310,B232))*G232)</f>
        <v/>
      </c>
      <c r="L232" s="36" t="str">
        <f t="shared" si="18"/>
        <v/>
      </c>
      <c r="M232" s="36" t="str">
        <f>IF(B232="","",BOM!G232&amp;"")</f>
        <v/>
      </c>
      <c r="N232" s="36" t="str">
        <f t="shared" si="19"/>
        <v/>
      </c>
    </row>
    <row r="233" spans="1:14" x14ac:dyDescent="0.25">
      <c r="A233" s="35" t="str">
        <f t="shared" si="15"/>
        <v/>
      </c>
      <c r="B233" s="35" t="str">
        <f>IF(BOM!A233="","",BOM!A233)</f>
        <v/>
      </c>
      <c r="C233" s="35" t="str">
        <f>IF(B233="","",BOM!B233)</f>
        <v/>
      </c>
      <c r="D233" s="35" t="str">
        <f>IF(B233="","",IFERROR(INDEX(DM_NL!$B$5:$B$304,MATCH(C233,DM_NL!$A$5:$A$304,0)),""))</f>
        <v/>
      </c>
      <c r="E233" s="35" t="str">
        <f>IF(B233="","",IFERROR(INDEX(DM_NL!$C$5:$C$304,MATCH(C233,DM_NL!$A$5:$A$304,0)),""))</f>
        <v/>
      </c>
      <c r="F233" s="39" t="str">
        <f>IF(B233="","",SUMIFS(Mau15a!$F$11:$F$310,Mau15a!$B$11:$B$310,B233))</f>
        <v/>
      </c>
      <c r="G233" s="39" t="str">
        <f>IF(B233="","",IF(OR(M233="KXDDM",BOM!F233=""),0,BOM!F233))</f>
        <v/>
      </c>
      <c r="H233" s="39" t="str">
        <f t="shared" si="16"/>
        <v/>
      </c>
      <c r="I233" s="39" t="str">
        <f>IF(B233="","",SUMIFS(Mau15a!$H$11:$H$310,Mau15a!$B$11:$B$310,B233)+SUMIFS(Mau15a!$I$11:$I$310,Mau15a!$B$11:$B$310,B233)+SUMIFS(Mau15a!$J$11:$J$310,Mau15a!$B$11:$B$310,B233)-SUMIFS(Mau15a!$G$11:$G$310,Mau15a!$B$11:$B$310,B233))</f>
        <v/>
      </c>
      <c r="J233" s="39" t="str">
        <f t="shared" si="17"/>
        <v/>
      </c>
      <c r="K233" s="39" t="str">
        <f>IF(B233="","",(SUMIFS(Mau15a!$K$11:$K$310,Mau15a!$B$11:$B$310,B233)-SUMIFS(Mau15a!$E$11:$E$310,Mau15a!$B$11:$B$310,B233))*G233)</f>
        <v/>
      </c>
      <c r="L233" s="36" t="str">
        <f t="shared" si="18"/>
        <v/>
      </c>
      <c r="M233" s="36" t="str">
        <f>IF(B233="","",BOM!G233&amp;"")</f>
        <v/>
      </c>
      <c r="N233" s="36" t="str">
        <f t="shared" si="19"/>
        <v/>
      </c>
    </row>
    <row r="234" spans="1:14" x14ac:dyDescent="0.25">
      <c r="A234" s="35" t="str">
        <f t="shared" si="15"/>
        <v/>
      </c>
      <c r="B234" s="35" t="str">
        <f>IF(BOM!A234="","",BOM!A234)</f>
        <v/>
      </c>
      <c r="C234" s="35" t="str">
        <f>IF(B234="","",BOM!B234)</f>
        <v/>
      </c>
      <c r="D234" s="35" t="str">
        <f>IF(B234="","",IFERROR(INDEX(DM_NL!$B$5:$B$304,MATCH(C234,DM_NL!$A$5:$A$304,0)),""))</f>
        <v/>
      </c>
      <c r="E234" s="35" t="str">
        <f>IF(B234="","",IFERROR(INDEX(DM_NL!$C$5:$C$304,MATCH(C234,DM_NL!$A$5:$A$304,0)),""))</f>
        <v/>
      </c>
      <c r="F234" s="39" t="str">
        <f>IF(B234="","",SUMIFS(Mau15a!$F$11:$F$310,Mau15a!$B$11:$B$310,B234))</f>
        <v/>
      </c>
      <c r="G234" s="39" t="str">
        <f>IF(B234="","",IF(OR(M234="KXDDM",BOM!F234=""),0,BOM!F234))</f>
        <v/>
      </c>
      <c r="H234" s="39" t="str">
        <f t="shared" si="16"/>
        <v/>
      </c>
      <c r="I234" s="39" t="str">
        <f>IF(B234="","",SUMIFS(Mau15a!$H$11:$H$310,Mau15a!$B$11:$B$310,B234)+SUMIFS(Mau15a!$I$11:$I$310,Mau15a!$B$11:$B$310,B234)+SUMIFS(Mau15a!$J$11:$J$310,Mau15a!$B$11:$B$310,B234)-SUMIFS(Mau15a!$G$11:$G$310,Mau15a!$B$11:$B$310,B234))</f>
        <v/>
      </c>
      <c r="J234" s="39" t="str">
        <f t="shared" si="17"/>
        <v/>
      </c>
      <c r="K234" s="39" t="str">
        <f>IF(B234="","",(SUMIFS(Mau15a!$K$11:$K$310,Mau15a!$B$11:$B$310,B234)-SUMIFS(Mau15a!$E$11:$E$310,Mau15a!$B$11:$B$310,B234))*G234)</f>
        <v/>
      </c>
      <c r="L234" s="36" t="str">
        <f t="shared" si="18"/>
        <v/>
      </c>
      <c r="M234" s="36" t="str">
        <f>IF(B234="","",BOM!G234&amp;"")</f>
        <v/>
      </c>
      <c r="N234" s="36" t="str">
        <f t="shared" si="19"/>
        <v/>
      </c>
    </row>
    <row r="235" spans="1:14" x14ac:dyDescent="0.25">
      <c r="A235" s="35" t="str">
        <f t="shared" si="15"/>
        <v/>
      </c>
      <c r="B235" s="35" t="str">
        <f>IF(BOM!A235="","",BOM!A235)</f>
        <v/>
      </c>
      <c r="C235" s="35" t="str">
        <f>IF(B235="","",BOM!B235)</f>
        <v/>
      </c>
      <c r="D235" s="35" t="str">
        <f>IF(B235="","",IFERROR(INDEX(DM_NL!$B$5:$B$304,MATCH(C235,DM_NL!$A$5:$A$304,0)),""))</f>
        <v/>
      </c>
      <c r="E235" s="35" t="str">
        <f>IF(B235="","",IFERROR(INDEX(DM_NL!$C$5:$C$304,MATCH(C235,DM_NL!$A$5:$A$304,0)),""))</f>
        <v/>
      </c>
      <c r="F235" s="39" t="str">
        <f>IF(B235="","",SUMIFS(Mau15a!$F$11:$F$310,Mau15a!$B$11:$B$310,B235))</f>
        <v/>
      </c>
      <c r="G235" s="39" t="str">
        <f>IF(B235="","",IF(OR(M235="KXDDM",BOM!F235=""),0,BOM!F235))</f>
        <v/>
      </c>
      <c r="H235" s="39" t="str">
        <f t="shared" si="16"/>
        <v/>
      </c>
      <c r="I235" s="39" t="str">
        <f>IF(B235="","",SUMIFS(Mau15a!$H$11:$H$310,Mau15a!$B$11:$B$310,B235)+SUMIFS(Mau15a!$I$11:$I$310,Mau15a!$B$11:$B$310,B235)+SUMIFS(Mau15a!$J$11:$J$310,Mau15a!$B$11:$B$310,B235)-SUMIFS(Mau15a!$G$11:$G$310,Mau15a!$B$11:$B$310,B235))</f>
        <v/>
      </c>
      <c r="J235" s="39" t="str">
        <f t="shared" si="17"/>
        <v/>
      </c>
      <c r="K235" s="39" t="str">
        <f>IF(B235="","",(SUMIFS(Mau15a!$K$11:$K$310,Mau15a!$B$11:$B$310,B235)-SUMIFS(Mau15a!$E$11:$E$310,Mau15a!$B$11:$B$310,B235))*G235)</f>
        <v/>
      </c>
      <c r="L235" s="36" t="str">
        <f t="shared" si="18"/>
        <v/>
      </c>
      <c r="M235" s="36" t="str">
        <f>IF(B235="","",BOM!G235&amp;"")</f>
        <v/>
      </c>
      <c r="N235" s="36" t="str">
        <f t="shared" si="19"/>
        <v/>
      </c>
    </row>
    <row r="236" spans="1:14" x14ac:dyDescent="0.25">
      <c r="A236" s="35" t="str">
        <f t="shared" si="15"/>
        <v/>
      </c>
      <c r="B236" s="35" t="str">
        <f>IF(BOM!A236="","",BOM!A236)</f>
        <v/>
      </c>
      <c r="C236" s="35" t="str">
        <f>IF(B236="","",BOM!B236)</f>
        <v/>
      </c>
      <c r="D236" s="35" t="str">
        <f>IF(B236="","",IFERROR(INDEX(DM_NL!$B$5:$B$304,MATCH(C236,DM_NL!$A$5:$A$304,0)),""))</f>
        <v/>
      </c>
      <c r="E236" s="35" t="str">
        <f>IF(B236="","",IFERROR(INDEX(DM_NL!$C$5:$C$304,MATCH(C236,DM_NL!$A$5:$A$304,0)),""))</f>
        <v/>
      </c>
      <c r="F236" s="39" t="str">
        <f>IF(B236="","",SUMIFS(Mau15a!$F$11:$F$310,Mau15a!$B$11:$B$310,B236))</f>
        <v/>
      </c>
      <c r="G236" s="39" t="str">
        <f>IF(B236="","",IF(OR(M236="KXDDM",BOM!F236=""),0,BOM!F236))</f>
        <v/>
      </c>
      <c r="H236" s="39" t="str">
        <f t="shared" si="16"/>
        <v/>
      </c>
      <c r="I236" s="39" t="str">
        <f>IF(B236="","",SUMIFS(Mau15a!$H$11:$H$310,Mau15a!$B$11:$B$310,B236)+SUMIFS(Mau15a!$I$11:$I$310,Mau15a!$B$11:$B$310,B236)+SUMIFS(Mau15a!$J$11:$J$310,Mau15a!$B$11:$B$310,B236)-SUMIFS(Mau15a!$G$11:$G$310,Mau15a!$B$11:$B$310,B236))</f>
        <v/>
      </c>
      <c r="J236" s="39" t="str">
        <f t="shared" si="17"/>
        <v/>
      </c>
      <c r="K236" s="39" t="str">
        <f>IF(B236="","",(SUMIFS(Mau15a!$K$11:$K$310,Mau15a!$B$11:$B$310,B236)-SUMIFS(Mau15a!$E$11:$E$310,Mau15a!$B$11:$B$310,B236))*G236)</f>
        <v/>
      </c>
      <c r="L236" s="36" t="str">
        <f t="shared" si="18"/>
        <v/>
      </c>
      <c r="M236" s="36" t="str">
        <f>IF(B236="","",BOM!G236&amp;"")</f>
        <v/>
      </c>
      <c r="N236" s="36" t="str">
        <f t="shared" si="19"/>
        <v/>
      </c>
    </row>
    <row r="237" spans="1:14" x14ac:dyDescent="0.25">
      <c r="A237" s="35" t="str">
        <f t="shared" si="15"/>
        <v/>
      </c>
      <c r="B237" s="35" t="str">
        <f>IF(BOM!A237="","",BOM!A237)</f>
        <v/>
      </c>
      <c r="C237" s="35" t="str">
        <f>IF(B237="","",BOM!B237)</f>
        <v/>
      </c>
      <c r="D237" s="35" t="str">
        <f>IF(B237="","",IFERROR(INDEX(DM_NL!$B$5:$B$304,MATCH(C237,DM_NL!$A$5:$A$304,0)),""))</f>
        <v/>
      </c>
      <c r="E237" s="35" t="str">
        <f>IF(B237="","",IFERROR(INDEX(DM_NL!$C$5:$C$304,MATCH(C237,DM_NL!$A$5:$A$304,0)),""))</f>
        <v/>
      </c>
      <c r="F237" s="39" t="str">
        <f>IF(B237="","",SUMIFS(Mau15a!$F$11:$F$310,Mau15a!$B$11:$B$310,B237))</f>
        <v/>
      </c>
      <c r="G237" s="39" t="str">
        <f>IF(B237="","",IF(OR(M237="KXDDM",BOM!F237=""),0,BOM!F237))</f>
        <v/>
      </c>
      <c r="H237" s="39" t="str">
        <f t="shared" si="16"/>
        <v/>
      </c>
      <c r="I237" s="39" t="str">
        <f>IF(B237="","",SUMIFS(Mau15a!$H$11:$H$310,Mau15a!$B$11:$B$310,B237)+SUMIFS(Mau15a!$I$11:$I$310,Mau15a!$B$11:$B$310,B237)+SUMIFS(Mau15a!$J$11:$J$310,Mau15a!$B$11:$B$310,B237)-SUMIFS(Mau15a!$G$11:$G$310,Mau15a!$B$11:$B$310,B237))</f>
        <v/>
      </c>
      <c r="J237" s="39" t="str">
        <f t="shared" si="17"/>
        <v/>
      </c>
      <c r="K237" s="39" t="str">
        <f>IF(B237="","",(SUMIFS(Mau15a!$K$11:$K$310,Mau15a!$B$11:$B$310,B237)-SUMIFS(Mau15a!$E$11:$E$310,Mau15a!$B$11:$B$310,B237))*G237)</f>
        <v/>
      </c>
      <c r="L237" s="36" t="str">
        <f t="shared" si="18"/>
        <v/>
      </c>
      <c r="M237" s="36" t="str">
        <f>IF(B237="","",BOM!G237&amp;"")</f>
        <v/>
      </c>
      <c r="N237" s="36" t="str">
        <f t="shared" si="19"/>
        <v/>
      </c>
    </row>
    <row r="238" spans="1:14" x14ac:dyDescent="0.25">
      <c r="A238" s="35" t="str">
        <f t="shared" si="15"/>
        <v/>
      </c>
      <c r="B238" s="35" t="str">
        <f>IF(BOM!A238="","",BOM!A238)</f>
        <v/>
      </c>
      <c r="C238" s="35" t="str">
        <f>IF(B238="","",BOM!B238)</f>
        <v/>
      </c>
      <c r="D238" s="35" t="str">
        <f>IF(B238="","",IFERROR(INDEX(DM_NL!$B$5:$B$304,MATCH(C238,DM_NL!$A$5:$A$304,0)),""))</f>
        <v/>
      </c>
      <c r="E238" s="35" t="str">
        <f>IF(B238="","",IFERROR(INDEX(DM_NL!$C$5:$C$304,MATCH(C238,DM_NL!$A$5:$A$304,0)),""))</f>
        <v/>
      </c>
      <c r="F238" s="39" t="str">
        <f>IF(B238="","",SUMIFS(Mau15a!$F$11:$F$310,Mau15a!$B$11:$B$310,B238))</f>
        <v/>
      </c>
      <c r="G238" s="39" t="str">
        <f>IF(B238="","",IF(OR(M238="KXDDM",BOM!F238=""),0,BOM!F238))</f>
        <v/>
      </c>
      <c r="H238" s="39" t="str">
        <f t="shared" si="16"/>
        <v/>
      </c>
      <c r="I238" s="39" t="str">
        <f>IF(B238="","",SUMIFS(Mau15a!$H$11:$H$310,Mau15a!$B$11:$B$310,B238)+SUMIFS(Mau15a!$I$11:$I$310,Mau15a!$B$11:$B$310,B238)+SUMIFS(Mau15a!$J$11:$J$310,Mau15a!$B$11:$B$310,B238)-SUMIFS(Mau15a!$G$11:$G$310,Mau15a!$B$11:$B$310,B238))</f>
        <v/>
      </c>
      <c r="J238" s="39" t="str">
        <f t="shared" si="17"/>
        <v/>
      </c>
      <c r="K238" s="39" t="str">
        <f>IF(B238="","",(SUMIFS(Mau15a!$K$11:$K$310,Mau15a!$B$11:$B$310,B238)-SUMIFS(Mau15a!$E$11:$E$310,Mau15a!$B$11:$B$310,B238))*G238)</f>
        <v/>
      </c>
      <c r="L238" s="36" t="str">
        <f t="shared" si="18"/>
        <v/>
      </c>
      <c r="M238" s="36" t="str">
        <f>IF(B238="","",BOM!G238&amp;"")</f>
        <v/>
      </c>
      <c r="N238" s="36" t="str">
        <f t="shared" si="19"/>
        <v/>
      </c>
    </row>
    <row r="239" spans="1:14" x14ac:dyDescent="0.25">
      <c r="A239" s="35" t="str">
        <f t="shared" si="15"/>
        <v/>
      </c>
      <c r="B239" s="35" t="str">
        <f>IF(BOM!A239="","",BOM!A239)</f>
        <v/>
      </c>
      <c r="C239" s="35" t="str">
        <f>IF(B239="","",BOM!B239)</f>
        <v/>
      </c>
      <c r="D239" s="35" t="str">
        <f>IF(B239="","",IFERROR(INDEX(DM_NL!$B$5:$B$304,MATCH(C239,DM_NL!$A$5:$A$304,0)),""))</f>
        <v/>
      </c>
      <c r="E239" s="35" t="str">
        <f>IF(B239="","",IFERROR(INDEX(DM_NL!$C$5:$C$304,MATCH(C239,DM_NL!$A$5:$A$304,0)),""))</f>
        <v/>
      </c>
      <c r="F239" s="39" t="str">
        <f>IF(B239="","",SUMIFS(Mau15a!$F$11:$F$310,Mau15a!$B$11:$B$310,B239))</f>
        <v/>
      </c>
      <c r="G239" s="39" t="str">
        <f>IF(B239="","",IF(OR(M239="KXDDM",BOM!F239=""),0,BOM!F239))</f>
        <v/>
      </c>
      <c r="H239" s="39" t="str">
        <f t="shared" si="16"/>
        <v/>
      </c>
      <c r="I239" s="39" t="str">
        <f>IF(B239="","",SUMIFS(Mau15a!$H$11:$H$310,Mau15a!$B$11:$B$310,B239)+SUMIFS(Mau15a!$I$11:$I$310,Mau15a!$B$11:$B$310,B239)+SUMIFS(Mau15a!$J$11:$J$310,Mau15a!$B$11:$B$310,B239)-SUMIFS(Mau15a!$G$11:$G$310,Mau15a!$B$11:$B$310,B239))</f>
        <v/>
      </c>
      <c r="J239" s="39" t="str">
        <f t="shared" si="17"/>
        <v/>
      </c>
      <c r="K239" s="39" t="str">
        <f>IF(B239="","",(SUMIFS(Mau15a!$K$11:$K$310,Mau15a!$B$11:$B$310,B239)-SUMIFS(Mau15a!$E$11:$E$310,Mau15a!$B$11:$B$310,B239))*G239)</f>
        <v/>
      </c>
      <c r="L239" s="36" t="str">
        <f t="shared" si="18"/>
        <v/>
      </c>
      <c r="M239" s="36" t="str">
        <f>IF(B239="","",BOM!G239&amp;"")</f>
        <v/>
      </c>
      <c r="N239" s="36" t="str">
        <f t="shared" si="19"/>
        <v/>
      </c>
    </row>
    <row r="240" spans="1:14" x14ac:dyDescent="0.25">
      <c r="A240" s="35" t="str">
        <f t="shared" si="15"/>
        <v/>
      </c>
      <c r="B240" s="35" t="str">
        <f>IF(BOM!A240="","",BOM!A240)</f>
        <v/>
      </c>
      <c r="C240" s="35" t="str">
        <f>IF(B240="","",BOM!B240)</f>
        <v/>
      </c>
      <c r="D240" s="35" t="str">
        <f>IF(B240="","",IFERROR(INDEX(DM_NL!$B$5:$B$304,MATCH(C240,DM_NL!$A$5:$A$304,0)),""))</f>
        <v/>
      </c>
      <c r="E240" s="35" t="str">
        <f>IF(B240="","",IFERROR(INDEX(DM_NL!$C$5:$C$304,MATCH(C240,DM_NL!$A$5:$A$304,0)),""))</f>
        <v/>
      </c>
      <c r="F240" s="39" t="str">
        <f>IF(B240="","",SUMIFS(Mau15a!$F$11:$F$310,Mau15a!$B$11:$B$310,B240))</f>
        <v/>
      </c>
      <c r="G240" s="39" t="str">
        <f>IF(B240="","",IF(OR(M240="KXDDM",BOM!F240=""),0,BOM!F240))</f>
        <v/>
      </c>
      <c r="H240" s="39" t="str">
        <f t="shared" si="16"/>
        <v/>
      </c>
      <c r="I240" s="39" t="str">
        <f>IF(B240="","",SUMIFS(Mau15a!$H$11:$H$310,Mau15a!$B$11:$B$310,B240)+SUMIFS(Mau15a!$I$11:$I$310,Mau15a!$B$11:$B$310,B240)+SUMIFS(Mau15a!$J$11:$J$310,Mau15a!$B$11:$B$310,B240)-SUMIFS(Mau15a!$G$11:$G$310,Mau15a!$B$11:$B$310,B240))</f>
        <v/>
      </c>
      <c r="J240" s="39" t="str">
        <f t="shared" si="17"/>
        <v/>
      </c>
      <c r="K240" s="39" t="str">
        <f>IF(B240="","",(SUMIFS(Mau15a!$K$11:$K$310,Mau15a!$B$11:$B$310,B240)-SUMIFS(Mau15a!$E$11:$E$310,Mau15a!$B$11:$B$310,B240))*G240)</f>
        <v/>
      </c>
      <c r="L240" s="36" t="str">
        <f t="shared" si="18"/>
        <v/>
      </c>
      <c r="M240" s="36" t="str">
        <f>IF(B240="","",BOM!G240&amp;"")</f>
        <v/>
      </c>
      <c r="N240" s="36" t="str">
        <f t="shared" si="19"/>
        <v/>
      </c>
    </row>
    <row r="241" spans="1:14" x14ac:dyDescent="0.25">
      <c r="A241" s="35" t="str">
        <f t="shared" si="15"/>
        <v/>
      </c>
      <c r="B241" s="35" t="str">
        <f>IF(BOM!A241="","",BOM!A241)</f>
        <v/>
      </c>
      <c r="C241" s="35" t="str">
        <f>IF(B241="","",BOM!B241)</f>
        <v/>
      </c>
      <c r="D241" s="35" t="str">
        <f>IF(B241="","",IFERROR(INDEX(DM_NL!$B$5:$B$304,MATCH(C241,DM_NL!$A$5:$A$304,0)),""))</f>
        <v/>
      </c>
      <c r="E241" s="35" t="str">
        <f>IF(B241="","",IFERROR(INDEX(DM_NL!$C$5:$C$304,MATCH(C241,DM_NL!$A$5:$A$304,0)),""))</f>
        <v/>
      </c>
      <c r="F241" s="39" t="str">
        <f>IF(B241="","",SUMIFS(Mau15a!$F$11:$F$310,Mau15a!$B$11:$B$310,B241))</f>
        <v/>
      </c>
      <c r="G241" s="39" t="str">
        <f>IF(B241="","",IF(OR(M241="KXDDM",BOM!F241=""),0,BOM!F241))</f>
        <v/>
      </c>
      <c r="H241" s="39" t="str">
        <f t="shared" si="16"/>
        <v/>
      </c>
      <c r="I241" s="39" t="str">
        <f>IF(B241="","",SUMIFS(Mau15a!$H$11:$H$310,Mau15a!$B$11:$B$310,B241)+SUMIFS(Mau15a!$I$11:$I$310,Mau15a!$B$11:$B$310,B241)+SUMIFS(Mau15a!$J$11:$J$310,Mau15a!$B$11:$B$310,B241)-SUMIFS(Mau15a!$G$11:$G$310,Mau15a!$B$11:$B$310,B241))</f>
        <v/>
      </c>
      <c r="J241" s="39" t="str">
        <f t="shared" si="17"/>
        <v/>
      </c>
      <c r="K241" s="39" t="str">
        <f>IF(B241="","",(SUMIFS(Mau15a!$K$11:$K$310,Mau15a!$B$11:$B$310,B241)-SUMIFS(Mau15a!$E$11:$E$310,Mau15a!$B$11:$B$310,B241))*G241)</f>
        <v/>
      </c>
      <c r="L241" s="36" t="str">
        <f t="shared" si="18"/>
        <v/>
      </c>
      <c r="M241" s="36" t="str">
        <f>IF(B241="","",BOM!G241&amp;"")</f>
        <v/>
      </c>
      <c r="N241" s="36" t="str">
        <f t="shared" si="19"/>
        <v/>
      </c>
    </row>
    <row r="242" spans="1:14" x14ac:dyDescent="0.25">
      <c r="A242" s="35" t="str">
        <f t="shared" si="15"/>
        <v/>
      </c>
      <c r="B242" s="35" t="str">
        <f>IF(BOM!A242="","",BOM!A242)</f>
        <v/>
      </c>
      <c r="C242" s="35" t="str">
        <f>IF(B242="","",BOM!B242)</f>
        <v/>
      </c>
      <c r="D242" s="35" t="str">
        <f>IF(B242="","",IFERROR(INDEX(DM_NL!$B$5:$B$304,MATCH(C242,DM_NL!$A$5:$A$304,0)),""))</f>
        <v/>
      </c>
      <c r="E242" s="35" t="str">
        <f>IF(B242="","",IFERROR(INDEX(DM_NL!$C$5:$C$304,MATCH(C242,DM_NL!$A$5:$A$304,0)),""))</f>
        <v/>
      </c>
      <c r="F242" s="39" t="str">
        <f>IF(B242="","",SUMIFS(Mau15a!$F$11:$F$310,Mau15a!$B$11:$B$310,B242))</f>
        <v/>
      </c>
      <c r="G242" s="39" t="str">
        <f>IF(B242="","",IF(OR(M242="KXDDM",BOM!F242=""),0,BOM!F242))</f>
        <v/>
      </c>
      <c r="H242" s="39" t="str">
        <f t="shared" si="16"/>
        <v/>
      </c>
      <c r="I242" s="39" t="str">
        <f>IF(B242="","",SUMIFS(Mau15a!$H$11:$H$310,Mau15a!$B$11:$B$310,B242)+SUMIFS(Mau15a!$I$11:$I$310,Mau15a!$B$11:$B$310,B242)+SUMIFS(Mau15a!$J$11:$J$310,Mau15a!$B$11:$B$310,B242)-SUMIFS(Mau15a!$G$11:$G$310,Mau15a!$B$11:$B$310,B242))</f>
        <v/>
      </c>
      <c r="J242" s="39" t="str">
        <f t="shared" si="17"/>
        <v/>
      </c>
      <c r="K242" s="39" t="str">
        <f>IF(B242="","",(SUMIFS(Mau15a!$K$11:$K$310,Mau15a!$B$11:$B$310,B242)-SUMIFS(Mau15a!$E$11:$E$310,Mau15a!$B$11:$B$310,B242))*G242)</f>
        <v/>
      </c>
      <c r="L242" s="36" t="str">
        <f t="shared" si="18"/>
        <v/>
      </c>
      <c r="M242" s="36" t="str">
        <f>IF(B242="","",BOM!G242&amp;"")</f>
        <v/>
      </c>
      <c r="N242" s="36" t="str">
        <f t="shared" si="19"/>
        <v/>
      </c>
    </row>
    <row r="243" spans="1:14" x14ac:dyDescent="0.25">
      <c r="A243" s="35" t="str">
        <f t="shared" si="15"/>
        <v/>
      </c>
      <c r="B243" s="35" t="str">
        <f>IF(BOM!A243="","",BOM!A243)</f>
        <v/>
      </c>
      <c r="C243" s="35" t="str">
        <f>IF(B243="","",BOM!B243)</f>
        <v/>
      </c>
      <c r="D243" s="35" t="str">
        <f>IF(B243="","",IFERROR(INDEX(DM_NL!$B$5:$B$304,MATCH(C243,DM_NL!$A$5:$A$304,0)),""))</f>
        <v/>
      </c>
      <c r="E243" s="35" t="str">
        <f>IF(B243="","",IFERROR(INDEX(DM_NL!$C$5:$C$304,MATCH(C243,DM_NL!$A$5:$A$304,0)),""))</f>
        <v/>
      </c>
      <c r="F243" s="39" t="str">
        <f>IF(B243="","",SUMIFS(Mau15a!$F$11:$F$310,Mau15a!$B$11:$B$310,B243))</f>
        <v/>
      </c>
      <c r="G243" s="39" t="str">
        <f>IF(B243="","",IF(OR(M243="KXDDM",BOM!F243=""),0,BOM!F243))</f>
        <v/>
      </c>
      <c r="H243" s="39" t="str">
        <f t="shared" si="16"/>
        <v/>
      </c>
      <c r="I243" s="39" t="str">
        <f>IF(B243="","",SUMIFS(Mau15a!$H$11:$H$310,Mau15a!$B$11:$B$310,B243)+SUMIFS(Mau15a!$I$11:$I$310,Mau15a!$B$11:$B$310,B243)+SUMIFS(Mau15a!$J$11:$J$310,Mau15a!$B$11:$B$310,B243)-SUMIFS(Mau15a!$G$11:$G$310,Mau15a!$B$11:$B$310,B243))</f>
        <v/>
      </c>
      <c r="J243" s="39" t="str">
        <f t="shared" si="17"/>
        <v/>
      </c>
      <c r="K243" s="39" t="str">
        <f>IF(B243="","",(SUMIFS(Mau15a!$K$11:$K$310,Mau15a!$B$11:$B$310,B243)-SUMIFS(Mau15a!$E$11:$E$310,Mau15a!$B$11:$B$310,B243))*G243)</f>
        <v/>
      </c>
      <c r="L243" s="36" t="str">
        <f t="shared" si="18"/>
        <v/>
      </c>
      <c r="M243" s="36" t="str">
        <f>IF(B243="","",BOM!G243&amp;"")</f>
        <v/>
      </c>
      <c r="N243" s="36" t="str">
        <f t="shared" si="19"/>
        <v/>
      </c>
    </row>
    <row r="244" spans="1:14" x14ac:dyDescent="0.25">
      <c r="A244" s="35" t="str">
        <f t="shared" si="15"/>
        <v/>
      </c>
      <c r="B244" s="35" t="str">
        <f>IF(BOM!A244="","",BOM!A244)</f>
        <v/>
      </c>
      <c r="C244" s="35" t="str">
        <f>IF(B244="","",BOM!B244)</f>
        <v/>
      </c>
      <c r="D244" s="35" t="str">
        <f>IF(B244="","",IFERROR(INDEX(DM_NL!$B$5:$B$304,MATCH(C244,DM_NL!$A$5:$A$304,0)),""))</f>
        <v/>
      </c>
      <c r="E244" s="35" t="str">
        <f>IF(B244="","",IFERROR(INDEX(DM_NL!$C$5:$C$304,MATCH(C244,DM_NL!$A$5:$A$304,0)),""))</f>
        <v/>
      </c>
      <c r="F244" s="39" t="str">
        <f>IF(B244="","",SUMIFS(Mau15a!$F$11:$F$310,Mau15a!$B$11:$B$310,B244))</f>
        <v/>
      </c>
      <c r="G244" s="39" t="str">
        <f>IF(B244="","",IF(OR(M244="KXDDM",BOM!F244=""),0,BOM!F244))</f>
        <v/>
      </c>
      <c r="H244" s="39" t="str">
        <f t="shared" si="16"/>
        <v/>
      </c>
      <c r="I244" s="39" t="str">
        <f>IF(B244="","",SUMIFS(Mau15a!$H$11:$H$310,Mau15a!$B$11:$B$310,B244)+SUMIFS(Mau15a!$I$11:$I$310,Mau15a!$B$11:$B$310,B244)+SUMIFS(Mau15a!$J$11:$J$310,Mau15a!$B$11:$B$310,B244)-SUMIFS(Mau15a!$G$11:$G$310,Mau15a!$B$11:$B$310,B244))</f>
        <v/>
      </c>
      <c r="J244" s="39" t="str">
        <f t="shared" si="17"/>
        <v/>
      </c>
      <c r="K244" s="39" t="str">
        <f>IF(B244="","",(SUMIFS(Mau15a!$K$11:$K$310,Mau15a!$B$11:$B$310,B244)-SUMIFS(Mau15a!$E$11:$E$310,Mau15a!$B$11:$B$310,B244))*G244)</f>
        <v/>
      </c>
      <c r="L244" s="36" t="str">
        <f t="shared" si="18"/>
        <v/>
      </c>
      <c r="M244" s="36" t="str">
        <f>IF(B244="","",BOM!G244&amp;"")</f>
        <v/>
      </c>
      <c r="N244" s="36" t="str">
        <f t="shared" si="19"/>
        <v/>
      </c>
    </row>
    <row r="245" spans="1:14" x14ac:dyDescent="0.25">
      <c r="A245" s="35" t="str">
        <f t="shared" si="15"/>
        <v/>
      </c>
      <c r="B245" s="35" t="str">
        <f>IF(BOM!A245="","",BOM!A245)</f>
        <v/>
      </c>
      <c r="C245" s="35" t="str">
        <f>IF(B245="","",BOM!B245)</f>
        <v/>
      </c>
      <c r="D245" s="35" t="str">
        <f>IF(B245="","",IFERROR(INDEX(DM_NL!$B$5:$B$304,MATCH(C245,DM_NL!$A$5:$A$304,0)),""))</f>
        <v/>
      </c>
      <c r="E245" s="35" t="str">
        <f>IF(B245="","",IFERROR(INDEX(DM_NL!$C$5:$C$304,MATCH(C245,DM_NL!$A$5:$A$304,0)),""))</f>
        <v/>
      </c>
      <c r="F245" s="39" t="str">
        <f>IF(B245="","",SUMIFS(Mau15a!$F$11:$F$310,Mau15a!$B$11:$B$310,B245))</f>
        <v/>
      </c>
      <c r="G245" s="39" t="str">
        <f>IF(B245="","",IF(OR(M245="KXDDM",BOM!F245=""),0,BOM!F245))</f>
        <v/>
      </c>
      <c r="H245" s="39" t="str">
        <f t="shared" si="16"/>
        <v/>
      </c>
      <c r="I245" s="39" t="str">
        <f>IF(B245="","",SUMIFS(Mau15a!$H$11:$H$310,Mau15a!$B$11:$B$310,B245)+SUMIFS(Mau15a!$I$11:$I$310,Mau15a!$B$11:$B$310,B245)+SUMIFS(Mau15a!$J$11:$J$310,Mau15a!$B$11:$B$310,B245)-SUMIFS(Mau15a!$G$11:$G$310,Mau15a!$B$11:$B$310,B245))</f>
        <v/>
      </c>
      <c r="J245" s="39" t="str">
        <f t="shared" si="17"/>
        <v/>
      </c>
      <c r="K245" s="39" t="str">
        <f>IF(B245="","",(SUMIFS(Mau15a!$K$11:$K$310,Mau15a!$B$11:$B$310,B245)-SUMIFS(Mau15a!$E$11:$E$310,Mau15a!$B$11:$B$310,B245))*G245)</f>
        <v/>
      </c>
      <c r="L245" s="36" t="str">
        <f t="shared" si="18"/>
        <v/>
      </c>
      <c r="M245" s="36" t="str">
        <f>IF(B245="","",BOM!G245&amp;"")</f>
        <v/>
      </c>
      <c r="N245" s="36" t="str">
        <f t="shared" si="19"/>
        <v/>
      </c>
    </row>
    <row r="246" spans="1:14" x14ac:dyDescent="0.25">
      <c r="A246" s="35" t="str">
        <f t="shared" si="15"/>
        <v/>
      </c>
      <c r="B246" s="35" t="str">
        <f>IF(BOM!A246="","",BOM!A246)</f>
        <v/>
      </c>
      <c r="C246" s="35" t="str">
        <f>IF(B246="","",BOM!B246)</f>
        <v/>
      </c>
      <c r="D246" s="35" t="str">
        <f>IF(B246="","",IFERROR(INDEX(DM_NL!$B$5:$B$304,MATCH(C246,DM_NL!$A$5:$A$304,0)),""))</f>
        <v/>
      </c>
      <c r="E246" s="35" t="str">
        <f>IF(B246="","",IFERROR(INDEX(DM_NL!$C$5:$C$304,MATCH(C246,DM_NL!$A$5:$A$304,0)),""))</f>
        <v/>
      </c>
      <c r="F246" s="39" t="str">
        <f>IF(B246="","",SUMIFS(Mau15a!$F$11:$F$310,Mau15a!$B$11:$B$310,B246))</f>
        <v/>
      </c>
      <c r="G246" s="39" t="str">
        <f>IF(B246="","",IF(OR(M246="KXDDM",BOM!F246=""),0,BOM!F246))</f>
        <v/>
      </c>
      <c r="H246" s="39" t="str">
        <f t="shared" si="16"/>
        <v/>
      </c>
      <c r="I246" s="39" t="str">
        <f>IF(B246="","",SUMIFS(Mau15a!$H$11:$H$310,Mau15a!$B$11:$B$310,B246)+SUMIFS(Mau15a!$I$11:$I$310,Mau15a!$B$11:$B$310,B246)+SUMIFS(Mau15a!$J$11:$J$310,Mau15a!$B$11:$B$310,B246)-SUMIFS(Mau15a!$G$11:$G$310,Mau15a!$B$11:$B$310,B246))</f>
        <v/>
      </c>
      <c r="J246" s="39" t="str">
        <f t="shared" si="17"/>
        <v/>
      </c>
      <c r="K246" s="39" t="str">
        <f>IF(B246="","",(SUMIFS(Mau15a!$K$11:$K$310,Mau15a!$B$11:$B$310,B246)-SUMIFS(Mau15a!$E$11:$E$310,Mau15a!$B$11:$B$310,B246))*G246)</f>
        <v/>
      </c>
      <c r="L246" s="36" t="str">
        <f t="shared" si="18"/>
        <v/>
      </c>
      <c r="M246" s="36" t="str">
        <f>IF(B246="","",BOM!G246&amp;"")</f>
        <v/>
      </c>
      <c r="N246" s="36" t="str">
        <f t="shared" si="19"/>
        <v/>
      </c>
    </row>
    <row r="247" spans="1:14" x14ac:dyDescent="0.25">
      <c r="A247" s="35" t="str">
        <f t="shared" si="15"/>
        <v/>
      </c>
      <c r="B247" s="35" t="str">
        <f>IF(BOM!A247="","",BOM!A247)</f>
        <v/>
      </c>
      <c r="C247" s="35" t="str">
        <f>IF(B247="","",BOM!B247)</f>
        <v/>
      </c>
      <c r="D247" s="35" t="str">
        <f>IF(B247="","",IFERROR(INDEX(DM_NL!$B$5:$B$304,MATCH(C247,DM_NL!$A$5:$A$304,0)),""))</f>
        <v/>
      </c>
      <c r="E247" s="35" t="str">
        <f>IF(B247="","",IFERROR(INDEX(DM_NL!$C$5:$C$304,MATCH(C247,DM_NL!$A$5:$A$304,0)),""))</f>
        <v/>
      </c>
      <c r="F247" s="39" t="str">
        <f>IF(B247="","",SUMIFS(Mau15a!$F$11:$F$310,Mau15a!$B$11:$B$310,B247))</f>
        <v/>
      </c>
      <c r="G247" s="39" t="str">
        <f>IF(B247="","",IF(OR(M247="KXDDM",BOM!F247=""),0,BOM!F247))</f>
        <v/>
      </c>
      <c r="H247" s="39" t="str">
        <f t="shared" si="16"/>
        <v/>
      </c>
      <c r="I247" s="39" t="str">
        <f>IF(B247="","",SUMIFS(Mau15a!$H$11:$H$310,Mau15a!$B$11:$B$310,B247)+SUMIFS(Mau15a!$I$11:$I$310,Mau15a!$B$11:$B$310,B247)+SUMIFS(Mau15a!$J$11:$J$310,Mau15a!$B$11:$B$310,B247)-SUMIFS(Mau15a!$G$11:$G$310,Mau15a!$B$11:$B$310,B247))</f>
        <v/>
      </c>
      <c r="J247" s="39" t="str">
        <f t="shared" si="17"/>
        <v/>
      </c>
      <c r="K247" s="39" t="str">
        <f>IF(B247="","",(SUMIFS(Mau15a!$K$11:$K$310,Mau15a!$B$11:$B$310,B247)-SUMIFS(Mau15a!$E$11:$E$310,Mau15a!$B$11:$B$310,B247))*G247)</f>
        <v/>
      </c>
      <c r="L247" s="36" t="str">
        <f t="shared" si="18"/>
        <v/>
      </c>
      <c r="M247" s="36" t="str">
        <f>IF(B247="","",BOM!G247&amp;"")</f>
        <v/>
      </c>
      <c r="N247" s="36" t="str">
        <f t="shared" si="19"/>
        <v/>
      </c>
    </row>
    <row r="248" spans="1:14" x14ac:dyDescent="0.25">
      <c r="A248" s="35" t="str">
        <f t="shared" si="15"/>
        <v/>
      </c>
      <c r="B248" s="35" t="str">
        <f>IF(BOM!A248="","",BOM!A248)</f>
        <v/>
      </c>
      <c r="C248" s="35" t="str">
        <f>IF(B248="","",BOM!B248)</f>
        <v/>
      </c>
      <c r="D248" s="35" t="str">
        <f>IF(B248="","",IFERROR(INDEX(DM_NL!$B$5:$B$304,MATCH(C248,DM_NL!$A$5:$A$304,0)),""))</f>
        <v/>
      </c>
      <c r="E248" s="35" t="str">
        <f>IF(B248="","",IFERROR(INDEX(DM_NL!$C$5:$C$304,MATCH(C248,DM_NL!$A$5:$A$304,0)),""))</f>
        <v/>
      </c>
      <c r="F248" s="39" t="str">
        <f>IF(B248="","",SUMIFS(Mau15a!$F$11:$F$310,Mau15a!$B$11:$B$310,B248))</f>
        <v/>
      </c>
      <c r="G248" s="39" t="str">
        <f>IF(B248="","",IF(OR(M248="KXDDM",BOM!F248=""),0,BOM!F248))</f>
        <v/>
      </c>
      <c r="H248" s="39" t="str">
        <f t="shared" si="16"/>
        <v/>
      </c>
      <c r="I248" s="39" t="str">
        <f>IF(B248="","",SUMIFS(Mau15a!$H$11:$H$310,Mau15a!$B$11:$B$310,B248)+SUMIFS(Mau15a!$I$11:$I$310,Mau15a!$B$11:$B$310,B248)+SUMIFS(Mau15a!$J$11:$J$310,Mau15a!$B$11:$B$310,B248)-SUMIFS(Mau15a!$G$11:$G$310,Mau15a!$B$11:$B$310,B248))</f>
        <v/>
      </c>
      <c r="J248" s="39" t="str">
        <f t="shared" si="17"/>
        <v/>
      </c>
      <c r="K248" s="39" t="str">
        <f>IF(B248="","",(SUMIFS(Mau15a!$K$11:$K$310,Mau15a!$B$11:$B$310,B248)-SUMIFS(Mau15a!$E$11:$E$310,Mau15a!$B$11:$B$310,B248))*G248)</f>
        <v/>
      </c>
      <c r="L248" s="36" t="str">
        <f t="shared" si="18"/>
        <v/>
      </c>
      <c r="M248" s="36" t="str">
        <f>IF(B248="","",BOM!G248&amp;"")</f>
        <v/>
      </c>
      <c r="N248" s="36" t="str">
        <f t="shared" si="19"/>
        <v/>
      </c>
    </row>
    <row r="249" spans="1:14" x14ac:dyDescent="0.25">
      <c r="A249" s="35" t="str">
        <f t="shared" si="15"/>
        <v/>
      </c>
      <c r="B249" s="35" t="str">
        <f>IF(BOM!A249="","",BOM!A249)</f>
        <v/>
      </c>
      <c r="C249" s="35" t="str">
        <f>IF(B249="","",BOM!B249)</f>
        <v/>
      </c>
      <c r="D249" s="35" t="str">
        <f>IF(B249="","",IFERROR(INDEX(DM_NL!$B$5:$B$304,MATCH(C249,DM_NL!$A$5:$A$304,0)),""))</f>
        <v/>
      </c>
      <c r="E249" s="35" t="str">
        <f>IF(B249="","",IFERROR(INDEX(DM_NL!$C$5:$C$304,MATCH(C249,DM_NL!$A$5:$A$304,0)),""))</f>
        <v/>
      </c>
      <c r="F249" s="39" t="str">
        <f>IF(B249="","",SUMIFS(Mau15a!$F$11:$F$310,Mau15a!$B$11:$B$310,B249))</f>
        <v/>
      </c>
      <c r="G249" s="39" t="str">
        <f>IF(B249="","",IF(OR(M249="KXDDM",BOM!F249=""),0,BOM!F249))</f>
        <v/>
      </c>
      <c r="H249" s="39" t="str">
        <f t="shared" si="16"/>
        <v/>
      </c>
      <c r="I249" s="39" t="str">
        <f>IF(B249="","",SUMIFS(Mau15a!$H$11:$H$310,Mau15a!$B$11:$B$310,B249)+SUMIFS(Mau15a!$I$11:$I$310,Mau15a!$B$11:$B$310,B249)+SUMIFS(Mau15a!$J$11:$J$310,Mau15a!$B$11:$B$310,B249)-SUMIFS(Mau15a!$G$11:$G$310,Mau15a!$B$11:$B$310,B249))</f>
        <v/>
      </c>
      <c r="J249" s="39" t="str">
        <f t="shared" si="17"/>
        <v/>
      </c>
      <c r="K249" s="39" t="str">
        <f>IF(B249="","",(SUMIFS(Mau15a!$K$11:$K$310,Mau15a!$B$11:$B$310,B249)-SUMIFS(Mau15a!$E$11:$E$310,Mau15a!$B$11:$B$310,B249))*G249)</f>
        <v/>
      </c>
      <c r="L249" s="36" t="str">
        <f t="shared" si="18"/>
        <v/>
      </c>
      <c r="M249" s="36" t="str">
        <f>IF(B249="","",BOM!G249&amp;"")</f>
        <v/>
      </c>
      <c r="N249" s="36" t="str">
        <f t="shared" si="19"/>
        <v/>
      </c>
    </row>
    <row r="250" spans="1:14" x14ac:dyDescent="0.25">
      <c r="A250" s="35" t="str">
        <f t="shared" si="15"/>
        <v/>
      </c>
      <c r="B250" s="35" t="str">
        <f>IF(BOM!A250="","",BOM!A250)</f>
        <v/>
      </c>
      <c r="C250" s="35" t="str">
        <f>IF(B250="","",BOM!B250)</f>
        <v/>
      </c>
      <c r="D250" s="35" t="str">
        <f>IF(B250="","",IFERROR(INDEX(DM_NL!$B$5:$B$304,MATCH(C250,DM_NL!$A$5:$A$304,0)),""))</f>
        <v/>
      </c>
      <c r="E250" s="35" t="str">
        <f>IF(B250="","",IFERROR(INDEX(DM_NL!$C$5:$C$304,MATCH(C250,DM_NL!$A$5:$A$304,0)),""))</f>
        <v/>
      </c>
      <c r="F250" s="39" t="str">
        <f>IF(B250="","",SUMIFS(Mau15a!$F$11:$F$310,Mau15a!$B$11:$B$310,B250))</f>
        <v/>
      </c>
      <c r="G250" s="39" t="str">
        <f>IF(B250="","",IF(OR(M250="KXDDM",BOM!F250=""),0,BOM!F250))</f>
        <v/>
      </c>
      <c r="H250" s="39" t="str">
        <f t="shared" si="16"/>
        <v/>
      </c>
      <c r="I250" s="39" t="str">
        <f>IF(B250="","",SUMIFS(Mau15a!$H$11:$H$310,Mau15a!$B$11:$B$310,B250)+SUMIFS(Mau15a!$I$11:$I$310,Mau15a!$B$11:$B$310,B250)+SUMIFS(Mau15a!$J$11:$J$310,Mau15a!$B$11:$B$310,B250)-SUMIFS(Mau15a!$G$11:$G$310,Mau15a!$B$11:$B$310,B250))</f>
        <v/>
      </c>
      <c r="J250" s="39" t="str">
        <f t="shared" si="17"/>
        <v/>
      </c>
      <c r="K250" s="39" t="str">
        <f>IF(B250="","",(SUMIFS(Mau15a!$K$11:$K$310,Mau15a!$B$11:$B$310,B250)-SUMIFS(Mau15a!$E$11:$E$310,Mau15a!$B$11:$B$310,B250))*G250)</f>
        <v/>
      </c>
      <c r="L250" s="36" t="str">
        <f t="shared" si="18"/>
        <v/>
      </c>
      <c r="M250" s="36" t="str">
        <f>IF(B250="","",BOM!G250&amp;"")</f>
        <v/>
      </c>
      <c r="N250" s="36" t="str">
        <f t="shared" si="19"/>
        <v/>
      </c>
    </row>
    <row r="251" spans="1:14" x14ac:dyDescent="0.25">
      <c r="A251" s="35" t="str">
        <f t="shared" si="15"/>
        <v/>
      </c>
      <c r="B251" s="35" t="str">
        <f>IF(BOM!A251="","",BOM!A251)</f>
        <v/>
      </c>
      <c r="C251" s="35" t="str">
        <f>IF(B251="","",BOM!B251)</f>
        <v/>
      </c>
      <c r="D251" s="35" t="str">
        <f>IF(B251="","",IFERROR(INDEX(DM_NL!$B$5:$B$304,MATCH(C251,DM_NL!$A$5:$A$304,0)),""))</f>
        <v/>
      </c>
      <c r="E251" s="35" t="str">
        <f>IF(B251="","",IFERROR(INDEX(DM_NL!$C$5:$C$304,MATCH(C251,DM_NL!$A$5:$A$304,0)),""))</f>
        <v/>
      </c>
      <c r="F251" s="39" t="str">
        <f>IF(B251="","",SUMIFS(Mau15a!$F$11:$F$310,Mau15a!$B$11:$B$310,B251))</f>
        <v/>
      </c>
      <c r="G251" s="39" t="str">
        <f>IF(B251="","",IF(OR(M251="KXDDM",BOM!F251=""),0,BOM!F251))</f>
        <v/>
      </c>
      <c r="H251" s="39" t="str">
        <f t="shared" si="16"/>
        <v/>
      </c>
      <c r="I251" s="39" t="str">
        <f>IF(B251="","",SUMIFS(Mau15a!$H$11:$H$310,Mau15a!$B$11:$B$310,B251)+SUMIFS(Mau15a!$I$11:$I$310,Mau15a!$B$11:$B$310,B251)+SUMIFS(Mau15a!$J$11:$J$310,Mau15a!$B$11:$B$310,B251)-SUMIFS(Mau15a!$G$11:$G$310,Mau15a!$B$11:$B$310,B251))</f>
        <v/>
      </c>
      <c r="J251" s="39" t="str">
        <f t="shared" si="17"/>
        <v/>
      </c>
      <c r="K251" s="39" t="str">
        <f>IF(B251="","",(SUMIFS(Mau15a!$K$11:$K$310,Mau15a!$B$11:$B$310,B251)-SUMIFS(Mau15a!$E$11:$E$310,Mau15a!$B$11:$B$310,B251))*G251)</f>
        <v/>
      </c>
      <c r="L251" s="36" t="str">
        <f t="shared" si="18"/>
        <v/>
      </c>
      <c r="M251" s="36" t="str">
        <f>IF(B251="","",BOM!G251&amp;"")</f>
        <v/>
      </c>
      <c r="N251" s="36" t="str">
        <f t="shared" si="19"/>
        <v/>
      </c>
    </row>
    <row r="252" spans="1:14" x14ac:dyDescent="0.25">
      <c r="A252" s="35" t="str">
        <f t="shared" si="15"/>
        <v/>
      </c>
      <c r="B252" s="35" t="str">
        <f>IF(BOM!A252="","",BOM!A252)</f>
        <v/>
      </c>
      <c r="C252" s="35" t="str">
        <f>IF(B252="","",BOM!B252)</f>
        <v/>
      </c>
      <c r="D252" s="35" t="str">
        <f>IF(B252="","",IFERROR(INDEX(DM_NL!$B$5:$B$304,MATCH(C252,DM_NL!$A$5:$A$304,0)),""))</f>
        <v/>
      </c>
      <c r="E252" s="35" t="str">
        <f>IF(B252="","",IFERROR(INDEX(DM_NL!$C$5:$C$304,MATCH(C252,DM_NL!$A$5:$A$304,0)),""))</f>
        <v/>
      </c>
      <c r="F252" s="39" t="str">
        <f>IF(B252="","",SUMIFS(Mau15a!$F$11:$F$310,Mau15a!$B$11:$B$310,B252))</f>
        <v/>
      </c>
      <c r="G252" s="39" t="str">
        <f>IF(B252="","",IF(OR(M252="KXDDM",BOM!F252=""),0,BOM!F252))</f>
        <v/>
      </c>
      <c r="H252" s="39" t="str">
        <f t="shared" si="16"/>
        <v/>
      </c>
      <c r="I252" s="39" t="str">
        <f>IF(B252="","",SUMIFS(Mau15a!$H$11:$H$310,Mau15a!$B$11:$B$310,B252)+SUMIFS(Mau15a!$I$11:$I$310,Mau15a!$B$11:$B$310,B252)+SUMIFS(Mau15a!$J$11:$J$310,Mau15a!$B$11:$B$310,B252)-SUMIFS(Mau15a!$G$11:$G$310,Mau15a!$B$11:$B$310,B252))</f>
        <v/>
      </c>
      <c r="J252" s="39" t="str">
        <f t="shared" si="17"/>
        <v/>
      </c>
      <c r="K252" s="39" t="str">
        <f>IF(B252="","",(SUMIFS(Mau15a!$K$11:$K$310,Mau15a!$B$11:$B$310,B252)-SUMIFS(Mau15a!$E$11:$E$310,Mau15a!$B$11:$B$310,B252))*G252)</f>
        <v/>
      </c>
      <c r="L252" s="36" t="str">
        <f t="shared" si="18"/>
        <v/>
      </c>
      <c r="M252" s="36" t="str">
        <f>IF(B252="","",BOM!G252&amp;"")</f>
        <v/>
      </c>
      <c r="N252" s="36" t="str">
        <f t="shared" si="19"/>
        <v/>
      </c>
    </row>
    <row r="253" spans="1:14" x14ac:dyDescent="0.25">
      <c r="A253" s="35" t="str">
        <f t="shared" si="15"/>
        <v/>
      </c>
      <c r="B253" s="35" t="str">
        <f>IF(BOM!A253="","",BOM!A253)</f>
        <v/>
      </c>
      <c r="C253" s="35" t="str">
        <f>IF(B253="","",BOM!B253)</f>
        <v/>
      </c>
      <c r="D253" s="35" t="str">
        <f>IF(B253="","",IFERROR(INDEX(DM_NL!$B$5:$B$304,MATCH(C253,DM_NL!$A$5:$A$304,0)),""))</f>
        <v/>
      </c>
      <c r="E253" s="35" t="str">
        <f>IF(B253="","",IFERROR(INDEX(DM_NL!$C$5:$C$304,MATCH(C253,DM_NL!$A$5:$A$304,0)),""))</f>
        <v/>
      </c>
      <c r="F253" s="39" t="str">
        <f>IF(B253="","",SUMIFS(Mau15a!$F$11:$F$310,Mau15a!$B$11:$B$310,B253))</f>
        <v/>
      </c>
      <c r="G253" s="39" t="str">
        <f>IF(B253="","",IF(OR(M253="KXDDM",BOM!F253=""),0,BOM!F253))</f>
        <v/>
      </c>
      <c r="H253" s="39" t="str">
        <f t="shared" si="16"/>
        <v/>
      </c>
      <c r="I253" s="39" t="str">
        <f>IF(B253="","",SUMIFS(Mau15a!$H$11:$H$310,Mau15a!$B$11:$B$310,B253)+SUMIFS(Mau15a!$I$11:$I$310,Mau15a!$B$11:$B$310,B253)+SUMIFS(Mau15a!$J$11:$J$310,Mau15a!$B$11:$B$310,B253)-SUMIFS(Mau15a!$G$11:$G$310,Mau15a!$B$11:$B$310,B253))</f>
        <v/>
      </c>
      <c r="J253" s="39" t="str">
        <f t="shared" si="17"/>
        <v/>
      </c>
      <c r="K253" s="39" t="str">
        <f>IF(B253="","",(SUMIFS(Mau15a!$K$11:$K$310,Mau15a!$B$11:$B$310,B253)-SUMIFS(Mau15a!$E$11:$E$310,Mau15a!$B$11:$B$310,B253))*G253)</f>
        <v/>
      </c>
      <c r="L253" s="36" t="str">
        <f t="shared" si="18"/>
        <v/>
      </c>
      <c r="M253" s="36" t="str">
        <f>IF(B253="","",BOM!G253&amp;"")</f>
        <v/>
      </c>
      <c r="N253" s="36" t="str">
        <f t="shared" si="19"/>
        <v/>
      </c>
    </row>
    <row r="254" spans="1:14" x14ac:dyDescent="0.25">
      <c r="A254" s="35" t="str">
        <f t="shared" si="15"/>
        <v/>
      </c>
      <c r="B254" s="35" t="str">
        <f>IF(BOM!A254="","",BOM!A254)</f>
        <v/>
      </c>
      <c r="C254" s="35" t="str">
        <f>IF(B254="","",BOM!B254)</f>
        <v/>
      </c>
      <c r="D254" s="35" t="str">
        <f>IF(B254="","",IFERROR(INDEX(DM_NL!$B$5:$B$304,MATCH(C254,DM_NL!$A$5:$A$304,0)),""))</f>
        <v/>
      </c>
      <c r="E254" s="35" t="str">
        <f>IF(B254="","",IFERROR(INDEX(DM_NL!$C$5:$C$304,MATCH(C254,DM_NL!$A$5:$A$304,0)),""))</f>
        <v/>
      </c>
      <c r="F254" s="39" t="str">
        <f>IF(B254="","",SUMIFS(Mau15a!$F$11:$F$310,Mau15a!$B$11:$B$310,B254))</f>
        <v/>
      </c>
      <c r="G254" s="39" t="str">
        <f>IF(B254="","",IF(OR(M254="KXDDM",BOM!F254=""),0,BOM!F254))</f>
        <v/>
      </c>
      <c r="H254" s="39" t="str">
        <f t="shared" si="16"/>
        <v/>
      </c>
      <c r="I254" s="39" t="str">
        <f>IF(B254="","",SUMIFS(Mau15a!$H$11:$H$310,Mau15a!$B$11:$B$310,B254)+SUMIFS(Mau15a!$I$11:$I$310,Mau15a!$B$11:$B$310,B254)+SUMIFS(Mau15a!$J$11:$J$310,Mau15a!$B$11:$B$310,B254)-SUMIFS(Mau15a!$G$11:$G$310,Mau15a!$B$11:$B$310,B254))</f>
        <v/>
      </c>
      <c r="J254" s="39" t="str">
        <f t="shared" si="17"/>
        <v/>
      </c>
      <c r="K254" s="39" t="str">
        <f>IF(B254="","",(SUMIFS(Mau15a!$K$11:$K$310,Mau15a!$B$11:$B$310,B254)-SUMIFS(Mau15a!$E$11:$E$310,Mau15a!$B$11:$B$310,B254))*G254)</f>
        <v/>
      </c>
      <c r="L254" s="36" t="str">
        <f t="shared" si="18"/>
        <v/>
      </c>
      <c r="M254" s="36" t="str">
        <f>IF(B254="","",BOM!G254&amp;"")</f>
        <v/>
      </c>
      <c r="N254" s="36" t="str">
        <f t="shared" si="19"/>
        <v/>
      </c>
    </row>
    <row r="255" spans="1:14" x14ac:dyDescent="0.25">
      <c r="A255" s="35" t="str">
        <f t="shared" si="15"/>
        <v/>
      </c>
      <c r="B255" s="35" t="str">
        <f>IF(BOM!A255="","",BOM!A255)</f>
        <v/>
      </c>
      <c r="C255" s="35" t="str">
        <f>IF(B255="","",BOM!B255)</f>
        <v/>
      </c>
      <c r="D255" s="35" t="str">
        <f>IF(B255="","",IFERROR(INDEX(DM_NL!$B$5:$B$304,MATCH(C255,DM_NL!$A$5:$A$304,0)),""))</f>
        <v/>
      </c>
      <c r="E255" s="35" t="str">
        <f>IF(B255="","",IFERROR(INDEX(DM_NL!$C$5:$C$304,MATCH(C255,DM_NL!$A$5:$A$304,0)),""))</f>
        <v/>
      </c>
      <c r="F255" s="39" t="str">
        <f>IF(B255="","",SUMIFS(Mau15a!$F$11:$F$310,Mau15a!$B$11:$B$310,B255))</f>
        <v/>
      </c>
      <c r="G255" s="39" t="str">
        <f>IF(B255="","",IF(OR(M255="KXDDM",BOM!F255=""),0,BOM!F255))</f>
        <v/>
      </c>
      <c r="H255" s="39" t="str">
        <f t="shared" si="16"/>
        <v/>
      </c>
      <c r="I255" s="39" t="str">
        <f>IF(B255="","",SUMIFS(Mau15a!$H$11:$H$310,Mau15a!$B$11:$B$310,B255)+SUMIFS(Mau15a!$I$11:$I$310,Mau15a!$B$11:$B$310,B255)+SUMIFS(Mau15a!$J$11:$J$310,Mau15a!$B$11:$B$310,B255)-SUMIFS(Mau15a!$G$11:$G$310,Mau15a!$B$11:$B$310,B255))</f>
        <v/>
      </c>
      <c r="J255" s="39" t="str">
        <f t="shared" si="17"/>
        <v/>
      </c>
      <c r="K255" s="39" t="str">
        <f>IF(B255="","",(SUMIFS(Mau15a!$K$11:$K$310,Mau15a!$B$11:$B$310,B255)-SUMIFS(Mau15a!$E$11:$E$310,Mau15a!$B$11:$B$310,B255))*G255)</f>
        <v/>
      </c>
      <c r="L255" s="36" t="str">
        <f t="shared" si="18"/>
        <v/>
      </c>
      <c r="M255" s="36" t="str">
        <f>IF(B255="","",BOM!G255&amp;"")</f>
        <v/>
      </c>
      <c r="N255" s="36" t="str">
        <f t="shared" si="19"/>
        <v/>
      </c>
    </row>
    <row r="256" spans="1:14" x14ac:dyDescent="0.25">
      <c r="A256" s="35" t="str">
        <f t="shared" si="15"/>
        <v/>
      </c>
      <c r="B256" s="35" t="str">
        <f>IF(BOM!A256="","",BOM!A256)</f>
        <v/>
      </c>
      <c r="C256" s="35" t="str">
        <f>IF(B256="","",BOM!B256)</f>
        <v/>
      </c>
      <c r="D256" s="35" t="str">
        <f>IF(B256="","",IFERROR(INDEX(DM_NL!$B$5:$B$304,MATCH(C256,DM_NL!$A$5:$A$304,0)),""))</f>
        <v/>
      </c>
      <c r="E256" s="35" t="str">
        <f>IF(B256="","",IFERROR(INDEX(DM_NL!$C$5:$C$304,MATCH(C256,DM_NL!$A$5:$A$304,0)),""))</f>
        <v/>
      </c>
      <c r="F256" s="39" t="str">
        <f>IF(B256="","",SUMIFS(Mau15a!$F$11:$F$310,Mau15a!$B$11:$B$310,B256))</f>
        <v/>
      </c>
      <c r="G256" s="39" t="str">
        <f>IF(B256="","",IF(OR(M256="KXDDM",BOM!F256=""),0,BOM!F256))</f>
        <v/>
      </c>
      <c r="H256" s="39" t="str">
        <f t="shared" si="16"/>
        <v/>
      </c>
      <c r="I256" s="39" t="str">
        <f>IF(B256="","",SUMIFS(Mau15a!$H$11:$H$310,Mau15a!$B$11:$B$310,B256)+SUMIFS(Mau15a!$I$11:$I$310,Mau15a!$B$11:$B$310,B256)+SUMIFS(Mau15a!$J$11:$J$310,Mau15a!$B$11:$B$310,B256)-SUMIFS(Mau15a!$G$11:$G$310,Mau15a!$B$11:$B$310,B256))</f>
        <v/>
      </c>
      <c r="J256" s="39" t="str">
        <f t="shared" si="17"/>
        <v/>
      </c>
      <c r="K256" s="39" t="str">
        <f>IF(B256="","",(SUMIFS(Mau15a!$K$11:$K$310,Mau15a!$B$11:$B$310,B256)-SUMIFS(Mau15a!$E$11:$E$310,Mau15a!$B$11:$B$310,B256))*G256)</f>
        <v/>
      </c>
      <c r="L256" s="36" t="str">
        <f t="shared" si="18"/>
        <v/>
      </c>
      <c r="M256" s="36" t="str">
        <f>IF(B256="","",BOM!G256&amp;"")</f>
        <v/>
      </c>
      <c r="N256" s="36" t="str">
        <f t="shared" si="19"/>
        <v/>
      </c>
    </row>
    <row r="257" spans="1:14" x14ac:dyDescent="0.25">
      <c r="A257" s="35" t="str">
        <f t="shared" si="15"/>
        <v/>
      </c>
      <c r="B257" s="35" t="str">
        <f>IF(BOM!A257="","",BOM!A257)</f>
        <v/>
      </c>
      <c r="C257" s="35" t="str">
        <f>IF(B257="","",BOM!B257)</f>
        <v/>
      </c>
      <c r="D257" s="35" t="str">
        <f>IF(B257="","",IFERROR(INDEX(DM_NL!$B$5:$B$304,MATCH(C257,DM_NL!$A$5:$A$304,0)),""))</f>
        <v/>
      </c>
      <c r="E257" s="35" t="str">
        <f>IF(B257="","",IFERROR(INDEX(DM_NL!$C$5:$C$304,MATCH(C257,DM_NL!$A$5:$A$304,0)),""))</f>
        <v/>
      </c>
      <c r="F257" s="39" t="str">
        <f>IF(B257="","",SUMIFS(Mau15a!$F$11:$F$310,Mau15a!$B$11:$B$310,B257))</f>
        <v/>
      </c>
      <c r="G257" s="39" t="str">
        <f>IF(B257="","",IF(OR(M257="KXDDM",BOM!F257=""),0,BOM!F257))</f>
        <v/>
      </c>
      <c r="H257" s="39" t="str">
        <f t="shared" si="16"/>
        <v/>
      </c>
      <c r="I257" s="39" t="str">
        <f>IF(B257="","",SUMIFS(Mau15a!$H$11:$H$310,Mau15a!$B$11:$B$310,B257)+SUMIFS(Mau15a!$I$11:$I$310,Mau15a!$B$11:$B$310,B257)+SUMIFS(Mau15a!$J$11:$J$310,Mau15a!$B$11:$B$310,B257)-SUMIFS(Mau15a!$G$11:$G$310,Mau15a!$B$11:$B$310,B257))</f>
        <v/>
      </c>
      <c r="J257" s="39" t="str">
        <f t="shared" si="17"/>
        <v/>
      </c>
      <c r="K257" s="39" t="str">
        <f>IF(B257="","",(SUMIFS(Mau15a!$K$11:$K$310,Mau15a!$B$11:$B$310,B257)-SUMIFS(Mau15a!$E$11:$E$310,Mau15a!$B$11:$B$310,B257))*G257)</f>
        <v/>
      </c>
      <c r="L257" s="36" t="str">
        <f t="shared" si="18"/>
        <v/>
      </c>
      <c r="M257" s="36" t="str">
        <f>IF(B257="","",BOM!G257&amp;"")</f>
        <v/>
      </c>
      <c r="N257" s="36" t="str">
        <f t="shared" si="19"/>
        <v/>
      </c>
    </row>
    <row r="258" spans="1:14" x14ac:dyDescent="0.25">
      <c r="A258" s="35" t="str">
        <f t="shared" si="15"/>
        <v/>
      </c>
      <c r="B258" s="35" t="str">
        <f>IF(BOM!A258="","",BOM!A258)</f>
        <v/>
      </c>
      <c r="C258" s="35" t="str">
        <f>IF(B258="","",BOM!B258)</f>
        <v/>
      </c>
      <c r="D258" s="35" t="str">
        <f>IF(B258="","",IFERROR(INDEX(DM_NL!$B$5:$B$304,MATCH(C258,DM_NL!$A$5:$A$304,0)),""))</f>
        <v/>
      </c>
      <c r="E258" s="35" t="str">
        <f>IF(B258="","",IFERROR(INDEX(DM_NL!$C$5:$C$304,MATCH(C258,DM_NL!$A$5:$A$304,0)),""))</f>
        <v/>
      </c>
      <c r="F258" s="39" t="str">
        <f>IF(B258="","",SUMIFS(Mau15a!$F$11:$F$310,Mau15a!$B$11:$B$310,B258))</f>
        <v/>
      </c>
      <c r="G258" s="39" t="str">
        <f>IF(B258="","",IF(OR(M258="KXDDM",BOM!F258=""),0,BOM!F258))</f>
        <v/>
      </c>
      <c r="H258" s="39" t="str">
        <f t="shared" si="16"/>
        <v/>
      </c>
      <c r="I258" s="39" t="str">
        <f>IF(B258="","",SUMIFS(Mau15a!$H$11:$H$310,Mau15a!$B$11:$B$310,B258)+SUMIFS(Mau15a!$I$11:$I$310,Mau15a!$B$11:$B$310,B258)+SUMIFS(Mau15a!$J$11:$J$310,Mau15a!$B$11:$B$310,B258)-SUMIFS(Mau15a!$G$11:$G$310,Mau15a!$B$11:$B$310,B258))</f>
        <v/>
      </c>
      <c r="J258" s="39" t="str">
        <f t="shared" si="17"/>
        <v/>
      </c>
      <c r="K258" s="39" t="str">
        <f>IF(B258="","",(SUMIFS(Mau15a!$K$11:$K$310,Mau15a!$B$11:$B$310,B258)-SUMIFS(Mau15a!$E$11:$E$310,Mau15a!$B$11:$B$310,B258))*G258)</f>
        <v/>
      </c>
      <c r="L258" s="36" t="str">
        <f t="shared" si="18"/>
        <v/>
      </c>
      <c r="M258" s="36" t="str">
        <f>IF(B258="","",BOM!G258&amp;"")</f>
        <v/>
      </c>
      <c r="N258" s="36" t="str">
        <f t="shared" si="19"/>
        <v/>
      </c>
    </row>
    <row r="259" spans="1:14" x14ac:dyDescent="0.25">
      <c r="A259" s="35" t="str">
        <f t="shared" si="15"/>
        <v/>
      </c>
      <c r="B259" s="35" t="str">
        <f>IF(BOM!A259="","",BOM!A259)</f>
        <v/>
      </c>
      <c r="C259" s="35" t="str">
        <f>IF(B259="","",BOM!B259)</f>
        <v/>
      </c>
      <c r="D259" s="35" t="str">
        <f>IF(B259="","",IFERROR(INDEX(DM_NL!$B$5:$B$304,MATCH(C259,DM_NL!$A$5:$A$304,0)),""))</f>
        <v/>
      </c>
      <c r="E259" s="35" t="str">
        <f>IF(B259="","",IFERROR(INDEX(DM_NL!$C$5:$C$304,MATCH(C259,DM_NL!$A$5:$A$304,0)),""))</f>
        <v/>
      </c>
      <c r="F259" s="39" t="str">
        <f>IF(B259="","",SUMIFS(Mau15a!$F$11:$F$310,Mau15a!$B$11:$B$310,B259))</f>
        <v/>
      </c>
      <c r="G259" s="39" t="str">
        <f>IF(B259="","",IF(OR(M259="KXDDM",BOM!F259=""),0,BOM!F259))</f>
        <v/>
      </c>
      <c r="H259" s="39" t="str">
        <f t="shared" si="16"/>
        <v/>
      </c>
      <c r="I259" s="39" t="str">
        <f>IF(B259="","",SUMIFS(Mau15a!$H$11:$H$310,Mau15a!$B$11:$B$310,B259)+SUMIFS(Mau15a!$I$11:$I$310,Mau15a!$B$11:$B$310,B259)+SUMIFS(Mau15a!$J$11:$J$310,Mau15a!$B$11:$B$310,B259)-SUMIFS(Mau15a!$G$11:$G$310,Mau15a!$B$11:$B$310,B259))</f>
        <v/>
      </c>
      <c r="J259" s="39" t="str">
        <f t="shared" si="17"/>
        <v/>
      </c>
      <c r="K259" s="39" t="str">
        <f>IF(B259="","",(SUMIFS(Mau15a!$K$11:$K$310,Mau15a!$B$11:$B$310,B259)-SUMIFS(Mau15a!$E$11:$E$310,Mau15a!$B$11:$B$310,B259))*G259)</f>
        <v/>
      </c>
      <c r="L259" s="36" t="str">
        <f t="shared" si="18"/>
        <v/>
      </c>
      <c r="M259" s="36" t="str">
        <f>IF(B259="","",BOM!G259&amp;"")</f>
        <v/>
      </c>
      <c r="N259" s="36" t="str">
        <f t="shared" si="19"/>
        <v/>
      </c>
    </row>
    <row r="260" spans="1:14" x14ac:dyDescent="0.25">
      <c r="A260" s="35" t="str">
        <f t="shared" si="15"/>
        <v/>
      </c>
      <c r="B260" s="35" t="str">
        <f>IF(BOM!A260="","",BOM!A260)</f>
        <v/>
      </c>
      <c r="C260" s="35" t="str">
        <f>IF(B260="","",BOM!B260)</f>
        <v/>
      </c>
      <c r="D260" s="35" t="str">
        <f>IF(B260="","",IFERROR(INDEX(DM_NL!$B$5:$B$304,MATCH(C260,DM_NL!$A$5:$A$304,0)),""))</f>
        <v/>
      </c>
      <c r="E260" s="35" t="str">
        <f>IF(B260="","",IFERROR(INDEX(DM_NL!$C$5:$C$304,MATCH(C260,DM_NL!$A$5:$A$304,0)),""))</f>
        <v/>
      </c>
      <c r="F260" s="39" t="str">
        <f>IF(B260="","",SUMIFS(Mau15a!$F$11:$F$310,Mau15a!$B$11:$B$310,B260))</f>
        <v/>
      </c>
      <c r="G260" s="39" t="str">
        <f>IF(B260="","",IF(OR(M260="KXDDM",BOM!F260=""),0,BOM!F260))</f>
        <v/>
      </c>
      <c r="H260" s="39" t="str">
        <f t="shared" si="16"/>
        <v/>
      </c>
      <c r="I260" s="39" t="str">
        <f>IF(B260="","",SUMIFS(Mau15a!$H$11:$H$310,Mau15a!$B$11:$B$310,B260)+SUMIFS(Mau15a!$I$11:$I$310,Mau15a!$B$11:$B$310,B260)+SUMIFS(Mau15a!$J$11:$J$310,Mau15a!$B$11:$B$310,B260)-SUMIFS(Mau15a!$G$11:$G$310,Mau15a!$B$11:$B$310,B260))</f>
        <v/>
      </c>
      <c r="J260" s="39" t="str">
        <f t="shared" si="17"/>
        <v/>
      </c>
      <c r="K260" s="39" t="str">
        <f>IF(B260="","",(SUMIFS(Mau15a!$K$11:$K$310,Mau15a!$B$11:$B$310,B260)-SUMIFS(Mau15a!$E$11:$E$310,Mau15a!$B$11:$B$310,B260))*G260)</f>
        <v/>
      </c>
      <c r="L260" s="36" t="str">
        <f t="shared" si="18"/>
        <v/>
      </c>
      <c r="M260" s="36" t="str">
        <f>IF(B260="","",BOM!G260&amp;"")</f>
        <v/>
      </c>
      <c r="N260" s="36" t="str">
        <f t="shared" si="19"/>
        <v/>
      </c>
    </row>
    <row r="261" spans="1:14" x14ac:dyDescent="0.25">
      <c r="A261" s="35" t="str">
        <f t="shared" ref="A261:A324" si="20">IF(B261="","",ROW()-4)</f>
        <v/>
      </c>
      <c r="B261" s="35" t="str">
        <f>IF(BOM!A261="","",BOM!A261)</f>
        <v/>
      </c>
      <c r="C261" s="35" t="str">
        <f>IF(B261="","",BOM!B261)</f>
        <v/>
      </c>
      <c r="D261" s="35" t="str">
        <f>IF(B261="","",IFERROR(INDEX(DM_NL!$B$5:$B$304,MATCH(C261,DM_NL!$A$5:$A$304,0)),""))</f>
        <v/>
      </c>
      <c r="E261" s="35" t="str">
        <f>IF(B261="","",IFERROR(INDEX(DM_NL!$C$5:$C$304,MATCH(C261,DM_NL!$A$5:$A$304,0)),""))</f>
        <v/>
      </c>
      <c r="F261" s="39" t="str">
        <f>IF(B261="","",SUMIFS(Mau15a!$F$11:$F$310,Mau15a!$B$11:$B$310,B261))</f>
        <v/>
      </c>
      <c r="G261" s="39" t="str">
        <f>IF(B261="","",IF(OR(M261="KXDDM",BOM!F261=""),0,BOM!F261))</f>
        <v/>
      </c>
      <c r="H261" s="39" t="str">
        <f t="shared" ref="H261:H324" si="21">IF(B261="","",F261*G261)</f>
        <v/>
      </c>
      <c r="I261" s="39" t="str">
        <f>IF(B261="","",SUMIFS(Mau15a!$H$11:$H$310,Mau15a!$B$11:$B$310,B261)+SUMIFS(Mau15a!$I$11:$I$310,Mau15a!$B$11:$B$310,B261)+SUMIFS(Mau15a!$J$11:$J$310,Mau15a!$B$11:$B$310,B261)-SUMIFS(Mau15a!$G$11:$G$310,Mau15a!$B$11:$B$310,B261))</f>
        <v/>
      </c>
      <c r="J261" s="39" t="str">
        <f t="shared" ref="J261:J324" si="22">IF(B261="","",I261*G261)</f>
        <v/>
      </c>
      <c r="K261" s="39" t="str">
        <f>IF(B261="","",(SUMIFS(Mau15a!$K$11:$K$310,Mau15a!$B$11:$B$310,B261)-SUMIFS(Mau15a!$E$11:$E$310,Mau15a!$B$11:$B$310,B261))*G261)</f>
        <v/>
      </c>
      <c r="L261" s="36" t="str">
        <f t="shared" ref="L261:L324" si="23">IF(B261="","",IF(ABS(H261-J261-K261)&lt;0.000001,"Khớp","Lệch"))</f>
        <v/>
      </c>
      <c r="M261" s="36" t="str">
        <f>IF(B261="","",BOM!G261&amp;"")</f>
        <v/>
      </c>
      <c r="N261" s="36" t="str">
        <f t="shared" ref="N261:N324" si="24">IF(B261="","",IF(M261="",1,0))</f>
        <v/>
      </c>
    </row>
    <row r="262" spans="1:14" x14ac:dyDescent="0.25">
      <c r="A262" s="35" t="str">
        <f t="shared" si="20"/>
        <v/>
      </c>
      <c r="B262" s="35" t="str">
        <f>IF(BOM!A262="","",BOM!A262)</f>
        <v/>
      </c>
      <c r="C262" s="35" t="str">
        <f>IF(B262="","",BOM!B262)</f>
        <v/>
      </c>
      <c r="D262" s="35" t="str">
        <f>IF(B262="","",IFERROR(INDEX(DM_NL!$B$5:$B$304,MATCH(C262,DM_NL!$A$5:$A$304,0)),""))</f>
        <v/>
      </c>
      <c r="E262" s="35" t="str">
        <f>IF(B262="","",IFERROR(INDEX(DM_NL!$C$5:$C$304,MATCH(C262,DM_NL!$A$5:$A$304,0)),""))</f>
        <v/>
      </c>
      <c r="F262" s="39" t="str">
        <f>IF(B262="","",SUMIFS(Mau15a!$F$11:$F$310,Mau15a!$B$11:$B$310,B262))</f>
        <v/>
      </c>
      <c r="G262" s="39" t="str">
        <f>IF(B262="","",IF(OR(M262="KXDDM",BOM!F262=""),0,BOM!F262))</f>
        <v/>
      </c>
      <c r="H262" s="39" t="str">
        <f t="shared" si="21"/>
        <v/>
      </c>
      <c r="I262" s="39" t="str">
        <f>IF(B262="","",SUMIFS(Mau15a!$H$11:$H$310,Mau15a!$B$11:$B$310,B262)+SUMIFS(Mau15a!$I$11:$I$310,Mau15a!$B$11:$B$310,B262)+SUMIFS(Mau15a!$J$11:$J$310,Mau15a!$B$11:$B$310,B262)-SUMIFS(Mau15a!$G$11:$G$310,Mau15a!$B$11:$B$310,B262))</f>
        <v/>
      </c>
      <c r="J262" s="39" t="str">
        <f t="shared" si="22"/>
        <v/>
      </c>
      <c r="K262" s="39" t="str">
        <f>IF(B262="","",(SUMIFS(Mau15a!$K$11:$K$310,Mau15a!$B$11:$B$310,B262)-SUMIFS(Mau15a!$E$11:$E$310,Mau15a!$B$11:$B$310,B262))*G262)</f>
        <v/>
      </c>
      <c r="L262" s="36" t="str">
        <f t="shared" si="23"/>
        <v/>
      </c>
      <c r="M262" s="36" t="str">
        <f>IF(B262="","",BOM!G262&amp;"")</f>
        <v/>
      </c>
      <c r="N262" s="36" t="str">
        <f t="shared" si="24"/>
        <v/>
      </c>
    </row>
    <row r="263" spans="1:14" x14ac:dyDescent="0.25">
      <c r="A263" s="35" t="str">
        <f t="shared" si="20"/>
        <v/>
      </c>
      <c r="B263" s="35" t="str">
        <f>IF(BOM!A263="","",BOM!A263)</f>
        <v/>
      </c>
      <c r="C263" s="35" t="str">
        <f>IF(B263="","",BOM!B263)</f>
        <v/>
      </c>
      <c r="D263" s="35" t="str">
        <f>IF(B263="","",IFERROR(INDEX(DM_NL!$B$5:$B$304,MATCH(C263,DM_NL!$A$5:$A$304,0)),""))</f>
        <v/>
      </c>
      <c r="E263" s="35" t="str">
        <f>IF(B263="","",IFERROR(INDEX(DM_NL!$C$5:$C$304,MATCH(C263,DM_NL!$A$5:$A$304,0)),""))</f>
        <v/>
      </c>
      <c r="F263" s="39" t="str">
        <f>IF(B263="","",SUMIFS(Mau15a!$F$11:$F$310,Mau15a!$B$11:$B$310,B263))</f>
        <v/>
      </c>
      <c r="G263" s="39" t="str">
        <f>IF(B263="","",IF(OR(M263="KXDDM",BOM!F263=""),0,BOM!F263))</f>
        <v/>
      </c>
      <c r="H263" s="39" t="str">
        <f t="shared" si="21"/>
        <v/>
      </c>
      <c r="I263" s="39" t="str">
        <f>IF(B263="","",SUMIFS(Mau15a!$H$11:$H$310,Mau15a!$B$11:$B$310,B263)+SUMIFS(Mau15a!$I$11:$I$310,Mau15a!$B$11:$B$310,B263)+SUMIFS(Mau15a!$J$11:$J$310,Mau15a!$B$11:$B$310,B263)-SUMIFS(Mau15a!$G$11:$G$310,Mau15a!$B$11:$B$310,B263))</f>
        <v/>
      </c>
      <c r="J263" s="39" t="str">
        <f t="shared" si="22"/>
        <v/>
      </c>
      <c r="K263" s="39" t="str">
        <f>IF(B263="","",(SUMIFS(Mau15a!$K$11:$K$310,Mau15a!$B$11:$B$310,B263)-SUMIFS(Mau15a!$E$11:$E$310,Mau15a!$B$11:$B$310,B263))*G263)</f>
        <v/>
      </c>
      <c r="L263" s="36" t="str">
        <f t="shared" si="23"/>
        <v/>
      </c>
      <c r="M263" s="36" t="str">
        <f>IF(B263="","",BOM!G263&amp;"")</f>
        <v/>
      </c>
      <c r="N263" s="36" t="str">
        <f t="shared" si="24"/>
        <v/>
      </c>
    </row>
    <row r="264" spans="1:14" x14ac:dyDescent="0.25">
      <c r="A264" s="35" t="str">
        <f t="shared" si="20"/>
        <v/>
      </c>
      <c r="B264" s="35" t="str">
        <f>IF(BOM!A264="","",BOM!A264)</f>
        <v/>
      </c>
      <c r="C264" s="35" t="str">
        <f>IF(B264="","",BOM!B264)</f>
        <v/>
      </c>
      <c r="D264" s="35" t="str">
        <f>IF(B264="","",IFERROR(INDEX(DM_NL!$B$5:$B$304,MATCH(C264,DM_NL!$A$5:$A$304,0)),""))</f>
        <v/>
      </c>
      <c r="E264" s="35" t="str">
        <f>IF(B264="","",IFERROR(INDEX(DM_NL!$C$5:$C$304,MATCH(C264,DM_NL!$A$5:$A$304,0)),""))</f>
        <v/>
      </c>
      <c r="F264" s="39" t="str">
        <f>IF(B264="","",SUMIFS(Mau15a!$F$11:$F$310,Mau15a!$B$11:$B$310,B264))</f>
        <v/>
      </c>
      <c r="G264" s="39" t="str">
        <f>IF(B264="","",IF(OR(M264="KXDDM",BOM!F264=""),0,BOM!F264))</f>
        <v/>
      </c>
      <c r="H264" s="39" t="str">
        <f t="shared" si="21"/>
        <v/>
      </c>
      <c r="I264" s="39" t="str">
        <f>IF(B264="","",SUMIFS(Mau15a!$H$11:$H$310,Mau15a!$B$11:$B$310,B264)+SUMIFS(Mau15a!$I$11:$I$310,Mau15a!$B$11:$B$310,B264)+SUMIFS(Mau15a!$J$11:$J$310,Mau15a!$B$11:$B$310,B264)-SUMIFS(Mau15a!$G$11:$G$310,Mau15a!$B$11:$B$310,B264))</f>
        <v/>
      </c>
      <c r="J264" s="39" t="str">
        <f t="shared" si="22"/>
        <v/>
      </c>
      <c r="K264" s="39" t="str">
        <f>IF(B264="","",(SUMIFS(Mau15a!$K$11:$K$310,Mau15a!$B$11:$B$310,B264)-SUMIFS(Mau15a!$E$11:$E$310,Mau15a!$B$11:$B$310,B264))*G264)</f>
        <v/>
      </c>
      <c r="L264" s="36" t="str">
        <f t="shared" si="23"/>
        <v/>
      </c>
      <c r="M264" s="36" t="str">
        <f>IF(B264="","",BOM!G264&amp;"")</f>
        <v/>
      </c>
      <c r="N264" s="36" t="str">
        <f t="shared" si="24"/>
        <v/>
      </c>
    </row>
    <row r="265" spans="1:14" x14ac:dyDescent="0.25">
      <c r="A265" s="35" t="str">
        <f t="shared" si="20"/>
        <v/>
      </c>
      <c r="B265" s="35" t="str">
        <f>IF(BOM!A265="","",BOM!A265)</f>
        <v/>
      </c>
      <c r="C265" s="35" t="str">
        <f>IF(B265="","",BOM!B265)</f>
        <v/>
      </c>
      <c r="D265" s="35" t="str">
        <f>IF(B265="","",IFERROR(INDEX(DM_NL!$B$5:$B$304,MATCH(C265,DM_NL!$A$5:$A$304,0)),""))</f>
        <v/>
      </c>
      <c r="E265" s="35" t="str">
        <f>IF(B265="","",IFERROR(INDEX(DM_NL!$C$5:$C$304,MATCH(C265,DM_NL!$A$5:$A$304,0)),""))</f>
        <v/>
      </c>
      <c r="F265" s="39" t="str">
        <f>IF(B265="","",SUMIFS(Mau15a!$F$11:$F$310,Mau15a!$B$11:$B$310,B265))</f>
        <v/>
      </c>
      <c r="G265" s="39" t="str">
        <f>IF(B265="","",IF(OR(M265="KXDDM",BOM!F265=""),0,BOM!F265))</f>
        <v/>
      </c>
      <c r="H265" s="39" t="str">
        <f t="shared" si="21"/>
        <v/>
      </c>
      <c r="I265" s="39" t="str">
        <f>IF(B265="","",SUMIFS(Mau15a!$H$11:$H$310,Mau15a!$B$11:$B$310,B265)+SUMIFS(Mau15a!$I$11:$I$310,Mau15a!$B$11:$B$310,B265)+SUMIFS(Mau15a!$J$11:$J$310,Mau15a!$B$11:$B$310,B265)-SUMIFS(Mau15a!$G$11:$G$310,Mau15a!$B$11:$B$310,B265))</f>
        <v/>
      </c>
      <c r="J265" s="39" t="str">
        <f t="shared" si="22"/>
        <v/>
      </c>
      <c r="K265" s="39" t="str">
        <f>IF(B265="","",(SUMIFS(Mau15a!$K$11:$K$310,Mau15a!$B$11:$B$310,B265)-SUMIFS(Mau15a!$E$11:$E$310,Mau15a!$B$11:$B$310,B265))*G265)</f>
        <v/>
      </c>
      <c r="L265" s="36" t="str">
        <f t="shared" si="23"/>
        <v/>
      </c>
      <c r="M265" s="36" t="str">
        <f>IF(B265="","",BOM!G265&amp;"")</f>
        <v/>
      </c>
      <c r="N265" s="36" t="str">
        <f t="shared" si="24"/>
        <v/>
      </c>
    </row>
    <row r="266" spans="1:14" x14ac:dyDescent="0.25">
      <c r="A266" s="35" t="str">
        <f t="shared" si="20"/>
        <v/>
      </c>
      <c r="B266" s="35" t="str">
        <f>IF(BOM!A266="","",BOM!A266)</f>
        <v/>
      </c>
      <c r="C266" s="35" t="str">
        <f>IF(B266="","",BOM!B266)</f>
        <v/>
      </c>
      <c r="D266" s="35" t="str">
        <f>IF(B266="","",IFERROR(INDEX(DM_NL!$B$5:$B$304,MATCH(C266,DM_NL!$A$5:$A$304,0)),""))</f>
        <v/>
      </c>
      <c r="E266" s="35" t="str">
        <f>IF(B266="","",IFERROR(INDEX(DM_NL!$C$5:$C$304,MATCH(C266,DM_NL!$A$5:$A$304,0)),""))</f>
        <v/>
      </c>
      <c r="F266" s="39" t="str">
        <f>IF(B266="","",SUMIFS(Mau15a!$F$11:$F$310,Mau15a!$B$11:$B$310,B266))</f>
        <v/>
      </c>
      <c r="G266" s="39" t="str">
        <f>IF(B266="","",IF(OR(M266="KXDDM",BOM!F266=""),0,BOM!F266))</f>
        <v/>
      </c>
      <c r="H266" s="39" t="str">
        <f t="shared" si="21"/>
        <v/>
      </c>
      <c r="I266" s="39" t="str">
        <f>IF(B266="","",SUMIFS(Mau15a!$H$11:$H$310,Mau15a!$B$11:$B$310,B266)+SUMIFS(Mau15a!$I$11:$I$310,Mau15a!$B$11:$B$310,B266)+SUMIFS(Mau15a!$J$11:$J$310,Mau15a!$B$11:$B$310,B266)-SUMIFS(Mau15a!$G$11:$G$310,Mau15a!$B$11:$B$310,B266))</f>
        <v/>
      </c>
      <c r="J266" s="39" t="str">
        <f t="shared" si="22"/>
        <v/>
      </c>
      <c r="K266" s="39" t="str">
        <f>IF(B266="","",(SUMIFS(Mau15a!$K$11:$K$310,Mau15a!$B$11:$B$310,B266)-SUMIFS(Mau15a!$E$11:$E$310,Mau15a!$B$11:$B$310,B266))*G266)</f>
        <v/>
      </c>
      <c r="L266" s="36" t="str">
        <f t="shared" si="23"/>
        <v/>
      </c>
      <c r="M266" s="36" t="str">
        <f>IF(B266="","",BOM!G266&amp;"")</f>
        <v/>
      </c>
      <c r="N266" s="36" t="str">
        <f t="shared" si="24"/>
        <v/>
      </c>
    </row>
    <row r="267" spans="1:14" x14ac:dyDescent="0.25">
      <c r="A267" s="35" t="str">
        <f t="shared" si="20"/>
        <v/>
      </c>
      <c r="B267" s="35" t="str">
        <f>IF(BOM!A267="","",BOM!A267)</f>
        <v/>
      </c>
      <c r="C267" s="35" t="str">
        <f>IF(B267="","",BOM!B267)</f>
        <v/>
      </c>
      <c r="D267" s="35" t="str">
        <f>IF(B267="","",IFERROR(INDEX(DM_NL!$B$5:$B$304,MATCH(C267,DM_NL!$A$5:$A$304,0)),""))</f>
        <v/>
      </c>
      <c r="E267" s="35" t="str">
        <f>IF(B267="","",IFERROR(INDEX(DM_NL!$C$5:$C$304,MATCH(C267,DM_NL!$A$5:$A$304,0)),""))</f>
        <v/>
      </c>
      <c r="F267" s="39" t="str">
        <f>IF(B267="","",SUMIFS(Mau15a!$F$11:$F$310,Mau15a!$B$11:$B$310,B267))</f>
        <v/>
      </c>
      <c r="G267" s="39" t="str">
        <f>IF(B267="","",IF(OR(M267="KXDDM",BOM!F267=""),0,BOM!F267))</f>
        <v/>
      </c>
      <c r="H267" s="39" t="str">
        <f t="shared" si="21"/>
        <v/>
      </c>
      <c r="I267" s="39" t="str">
        <f>IF(B267="","",SUMIFS(Mau15a!$H$11:$H$310,Mau15a!$B$11:$B$310,B267)+SUMIFS(Mau15a!$I$11:$I$310,Mau15a!$B$11:$B$310,B267)+SUMIFS(Mau15a!$J$11:$J$310,Mau15a!$B$11:$B$310,B267)-SUMIFS(Mau15a!$G$11:$G$310,Mau15a!$B$11:$B$310,B267))</f>
        <v/>
      </c>
      <c r="J267" s="39" t="str">
        <f t="shared" si="22"/>
        <v/>
      </c>
      <c r="K267" s="39" t="str">
        <f>IF(B267="","",(SUMIFS(Mau15a!$K$11:$K$310,Mau15a!$B$11:$B$310,B267)-SUMIFS(Mau15a!$E$11:$E$310,Mau15a!$B$11:$B$310,B267))*G267)</f>
        <v/>
      </c>
      <c r="L267" s="36" t="str">
        <f t="shared" si="23"/>
        <v/>
      </c>
      <c r="M267" s="36" t="str">
        <f>IF(B267="","",BOM!G267&amp;"")</f>
        <v/>
      </c>
      <c r="N267" s="36" t="str">
        <f t="shared" si="24"/>
        <v/>
      </c>
    </row>
    <row r="268" spans="1:14" x14ac:dyDescent="0.25">
      <c r="A268" s="35" t="str">
        <f t="shared" si="20"/>
        <v/>
      </c>
      <c r="B268" s="35" t="str">
        <f>IF(BOM!A268="","",BOM!A268)</f>
        <v/>
      </c>
      <c r="C268" s="35" t="str">
        <f>IF(B268="","",BOM!B268)</f>
        <v/>
      </c>
      <c r="D268" s="35" t="str">
        <f>IF(B268="","",IFERROR(INDEX(DM_NL!$B$5:$B$304,MATCH(C268,DM_NL!$A$5:$A$304,0)),""))</f>
        <v/>
      </c>
      <c r="E268" s="35" t="str">
        <f>IF(B268="","",IFERROR(INDEX(DM_NL!$C$5:$C$304,MATCH(C268,DM_NL!$A$5:$A$304,0)),""))</f>
        <v/>
      </c>
      <c r="F268" s="39" t="str">
        <f>IF(B268="","",SUMIFS(Mau15a!$F$11:$F$310,Mau15a!$B$11:$B$310,B268))</f>
        <v/>
      </c>
      <c r="G268" s="39" t="str">
        <f>IF(B268="","",IF(OR(M268="KXDDM",BOM!F268=""),0,BOM!F268))</f>
        <v/>
      </c>
      <c r="H268" s="39" t="str">
        <f t="shared" si="21"/>
        <v/>
      </c>
      <c r="I268" s="39" t="str">
        <f>IF(B268="","",SUMIFS(Mau15a!$H$11:$H$310,Mau15a!$B$11:$B$310,B268)+SUMIFS(Mau15a!$I$11:$I$310,Mau15a!$B$11:$B$310,B268)+SUMIFS(Mau15a!$J$11:$J$310,Mau15a!$B$11:$B$310,B268)-SUMIFS(Mau15a!$G$11:$G$310,Mau15a!$B$11:$B$310,B268))</f>
        <v/>
      </c>
      <c r="J268" s="39" t="str">
        <f t="shared" si="22"/>
        <v/>
      </c>
      <c r="K268" s="39" t="str">
        <f>IF(B268="","",(SUMIFS(Mau15a!$K$11:$K$310,Mau15a!$B$11:$B$310,B268)-SUMIFS(Mau15a!$E$11:$E$310,Mau15a!$B$11:$B$310,B268))*G268)</f>
        <v/>
      </c>
      <c r="L268" s="36" t="str">
        <f t="shared" si="23"/>
        <v/>
      </c>
      <c r="M268" s="36" t="str">
        <f>IF(B268="","",BOM!G268&amp;"")</f>
        <v/>
      </c>
      <c r="N268" s="36" t="str">
        <f t="shared" si="24"/>
        <v/>
      </c>
    </row>
    <row r="269" spans="1:14" x14ac:dyDescent="0.25">
      <c r="A269" s="35" t="str">
        <f t="shared" si="20"/>
        <v/>
      </c>
      <c r="B269" s="35" t="str">
        <f>IF(BOM!A269="","",BOM!A269)</f>
        <v/>
      </c>
      <c r="C269" s="35" t="str">
        <f>IF(B269="","",BOM!B269)</f>
        <v/>
      </c>
      <c r="D269" s="35" t="str">
        <f>IF(B269="","",IFERROR(INDEX(DM_NL!$B$5:$B$304,MATCH(C269,DM_NL!$A$5:$A$304,0)),""))</f>
        <v/>
      </c>
      <c r="E269" s="35" t="str">
        <f>IF(B269="","",IFERROR(INDEX(DM_NL!$C$5:$C$304,MATCH(C269,DM_NL!$A$5:$A$304,0)),""))</f>
        <v/>
      </c>
      <c r="F269" s="39" t="str">
        <f>IF(B269="","",SUMIFS(Mau15a!$F$11:$F$310,Mau15a!$B$11:$B$310,B269))</f>
        <v/>
      </c>
      <c r="G269" s="39" t="str">
        <f>IF(B269="","",IF(OR(M269="KXDDM",BOM!F269=""),0,BOM!F269))</f>
        <v/>
      </c>
      <c r="H269" s="39" t="str">
        <f t="shared" si="21"/>
        <v/>
      </c>
      <c r="I269" s="39" t="str">
        <f>IF(B269="","",SUMIFS(Mau15a!$H$11:$H$310,Mau15a!$B$11:$B$310,B269)+SUMIFS(Mau15a!$I$11:$I$310,Mau15a!$B$11:$B$310,B269)+SUMIFS(Mau15a!$J$11:$J$310,Mau15a!$B$11:$B$310,B269)-SUMIFS(Mau15a!$G$11:$G$310,Mau15a!$B$11:$B$310,B269))</f>
        <v/>
      </c>
      <c r="J269" s="39" t="str">
        <f t="shared" si="22"/>
        <v/>
      </c>
      <c r="K269" s="39" t="str">
        <f>IF(B269="","",(SUMIFS(Mau15a!$K$11:$K$310,Mau15a!$B$11:$B$310,B269)-SUMIFS(Mau15a!$E$11:$E$310,Mau15a!$B$11:$B$310,B269))*G269)</f>
        <v/>
      </c>
      <c r="L269" s="36" t="str">
        <f t="shared" si="23"/>
        <v/>
      </c>
      <c r="M269" s="36" t="str">
        <f>IF(B269="","",BOM!G269&amp;"")</f>
        <v/>
      </c>
      <c r="N269" s="36" t="str">
        <f t="shared" si="24"/>
        <v/>
      </c>
    </row>
    <row r="270" spans="1:14" x14ac:dyDescent="0.25">
      <c r="A270" s="35" t="str">
        <f t="shared" si="20"/>
        <v/>
      </c>
      <c r="B270" s="35" t="str">
        <f>IF(BOM!A270="","",BOM!A270)</f>
        <v/>
      </c>
      <c r="C270" s="35" t="str">
        <f>IF(B270="","",BOM!B270)</f>
        <v/>
      </c>
      <c r="D270" s="35" t="str">
        <f>IF(B270="","",IFERROR(INDEX(DM_NL!$B$5:$B$304,MATCH(C270,DM_NL!$A$5:$A$304,0)),""))</f>
        <v/>
      </c>
      <c r="E270" s="35" t="str">
        <f>IF(B270="","",IFERROR(INDEX(DM_NL!$C$5:$C$304,MATCH(C270,DM_NL!$A$5:$A$304,0)),""))</f>
        <v/>
      </c>
      <c r="F270" s="39" t="str">
        <f>IF(B270="","",SUMIFS(Mau15a!$F$11:$F$310,Mau15a!$B$11:$B$310,B270))</f>
        <v/>
      </c>
      <c r="G270" s="39" t="str">
        <f>IF(B270="","",IF(OR(M270="KXDDM",BOM!F270=""),0,BOM!F270))</f>
        <v/>
      </c>
      <c r="H270" s="39" t="str">
        <f t="shared" si="21"/>
        <v/>
      </c>
      <c r="I270" s="39" t="str">
        <f>IF(B270="","",SUMIFS(Mau15a!$H$11:$H$310,Mau15a!$B$11:$B$310,B270)+SUMIFS(Mau15a!$I$11:$I$310,Mau15a!$B$11:$B$310,B270)+SUMIFS(Mau15a!$J$11:$J$310,Mau15a!$B$11:$B$310,B270)-SUMIFS(Mau15a!$G$11:$G$310,Mau15a!$B$11:$B$310,B270))</f>
        <v/>
      </c>
      <c r="J270" s="39" t="str">
        <f t="shared" si="22"/>
        <v/>
      </c>
      <c r="K270" s="39" t="str">
        <f>IF(B270="","",(SUMIFS(Mau15a!$K$11:$K$310,Mau15a!$B$11:$B$310,B270)-SUMIFS(Mau15a!$E$11:$E$310,Mau15a!$B$11:$B$310,B270))*G270)</f>
        <v/>
      </c>
      <c r="L270" s="36" t="str">
        <f t="shared" si="23"/>
        <v/>
      </c>
      <c r="M270" s="36" t="str">
        <f>IF(B270="","",BOM!G270&amp;"")</f>
        <v/>
      </c>
      <c r="N270" s="36" t="str">
        <f t="shared" si="24"/>
        <v/>
      </c>
    </row>
    <row r="271" spans="1:14" x14ac:dyDescent="0.25">
      <c r="A271" s="35" t="str">
        <f t="shared" si="20"/>
        <v/>
      </c>
      <c r="B271" s="35" t="str">
        <f>IF(BOM!A271="","",BOM!A271)</f>
        <v/>
      </c>
      <c r="C271" s="35" t="str">
        <f>IF(B271="","",BOM!B271)</f>
        <v/>
      </c>
      <c r="D271" s="35" t="str">
        <f>IF(B271="","",IFERROR(INDEX(DM_NL!$B$5:$B$304,MATCH(C271,DM_NL!$A$5:$A$304,0)),""))</f>
        <v/>
      </c>
      <c r="E271" s="35" t="str">
        <f>IF(B271="","",IFERROR(INDEX(DM_NL!$C$5:$C$304,MATCH(C271,DM_NL!$A$5:$A$304,0)),""))</f>
        <v/>
      </c>
      <c r="F271" s="39" t="str">
        <f>IF(B271="","",SUMIFS(Mau15a!$F$11:$F$310,Mau15a!$B$11:$B$310,B271))</f>
        <v/>
      </c>
      <c r="G271" s="39" t="str">
        <f>IF(B271="","",IF(OR(M271="KXDDM",BOM!F271=""),0,BOM!F271))</f>
        <v/>
      </c>
      <c r="H271" s="39" t="str">
        <f t="shared" si="21"/>
        <v/>
      </c>
      <c r="I271" s="39" t="str">
        <f>IF(B271="","",SUMIFS(Mau15a!$H$11:$H$310,Mau15a!$B$11:$B$310,B271)+SUMIFS(Mau15a!$I$11:$I$310,Mau15a!$B$11:$B$310,B271)+SUMIFS(Mau15a!$J$11:$J$310,Mau15a!$B$11:$B$310,B271)-SUMIFS(Mau15a!$G$11:$G$310,Mau15a!$B$11:$B$310,B271))</f>
        <v/>
      </c>
      <c r="J271" s="39" t="str">
        <f t="shared" si="22"/>
        <v/>
      </c>
      <c r="K271" s="39" t="str">
        <f>IF(B271="","",(SUMIFS(Mau15a!$K$11:$K$310,Mau15a!$B$11:$B$310,B271)-SUMIFS(Mau15a!$E$11:$E$310,Mau15a!$B$11:$B$310,B271))*G271)</f>
        <v/>
      </c>
      <c r="L271" s="36" t="str">
        <f t="shared" si="23"/>
        <v/>
      </c>
      <c r="M271" s="36" t="str">
        <f>IF(B271="","",BOM!G271&amp;"")</f>
        <v/>
      </c>
      <c r="N271" s="36" t="str">
        <f t="shared" si="24"/>
        <v/>
      </c>
    </row>
    <row r="272" spans="1:14" x14ac:dyDescent="0.25">
      <c r="A272" s="35" t="str">
        <f t="shared" si="20"/>
        <v/>
      </c>
      <c r="B272" s="35" t="str">
        <f>IF(BOM!A272="","",BOM!A272)</f>
        <v/>
      </c>
      <c r="C272" s="35" t="str">
        <f>IF(B272="","",BOM!B272)</f>
        <v/>
      </c>
      <c r="D272" s="35" t="str">
        <f>IF(B272="","",IFERROR(INDEX(DM_NL!$B$5:$B$304,MATCH(C272,DM_NL!$A$5:$A$304,0)),""))</f>
        <v/>
      </c>
      <c r="E272" s="35" t="str">
        <f>IF(B272="","",IFERROR(INDEX(DM_NL!$C$5:$C$304,MATCH(C272,DM_NL!$A$5:$A$304,0)),""))</f>
        <v/>
      </c>
      <c r="F272" s="39" t="str">
        <f>IF(B272="","",SUMIFS(Mau15a!$F$11:$F$310,Mau15a!$B$11:$B$310,B272))</f>
        <v/>
      </c>
      <c r="G272" s="39" t="str">
        <f>IF(B272="","",IF(OR(M272="KXDDM",BOM!F272=""),0,BOM!F272))</f>
        <v/>
      </c>
      <c r="H272" s="39" t="str">
        <f t="shared" si="21"/>
        <v/>
      </c>
      <c r="I272" s="39" t="str">
        <f>IF(B272="","",SUMIFS(Mau15a!$H$11:$H$310,Mau15a!$B$11:$B$310,B272)+SUMIFS(Mau15a!$I$11:$I$310,Mau15a!$B$11:$B$310,B272)+SUMIFS(Mau15a!$J$11:$J$310,Mau15a!$B$11:$B$310,B272)-SUMIFS(Mau15a!$G$11:$G$310,Mau15a!$B$11:$B$310,B272))</f>
        <v/>
      </c>
      <c r="J272" s="39" t="str">
        <f t="shared" si="22"/>
        <v/>
      </c>
      <c r="K272" s="39" t="str">
        <f>IF(B272="","",(SUMIFS(Mau15a!$K$11:$K$310,Mau15a!$B$11:$B$310,B272)-SUMIFS(Mau15a!$E$11:$E$310,Mau15a!$B$11:$B$310,B272))*G272)</f>
        <v/>
      </c>
      <c r="L272" s="36" t="str">
        <f t="shared" si="23"/>
        <v/>
      </c>
      <c r="M272" s="36" t="str">
        <f>IF(B272="","",BOM!G272&amp;"")</f>
        <v/>
      </c>
      <c r="N272" s="36" t="str">
        <f t="shared" si="24"/>
        <v/>
      </c>
    </row>
    <row r="273" spans="1:14" x14ac:dyDescent="0.25">
      <c r="A273" s="35" t="str">
        <f t="shared" si="20"/>
        <v/>
      </c>
      <c r="B273" s="35" t="str">
        <f>IF(BOM!A273="","",BOM!A273)</f>
        <v/>
      </c>
      <c r="C273" s="35" t="str">
        <f>IF(B273="","",BOM!B273)</f>
        <v/>
      </c>
      <c r="D273" s="35" t="str">
        <f>IF(B273="","",IFERROR(INDEX(DM_NL!$B$5:$B$304,MATCH(C273,DM_NL!$A$5:$A$304,0)),""))</f>
        <v/>
      </c>
      <c r="E273" s="35" t="str">
        <f>IF(B273="","",IFERROR(INDEX(DM_NL!$C$5:$C$304,MATCH(C273,DM_NL!$A$5:$A$304,0)),""))</f>
        <v/>
      </c>
      <c r="F273" s="39" t="str">
        <f>IF(B273="","",SUMIFS(Mau15a!$F$11:$F$310,Mau15a!$B$11:$B$310,B273))</f>
        <v/>
      </c>
      <c r="G273" s="39" t="str">
        <f>IF(B273="","",IF(OR(M273="KXDDM",BOM!F273=""),0,BOM!F273))</f>
        <v/>
      </c>
      <c r="H273" s="39" t="str">
        <f t="shared" si="21"/>
        <v/>
      </c>
      <c r="I273" s="39" t="str">
        <f>IF(B273="","",SUMIFS(Mau15a!$H$11:$H$310,Mau15a!$B$11:$B$310,B273)+SUMIFS(Mau15a!$I$11:$I$310,Mau15a!$B$11:$B$310,B273)+SUMIFS(Mau15a!$J$11:$J$310,Mau15a!$B$11:$B$310,B273)-SUMIFS(Mau15a!$G$11:$G$310,Mau15a!$B$11:$B$310,B273))</f>
        <v/>
      </c>
      <c r="J273" s="39" t="str">
        <f t="shared" si="22"/>
        <v/>
      </c>
      <c r="K273" s="39" t="str">
        <f>IF(B273="","",(SUMIFS(Mau15a!$K$11:$K$310,Mau15a!$B$11:$B$310,B273)-SUMIFS(Mau15a!$E$11:$E$310,Mau15a!$B$11:$B$310,B273))*G273)</f>
        <v/>
      </c>
      <c r="L273" s="36" t="str">
        <f t="shared" si="23"/>
        <v/>
      </c>
      <c r="M273" s="36" t="str">
        <f>IF(B273="","",BOM!G273&amp;"")</f>
        <v/>
      </c>
      <c r="N273" s="36" t="str">
        <f t="shared" si="24"/>
        <v/>
      </c>
    </row>
    <row r="274" spans="1:14" x14ac:dyDescent="0.25">
      <c r="A274" s="35" t="str">
        <f t="shared" si="20"/>
        <v/>
      </c>
      <c r="B274" s="35" t="str">
        <f>IF(BOM!A274="","",BOM!A274)</f>
        <v/>
      </c>
      <c r="C274" s="35" t="str">
        <f>IF(B274="","",BOM!B274)</f>
        <v/>
      </c>
      <c r="D274" s="35" t="str">
        <f>IF(B274="","",IFERROR(INDEX(DM_NL!$B$5:$B$304,MATCH(C274,DM_NL!$A$5:$A$304,0)),""))</f>
        <v/>
      </c>
      <c r="E274" s="35" t="str">
        <f>IF(B274="","",IFERROR(INDEX(DM_NL!$C$5:$C$304,MATCH(C274,DM_NL!$A$5:$A$304,0)),""))</f>
        <v/>
      </c>
      <c r="F274" s="39" t="str">
        <f>IF(B274="","",SUMIFS(Mau15a!$F$11:$F$310,Mau15a!$B$11:$B$310,B274))</f>
        <v/>
      </c>
      <c r="G274" s="39" t="str">
        <f>IF(B274="","",IF(OR(M274="KXDDM",BOM!F274=""),0,BOM!F274))</f>
        <v/>
      </c>
      <c r="H274" s="39" t="str">
        <f t="shared" si="21"/>
        <v/>
      </c>
      <c r="I274" s="39" t="str">
        <f>IF(B274="","",SUMIFS(Mau15a!$H$11:$H$310,Mau15a!$B$11:$B$310,B274)+SUMIFS(Mau15a!$I$11:$I$310,Mau15a!$B$11:$B$310,B274)+SUMIFS(Mau15a!$J$11:$J$310,Mau15a!$B$11:$B$310,B274)-SUMIFS(Mau15a!$G$11:$G$310,Mau15a!$B$11:$B$310,B274))</f>
        <v/>
      </c>
      <c r="J274" s="39" t="str">
        <f t="shared" si="22"/>
        <v/>
      </c>
      <c r="K274" s="39" t="str">
        <f>IF(B274="","",(SUMIFS(Mau15a!$K$11:$K$310,Mau15a!$B$11:$B$310,B274)-SUMIFS(Mau15a!$E$11:$E$310,Mau15a!$B$11:$B$310,B274))*G274)</f>
        <v/>
      </c>
      <c r="L274" s="36" t="str">
        <f t="shared" si="23"/>
        <v/>
      </c>
      <c r="M274" s="36" t="str">
        <f>IF(B274="","",BOM!G274&amp;"")</f>
        <v/>
      </c>
      <c r="N274" s="36" t="str">
        <f t="shared" si="24"/>
        <v/>
      </c>
    </row>
    <row r="275" spans="1:14" x14ac:dyDescent="0.25">
      <c r="A275" s="35" t="str">
        <f t="shared" si="20"/>
        <v/>
      </c>
      <c r="B275" s="35" t="str">
        <f>IF(BOM!A275="","",BOM!A275)</f>
        <v/>
      </c>
      <c r="C275" s="35" t="str">
        <f>IF(B275="","",BOM!B275)</f>
        <v/>
      </c>
      <c r="D275" s="35" t="str">
        <f>IF(B275="","",IFERROR(INDEX(DM_NL!$B$5:$B$304,MATCH(C275,DM_NL!$A$5:$A$304,0)),""))</f>
        <v/>
      </c>
      <c r="E275" s="35" t="str">
        <f>IF(B275="","",IFERROR(INDEX(DM_NL!$C$5:$C$304,MATCH(C275,DM_NL!$A$5:$A$304,0)),""))</f>
        <v/>
      </c>
      <c r="F275" s="39" t="str">
        <f>IF(B275="","",SUMIFS(Mau15a!$F$11:$F$310,Mau15a!$B$11:$B$310,B275))</f>
        <v/>
      </c>
      <c r="G275" s="39" t="str">
        <f>IF(B275="","",IF(OR(M275="KXDDM",BOM!F275=""),0,BOM!F275))</f>
        <v/>
      </c>
      <c r="H275" s="39" t="str">
        <f t="shared" si="21"/>
        <v/>
      </c>
      <c r="I275" s="39" t="str">
        <f>IF(B275="","",SUMIFS(Mau15a!$H$11:$H$310,Mau15a!$B$11:$B$310,B275)+SUMIFS(Mau15a!$I$11:$I$310,Mau15a!$B$11:$B$310,B275)+SUMIFS(Mau15a!$J$11:$J$310,Mau15a!$B$11:$B$310,B275)-SUMIFS(Mau15a!$G$11:$G$310,Mau15a!$B$11:$B$310,B275))</f>
        <v/>
      </c>
      <c r="J275" s="39" t="str">
        <f t="shared" si="22"/>
        <v/>
      </c>
      <c r="K275" s="39" t="str">
        <f>IF(B275="","",(SUMIFS(Mau15a!$K$11:$K$310,Mau15a!$B$11:$B$310,B275)-SUMIFS(Mau15a!$E$11:$E$310,Mau15a!$B$11:$B$310,B275))*G275)</f>
        <v/>
      </c>
      <c r="L275" s="36" t="str">
        <f t="shared" si="23"/>
        <v/>
      </c>
      <c r="M275" s="36" t="str">
        <f>IF(B275="","",BOM!G275&amp;"")</f>
        <v/>
      </c>
      <c r="N275" s="36" t="str">
        <f t="shared" si="24"/>
        <v/>
      </c>
    </row>
    <row r="276" spans="1:14" x14ac:dyDescent="0.25">
      <c r="A276" s="35" t="str">
        <f t="shared" si="20"/>
        <v/>
      </c>
      <c r="B276" s="35" t="str">
        <f>IF(BOM!A276="","",BOM!A276)</f>
        <v/>
      </c>
      <c r="C276" s="35" t="str">
        <f>IF(B276="","",BOM!B276)</f>
        <v/>
      </c>
      <c r="D276" s="35" t="str">
        <f>IF(B276="","",IFERROR(INDEX(DM_NL!$B$5:$B$304,MATCH(C276,DM_NL!$A$5:$A$304,0)),""))</f>
        <v/>
      </c>
      <c r="E276" s="35" t="str">
        <f>IF(B276="","",IFERROR(INDEX(DM_NL!$C$5:$C$304,MATCH(C276,DM_NL!$A$5:$A$304,0)),""))</f>
        <v/>
      </c>
      <c r="F276" s="39" t="str">
        <f>IF(B276="","",SUMIFS(Mau15a!$F$11:$F$310,Mau15a!$B$11:$B$310,B276))</f>
        <v/>
      </c>
      <c r="G276" s="39" t="str">
        <f>IF(B276="","",IF(OR(M276="KXDDM",BOM!F276=""),0,BOM!F276))</f>
        <v/>
      </c>
      <c r="H276" s="39" t="str">
        <f t="shared" si="21"/>
        <v/>
      </c>
      <c r="I276" s="39" t="str">
        <f>IF(B276="","",SUMIFS(Mau15a!$H$11:$H$310,Mau15a!$B$11:$B$310,B276)+SUMIFS(Mau15a!$I$11:$I$310,Mau15a!$B$11:$B$310,B276)+SUMIFS(Mau15a!$J$11:$J$310,Mau15a!$B$11:$B$310,B276)-SUMIFS(Mau15a!$G$11:$G$310,Mau15a!$B$11:$B$310,B276))</f>
        <v/>
      </c>
      <c r="J276" s="39" t="str">
        <f t="shared" si="22"/>
        <v/>
      </c>
      <c r="K276" s="39" t="str">
        <f>IF(B276="","",(SUMIFS(Mau15a!$K$11:$K$310,Mau15a!$B$11:$B$310,B276)-SUMIFS(Mau15a!$E$11:$E$310,Mau15a!$B$11:$B$310,B276))*G276)</f>
        <v/>
      </c>
      <c r="L276" s="36" t="str">
        <f t="shared" si="23"/>
        <v/>
      </c>
      <c r="M276" s="36" t="str">
        <f>IF(B276="","",BOM!G276&amp;"")</f>
        <v/>
      </c>
      <c r="N276" s="36" t="str">
        <f t="shared" si="24"/>
        <v/>
      </c>
    </row>
    <row r="277" spans="1:14" x14ac:dyDescent="0.25">
      <c r="A277" s="35" t="str">
        <f t="shared" si="20"/>
        <v/>
      </c>
      <c r="B277" s="35" t="str">
        <f>IF(BOM!A277="","",BOM!A277)</f>
        <v/>
      </c>
      <c r="C277" s="35" t="str">
        <f>IF(B277="","",BOM!B277)</f>
        <v/>
      </c>
      <c r="D277" s="35" t="str">
        <f>IF(B277="","",IFERROR(INDEX(DM_NL!$B$5:$B$304,MATCH(C277,DM_NL!$A$5:$A$304,0)),""))</f>
        <v/>
      </c>
      <c r="E277" s="35" t="str">
        <f>IF(B277="","",IFERROR(INDEX(DM_NL!$C$5:$C$304,MATCH(C277,DM_NL!$A$5:$A$304,0)),""))</f>
        <v/>
      </c>
      <c r="F277" s="39" t="str">
        <f>IF(B277="","",SUMIFS(Mau15a!$F$11:$F$310,Mau15a!$B$11:$B$310,B277))</f>
        <v/>
      </c>
      <c r="G277" s="39" t="str">
        <f>IF(B277="","",IF(OR(M277="KXDDM",BOM!F277=""),0,BOM!F277))</f>
        <v/>
      </c>
      <c r="H277" s="39" t="str">
        <f t="shared" si="21"/>
        <v/>
      </c>
      <c r="I277" s="39" t="str">
        <f>IF(B277="","",SUMIFS(Mau15a!$H$11:$H$310,Mau15a!$B$11:$B$310,B277)+SUMIFS(Mau15a!$I$11:$I$310,Mau15a!$B$11:$B$310,B277)+SUMIFS(Mau15a!$J$11:$J$310,Mau15a!$B$11:$B$310,B277)-SUMIFS(Mau15a!$G$11:$G$310,Mau15a!$B$11:$B$310,B277))</f>
        <v/>
      </c>
      <c r="J277" s="39" t="str">
        <f t="shared" si="22"/>
        <v/>
      </c>
      <c r="K277" s="39" t="str">
        <f>IF(B277="","",(SUMIFS(Mau15a!$K$11:$K$310,Mau15a!$B$11:$B$310,B277)-SUMIFS(Mau15a!$E$11:$E$310,Mau15a!$B$11:$B$310,B277))*G277)</f>
        <v/>
      </c>
      <c r="L277" s="36" t="str">
        <f t="shared" si="23"/>
        <v/>
      </c>
      <c r="M277" s="36" t="str">
        <f>IF(B277="","",BOM!G277&amp;"")</f>
        <v/>
      </c>
      <c r="N277" s="36" t="str">
        <f t="shared" si="24"/>
        <v/>
      </c>
    </row>
    <row r="278" spans="1:14" x14ac:dyDescent="0.25">
      <c r="A278" s="35" t="str">
        <f t="shared" si="20"/>
        <v/>
      </c>
      <c r="B278" s="35" t="str">
        <f>IF(BOM!A278="","",BOM!A278)</f>
        <v/>
      </c>
      <c r="C278" s="35" t="str">
        <f>IF(B278="","",BOM!B278)</f>
        <v/>
      </c>
      <c r="D278" s="35" t="str">
        <f>IF(B278="","",IFERROR(INDEX(DM_NL!$B$5:$B$304,MATCH(C278,DM_NL!$A$5:$A$304,0)),""))</f>
        <v/>
      </c>
      <c r="E278" s="35" t="str">
        <f>IF(B278="","",IFERROR(INDEX(DM_NL!$C$5:$C$304,MATCH(C278,DM_NL!$A$5:$A$304,0)),""))</f>
        <v/>
      </c>
      <c r="F278" s="39" t="str">
        <f>IF(B278="","",SUMIFS(Mau15a!$F$11:$F$310,Mau15a!$B$11:$B$310,B278))</f>
        <v/>
      </c>
      <c r="G278" s="39" t="str">
        <f>IF(B278="","",IF(OR(M278="KXDDM",BOM!F278=""),0,BOM!F278))</f>
        <v/>
      </c>
      <c r="H278" s="39" t="str">
        <f t="shared" si="21"/>
        <v/>
      </c>
      <c r="I278" s="39" t="str">
        <f>IF(B278="","",SUMIFS(Mau15a!$H$11:$H$310,Mau15a!$B$11:$B$310,B278)+SUMIFS(Mau15a!$I$11:$I$310,Mau15a!$B$11:$B$310,B278)+SUMIFS(Mau15a!$J$11:$J$310,Mau15a!$B$11:$B$310,B278)-SUMIFS(Mau15a!$G$11:$G$310,Mau15a!$B$11:$B$310,B278))</f>
        <v/>
      </c>
      <c r="J278" s="39" t="str">
        <f t="shared" si="22"/>
        <v/>
      </c>
      <c r="K278" s="39" t="str">
        <f>IF(B278="","",(SUMIFS(Mau15a!$K$11:$K$310,Mau15a!$B$11:$B$310,B278)-SUMIFS(Mau15a!$E$11:$E$310,Mau15a!$B$11:$B$310,B278))*G278)</f>
        <v/>
      </c>
      <c r="L278" s="36" t="str">
        <f t="shared" si="23"/>
        <v/>
      </c>
      <c r="M278" s="36" t="str">
        <f>IF(B278="","",BOM!G278&amp;"")</f>
        <v/>
      </c>
      <c r="N278" s="36" t="str">
        <f t="shared" si="24"/>
        <v/>
      </c>
    </row>
    <row r="279" spans="1:14" x14ac:dyDescent="0.25">
      <c r="A279" s="35" t="str">
        <f t="shared" si="20"/>
        <v/>
      </c>
      <c r="B279" s="35" t="str">
        <f>IF(BOM!A279="","",BOM!A279)</f>
        <v/>
      </c>
      <c r="C279" s="35" t="str">
        <f>IF(B279="","",BOM!B279)</f>
        <v/>
      </c>
      <c r="D279" s="35" t="str">
        <f>IF(B279="","",IFERROR(INDEX(DM_NL!$B$5:$B$304,MATCH(C279,DM_NL!$A$5:$A$304,0)),""))</f>
        <v/>
      </c>
      <c r="E279" s="35" t="str">
        <f>IF(B279="","",IFERROR(INDEX(DM_NL!$C$5:$C$304,MATCH(C279,DM_NL!$A$5:$A$304,0)),""))</f>
        <v/>
      </c>
      <c r="F279" s="39" t="str">
        <f>IF(B279="","",SUMIFS(Mau15a!$F$11:$F$310,Mau15a!$B$11:$B$310,B279))</f>
        <v/>
      </c>
      <c r="G279" s="39" t="str">
        <f>IF(B279="","",IF(OR(M279="KXDDM",BOM!F279=""),0,BOM!F279))</f>
        <v/>
      </c>
      <c r="H279" s="39" t="str">
        <f t="shared" si="21"/>
        <v/>
      </c>
      <c r="I279" s="39" t="str">
        <f>IF(B279="","",SUMIFS(Mau15a!$H$11:$H$310,Mau15a!$B$11:$B$310,B279)+SUMIFS(Mau15a!$I$11:$I$310,Mau15a!$B$11:$B$310,B279)+SUMIFS(Mau15a!$J$11:$J$310,Mau15a!$B$11:$B$310,B279)-SUMIFS(Mau15a!$G$11:$G$310,Mau15a!$B$11:$B$310,B279))</f>
        <v/>
      </c>
      <c r="J279" s="39" t="str">
        <f t="shared" si="22"/>
        <v/>
      </c>
      <c r="K279" s="39" t="str">
        <f>IF(B279="","",(SUMIFS(Mau15a!$K$11:$K$310,Mau15a!$B$11:$B$310,B279)-SUMIFS(Mau15a!$E$11:$E$310,Mau15a!$B$11:$B$310,B279))*G279)</f>
        <v/>
      </c>
      <c r="L279" s="36" t="str">
        <f t="shared" si="23"/>
        <v/>
      </c>
      <c r="M279" s="36" t="str">
        <f>IF(B279="","",BOM!G279&amp;"")</f>
        <v/>
      </c>
      <c r="N279" s="36" t="str">
        <f t="shared" si="24"/>
        <v/>
      </c>
    </row>
    <row r="280" spans="1:14" x14ac:dyDescent="0.25">
      <c r="A280" s="35" t="str">
        <f t="shared" si="20"/>
        <v/>
      </c>
      <c r="B280" s="35" t="str">
        <f>IF(BOM!A280="","",BOM!A280)</f>
        <v/>
      </c>
      <c r="C280" s="35" t="str">
        <f>IF(B280="","",BOM!B280)</f>
        <v/>
      </c>
      <c r="D280" s="35" t="str">
        <f>IF(B280="","",IFERROR(INDEX(DM_NL!$B$5:$B$304,MATCH(C280,DM_NL!$A$5:$A$304,0)),""))</f>
        <v/>
      </c>
      <c r="E280" s="35" t="str">
        <f>IF(B280="","",IFERROR(INDEX(DM_NL!$C$5:$C$304,MATCH(C280,DM_NL!$A$5:$A$304,0)),""))</f>
        <v/>
      </c>
      <c r="F280" s="39" t="str">
        <f>IF(B280="","",SUMIFS(Mau15a!$F$11:$F$310,Mau15a!$B$11:$B$310,B280))</f>
        <v/>
      </c>
      <c r="G280" s="39" t="str">
        <f>IF(B280="","",IF(OR(M280="KXDDM",BOM!F280=""),0,BOM!F280))</f>
        <v/>
      </c>
      <c r="H280" s="39" t="str">
        <f t="shared" si="21"/>
        <v/>
      </c>
      <c r="I280" s="39" t="str">
        <f>IF(B280="","",SUMIFS(Mau15a!$H$11:$H$310,Mau15a!$B$11:$B$310,B280)+SUMIFS(Mau15a!$I$11:$I$310,Mau15a!$B$11:$B$310,B280)+SUMIFS(Mau15a!$J$11:$J$310,Mau15a!$B$11:$B$310,B280)-SUMIFS(Mau15a!$G$11:$G$310,Mau15a!$B$11:$B$310,B280))</f>
        <v/>
      </c>
      <c r="J280" s="39" t="str">
        <f t="shared" si="22"/>
        <v/>
      </c>
      <c r="K280" s="39" t="str">
        <f>IF(B280="","",(SUMIFS(Mau15a!$K$11:$K$310,Mau15a!$B$11:$B$310,B280)-SUMIFS(Mau15a!$E$11:$E$310,Mau15a!$B$11:$B$310,B280))*G280)</f>
        <v/>
      </c>
      <c r="L280" s="36" t="str">
        <f t="shared" si="23"/>
        <v/>
      </c>
      <c r="M280" s="36" t="str">
        <f>IF(B280="","",BOM!G280&amp;"")</f>
        <v/>
      </c>
      <c r="N280" s="36" t="str">
        <f t="shared" si="24"/>
        <v/>
      </c>
    </row>
    <row r="281" spans="1:14" x14ac:dyDescent="0.25">
      <c r="A281" s="35" t="str">
        <f t="shared" si="20"/>
        <v/>
      </c>
      <c r="B281" s="35" t="str">
        <f>IF(BOM!A281="","",BOM!A281)</f>
        <v/>
      </c>
      <c r="C281" s="35" t="str">
        <f>IF(B281="","",BOM!B281)</f>
        <v/>
      </c>
      <c r="D281" s="35" t="str">
        <f>IF(B281="","",IFERROR(INDEX(DM_NL!$B$5:$B$304,MATCH(C281,DM_NL!$A$5:$A$304,0)),""))</f>
        <v/>
      </c>
      <c r="E281" s="35" t="str">
        <f>IF(B281="","",IFERROR(INDEX(DM_NL!$C$5:$C$304,MATCH(C281,DM_NL!$A$5:$A$304,0)),""))</f>
        <v/>
      </c>
      <c r="F281" s="39" t="str">
        <f>IF(B281="","",SUMIFS(Mau15a!$F$11:$F$310,Mau15a!$B$11:$B$310,B281))</f>
        <v/>
      </c>
      <c r="G281" s="39" t="str">
        <f>IF(B281="","",IF(OR(M281="KXDDM",BOM!F281=""),0,BOM!F281))</f>
        <v/>
      </c>
      <c r="H281" s="39" t="str">
        <f t="shared" si="21"/>
        <v/>
      </c>
      <c r="I281" s="39" t="str">
        <f>IF(B281="","",SUMIFS(Mau15a!$H$11:$H$310,Mau15a!$B$11:$B$310,B281)+SUMIFS(Mau15a!$I$11:$I$310,Mau15a!$B$11:$B$310,B281)+SUMIFS(Mau15a!$J$11:$J$310,Mau15a!$B$11:$B$310,B281)-SUMIFS(Mau15a!$G$11:$G$310,Mau15a!$B$11:$B$310,B281))</f>
        <v/>
      </c>
      <c r="J281" s="39" t="str">
        <f t="shared" si="22"/>
        <v/>
      </c>
      <c r="K281" s="39" t="str">
        <f>IF(B281="","",(SUMIFS(Mau15a!$K$11:$K$310,Mau15a!$B$11:$B$310,B281)-SUMIFS(Mau15a!$E$11:$E$310,Mau15a!$B$11:$B$310,B281))*G281)</f>
        <v/>
      </c>
      <c r="L281" s="36" t="str">
        <f t="shared" si="23"/>
        <v/>
      </c>
      <c r="M281" s="36" t="str">
        <f>IF(B281="","",BOM!G281&amp;"")</f>
        <v/>
      </c>
      <c r="N281" s="36" t="str">
        <f t="shared" si="24"/>
        <v/>
      </c>
    </row>
    <row r="282" spans="1:14" x14ac:dyDescent="0.25">
      <c r="A282" s="35" t="str">
        <f t="shared" si="20"/>
        <v/>
      </c>
      <c r="B282" s="35" t="str">
        <f>IF(BOM!A282="","",BOM!A282)</f>
        <v/>
      </c>
      <c r="C282" s="35" t="str">
        <f>IF(B282="","",BOM!B282)</f>
        <v/>
      </c>
      <c r="D282" s="35" t="str">
        <f>IF(B282="","",IFERROR(INDEX(DM_NL!$B$5:$B$304,MATCH(C282,DM_NL!$A$5:$A$304,0)),""))</f>
        <v/>
      </c>
      <c r="E282" s="35" t="str">
        <f>IF(B282="","",IFERROR(INDEX(DM_NL!$C$5:$C$304,MATCH(C282,DM_NL!$A$5:$A$304,0)),""))</f>
        <v/>
      </c>
      <c r="F282" s="39" t="str">
        <f>IF(B282="","",SUMIFS(Mau15a!$F$11:$F$310,Mau15a!$B$11:$B$310,B282))</f>
        <v/>
      </c>
      <c r="G282" s="39" t="str">
        <f>IF(B282="","",IF(OR(M282="KXDDM",BOM!F282=""),0,BOM!F282))</f>
        <v/>
      </c>
      <c r="H282" s="39" t="str">
        <f t="shared" si="21"/>
        <v/>
      </c>
      <c r="I282" s="39" t="str">
        <f>IF(B282="","",SUMIFS(Mau15a!$H$11:$H$310,Mau15a!$B$11:$B$310,B282)+SUMIFS(Mau15a!$I$11:$I$310,Mau15a!$B$11:$B$310,B282)+SUMIFS(Mau15a!$J$11:$J$310,Mau15a!$B$11:$B$310,B282)-SUMIFS(Mau15a!$G$11:$G$310,Mau15a!$B$11:$B$310,B282))</f>
        <v/>
      </c>
      <c r="J282" s="39" t="str">
        <f t="shared" si="22"/>
        <v/>
      </c>
      <c r="K282" s="39" t="str">
        <f>IF(B282="","",(SUMIFS(Mau15a!$K$11:$K$310,Mau15a!$B$11:$B$310,B282)-SUMIFS(Mau15a!$E$11:$E$310,Mau15a!$B$11:$B$310,B282))*G282)</f>
        <v/>
      </c>
      <c r="L282" s="36" t="str">
        <f t="shared" si="23"/>
        <v/>
      </c>
      <c r="M282" s="36" t="str">
        <f>IF(B282="","",BOM!G282&amp;"")</f>
        <v/>
      </c>
      <c r="N282" s="36" t="str">
        <f t="shared" si="24"/>
        <v/>
      </c>
    </row>
    <row r="283" spans="1:14" x14ac:dyDescent="0.25">
      <c r="A283" s="35" t="str">
        <f t="shared" si="20"/>
        <v/>
      </c>
      <c r="B283" s="35" t="str">
        <f>IF(BOM!A283="","",BOM!A283)</f>
        <v/>
      </c>
      <c r="C283" s="35" t="str">
        <f>IF(B283="","",BOM!B283)</f>
        <v/>
      </c>
      <c r="D283" s="35" t="str">
        <f>IF(B283="","",IFERROR(INDEX(DM_NL!$B$5:$B$304,MATCH(C283,DM_NL!$A$5:$A$304,0)),""))</f>
        <v/>
      </c>
      <c r="E283" s="35" t="str">
        <f>IF(B283="","",IFERROR(INDEX(DM_NL!$C$5:$C$304,MATCH(C283,DM_NL!$A$5:$A$304,0)),""))</f>
        <v/>
      </c>
      <c r="F283" s="39" t="str">
        <f>IF(B283="","",SUMIFS(Mau15a!$F$11:$F$310,Mau15a!$B$11:$B$310,B283))</f>
        <v/>
      </c>
      <c r="G283" s="39" t="str">
        <f>IF(B283="","",IF(OR(M283="KXDDM",BOM!F283=""),0,BOM!F283))</f>
        <v/>
      </c>
      <c r="H283" s="39" t="str">
        <f t="shared" si="21"/>
        <v/>
      </c>
      <c r="I283" s="39" t="str">
        <f>IF(B283="","",SUMIFS(Mau15a!$H$11:$H$310,Mau15a!$B$11:$B$310,B283)+SUMIFS(Mau15a!$I$11:$I$310,Mau15a!$B$11:$B$310,B283)+SUMIFS(Mau15a!$J$11:$J$310,Mau15a!$B$11:$B$310,B283)-SUMIFS(Mau15a!$G$11:$G$310,Mau15a!$B$11:$B$310,B283))</f>
        <v/>
      </c>
      <c r="J283" s="39" t="str">
        <f t="shared" si="22"/>
        <v/>
      </c>
      <c r="K283" s="39" t="str">
        <f>IF(B283="","",(SUMIFS(Mau15a!$K$11:$K$310,Mau15a!$B$11:$B$310,B283)-SUMIFS(Mau15a!$E$11:$E$310,Mau15a!$B$11:$B$310,B283))*G283)</f>
        <v/>
      </c>
      <c r="L283" s="36" t="str">
        <f t="shared" si="23"/>
        <v/>
      </c>
      <c r="M283" s="36" t="str">
        <f>IF(B283="","",BOM!G283&amp;"")</f>
        <v/>
      </c>
      <c r="N283" s="36" t="str">
        <f t="shared" si="24"/>
        <v/>
      </c>
    </row>
    <row r="284" spans="1:14" x14ac:dyDescent="0.25">
      <c r="A284" s="35" t="str">
        <f t="shared" si="20"/>
        <v/>
      </c>
      <c r="B284" s="35" t="str">
        <f>IF(BOM!A284="","",BOM!A284)</f>
        <v/>
      </c>
      <c r="C284" s="35" t="str">
        <f>IF(B284="","",BOM!B284)</f>
        <v/>
      </c>
      <c r="D284" s="35" t="str">
        <f>IF(B284="","",IFERROR(INDEX(DM_NL!$B$5:$B$304,MATCH(C284,DM_NL!$A$5:$A$304,0)),""))</f>
        <v/>
      </c>
      <c r="E284" s="35" t="str">
        <f>IF(B284="","",IFERROR(INDEX(DM_NL!$C$5:$C$304,MATCH(C284,DM_NL!$A$5:$A$304,0)),""))</f>
        <v/>
      </c>
      <c r="F284" s="39" t="str">
        <f>IF(B284="","",SUMIFS(Mau15a!$F$11:$F$310,Mau15a!$B$11:$B$310,B284))</f>
        <v/>
      </c>
      <c r="G284" s="39" t="str">
        <f>IF(B284="","",IF(OR(M284="KXDDM",BOM!F284=""),0,BOM!F284))</f>
        <v/>
      </c>
      <c r="H284" s="39" t="str">
        <f t="shared" si="21"/>
        <v/>
      </c>
      <c r="I284" s="39" t="str">
        <f>IF(B284="","",SUMIFS(Mau15a!$H$11:$H$310,Mau15a!$B$11:$B$310,B284)+SUMIFS(Mau15a!$I$11:$I$310,Mau15a!$B$11:$B$310,B284)+SUMIFS(Mau15a!$J$11:$J$310,Mau15a!$B$11:$B$310,B284)-SUMIFS(Mau15a!$G$11:$G$310,Mau15a!$B$11:$B$310,B284))</f>
        <v/>
      </c>
      <c r="J284" s="39" t="str">
        <f t="shared" si="22"/>
        <v/>
      </c>
      <c r="K284" s="39" t="str">
        <f>IF(B284="","",(SUMIFS(Mau15a!$K$11:$K$310,Mau15a!$B$11:$B$310,B284)-SUMIFS(Mau15a!$E$11:$E$310,Mau15a!$B$11:$B$310,B284))*G284)</f>
        <v/>
      </c>
      <c r="L284" s="36" t="str">
        <f t="shared" si="23"/>
        <v/>
      </c>
      <c r="M284" s="36" t="str">
        <f>IF(B284="","",BOM!G284&amp;"")</f>
        <v/>
      </c>
      <c r="N284" s="36" t="str">
        <f t="shared" si="24"/>
        <v/>
      </c>
    </row>
    <row r="285" spans="1:14" x14ac:dyDescent="0.25">
      <c r="A285" s="35" t="str">
        <f t="shared" si="20"/>
        <v/>
      </c>
      <c r="B285" s="35" t="str">
        <f>IF(BOM!A285="","",BOM!A285)</f>
        <v/>
      </c>
      <c r="C285" s="35" t="str">
        <f>IF(B285="","",BOM!B285)</f>
        <v/>
      </c>
      <c r="D285" s="35" t="str">
        <f>IF(B285="","",IFERROR(INDEX(DM_NL!$B$5:$B$304,MATCH(C285,DM_NL!$A$5:$A$304,0)),""))</f>
        <v/>
      </c>
      <c r="E285" s="35" t="str">
        <f>IF(B285="","",IFERROR(INDEX(DM_NL!$C$5:$C$304,MATCH(C285,DM_NL!$A$5:$A$304,0)),""))</f>
        <v/>
      </c>
      <c r="F285" s="39" t="str">
        <f>IF(B285="","",SUMIFS(Mau15a!$F$11:$F$310,Mau15a!$B$11:$B$310,B285))</f>
        <v/>
      </c>
      <c r="G285" s="39" t="str">
        <f>IF(B285="","",IF(OR(M285="KXDDM",BOM!F285=""),0,BOM!F285))</f>
        <v/>
      </c>
      <c r="H285" s="39" t="str">
        <f t="shared" si="21"/>
        <v/>
      </c>
      <c r="I285" s="39" t="str">
        <f>IF(B285="","",SUMIFS(Mau15a!$H$11:$H$310,Mau15a!$B$11:$B$310,B285)+SUMIFS(Mau15a!$I$11:$I$310,Mau15a!$B$11:$B$310,B285)+SUMIFS(Mau15a!$J$11:$J$310,Mau15a!$B$11:$B$310,B285)-SUMIFS(Mau15a!$G$11:$G$310,Mau15a!$B$11:$B$310,B285))</f>
        <v/>
      </c>
      <c r="J285" s="39" t="str">
        <f t="shared" si="22"/>
        <v/>
      </c>
      <c r="K285" s="39" t="str">
        <f>IF(B285="","",(SUMIFS(Mau15a!$K$11:$K$310,Mau15a!$B$11:$B$310,B285)-SUMIFS(Mau15a!$E$11:$E$310,Mau15a!$B$11:$B$310,B285))*G285)</f>
        <v/>
      </c>
      <c r="L285" s="36" t="str">
        <f t="shared" si="23"/>
        <v/>
      </c>
      <c r="M285" s="36" t="str">
        <f>IF(B285="","",BOM!G285&amp;"")</f>
        <v/>
      </c>
      <c r="N285" s="36" t="str">
        <f t="shared" si="24"/>
        <v/>
      </c>
    </row>
    <row r="286" spans="1:14" x14ac:dyDescent="0.25">
      <c r="A286" s="35" t="str">
        <f t="shared" si="20"/>
        <v/>
      </c>
      <c r="B286" s="35" t="str">
        <f>IF(BOM!A286="","",BOM!A286)</f>
        <v/>
      </c>
      <c r="C286" s="35" t="str">
        <f>IF(B286="","",BOM!B286)</f>
        <v/>
      </c>
      <c r="D286" s="35" t="str">
        <f>IF(B286="","",IFERROR(INDEX(DM_NL!$B$5:$B$304,MATCH(C286,DM_NL!$A$5:$A$304,0)),""))</f>
        <v/>
      </c>
      <c r="E286" s="35" t="str">
        <f>IF(B286="","",IFERROR(INDEX(DM_NL!$C$5:$C$304,MATCH(C286,DM_NL!$A$5:$A$304,0)),""))</f>
        <v/>
      </c>
      <c r="F286" s="39" t="str">
        <f>IF(B286="","",SUMIFS(Mau15a!$F$11:$F$310,Mau15a!$B$11:$B$310,B286))</f>
        <v/>
      </c>
      <c r="G286" s="39" t="str">
        <f>IF(B286="","",IF(OR(M286="KXDDM",BOM!F286=""),0,BOM!F286))</f>
        <v/>
      </c>
      <c r="H286" s="39" t="str">
        <f t="shared" si="21"/>
        <v/>
      </c>
      <c r="I286" s="39" t="str">
        <f>IF(B286="","",SUMIFS(Mau15a!$H$11:$H$310,Mau15a!$B$11:$B$310,B286)+SUMIFS(Mau15a!$I$11:$I$310,Mau15a!$B$11:$B$310,B286)+SUMIFS(Mau15a!$J$11:$J$310,Mau15a!$B$11:$B$310,B286)-SUMIFS(Mau15a!$G$11:$G$310,Mau15a!$B$11:$B$310,B286))</f>
        <v/>
      </c>
      <c r="J286" s="39" t="str">
        <f t="shared" si="22"/>
        <v/>
      </c>
      <c r="K286" s="39" t="str">
        <f>IF(B286="","",(SUMIFS(Mau15a!$K$11:$K$310,Mau15a!$B$11:$B$310,B286)-SUMIFS(Mau15a!$E$11:$E$310,Mau15a!$B$11:$B$310,B286))*G286)</f>
        <v/>
      </c>
      <c r="L286" s="36" t="str">
        <f t="shared" si="23"/>
        <v/>
      </c>
      <c r="M286" s="36" t="str">
        <f>IF(B286="","",BOM!G286&amp;"")</f>
        <v/>
      </c>
      <c r="N286" s="36" t="str">
        <f t="shared" si="24"/>
        <v/>
      </c>
    </row>
    <row r="287" spans="1:14" x14ac:dyDescent="0.25">
      <c r="A287" s="35" t="str">
        <f t="shared" si="20"/>
        <v/>
      </c>
      <c r="B287" s="35" t="str">
        <f>IF(BOM!A287="","",BOM!A287)</f>
        <v/>
      </c>
      <c r="C287" s="35" t="str">
        <f>IF(B287="","",BOM!B287)</f>
        <v/>
      </c>
      <c r="D287" s="35" t="str">
        <f>IF(B287="","",IFERROR(INDEX(DM_NL!$B$5:$B$304,MATCH(C287,DM_NL!$A$5:$A$304,0)),""))</f>
        <v/>
      </c>
      <c r="E287" s="35" t="str">
        <f>IF(B287="","",IFERROR(INDEX(DM_NL!$C$5:$C$304,MATCH(C287,DM_NL!$A$5:$A$304,0)),""))</f>
        <v/>
      </c>
      <c r="F287" s="39" t="str">
        <f>IF(B287="","",SUMIFS(Mau15a!$F$11:$F$310,Mau15a!$B$11:$B$310,B287))</f>
        <v/>
      </c>
      <c r="G287" s="39" t="str">
        <f>IF(B287="","",IF(OR(M287="KXDDM",BOM!F287=""),0,BOM!F287))</f>
        <v/>
      </c>
      <c r="H287" s="39" t="str">
        <f t="shared" si="21"/>
        <v/>
      </c>
      <c r="I287" s="39" t="str">
        <f>IF(B287="","",SUMIFS(Mau15a!$H$11:$H$310,Mau15a!$B$11:$B$310,B287)+SUMIFS(Mau15a!$I$11:$I$310,Mau15a!$B$11:$B$310,B287)+SUMIFS(Mau15a!$J$11:$J$310,Mau15a!$B$11:$B$310,B287)-SUMIFS(Mau15a!$G$11:$G$310,Mau15a!$B$11:$B$310,B287))</f>
        <v/>
      </c>
      <c r="J287" s="39" t="str">
        <f t="shared" si="22"/>
        <v/>
      </c>
      <c r="K287" s="39" t="str">
        <f>IF(B287="","",(SUMIFS(Mau15a!$K$11:$K$310,Mau15a!$B$11:$B$310,B287)-SUMIFS(Mau15a!$E$11:$E$310,Mau15a!$B$11:$B$310,B287))*G287)</f>
        <v/>
      </c>
      <c r="L287" s="36" t="str">
        <f t="shared" si="23"/>
        <v/>
      </c>
      <c r="M287" s="36" t="str">
        <f>IF(B287="","",BOM!G287&amp;"")</f>
        <v/>
      </c>
      <c r="N287" s="36" t="str">
        <f t="shared" si="24"/>
        <v/>
      </c>
    </row>
    <row r="288" spans="1:14" x14ac:dyDescent="0.25">
      <c r="A288" s="35" t="str">
        <f t="shared" si="20"/>
        <v/>
      </c>
      <c r="B288" s="35" t="str">
        <f>IF(BOM!A288="","",BOM!A288)</f>
        <v/>
      </c>
      <c r="C288" s="35" t="str">
        <f>IF(B288="","",BOM!B288)</f>
        <v/>
      </c>
      <c r="D288" s="35" t="str">
        <f>IF(B288="","",IFERROR(INDEX(DM_NL!$B$5:$B$304,MATCH(C288,DM_NL!$A$5:$A$304,0)),""))</f>
        <v/>
      </c>
      <c r="E288" s="35" t="str">
        <f>IF(B288="","",IFERROR(INDEX(DM_NL!$C$5:$C$304,MATCH(C288,DM_NL!$A$5:$A$304,0)),""))</f>
        <v/>
      </c>
      <c r="F288" s="39" t="str">
        <f>IF(B288="","",SUMIFS(Mau15a!$F$11:$F$310,Mau15a!$B$11:$B$310,B288))</f>
        <v/>
      </c>
      <c r="G288" s="39" t="str">
        <f>IF(B288="","",IF(OR(M288="KXDDM",BOM!F288=""),0,BOM!F288))</f>
        <v/>
      </c>
      <c r="H288" s="39" t="str">
        <f t="shared" si="21"/>
        <v/>
      </c>
      <c r="I288" s="39" t="str">
        <f>IF(B288="","",SUMIFS(Mau15a!$H$11:$H$310,Mau15a!$B$11:$B$310,B288)+SUMIFS(Mau15a!$I$11:$I$310,Mau15a!$B$11:$B$310,B288)+SUMIFS(Mau15a!$J$11:$J$310,Mau15a!$B$11:$B$310,B288)-SUMIFS(Mau15a!$G$11:$G$310,Mau15a!$B$11:$B$310,B288))</f>
        <v/>
      </c>
      <c r="J288" s="39" t="str">
        <f t="shared" si="22"/>
        <v/>
      </c>
      <c r="K288" s="39" t="str">
        <f>IF(B288="","",(SUMIFS(Mau15a!$K$11:$K$310,Mau15a!$B$11:$B$310,B288)-SUMIFS(Mau15a!$E$11:$E$310,Mau15a!$B$11:$B$310,B288))*G288)</f>
        <v/>
      </c>
      <c r="L288" s="36" t="str">
        <f t="shared" si="23"/>
        <v/>
      </c>
      <c r="M288" s="36" t="str">
        <f>IF(B288="","",BOM!G288&amp;"")</f>
        <v/>
      </c>
      <c r="N288" s="36" t="str">
        <f t="shared" si="24"/>
        <v/>
      </c>
    </row>
    <row r="289" spans="1:14" x14ac:dyDescent="0.25">
      <c r="A289" s="35" t="str">
        <f t="shared" si="20"/>
        <v/>
      </c>
      <c r="B289" s="35" t="str">
        <f>IF(BOM!A289="","",BOM!A289)</f>
        <v/>
      </c>
      <c r="C289" s="35" t="str">
        <f>IF(B289="","",BOM!B289)</f>
        <v/>
      </c>
      <c r="D289" s="35" t="str">
        <f>IF(B289="","",IFERROR(INDEX(DM_NL!$B$5:$B$304,MATCH(C289,DM_NL!$A$5:$A$304,0)),""))</f>
        <v/>
      </c>
      <c r="E289" s="35" t="str">
        <f>IF(B289="","",IFERROR(INDEX(DM_NL!$C$5:$C$304,MATCH(C289,DM_NL!$A$5:$A$304,0)),""))</f>
        <v/>
      </c>
      <c r="F289" s="39" t="str">
        <f>IF(B289="","",SUMIFS(Mau15a!$F$11:$F$310,Mau15a!$B$11:$B$310,B289))</f>
        <v/>
      </c>
      <c r="G289" s="39" t="str">
        <f>IF(B289="","",IF(OR(M289="KXDDM",BOM!F289=""),0,BOM!F289))</f>
        <v/>
      </c>
      <c r="H289" s="39" t="str">
        <f t="shared" si="21"/>
        <v/>
      </c>
      <c r="I289" s="39" t="str">
        <f>IF(B289="","",SUMIFS(Mau15a!$H$11:$H$310,Mau15a!$B$11:$B$310,B289)+SUMIFS(Mau15a!$I$11:$I$310,Mau15a!$B$11:$B$310,B289)+SUMIFS(Mau15a!$J$11:$J$310,Mau15a!$B$11:$B$310,B289)-SUMIFS(Mau15a!$G$11:$G$310,Mau15a!$B$11:$B$310,B289))</f>
        <v/>
      </c>
      <c r="J289" s="39" t="str">
        <f t="shared" si="22"/>
        <v/>
      </c>
      <c r="K289" s="39" t="str">
        <f>IF(B289="","",(SUMIFS(Mau15a!$K$11:$K$310,Mau15a!$B$11:$B$310,B289)-SUMIFS(Mau15a!$E$11:$E$310,Mau15a!$B$11:$B$310,B289))*G289)</f>
        <v/>
      </c>
      <c r="L289" s="36" t="str">
        <f t="shared" si="23"/>
        <v/>
      </c>
      <c r="M289" s="36" t="str">
        <f>IF(B289="","",BOM!G289&amp;"")</f>
        <v/>
      </c>
      <c r="N289" s="36" t="str">
        <f t="shared" si="24"/>
        <v/>
      </c>
    </row>
    <row r="290" spans="1:14" x14ac:dyDescent="0.25">
      <c r="A290" s="35" t="str">
        <f t="shared" si="20"/>
        <v/>
      </c>
      <c r="B290" s="35" t="str">
        <f>IF(BOM!A290="","",BOM!A290)</f>
        <v/>
      </c>
      <c r="C290" s="35" t="str">
        <f>IF(B290="","",BOM!B290)</f>
        <v/>
      </c>
      <c r="D290" s="35" t="str">
        <f>IF(B290="","",IFERROR(INDEX(DM_NL!$B$5:$B$304,MATCH(C290,DM_NL!$A$5:$A$304,0)),""))</f>
        <v/>
      </c>
      <c r="E290" s="35" t="str">
        <f>IF(B290="","",IFERROR(INDEX(DM_NL!$C$5:$C$304,MATCH(C290,DM_NL!$A$5:$A$304,0)),""))</f>
        <v/>
      </c>
      <c r="F290" s="39" t="str">
        <f>IF(B290="","",SUMIFS(Mau15a!$F$11:$F$310,Mau15a!$B$11:$B$310,B290))</f>
        <v/>
      </c>
      <c r="G290" s="39" t="str">
        <f>IF(B290="","",IF(OR(M290="KXDDM",BOM!F290=""),0,BOM!F290))</f>
        <v/>
      </c>
      <c r="H290" s="39" t="str">
        <f t="shared" si="21"/>
        <v/>
      </c>
      <c r="I290" s="39" t="str">
        <f>IF(B290="","",SUMIFS(Mau15a!$H$11:$H$310,Mau15a!$B$11:$B$310,B290)+SUMIFS(Mau15a!$I$11:$I$310,Mau15a!$B$11:$B$310,B290)+SUMIFS(Mau15a!$J$11:$J$310,Mau15a!$B$11:$B$310,B290)-SUMIFS(Mau15a!$G$11:$G$310,Mau15a!$B$11:$B$310,B290))</f>
        <v/>
      </c>
      <c r="J290" s="39" t="str">
        <f t="shared" si="22"/>
        <v/>
      </c>
      <c r="K290" s="39" t="str">
        <f>IF(B290="","",(SUMIFS(Mau15a!$K$11:$K$310,Mau15a!$B$11:$B$310,B290)-SUMIFS(Mau15a!$E$11:$E$310,Mau15a!$B$11:$B$310,B290))*G290)</f>
        <v/>
      </c>
      <c r="L290" s="36" t="str">
        <f t="shared" si="23"/>
        <v/>
      </c>
      <c r="M290" s="36" t="str">
        <f>IF(B290="","",BOM!G290&amp;"")</f>
        <v/>
      </c>
      <c r="N290" s="36" t="str">
        <f t="shared" si="24"/>
        <v/>
      </c>
    </row>
    <row r="291" spans="1:14" x14ac:dyDescent="0.25">
      <c r="A291" s="35" t="str">
        <f t="shared" si="20"/>
        <v/>
      </c>
      <c r="B291" s="35" t="str">
        <f>IF(BOM!A291="","",BOM!A291)</f>
        <v/>
      </c>
      <c r="C291" s="35" t="str">
        <f>IF(B291="","",BOM!B291)</f>
        <v/>
      </c>
      <c r="D291" s="35" t="str">
        <f>IF(B291="","",IFERROR(INDEX(DM_NL!$B$5:$B$304,MATCH(C291,DM_NL!$A$5:$A$304,0)),""))</f>
        <v/>
      </c>
      <c r="E291" s="35" t="str">
        <f>IF(B291="","",IFERROR(INDEX(DM_NL!$C$5:$C$304,MATCH(C291,DM_NL!$A$5:$A$304,0)),""))</f>
        <v/>
      </c>
      <c r="F291" s="39" t="str">
        <f>IF(B291="","",SUMIFS(Mau15a!$F$11:$F$310,Mau15a!$B$11:$B$310,B291))</f>
        <v/>
      </c>
      <c r="G291" s="39" t="str">
        <f>IF(B291="","",IF(OR(M291="KXDDM",BOM!F291=""),0,BOM!F291))</f>
        <v/>
      </c>
      <c r="H291" s="39" t="str">
        <f t="shared" si="21"/>
        <v/>
      </c>
      <c r="I291" s="39" t="str">
        <f>IF(B291="","",SUMIFS(Mau15a!$H$11:$H$310,Mau15a!$B$11:$B$310,B291)+SUMIFS(Mau15a!$I$11:$I$310,Mau15a!$B$11:$B$310,B291)+SUMIFS(Mau15a!$J$11:$J$310,Mau15a!$B$11:$B$310,B291)-SUMIFS(Mau15a!$G$11:$G$310,Mau15a!$B$11:$B$310,B291))</f>
        <v/>
      </c>
      <c r="J291" s="39" t="str">
        <f t="shared" si="22"/>
        <v/>
      </c>
      <c r="K291" s="39" t="str">
        <f>IF(B291="","",(SUMIFS(Mau15a!$K$11:$K$310,Mau15a!$B$11:$B$310,B291)-SUMIFS(Mau15a!$E$11:$E$310,Mau15a!$B$11:$B$310,B291))*G291)</f>
        <v/>
      </c>
      <c r="L291" s="36" t="str">
        <f t="shared" si="23"/>
        <v/>
      </c>
      <c r="M291" s="36" t="str">
        <f>IF(B291="","",BOM!G291&amp;"")</f>
        <v/>
      </c>
      <c r="N291" s="36" t="str">
        <f t="shared" si="24"/>
        <v/>
      </c>
    </row>
    <row r="292" spans="1:14" x14ac:dyDescent="0.25">
      <c r="A292" s="35" t="str">
        <f t="shared" si="20"/>
        <v/>
      </c>
      <c r="B292" s="35" t="str">
        <f>IF(BOM!A292="","",BOM!A292)</f>
        <v/>
      </c>
      <c r="C292" s="35" t="str">
        <f>IF(B292="","",BOM!B292)</f>
        <v/>
      </c>
      <c r="D292" s="35" t="str">
        <f>IF(B292="","",IFERROR(INDEX(DM_NL!$B$5:$B$304,MATCH(C292,DM_NL!$A$5:$A$304,0)),""))</f>
        <v/>
      </c>
      <c r="E292" s="35" t="str">
        <f>IF(B292="","",IFERROR(INDEX(DM_NL!$C$5:$C$304,MATCH(C292,DM_NL!$A$5:$A$304,0)),""))</f>
        <v/>
      </c>
      <c r="F292" s="39" t="str">
        <f>IF(B292="","",SUMIFS(Mau15a!$F$11:$F$310,Mau15a!$B$11:$B$310,B292))</f>
        <v/>
      </c>
      <c r="G292" s="39" t="str">
        <f>IF(B292="","",IF(OR(M292="KXDDM",BOM!F292=""),0,BOM!F292))</f>
        <v/>
      </c>
      <c r="H292" s="39" t="str">
        <f t="shared" si="21"/>
        <v/>
      </c>
      <c r="I292" s="39" t="str">
        <f>IF(B292="","",SUMIFS(Mau15a!$H$11:$H$310,Mau15a!$B$11:$B$310,B292)+SUMIFS(Mau15a!$I$11:$I$310,Mau15a!$B$11:$B$310,B292)+SUMIFS(Mau15a!$J$11:$J$310,Mau15a!$B$11:$B$310,B292)-SUMIFS(Mau15a!$G$11:$G$310,Mau15a!$B$11:$B$310,B292))</f>
        <v/>
      </c>
      <c r="J292" s="39" t="str">
        <f t="shared" si="22"/>
        <v/>
      </c>
      <c r="K292" s="39" t="str">
        <f>IF(B292="","",(SUMIFS(Mau15a!$K$11:$K$310,Mau15a!$B$11:$B$310,B292)-SUMIFS(Mau15a!$E$11:$E$310,Mau15a!$B$11:$B$310,B292))*G292)</f>
        <v/>
      </c>
      <c r="L292" s="36" t="str">
        <f t="shared" si="23"/>
        <v/>
      </c>
      <c r="M292" s="36" t="str">
        <f>IF(B292="","",BOM!G292&amp;"")</f>
        <v/>
      </c>
      <c r="N292" s="36" t="str">
        <f t="shared" si="24"/>
        <v/>
      </c>
    </row>
    <row r="293" spans="1:14" x14ac:dyDescent="0.25">
      <c r="A293" s="35" t="str">
        <f t="shared" si="20"/>
        <v/>
      </c>
      <c r="B293" s="35" t="str">
        <f>IF(BOM!A293="","",BOM!A293)</f>
        <v/>
      </c>
      <c r="C293" s="35" t="str">
        <f>IF(B293="","",BOM!B293)</f>
        <v/>
      </c>
      <c r="D293" s="35" t="str">
        <f>IF(B293="","",IFERROR(INDEX(DM_NL!$B$5:$B$304,MATCH(C293,DM_NL!$A$5:$A$304,0)),""))</f>
        <v/>
      </c>
      <c r="E293" s="35" t="str">
        <f>IF(B293="","",IFERROR(INDEX(DM_NL!$C$5:$C$304,MATCH(C293,DM_NL!$A$5:$A$304,0)),""))</f>
        <v/>
      </c>
      <c r="F293" s="39" t="str">
        <f>IF(B293="","",SUMIFS(Mau15a!$F$11:$F$310,Mau15a!$B$11:$B$310,B293))</f>
        <v/>
      </c>
      <c r="G293" s="39" t="str">
        <f>IF(B293="","",IF(OR(M293="KXDDM",BOM!F293=""),0,BOM!F293))</f>
        <v/>
      </c>
      <c r="H293" s="39" t="str">
        <f t="shared" si="21"/>
        <v/>
      </c>
      <c r="I293" s="39" t="str">
        <f>IF(B293="","",SUMIFS(Mau15a!$H$11:$H$310,Mau15a!$B$11:$B$310,B293)+SUMIFS(Mau15a!$I$11:$I$310,Mau15a!$B$11:$B$310,B293)+SUMIFS(Mau15a!$J$11:$J$310,Mau15a!$B$11:$B$310,B293)-SUMIFS(Mau15a!$G$11:$G$310,Mau15a!$B$11:$B$310,B293))</f>
        <v/>
      </c>
      <c r="J293" s="39" t="str">
        <f t="shared" si="22"/>
        <v/>
      </c>
      <c r="K293" s="39" t="str">
        <f>IF(B293="","",(SUMIFS(Mau15a!$K$11:$K$310,Mau15a!$B$11:$B$310,B293)-SUMIFS(Mau15a!$E$11:$E$310,Mau15a!$B$11:$B$310,B293))*G293)</f>
        <v/>
      </c>
      <c r="L293" s="36" t="str">
        <f t="shared" si="23"/>
        <v/>
      </c>
      <c r="M293" s="36" t="str">
        <f>IF(B293="","",BOM!G293&amp;"")</f>
        <v/>
      </c>
      <c r="N293" s="36" t="str">
        <f t="shared" si="24"/>
        <v/>
      </c>
    </row>
    <row r="294" spans="1:14" x14ac:dyDescent="0.25">
      <c r="A294" s="35" t="str">
        <f t="shared" si="20"/>
        <v/>
      </c>
      <c r="B294" s="35" t="str">
        <f>IF(BOM!A294="","",BOM!A294)</f>
        <v/>
      </c>
      <c r="C294" s="35" t="str">
        <f>IF(B294="","",BOM!B294)</f>
        <v/>
      </c>
      <c r="D294" s="35" t="str">
        <f>IF(B294="","",IFERROR(INDEX(DM_NL!$B$5:$B$304,MATCH(C294,DM_NL!$A$5:$A$304,0)),""))</f>
        <v/>
      </c>
      <c r="E294" s="35" t="str">
        <f>IF(B294="","",IFERROR(INDEX(DM_NL!$C$5:$C$304,MATCH(C294,DM_NL!$A$5:$A$304,0)),""))</f>
        <v/>
      </c>
      <c r="F294" s="39" t="str">
        <f>IF(B294="","",SUMIFS(Mau15a!$F$11:$F$310,Mau15a!$B$11:$B$310,B294))</f>
        <v/>
      </c>
      <c r="G294" s="39" t="str">
        <f>IF(B294="","",IF(OR(M294="KXDDM",BOM!F294=""),0,BOM!F294))</f>
        <v/>
      </c>
      <c r="H294" s="39" t="str">
        <f t="shared" si="21"/>
        <v/>
      </c>
      <c r="I294" s="39" t="str">
        <f>IF(B294="","",SUMIFS(Mau15a!$H$11:$H$310,Mau15a!$B$11:$B$310,B294)+SUMIFS(Mau15a!$I$11:$I$310,Mau15a!$B$11:$B$310,B294)+SUMIFS(Mau15a!$J$11:$J$310,Mau15a!$B$11:$B$310,B294)-SUMIFS(Mau15a!$G$11:$G$310,Mau15a!$B$11:$B$310,B294))</f>
        <v/>
      </c>
      <c r="J294" s="39" t="str">
        <f t="shared" si="22"/>
        <v/>
      </c>
      <c r="K294" s="39" t="str">
        <f>IF(B294="","",(SUMIFS(Mau15a!$K$11:$K$310,Mau15a!$B$11:$B$310,B294)-SUMIFS(Mau15a!$E$11:$E$310,Mau15a!$B$11:$B$310,B294))*G294)</f>
        <v/>
      </c>
      <c r="L294" s="36" t="str">
        <f t="shared" si="23"/>
        <v/>
      </c>
      <c r="M294" s="36" t="str">
        <f>IF(B294="","",BOM!G294&amp;"")</f>
        <v/>
      </c>
      <c r="N294" s="36" t="str">
        <f t="shared" si="24"/>
        <v/>
      </c>
    </row>
    <row r="295" spans="1:14" x14ac:dyDescent="0.25">
      <c r="A295" s="35" t="str">
        <f t="shared" si="20"/>
        <v/>
      </c>
      <c r="B295" s="35" t="str">
        <f>IF(BOM!A295="","",BOM!A295)</f>
        <v/>
      </c>
      <c r="C295" s="35" t="str">
        <f>IF(B295="","",BOM!B295)</f>
        <v/>
      </c>
      <c r="D295" s="35" t="str">
        <f>IF(B295="","",IFERROR(INDEX(DM_NL!$B$5:$B$304,MATCH(C295,DM_NL!$A$5:$A$304,0)),""))</f>
        <v/>
      </c>
      <c r="E295" s="35" t="str">
        <f>IF(B295="","",IFERROR(INDEX(DM_NL!$C$5:$C$304,MATCH(C295,DM_NL!$A$5:$A$304,0)),""))</f>
        <v/>
      </c>
      <c r="F295" s="39" t="str">
        <f>IF(B295="","",SUMIFS(Mau15a!$F$11:$F$310,Mau15a!$B$11:$B$310,B295))</f>
        <v/>
      </c>
      <c r="G295" s="39" t="str">
        <f>IF(B295="","",IF(OR(M295="KXDDM",BOM!F295=""),0,BOM!F295))</f>
        <v/>
      </c>
      <c r="H295" s="39" t="str">
        <f t="shared" si="21"/>
        <v/>
      </c>
      <c r="I295" s="39" t="str">
        <f>IF(B295="","",SUMIFS(Mau15a!$H$11:$H$310,Mau15a!$B$11:$B$310,B295)+SUMIFS(Mau15a!$I$11:$I$310,Mau15a!$B$11:$B$310,B295)+SUMIFS(Mau15a!$J$11:$J$310,Mau15a!$B$11:$B$310,B295)-SUMIFS(Mau15a!$G$11:$G$310,Mau15a!$B$11:$B$310,B295))</f>
        <v/>
      </c>
      <c r="J295" s="39" t="str">
        <f t="shared" si="22"/>
        <v/>
      </c>
      <c r="K295" s="39" t="str">
        <f>IF(B295="","",(SUMIFS(Mau15a!$K$11:$K$310,Mau15a!$B$11:$B$310,B295)-SUMIFS(Mau15a!$E$11:$E$310,Mau15a!$B$11:$B$310,B295))*G295)</f>
        <v/>
      </c>
      <c r="L295" s="36" t="str">
        <f t="shared" si="23"/>
        <v/>
      </c>
      <c r="M295" s="36" t="str">
        <f>IF(B295="","",BOM!G295&amp;"")</f>
        <v/>
      </c>
      <c r="N295" s="36" t="str">
        <f t="shared" si="24"/>
        <v/>
      </c>
    </row>
    <row r="296" spans="1:14" x14ac:dyDescent="0.25">
      <c r="A296" s="35" t="str">
        <f t="shared" si="20"/>
        <v/>
      </c>
      <c r="B296" s="35" t="str">
        <f>IF(BOM!A296="","",BOM!A296)</f>
        <v/>
      </c>
      <c r="C296" s="35" t="str">
        <f>IF(B296="","",BOM!B296)</f>
        <v/>
      </c>
      <c r="D296" s="35" t="str">
        <f>IF(B296="","",IFERROR(INDEX(DM_NL!$B$5:$B$304,MATCH(C296,DM_NL!$A$5:$A$304,0)),""))</f>
        <v/>
      </c>
      <c r="E296" s="35" t="str">
        <f>IF(B296="","",IFERROR(INDEX(DM_NL!$C$5:$C$304,MATCH(C296,DM_NL!$A$5:$A$304,0)),""))</f>
        <v/>
      </c>
      <c r="F296" s="39" t="str">
        <f>IF(B296="","",SUMIFS(Mau15a!$F$11:$F$310,Mau15a!$B$11:$B$310,B296))</f>
        <v/>
      </c>
      <c r="G296" s="39" t="str">
        <f>IF(B296="","",IF(OR(M296="KXDDM",BOM!F296=""),0,BOM!F296))</f>
        <v/>
      </c>
      <c r="H296" s="39" t="str">
        <f t="shared" si="21"/>
        <v/>
      </c>
      <c r="I296" s="39" t="str">
        <f>IF(B296="","",SUMIFS(Mau15a!$H$11:$H$310,Mau15a!$B$11:$B$310,B296)+SUMIFS(Mau15a!$I$11:$I$310,Mau15a!$B$11:$B$310,B296)+SUMIFS(Mau15a!$J$11:$J$310,Mau15a!$B$11:$B$310,B296)-SUMIFS(Mau15a!$G$11:$G$310,Mau15a!$B$11:$B$310,B296))</f>
        <v/>
      </c>
      <c r="J296" s="39" t="str">
        <f t="shared" si="22"/>
        <v/>
      </c>
      <c r="K296" s="39" t="str">
        <f>IF(B296="","",(SUMIFS(Mau15a!$K$11:$K$310,Mau15a!$B$11:$B$310,B296)-SUMIFS(Mau15a!$E$11:$E$310,Mau15a!$B$11:$B$310,B296))*G296)</f>
        <v/>
      </c>
      <c r="L296" s="36" t="str">
        <f t="shared" si="23"/>
        <v/>
      </c>
      <c r="M296" s="36" t="str">
        <f>IF(B296="","",BOM!G296&amp;"")</f>
        <v/>
      </c>
      <c r="N296" s="36" t="str">
        <f t="shared" si="24"/>
        <v/>
      </c>
    </row>
    <row r="297" spans="1:14" x14ac:dyDescent="0.25">
      <c r="A297" s="35" t="str">
        <f t="shared" si="20"/>
        <v/>
      </c>
      <c r="B297" s="35" t="str">
        <f>IF(BOM!A297="","",BOM!A297)</f>
        <v/>
      </c>
      <c r="C297" s="35" t="str">
        <f>IF(B297="","",BOM!B297)</f>
        <v/>
      </c>
      <c r="D297" s="35" t="str">
        <f>IF(B297="","",IFERROR(INDEX(DM_NL!$B$5:$B$304,MATCH(C297,DM_NL!$A$5:$A$304,0)),""))</f>
        <v/>
      </c>
      <c r="E297" s="35" t="str">
        <f>IF(B297="","",IFERROR(INDEX(DM_NL!$C$5:$C$304,MATCH(C297,DM_NL!$A$5:$A$304,0)),""))</f>
        <v/>
      </c>
      <c r="F297" s="39" t="str">
        <f>IF(B297="","",SUMIFS(Mau15a!$F$11:$F$310,Mau15a!$B$11:$B$310,B297))</f>
        <v/>
      </c>
      <c r="G297" s="39" t="str">
        <f>IF(B297="","",IF(OR(M297="KXDDM",BOM!F297=""),0,BOM!F297))</f>
        <v/>
      </c>
      <c r="H297" s="39" t="str">
        <f t="shared" si="21"/>
        <v/>
      </c>
      <c r="I297" s="39" t="str">
        <f>IF(B297="","",SUMIFS(Mau15a!$H$11:$H$310,Mau15a!$B$11:$B$310,B297)+SUMIFS(Mau15a!$I$11:$I$310,Mau15a!$B$11:$B$310,B297)+SUMIFS(Mau15a!$J$11:$J$310,Mau15a!$B$11:$B$310,B297)-SUMIFS(Mau15a!$G$11:$G$310,Mau15a!$B$11:$B$310,B297))</f>
        <v/>
      </c>
      <c r="J297" s="39" t="str">
        <f t="shared" si="22"/>
        <v/>
      </c>
      <c r="K297" s="39" t="str">
        <f>IF(B297="","",(SUMIFS(Mau15a!$K$11:$K$310,Mau15a!$B$11:$B$310,B297)-SUMIFS(Mau15a!$E$11:$E$310,Mau15a!$B$11:$B$310,B297))*G297)</f>
        <v/>
      </c>
      <c r="L297" s="36" t="str">
        <f t="shared" si="23"/>
        <v/>
      </c>
      <c r="M297" s="36" t="str">
        <f>IF(B297="","",BOM!G297&amp;"")</f>
        <v/>
      </c>
      <c r="N297" s="36" t="str">
        <f t="shared" si="24"/>
        <v/>
      </c>
    </row>
    <row r="298" spans="1:14" x14ac:dyDescent="0.25">
      <c r="A298" s="35" t="str">
        <f t="shared" si="20"/>
        <v/>
      </c>
      <c r="B298" s="35" t="str">
        <f>IF(BOM!A298="","",BOM!A298)</f>
        <v/>
      </c>
      <c r="C298" s="35" t="str">
        <f>IF(B298="","",BOM!B298)</f>
        <v/>
      </c>
      <c r="D298" s="35" t="str">
        <f>IF(B298="","",IFERROR(INDEX(DM_NL!$B$5:$B$304,MATCH(C298,DM_NL!$A$5:$A$304,0)),""))</f>
        <v/>
      </c>
      <c r="E298" s="35" t="str">
        <f>IF(B298="","",IFERROR(INDEX(DM_NL!$C$5:$C$304,MATCH(C298,DM_NL!$A$5:$A$304,0)),""))</f>
        <v/>
      </c>
      <c r="F298" s="39" t="str">
        <f>IF(B298="","",SUMIFS(Mau15a!$F$11:$F$310,Mau15a!$B$11:$B$310,B298))</f>
        <v/>
      </c>
      <c r="G298" s="39" t="str">
        <f>IF(B298="","",IF(OR(M298="KXDDM",BOM!F298=""),0,BOM!F298))</f>
        <v/>
      </c>
      <c r="H298" s="39" t="str">
        <f t="shared" si="21"/>
        <v/>
      </c>
      <c r="I298" s="39" t="str">
        <f>IF(B298="","",SUMIFS(Mau15a!$H$11:$H$310,Mau15a!$B$11:$B$310,B298)+SUMIFS(Mau15a!$I$11:$I$310,Mau15a!$B$11:$B$310,B298)+SUMIFS(Mau15a!$J$11:$J$310,Mau15a!$B$11:$B$310,B298)-SUMIFS(Mau15a!$G$11:$G$310,Mau15a!$B$11:$B$310,B298))</f>
        <v/>
      </c>
      <c r="J298" s="39" t="str">
        <f t="shared" si="22"/>
        <v/>
      </c>
      <c r="K298" s="39" t="str">
        <f>IF(B298="","",(SUMIFS(Mau15a!$K$11:$K$310,Mau15a!$B$11:$B$310,B298)-SUMIFS(Mau15a!$E$11:$E$310,Mau15a!$B$11:$B$310,B298))*G298)</f>
        <v/>
      </c>
      <c r="L298" s="36" t="str">
        <f t="shared" si="23"/>
        <v/>
      </c>
      <c r="M298" s="36" t="str">
        <f>IF(B298="","",BOM!G298&amp;"")</f>
        <v/>
      </c>
      <c r="N298" s="36" t="str">
        <f t="shared" si="24"/>
        <v/>
      </c>
    </row>
    <row r="299" spans="1:14" x14ac:dyDescent="0.25">
      <c r="A299" s="35" t="str">
        <f t="shared" si="20"/>
        <v/>
      </c>
      <c r="B299" s="35" t="str">
        <f>IF(BOM!A299="","",BOM!A299)</f>
        <v/>
      </c>
      <c r="C299" s="35" t="str">
        <f>IF(B299="","",BOM!B299)</f>
        <v/>
      </c>
      <c r="D299" s="35" t="str">
        <f>IF(B299="","",IFERROR(INDEX(DM_NL!$B$5:$B$304,MATCH(C299,DM_NL!$A$5:$A$304,0)),""))</f>
        <v/>
      </c>
      <c r="E299" s="35" t="str">
        <f>IF(B299="","",IFERROR(INDEX(DM_NL!$C$5:$C$304,MATCH(C299,DM_NL!$A$5:$A$304,0)),""))</f>
        <v/>
      </c>
      <c r="F299" s="39" t="str">
        <f>IF(B299="","",SUMIFS(Mau15a!$F$11:$F$310,Mau15a!$B$11:$B$310,B299))</f>
        <v/>
      </c>
      <c r="G299" s="39" t="str">
        <f>IF(B299="","",IF(OR(M299="KXDDM",BOM!F299=""),0,BOM!F299))</f>
        <v/>
      </c>
      <c r="H299" s="39" t="str">
        <f t="shared" si="21"/>
        <v/>
      </c>
      <c r="I299" s="39" t="str">
        <f>IF(B299="","",SUMIFS(Mau15a!$H$11:$H$310,Mau15a!$B$11:$B$310,B299)+SUMIFS(Mau15a!$I$11:$I$310,Mau15a!$B$11:$B$310,B299)+SUMIFS(Mau15a!$J$11:$J$310,Mau15a!$B$11:$B$310,B299)-SUMIFS(Mau15a!$G$11:$G$310,Mau15a!$B$11:$B$310,B299))</f>
        <v/>
      </c>
      <c r="J299" s="39" t="str">
        <f t="shared" si="22"/>
        <v/>
      </c>
      <c r="K299" s="39" t="str">
        <f>IF(B299="","",(SUMIFS(Mau15a!$K$11:$K$310,Mau15a!$B$11:$B$310,B299)-SUMIFS(Mau15a!$E$11:$E$310,Mau15a!$B$11:$B$310,B299))*G299)</f>
        <v/>
      </c>
      <c r="L299" s="36" t="str">
        <f t="shared" si="23"/>
        <v/>
      </c>
      <c r="M299" s="36" t="str">
        <f>IF(B299="","",BOM!G299&amp;"")</f>
        <v/>
      </c>
      <c r="N299" s="36" t="str">
        <f t="shared" si="24"/>
        <v/>
      </c>
    </row>
    <row r="300" spans="1:14" x14ac:dyDescent="0.25">
      <c r="A300" s="35" t="str">
        <f t="shared" si="20"/>
        <v/>
      </c>
      <c r="B300" s="35" t="str">
        <f>IF(BOM!A300="","",BOM!A300)</f>
        <v/>
      </c>
      <c r="C300" s="35" t="str">
        <f>IF(B300="","",BOM!B300)</f>
        <v/>
      </c>
      <c r="D300" s="35" t="str">
        <f>IF(B300="","",IFERROR(INDEX(DM_NL!$B$5:$B$304,MATCH(C300,DM_NL!$A$5:$A$304,0)),""))</f>
        <v/>
      </c>
      <c r="E300" s="35" t="str">
        <f>IF(B300="","",IFERROR(INDEX(DM_NL!$C$5:$C$304,MATCH(C300,DM_NL!$A$5:$A$304,0)),""))</f>
        <v/>
      </c>
      <c r="F300" s="39" t="str">
        <f>IF(B300="","",SUMIFS(Mau15a!$F$11:$F$310,Mau15a!$B$11:$B$310,B300))</f>
        <v/>
      </c>
      <c r="G300" s="39" t="str">
        <f>IF(B300="","",IF(OR(M300="KXDDM",BOM!F300=""),0,BOM!F300))</f>
        <v/>
      </c>
      <c r="H300" s="39" t="str">
        <f t="shared" si="21"/>
        <v/>
      </c>
      <c r="I300" s="39" t="str">
        <f>IF(B300="","",SUMIFS(Mau15a!$H$11:$H$310,Mau15a!$B$11:$B$310,B300)+SUMIFS(Mau15a!$I$11:$I$310,Mau15a!$B$11:$B$310,B300)+SUMIFS(Mau15a!$J$11:$J$310,Mau15a!$B$11:$B$310,B300)-SUMIFS(Mau15a!$G$11:$G$310,Mau15a!$B$11:$B$310,B300))</f>
        <v/>
      </c>
      <c r="J300" s="39" t="str">
        <f t="shared" si="22"/>
        <v/>
      </c>
      <c r="K300" s="39" t="str">
        <f>IF(B300="","",(SUMIFS(Mau15a!$K$11:$K$310,Mau15a!$B$11:$B$310,B300)-SUMIFS(Mau15a!$E$11:$E$310,Mau15a!$B$11:$B$310,B300))*G300)</f>
        <v/>
      </c>
      <c r="L300" s="36" t="str">
        <f t="shared" si="23"/>
        <v/>
      </c>
      <c r="M300" s="36" t="str">
        <f>IF(B300="","",BOM!G300&amp;"")</f>
        <v/>
      </c>
      <c r="N300" s="36" t="str">
        <f t="shared" si="24"/>
        <v/>
      </c>
    </row>
    <row r="301" spans="1:14" x14ac:dyDescent="0.25">
      <c r="A301" s="35" t="str">
        <f t="shared" si="20"/>
        <v/>
      </c>
      <c r="B301" s="35" t="str">
        <f>IF(BOM!A301="","",BOM!A301)</f>
        <v/>
      </c>
      <c r="C301" s="35" t="str">
        <f>IF(B301="","",BOM!B301)</f>
        <v/>
      </c>
      <c r="D301" s="35" t="str">
        <f>IF(B301="","",IFERROR(INDEX(DM_NL!$B$5:$B$304,MATCH(C301,DM_NL!$A$5:$A$304,0)),""))</f>
        <v/>
      </c>
      <c r="E301" s="35" t="str">
        <f>IF(B301="","",IFERROR(INDEX(DM_NL!$C$5:$C$304,MATCH(C301,DM_NL!$A$5:$A$304,0)),""))</f>
        <v/>
      </c>
      <c r="F301" s="39" t="str">
        <f>IF(B301="","",SUMIFS(Mau15a!$F$11:$F$310,Mau15a!$B$11:$B$310,B301))</f>
        <v/>
      </c>
      <c r="G301" s="39" t="str">
        <f>IF(B301="","",IF(OR(M301="KXDDM",BOM!F301=""),0,BOM!F301))</f>
        <v/>
      </c>
      <c r="H301" s="39" t="str">
        <f t="shared" si="21"/>
        <v/>
      </c>
      <c r="I301" s="39" t="str">
        <f>IF(B301="","",SUMIFS(Mau15a!$H$11:$H$310,Mau15a!$B$11:$B$310,B301)+SUMIFS(Mau15a!$I$11:$I$310,Mau15a!$B$11:$B$310,B301)+SUMIFS(Mau15a!$J$11:$J$310,Mau15a!$B$11:$B$310,B301)-SUMIFS(Mau15a!$G$11:$G$310,Mau15a!$B$11:$B$310,B301))</f>
        <v/>
      </c>
      <c r="J301" s="39" t="str">
        <f t="shared" si="22"/>
        <v/>
      </c>
      <c r="K301" s="39" t="str">
        <f>IF(B301="","",(SUMIFS(Mau15a!$K$11:$K$310,Mau15a!$B$11:$B$310,B301)-SUMIFS(Mau15a!$E$11:$E$310,Mau15a!$B$11:$B$310,B301))*G301)</f>
        <v/>
      </c>
      <c r="L301" s="36" t="str">
        <f t="shared" si="23"/>
        <v/>
      </c>
      <c r="M301" s="36" t="str">
        <f>IF(B301="","",BOM!G301&amp;"")</f>
        <v/>
      </c>
      <c r="N301" s="36" t="str">
        <f t="shared" si="24"/>
        <v/>
      </c>
    </row>
    <row r="302" spans="1:14" x14ac:dyDescent="0.25">
      <c r="A302" s="35" t="str">
        <f t="shared" si="20"/>
        <v/>
      </c>
      <c r="B302" s="35" t="str">
        <f>IF(BOM!A302="","",BOM!A302)</f>
        <v/>
      </c>
      <c r="C302" s="35" t="str">
        <f>IF(B302="","",BOM!B302)</f>
        <v/>
      </c>
      <c r="D302" s="35" t="str">
        <f>IF(B302="","",IFERROR(INDEX(DM_NL!$B$5:$B$304,MATCH(C302,DM_NL!$A$5:$A$304,0)),""))</f>
        <v/>
      </c>
      <c r="E302" s="35" t="str">
        <f>IF(B302="","",IFERROR(INDEX(DM_NL!$C$5:$C$304,MATCH(C302,DM_NL!$A$5:$A$304,0)),""))</f>
        <v/>
      </c>
      <c r="F302" s="39" t="str">
        <f>IF(B302="","",SUMIFS(Mau15a!$F$11:$F$310,Mau15a!$B$11:$B$310,B302))</f>
        <v/>
      </c>
      <c r="G302" s="39" t="str">
        <f>IF(B302="","",IF(OR(M302="KXDDM",BOM!F302=""),0,BOM!F302))</f>
        <v/>
      </c>
      <c r="H302" s="39" t="str">
        <f t="shared" si="21"/>
        <v/>
      </c>
      <c r="I302" s="39" t="str">
        <f>IF(B302="","",SUMIFS(Mau15a!$H$11:$H$310,Mau15a!$B$11:$B$310,B302)+SUMIFS(Mau15a!$I$11:$I$310,Mau15a!$B$11:$B$310,B302)+SUMIFS(Mau15a!$J$11:$J$310,Mau15a!$B$11:$B$310,B302)-SUMIFS(Mau15a!$G$11:$G$310,Mau15a!$B$11:$B$310,B302))</f>
        <v/>
      </c>
      <c r="J302" s="39" t="str">
        <f t="shared" si="22"/>
        <v/>
      </c>
      <c r="K302" s="39" t="str">
        <f>IF(B302="","",(SUMIFS(Mau15a!$K$11:$K$310,Mau15a!$B$11:$B$310,B302)-SUMIFS(Mau15a!$E$11:$E$310,Mau15a!$B$11:$B$310,B302))*G302)</f>
        <v/>
      </c>
      <c r="L302" s="36" t="str">
        <f t="shared" si="23"/>
        <v/>
      </c>
      <c r="M302" s="36" t="str">
        <f>IF(B302="","",BOM!G302&amp;"")</f>
        <v/>
      </c>
      <c r="N302" s="36" t="str">
        <f t="shared" si="24"/>
        <v/>
      </c>
    </row>
    <row r="303" spans="1:14" x14ac:dyDescent="0.25">
      <c r="A303" s="35" t="str">
        <f t="shared" si="20"/>
        <v/>
      </c>
      <c r="B303" s="35" t="str">
        <f>IF(BOM!A303="","",BOM!A303)</f>
        <v/>
      </c>
      <c r="C303" s="35" t="str">
        <f>IF(B303="","",BOM!B303)</f>
        <v/>
      </c>
      <c r="D303" s="35" t="str">
        <f>IF(B303="","",IFERROR(INDEX(DM_NL!$B$5:$B$304,MATCH(C303,DM_NL!$A$5:$A$304,0)),""))</f>
        <v/>
      </c>
      <c r="E303" s="35" t="str">
        <f>IF(B303="","",IFERROR(INDEX(DM_NL!$C$5:$C$304,MATCH(C303,DM_NL!$A$5:$A$304,0)),""))</f>
        <v/>
      </c>
      <c r="F303" s="39" t="str">
        <f>IF(B303="","",SUMIFS(Mau15a!$F$11:$F$310,Mau15a!$B$11:$B$310,B303))</f>
        <v/>
      </c>
      <c r="G303" s="39" t="str">
        <f>IF(B303="","",IF(OR(M303="KXDDM",BOM!F303=""),0,BOM!F303))</f>
        <v/>
      </c>
      <c r="H303" s="39" t="str">
        <f t="shared" si="21"/>
        <v/>
      </c>
      <c r="I303" s="39" t="str">
        <f>IF(B303="","",SUMIFS(Mau15a!$H$11:$H$310,Mau15a!$B$11:$B$310,B303)+SUMIFS(Mau15a!$I$11:$I$310,Mau15a!$B$11:$B$310,B303)+SUMIFS(Mau15a!$J$11:$J$310,Mau15a!$B$11:$B$310,B303)-SUMIFS(Mau15a!$G$11:$G$310,Mau15a!$B$11:$B$310,B303))</f>
        <v/>
      </c>
      <c r="J303" s="39" t="str">
        <f t="shared" si="22"/>
        <v/>
      </c>
      <c r="K303" s="39" t="str">
        <f>IF(B303="","",(SUMIFS(Mau15a!$K$11:$K$310,Mau15a!$B$11:$B$310,B303)-SUMIFS(Mau15a!$E$11:$E$310,Mau15a!$B$11:$B$310,B303))*G303)</f>
        <v/>
      </c>
      <c r="L303" s="36" t="str">
        <f t="shared" si="23"/>
        <v/>
      </c>
      <c r="M303" s="36" t="str">
        <f>IF(B303="","",BOM!G303&amp;"")</f>
        <v/>
      </c>
      <c r="N303" s="36" t="str">
        <f t="shared" si="24"/>
        <v/>
      </c>
    </row>
    <row r="304" spans="1:14" x14ac:dyDescent="0.25">
      <c r="A304" s="35" t="str">
        <f t="shared" si="20"/>
        <v/>
      </c>
      <c r="B304" s="35" t="str">
        <f>IF(BOM!A304="","",BOM!A304)</f>
        <v/>
      </c>
      <c r="C304" s="35" t="str">
        <f>IF(B304="","",BOM!B304)</f>
        <v/>
      </c>
      <c r="D304" s="35" t="str">
        <f>IF(B304="","",IFERROR(INDEX(DM_NL!$B$5:$B$304,MATCH(C304,DM_NL!$A$5:$A$304,0)),""))</f>
        <v/>
      </c>
      <c r="E304" s="35" t="str">
        <f>IF(B304="","",IFERROR(INDEX(DM_NL!$C$5:$C$304,MATCH(C304,DM_NL!$A$5:$A$304,0)),""))</f>
        <v/>
      </c>
      <c r="F304" s="39" t="str">
        <f>IF(B304="","",SUMIFS(Mau15a!$F$11:$F$310,Mau15a!$B$11:$B$310,B304))</f>
        <v/>
      </c>
      <c r="G304" s="39" t="str">
        <f>IF(B304="","",IF(OR(M304="KXDDM",BOM!F304=""),0,BOM!F304))</f>
        <v/>
      </c>
      <c r="H304" s="39" t="str">
        <f t="shared" si="21"/>
        <v/>
      </c>
      <c r="I304" s="39" t="str">
        <f>IF(B304="","",SUMIFS(Mau15a!$H$11:$H$310,Mau15a!$B$11:$B$310,B304)+SUMIFS(Mau15a!$I$11:$I$310,Mau15a!$B$11:$B$310,B304)+SUMIFS(Mau15a!$J$11:$J$310,Mau15a!$B$11:$B$310,B304)-SUMIFS(Mau15a!$G$11:$G$310,Mau15a!$B$11:$B$310,B304))</f>
        <v/>
      </c>
      <c r="J304" s="39" t="str">
        <f t="shared" si="22"/>
        <v/>
      </c>
      <c r="K304" s="39" t="str">
        <f>IF(B304="","",(SUMIFS(Mau15a!$K$11:$K$310,Mau15a!$B$11:$B$310,B304)-SUMIFS(Mau15a!$E$11:$E$310,Mau15a!$B$11:$B$310,B304))*G304)</f>
        <v/>
      </c>
      <c r="L304" s="36" t="str">
        <f t="shared" si="23"/>
        <v/>
      </c>
      <c r="M304" s="36" t="str">
        <f>IF(B304="","",BOM!G304&amp;"")</f>
        <v/>
      </c>
      <c r="N304" s="36" t="str">
        <f t="shared" si="24"/>
        <v/>
      </c>
    </row>
    <row r="305" spans="1:14" x14ac:dyDescent="0.25">
      <c r="A305" s="35" t="str">
        <f t="shared" si="20"/>
        <v/>
      </c>
      <c r="B305" s="35" t="str">
        <f>IF(BOM!A305="","",BOM!A305)</f>
        <v/>
      </c>
      <c r="C305" s="35" t="str">
        <f>IF(B305="","",BOM!B305)</f>
        <v/>
      </c>
      <c r="D305" s="35" t="str">
        <f>IF(B305="","",IFERROR(INDEX(DM_NL!$B$5:$B$304,MATCH(C305,DM_NL!$A$5:$A$304,0)),""))</f>
        <v/>
      </c>
      <c r="E305" s="35" t="str">
        <f>IF(B305="","",IFERROR(INDEX(DM_NL!$C$5:$C$304,MATCH(C305,DM_NL!$A$5:$A$304,0)),""))</f>
        <v/>
      </c>
      <c r="F305" s="39" t="str">
        <f>IF(B305="","",SUMIFS(Mau15a!$F$11:$F$310,Mau15a!$B$11:$B$310,B305))</f>
        <v/>
      </c>
      <c r="G305" s="39" t="str">
        <f>IF(B305="","",IF(OR(M305="KXDDM",BOM!F305=""),0,BOM!F305))</f>
        <v/>
      </c>
      <c r="H305" s="39" t="str">
        <f t="shared" si="21"/>
        <v/>
      </c>
      <c r="I305" s="39" t="str">
        <f>IF(B305="","",SUMIFS(Mau15a!$H$11:$H$310,Mau15a!$B$11:$B$310,B305)+SUMIFS(Mau15a!$I$11:$I$310,Mau15a!$B$11:$B$310,B305)+SUMIFS(Mau15a!$J$11:$J$310,Mau15a!$B$11:$B$310,B305)-SUMIFS(Mau15a!$G$11:$G$310,Mau15a!$B$11:$B$310,B305))</f>
        <v/>
      </c>
      <c r="J305" s="39" t="str">
        <f t="shared" si="22"/>
        <v/>
      </c>
      <c r="K305" s="39" t="str">
        <f>IF(B305="","",(SUMIFS(Mau15a!$K$11:$K$310,Mau15a!$B$11:$B$310,B305)-SUMIFS(Mau15a!$E$11:$E$310,Mau15a!$B$11:$B$310,B305))*G305)</f>
        <v/>
      </c>
      <c r="L305" s="36" t="str">
        <f t="shared" si="23"/>
        <v/>
      </c>
      <c r="M305" s="36" t="str">
        <f>IF(B305="","",BOM!G305&amp;"")</f>
        <v/>
      </c>
      <c r="N305" s="36" t="str">
        <f t="shared" si="24"/>
        <v/>
      </c>
    </row>
    <row r="306" spans="1:14" x14ac:dyDescent="0.25">
      <c r="A306" s="35" t="str">
        <f t="shared" si="20"/>
        <v/>
      </c>
      <c r="B306" s="35" t="str">
        <f>IF(BOM!A306="","",BOM!A306)</f>
        <v/>
      </c>
      <c r="C306" s="35" t="str">
        <f>IF(B306="","",BOM!B306)</f>
        <v/>
      </c>
      <c r="D306" s="35" t="str">
        <f>IF(B306="","",IFERROR(INDEX(DM_NL!$B$5:$B$304,MATCH(C306,DM_NL!$A$5:$A$304,0)),""))</f>
        <v/>
      </c>
      <c r="E306" s="35" t="str">
        <f>IF(B306="","",IFERROR(INDEX(DM_NL!$C$5:$C$304,MATCH(C306,DM_NL!$A$5:$A$304,0)),""))</f>
        <v/>
      </c>
      <c r="F306" s="39" t="str">
        <f>IF(B306="","",SUMIFS(Mau15a!$F$11:$F$310,Mau15a!$B$11:$B$310,B306))</f>
        <v/>
      </c>
      <c r="G306" s="39" t="str">
        <f>IF(B306="","",IF(OR(M306="KXDDM",BOM!F306=""),0,BOM!F306))</f>
        <v/>
      </c>
      <c r="H306" s="39" t="str">
        <f t="shared" si="21"/>
        <v/>
      </c>
      <c r="I306" s="39" t="str">
        <f>IF(B306="","",SUMIFS(Mau15a!$H$11:$H$310,Mau15a!$B$11:$B$310,B306)+SUMIFS(Mau15a!$I$11:$I$310,Mau15a!$B$11:$B$310,B306)+SUMIFS(Mau15a!$J$11:$J$310,Mau15a!$B$11:$B$310,B306)-SUMIFS(Mau15a!$G$11:$G$310,Mau15a!$B$11:$B$310,B306))</f>
        <v/>
      </c>
      <c r="J306" s="39" t="str">
        <f t="shared" si="22"/>
        <v/>
      </c>
      <c r="K306" s="39" t="str">
        <f>IF(B306="","",(SUMIFS(Mau15a!$K$11:$K$310,Mau15a!$B$11:$B$310,B306)-SUMIFS(Mau15a!$E$11:$E$310,Mau15a!$B$11:$B$310,B306))*G306)</f>
        <v/>
      </c>
      <c r="L306" s="36" t="str">
        <f t="shared" si="23"/>
        <v/>
      </c>
      <c r="M306" s="36" t="str">
        <f>IF(B306="","",BOM!G306&amp;"")</f>
        <v/>
      </c>
      <c r="N306" s="36" t="str">
        <f t="shared" si="24"/>
        <v/>
      </c>
    </row>
    <row r="307" spans="1:14" x14ac:dyDescent="0.25">
      <c r="A307" s="35" t="str">
        <f t="shared" si="20"/>
        <v/>
      </c>
      <c r="B307" s="35" t="str">
        <f>IF(BOM!A307="","",BOM!A307)</f>
        <v/>
      </c>
      <c r="C307" s="35" t="str">
        <f>IF(B307="","",BOM!B307)</f>
        <v/>
      </c>
      <c r="D307" s="35" t="str">
        <f>IF(B307="","",IFERROR(INDEX(DM_NL!$B$5:$B$304,MATCH(C307,DM_NL!$A$5:$A$304,0)),""))</f>
        <v/>
      </c>
      <c r="E307" s="35" t="str">
        <f>IF(B307="","",IFERROR(INDEX(DM_NL!$C$5:$C$304,MATCH(C307,DM_NL!$A$5:$A$304,0)),""))</f>
        <v/>
      </c>
      <c r="F307" s="39" t="str">
        <f>IF(B307="","",SUMIFS(Mau15a!$F$11:$F$310,Mau15a!$B$11:$B$310,B307))</f>
        <v/>
      </c>
      <c r="G307" s="39" t="str">
        <f>IF(B307="","",IF(OR(M307="KXDDM",BOM!F307=""),0,BOM!F307))</f>
        <v/>
      </c>
      <c r="H307" s="39" t="str">
        <f t="shared" si="21"/>
        <v/>
      </c>
      <c r="I307" s="39" t="str">
        <f>IF(B307="","",SUMIFS(Mau15a!$H$11:$H$310,Mau15a!$B$11:$B$310,B307)+SUMIFS(Mau15a!$I$11:$I$310,Mau15a!$B$11:$B$310,B307)+SUMIFS(Mau15a!$J$11:$J$310,Mau15a!$B$11:$B$310,B307)-SUMIFS(Mau15a!$G$11:$G$310,Mau15a!$B$11:$B$310,B307))</f>
        <v/>
      </c>
      <c r="J307" s="39" t="str">
        <f t="shared" si="22"/>
        <v/>
      </c>
      <c r="K307" s="39" t="str">
        <f>IF(B307="","",(SUMIFS(Mau15a!$K$11:$K$310,Mau15a!$B$11:$B$310,B307)-SUMIFS(Mau15a!$E$11:$E$310,Mau15a!$B$11:$B$310,B307))*G307)</f>
        <v/>
      </c>
      <c r="L307" s="36" t="str">
        <f t="shared" si="23"/>
        <v/>
      </c>
      <c r="M307" s="36" t="str">
        <f>IF(B307="","",BOM!G307&amp;"")</f>
        <v/>
      </c>
      <c r="N307" s="36" t="str">
        <f t="shared" si="24"/>
        <v/>
      </c>
    </row>
    <row r="308" spans="1:14" x14ac:dyDescent="0.25">
      <c r="A308" s="35" t="str">
        <f t="shared" si="20"/>
        <v/>
      </c>
      <c r="B308" s="35" t="str">
        <f>IF(BOM!A308="","",BOM!A308)</f>
        <v/>
      </c>
      <c r="C308" s="35" t="str">
        <f>IF(B308="","",BOM!B308)</f>
        <v/>
      </c>
      <c r="D308" s="35" t="str">
        <f>IF(B308="","",IFERROR(INDEX(DM_NL!$B$5:$B$304,MATCH(C308,DM_NL!$A$5:$A$304,0)),""))</f>
        <v/>
      </c>
      <c r="E308" s="35" t="str">
        <f>IF(B308="","",IFERROR(INDEX(DM_NL!$C$5:$C$304,MATCH(C308,DM_NL!$A$5:$A$304,0)),""))</f>
        <v/>
      </c>
      <c r="F308" s="39" t="str">
        <f>IF(B308="","",SUMIFS(Mau15a!$F$11:$F$310,Mau15a!$B$11:$B$310,B308))</f>
        <v/>
      </c>
      <c r="G308" s="39" t="str">
        <f>IF(B308="","",IF(OR(M308="KXDDM",BOM!F308=""),0,BOM!F308))</f>
        <v/>
      </c>
      <c r="H308" s="39" t="str">
        <f t="shared" si="21"/>
        <v/>
      </c>
      <c r="I308" s="39" t="str">
        <f>IF(B308="","",SUMIFS(Mau15a!$H$11:$H$310,Mau15a!$B$11:$B$310,B308)+SUMIFS(Mau15a!$I$11:$I$310,Mau15a!$B$11:$B$310,B308)+SUMIFS(Mau15a!$J$11:$J$310,Mau15a!$B$11:$B$310,B308)-SUMIFS(Mau15a!$G$11:$G$310,Mau15a!$B$11:$B$310,B308))</f>
        <v/>
      </c>
      <c r="J308" s="39" t="str">
        <f t="shared" si="22"/>
        <v/>
      </c>
      <c r="K308" s="39" t="str">
        <f>IF(B308="","",(SUMIFS(Mau15a!$K$11:$K$310,Mau15a!$B$11:$B$310,B308)-SUMIFS(Mau15a!$E$11:$E$310,Mau15a!$B$11:$B$310,B308))*G308)</f>
        <v/>
      </c>
      <c r="L308" s="36" t="str">
        <f t="shared" si="23"/>
        <v/>
      </c>
      <c r="M308" s="36" t="str">
        <f>IF(B308="","",BOM!G308&amp;"")</f>
        <v/>
      </c>
      <c r="N308" s="36" t="str">
        <f t="shared" si="24"/>
        <v/>
      </c>
    </row>
    <row r="309" spans="1:14" x14ac:dyDescent="0.25">
      <c r="A309" s="35" t="str">
        <f t="shared" si="20"/>
        <v/>
      </c>
      <c r="B309" s="35" t="str">
        <f>IF(BOM!A309="","",BOM!A309)</f>
        <v/>
      </c>
      <c r="C309" s="35" t="str">
        <f>IF(B309="","",BOM!B309)</f>
        <v/>
      </c>
      <c r="D309" s="35" t="str">
        <f>IF(B309="","",IFERROR(INDEX(DM_NL!$B$5:$B$304,MATCH(C309,DM_NL!$A$5:$A$304,0)),""))</f>
        <v/>
      </c>
      <c r="E309" s="35" t="str">
        <f>IF(B309="","",IFERROR(INDEX(DM_NL!$C$5:$C$304,MATCH(C309,DM_NL!$A$5:$A$304,0)),""))</f>
        <v/>
      </c>
      <c r="F309" s="39" t="str">
        <f>IF(B309="","",SUMIFS(Mau15a!$F$11:$F$310,Mau15a!$B$11:$B$310,B309))</f>
        <v/>
      </c>
      <c r="G309" s="39" t="str">
        <f>IF(B309="","",IF(OR(M309="KXDDM",BOM!F309=""),0,BOM!F309))</f>
        <v/>
      </c>
      <c r="H309" s="39" t="str">
        <f t="shared" si="21"/>
        <v/>
      </c>
      <c r="I309" s="39" t="str">
        <f>IF(B309="","",SUMIFS(Mau15a!$H$11:$H$310,Mau15a!$B$11:$B$310,B309)+SUMIFS(Mau15a!$I$11:$I$310,Mau15a!$B$11:$B$310,B309)+SUMIFS(Mau15a!$J$11:$J$310,Mau15a!$B$11:$B$310,B309)-SUMIFS(Mau15a!$G$11:$G$310,Mau15a!$B$11:$B$310,B309))</f>
        <v/>
      </c>
      <c r="J309" s="39" t="str">
        <f t="shared" si="22"/>
        <v/>
      </c>
      <c r="K309" s="39" t="str">
        <f>IF(B309="","",(SUMIFS(Mau15a!$K$11:$K$310,Mau15a!$B$11:$B$310,B309)-SUMIFS(Mau15a!$E$11:$E$310,Mau15a!$B$11:$B$310,B309))*G309)</f>
        <v/>
      </c>
      <c r="L309" s="36" t="str">
        <f t="shared" si="23"/>
        <v/>
      </c>
      <c r="M309" s="36" t="str">
        <f>IF(B309="","",BOM!G309&amp;"")</f>
        <v/>
      </c>
      <c r="N309" s="36" t="str">
        <f t="shared" si="24"/>
        <v/>
      </c>
    </row>
    <row r="310" spans="1:14" x14ac:dyDescent="0.25">
      <c r="A310" s="35" t="str">
        <f t="shared" si="20"/>
        <v/>
      </c>
      <c r="B310" s="35" t="str">
        <f>IF(BOM!A310="","",BOM!A310)</f>
        <v/>
      </c>
      <c r="C310" s="35" t="str">
        <f>IF(B310="","",BOM!B310)</f>
        <v/>
      </c>
      <c r="D310" s="35" t="str">
        <f>IF(B310="","",IFERROR(INDEX(DM_NL!$B$5:$B$304,MATCH(C310,DM_NL!$A$5:$A$304,0)),""))</f>
        <v/>
      </c>
      <c r="E310" s="35" t="str">
        <f>IF(B310="","",IFERROR(INDEX(DM_NL!$C$5:$C$304,MATCH(C310,DM_NL!$A$5:$A$304,0)),""))</f>
        <v/>
      </c>
      <c r="F310" s="39" t="str">
        <f>IF(B310="","",SUMIFS(Mau15a!$F$11:$F$310,Mau15a!$B$11:$B$310,B310))</f>
        <v/>
      </c>
      <c r="G310" s="39" t="str">
        <f>IF(B310="","",IF(OR(M310="KXDDM",BOM!F310=""),0,BOM!F310))</f>
        <v/>
      </c>
      <c r="H310" s="39" t="str">
        <f t="shared" si="21"/>
        <v/>
      </c>
      <c r="I310" s="39" t="str">
        <f>IF(B310="","",SUMIFS(Mau15a!$H$11:$H$310,Mau15a!$B$11:$B$310,B310)+SUMIFS(Mau15a!$I$11:$I$310,Mau15a!$B$11:$B$310,B310)+SUMIFS(Mau15a!$J$11:$J$310,Mau15a!$B$11:$B$310,B310)-SUMIFS(Mau15a!$G$11:$G$310,Mau15a!$B$11:$B$310,B310))</f>
        <v/>
      </c>
      <c r="J310" s="39" t="str">
        <f t="shared" si="22"/>
        <v/>
      </c>
      <c r="K310" s="39" t="str">
        <f>IF(B310="","",(SUMIFS(Mau15a!$K$11:$K$310,Mau15a!$B$11:$B$310,B310)-SUMIFS(Mau15a!$E$11:$E$310,Mau15a!$B$11:$B$310,B310))*G310)</f>
        <v/>
      </c>
      <c r="L310" s="36" t="str">
        <f t="shared" si="23"/>
        <v/>
      </c>
      <c r="M310" s="36" t="str">
        <f>IF(B310="","",BOM!G310&amp;"")</f>
        <v/>
      </c>
      <c r="N310" s="36" t="str">
        <f t="shared" si="24"/>
        <v/>
      </c>
    </row>
    <row r="311" spans="1:14" x14ac:dyDescent="0.25">
      <c r="A311" s="35" t="str">
        <f t="shared" si="20"/>
        <v/>
      </c>
      <c r="B311" s="35" t="str">
        <f>IF(BOM!A311="","",BOM!A311)</f>
        <v/>
      </c>
      <c r="C311" s="35" t="str">
        <f>IF(B311="","",BOM!B311)</f>
        <v/>
      </c>
      <c r="D311" s="35" t="str">
        <f>IF(B311="","",IFERROR(INDEX(DM_NL!$B$5:$B$304,MATCH(C311,DM_NL!$A$5:$A$304,0)),""))</f>
        <v/>
      </c>
      <c r="E311" s="35" t="str">
        <f>IF(B311="","",IFERROR(INDEX(DM_NL!$C$5:$C$304,MATCH(C311,DM_NL!$A$5:$A$304,0)),""))</f>
        <v/>
      </c>
      <c r="F311" s="39" t="str">
        <f>IF(B311="","",SUMIFS(Mau15a!$F$11:$F$310,Mau15a!$B$11:$B$310,B311))</f>
        <v/>
      </c>
      <c r="G311" s="39" t="str">
        <f>IF(B311="","",IF(OR(M311="KXDDM",BOM!F311=""),0,BOM!F311))</f>
        <v/>
      </c>
      <c r="H311" s="39" t="str">
        <f t="shared" si="21"/>
        <v/>
      </c>
      <c r="I311" s="39" t="str">
        <f>IF(B311="","",SUMIFS(Mau15a!$H$11:$H$310,Mau15a!$B$11:$B$310,B311)+SUMIFS(Mau15a!$I$11:$I$310,Mau15a!$B$11:$B$310,B311)+SUMIFS(Mau15a!$J$11:$J$310,Mau15a!$B$11:$B$310,B311)-SUMIFS(Mau15a!$G$11:$G$310,Mau15a!$B$11:$B$310,B311))</f>
        <v/>
      </c>
      <c r="J311" s="39" t="str">
        <f t="shared" si="22"/>
        <v/>
      </c>
      <c r="K311" s="39" t="str">
        <f>IF(B311="","",(SUMIFS(Mau15a!$K$11:$K$310,Mau15a!$B$11:$B$310,B311)-SUMIFS(Mau15a!$E$11:$E$310,Mau15a!$B$11:$B$310,B311))*G311)</f>
        <v/>
      </c>
      <c r="L311" s="36" t="str">
        <f t="shared" si="23"/>
        <v/>
      </c>
      <c r="M311" s="36" t="str">
        <f>IF(B311="","",BOM!G311&amp;"")</f>
        <v/>
      </c>
      <c r="N311" s="36" t="str">
        <f t="shared" si="24"/>
        <v/>
      </c>
    </row>
    <row r="312" spans="1:14" x14ac:dyDescent="0.25">
      <c r="A312" s="35" t="str">
        <f t="shared" si="20"/>
        <v/>
      </c>
      <c r="B312" s="35" t="str">
        <f>IF(BOM!A312="","",BOM!A312)</f>
        <v/>
      </c>
      <c r="C312" s="35" t="str">
        <f>IF(B312="","",BOM!B312)</f>
        <v/>
      </c>
      <c r="D312" s="35" t="str">
        <f>IF(B312="","",IFERROR(INDEX(DM_NL!$B$5:$B$304,MATCH(C312,DM_NL!$A$5:$A$304,0)),""))</f>
        <v/>
      </c>
      <c r="E312" s="35" t="str">
        <f>IF(B312="","",IFERROR(INDEX(DM_NL!$C$5:$C$304,MATCH(C312,DM_NL!$A$5:$A$304,0)),""))</f>
        <v/>
      </c>
      <c r="F312" s="39" t="str">
        <f>IF(B312="","",SUMIFS(Mau15a!$F$11:$F$310,Mau15a!$B$11:$B$310,B312))</f>
        <v/>
      </c>
      <c r="G312" s="39" t="str">
        <f>IF(B312="","",IF(OR(M312="KXDDM",BOM!F312=""),0,BOM!F312))</f>
        <v/>
      </c>
      <c r="H312" s="39" t="str">
        <f t="shared" si="21"/>
        <v/>
      </c>
      <c r="I312" s="39" t="str">
        <f>IF(B312="","",SUMIFS(Mau15a!$H$11:$H$310,Mau15a!$B$11:$B$310,B312)+SUMIFS(Mau15a!$I$11:$I$310,Mau15a!$B$11:$B$310,B312)+SUMIFS(Mau15a!$J$11:$J$310,Mau15a!$B$11:$B$310,B312)-SUMIFS(Mau15a!$G$11:$G$310,Mau15a!$B$11:$B$310,B312))</f>
        <v/>
      </c>
      <c r="J312" s="39" t="str">
        <f t="shared" si="22"/>
        <v/>
      </c>
      <c r="K312" s="39" t="str">
        <f>IF(B312="","",(SUMIFS(Mau15a!$K$11:$K$310,Mau15a!$B$11:$B$310,B312)-SUMIFS(Mau15a!$E$11:$E$310,Mau15a!$B$11:$B$310,B312))*G312)</f>
        <v/>
      </c>
      <c r="L312" s="36" t="str">
        <f t="shared" si="23"/>
        <v/>
      </c>
      <c r="M312" s="36" t="str">
        <f>IF(B312="","",BOM!G312&amp;"")</f>
        <v/>
      </c>
      <c r="N312" s="36" t="str">
        <f t="shared" si="24"/>
        <v/>
      </c>
    </row>
    <row r="313" spans="1:14" x14ac:dyDescent="0.25">
      <c r="A313" s="35" t="str">
        <f t="shared" si="20"/>
        <v/>
      </c>
      <c r="B313" s="35" t="str">
        <f>IF(BOM!A313="","",BOM!A313)</f>
        <v/>
      </c>
      <c r="C313" s="35" t="str">
        <f>IF(B313="","",BOM!B313)</f>
        <v/>
      </c>
      <c r="D313" s="35" t="str">
        <f>IF(B313="","",IFERROR(INDEX(DM_NL!$B$5:$B$304,MATCH(C313,DM_NL!$A$5:$A$304,0)),""))</f>
        <v/>
      </c>
      <c r="E313" s="35" t="str">
        <f>IF(B313="","",IFERROR(INDEX(DM_NL!$C$5:$C$304,MATCH(C313,DM_NL!$A$5:$A$304,0)),""))</f>
        <v/>
      </c>
      <c r="F313" s="39" t="str">
        <f>IF(B313="","",SUMIFS(Mau15a!$F$11:$F$310,Mau15a!$B$11:$B$310,B313))</f>
        <v/>
      </c>
      <c r="G313" s="39" t="str">
        <f>IF(B313="","",IF(OR(M313="KXDDM",BOM!F313=""),0,BOM!F313))</f>
        <v/>
      </c>
      <c r="H313" s="39" t="str">
        <f t="shared" si="21"/>
        <v/>
      </c>
      <c r="I313" s="39" t="str">
        <f>IF(B313="","",SUMIFS(Mau15a!$H$11:$H$310,Mau15a!$B$11:$B$310,B313)+SUMIFS(Mau15a!$I$11:$I$310,Mau15a!$B$11:$B$310,B313)+SUMIFS(Mau15a!$J$11:$J$310,Mau15a!$B$11:$B$310,B313)-SUMIFS(Mau15a!$G$11:$G$310,Mau15a!$B$11:$B$310,B313))</f>
        <v/>
      </c>
      <c r="J313" s="39" t="str">
        <f t="shared" si="22"/>
        <v/>
      </c>
      <c r="K313" s="39" t="str">
        <f>IF(B313="","",(SUMIFS(Mau15a!$K$11:$K$310,Mau15a!$B$11:$B$310,B313)-SUMIFS(Mau15a!$E$11:$E$310,Mau15a!$B$11:$B$310,B313))*G313)</f>
        <v/>
      </c>
      <c r="L313" s="36" t="str">
        <f t="shared" si="23"/>
        <v/>
      </c>
      <c r="M313" s="36" t="str">
        <f>IF(B313="","",BOM!G313&amp;"")</f>
        <v/>
      </c>
      <c r="N313" s="36" t="str">
        <f t="shared" si="24"/>
        <v/>
      </c>
    </row>
    <row r="314" spans="1:14" x14ac:dyDescent="0.25">
      <c r="A314" s="35" t="str">
        <f t="shared" si="20"/>
        <v/>
      </c>
      <c r="B314" s="35" t="str">
        <f>IF(BOM!A314="","",BOM!A314)</f>
        <v/>
      </c>
      <c r="C314" s="35" t="str">
        <f>IF(B314="","",BOM!B314)</f>
        <v/>
      </c>
      <c r="D314" s="35" t="str">
        <f>IF(B314="","",IFERROR(INDEX(DM_NL!$B$5:$B$304,MATCH(C314,DM_NL!$A$5:$A$304,0)),""))</f>
        <v/>
      </c>
      <c r="E314" s="35" t="str">
        <f>IF(B314="","",IFERROR(INDEX(DM_NL!$C$5:$C$304,MATCH(C314,DM_NL!$A$5:$A$304,0)),""))</f>
        <v/>
      </c>
      <c r="F314" s="39" t="str">
        <f>IF(B314="","",SUMIFS(Mau15a!$F$11:$F$310,Mau15a!$B$11:$B$310,B314))</f>
        <v/>
      </c>
      <c r="G314" s="39" t="str">
        <f>IF(B314="","",IF(OR(M314="KXDDM",BOM!F314=""),0,BOM!F314))</f>
        <v/>
      </c>
      <c r="H314" s="39" t="str">
        <f t="shared" si="21"/>
        <v/>
      </c>
      <c r="I314" s="39" t="str">
        <f>IF(B314="","",SUMIFS(Mau15a!$H$11:$H$310,Mau15a!$B$11:$B$310,B314)+SUMIFS(Mau15a!$I$11:$I$310,Mau15a!$B$11:$B$310,B314)+SUMIFS(Mau15a!$J$11:$J$310,Mau15a!$B$11:$B$310,B314)-SUMIFS(Mau15a!$G$11:$G$310,Mau15a!$B$11:$B$310,B314))</f>
        <v/>
      </c>
      <c r="J314" s="39" t="str">
        <f t="shared" si="22"/>
        <v/>
      </c>
      <c r="K314" s="39" t="str">
        <f>IF(B314="","",(SUMIFS(Mau15a!$K$11:$K$310,Mau15a!$B$11:$B$310,B314)-SUMIFS(Mau15a!$E$11:$E$310,Mau15a!$B$11:$B$310,B314))*G314)</f>
        <v/>
      </c>
      <c r="L314" s="36" t="str">
        <f t="shared" si="23"/>
        <v/>
      </c>
      <c r="M314" s="36" t="str">
        <f>IF(B314="","",BOM!G314&amp;"")</f>
        <v/>
      </c>
      <c r="N314" s="36" t="str">
        <f t="shared" si="24"/>
        <v/>
      </c>
    </row>
    <row r="315" spans="1:14" x14ac:dyDescent="0.25">
      <c r="A315" s="35" t="str">
        <f t="shared" si="20"/>
        <v/>
      </c>
      <c r="B315" s="35" t="str">
        <f>IF(BOM!A315="","",BOM!A315)</f>
        <v/>
      </c>
      <c r="C315" s="35" t="str">
        <f>IF(B315="","",BOM!B315)</f>
        <v/>
      </c>
      <c r="D315" s="35" t="str">
        <f>IF(B315="","",IFERROR(INDEX(DM_NL!$B$5:$B$304,MATCH(C315,DM_NL!$A$5:$A$304,0)),""))</f>
        <v/>
      </c>
      <c r="E315" s="35" t="str">
        <f>IF(B315="","",IFERROR(INDEX(DM_NL!$C$5:$C$304,MATCH(C315,DM_NL!$A$5:$A$304,0)),""))</f>
        <v/>
      </c>
      <c r="F315" s="39" t="str">
        <f>IF(B315="","",SUMIFS(Mau15a!$F$11:$F$310,Mau15a!$B$11:$B$310,B315))</f>
        <v/>
      </c>
      <c r="G315" s="39" t="str">
        <f>IF(B315="","",IF(OR(M315="KXDDM",BOM!F315=""),0,BOM!F315))</f>
        <v/>
      </c>
      <c r="H315" s="39" t="str">
        <f t="shared" si="21"/>
        <v/>
      </c>
      <c r="I315" s="39" t="str">
        <f>IF(B315="","",SUMIFS(Mau15a!$H$11:$H$310,Mau15a!$B$11:$B$310,B315)+SUMIFS(Mau15a!$I$11:$I$310,Mau15a!$B$11:$B$310,B315)+SUMIFS(Mau15a!$J$11:$J$310,Mau15a!$B$11:$B$310,B315)-SUMIFS(Mau15a!$G$11:$G$310,Mau15a!$B$11:$B$310,B315))</f>
        <v/>
      </c>
      <c r="J315" s="39" t="str">
        <f t="shared" si="22"/>
        <v/>
      </c>
      <c r="K315" s="39" t="str">
        <f>IF(B315="","",(SUMIFS(Mau15a!$K$11:$K$310,Mau15a!$B$11:$B$310,B315)-SUMIFS(Mau15a!$E$11:$E$310,Mau15a!$B$11:$B$310,B315))*G315)</f>
        <v/>
      </c>
      <c r="L315" s="36" t="str">
        <f t="shared" si="23"/>
        <v/>
      </c>
      <c r="M315" s="36" t="str">
        <f>IF(B315="","",BOM!G315&amp;"")</f>
        <v/>
      </c>
      <c r="N315" s="36" t="str">
        <f t="shared" si="24"/>
        <v/>
      </c>
    </row>
    <row r="316" spans="1:14" x14ac:dyDescent="0.25">
      <c r="A316" s="35" t="str">
        <f t="shared" si="20"/>
        <v/>
      </c>
      <c r="B316" s="35" t="str">
        <f>IF(BOM!A316="","",BOM!A316)</f>
        <v/>
      </c>
      <c r="C316" s="35" t="str">
        <f>IF(B316="","",BOM!B316)</f>
        <v/>
      </c>
      <c r="D316" s="35" t="str">
        <f>IF(B316="","",IFERROR(INDEX(DM_NL!$B$5:$B$304,MATCH(C316,DM_NL!$A$5:$A$304,0)),""))</f>
        <v/>
      </c>
      <c r="E316" s="35" t="str">
        <f>IF(B316="","",IFERROR(INDEX(DM_NL!$C$5:$C$304,MATCH(C316,DM_NL!$A$5:$A$304,0)),""))</f>
        <v/>
      </c>
      <c r="F316" s="39" t="str">
        <f>IF(B316="","",SUMIFS(Mau15a!$F$11:$F$310,Mau15a!$B$11:$B$310,B316))</f>
        <v/>
      </c>
      <c r="G316" s="39" t="str">
        <f>IF(B316="","",IF(OR(M316="KXDDM",BOM!F316=""),0,BOM!F316))</f>
        <v/>
      </c>
      <c r="H316" s="39" t="str">
        <f t="shared" si="21"/>
        <v/>
      </c>
      <c r="I316" s="39" t="str">
        <f>IF(B316="","",SUMIFS(Mau15a!$H$11:$H$310,Mau15a!$B$11:$B$310,B316)+SUMIFS(Mau15a!$I$11:$I$310,Mau15a!$B$11:$B$310,B316)+SUMIFS(Mau15a!$J$11:$J$310,Mau15a!$B$11:$B$310,B316)-SUMIFS(Mau15a!$G$11:$G$310,Mau15a!$B$11:$B$310,B316))</f>
        <v/>
      </c>
      <c r="J316" s="39" t="str">
        <f t="shared" si="22"/>
        <v/>
      </c>
      <c r="K316" s="39" t="str">
        <f>IF(B316="","",(SUMIFS(Mau15a!$K$11:$K$310,Mau15a!$B$11:$B$310,B316)-SUMIFS(Mau15a!$E$11:$E$310,Mau15a!$B$11:$B$310,B316))*G316)</f>
        <v/>
      </c>
      <c r="L316" s="36" t="str">
        <f t="shared" si="23"/>
        <v/>
      </c>
      <c r="M316" s="36" t="str">
        <f>IF(B316="","",BOM!G316&amp;"")</f>
        <v/>
      </c>
      <c r="N316" s="36" t="str">
        <f t="shared" si="24"/>
        <v/>
      </c>
    </row>
    <row r="317" spans="1:14" x14ac:dyDescent="0.25">
      <c r="A317" s="35" t="str">
        <f t="shared" si="20"/>
        <v/>
      </c>
      <c r="B317" s="35" t="str">
        <f>IF(BOM!A317="","",BOM!A317)</f>
        <v/>
      </c>
      <c r="C317" s="35" t="str">
        <f>IF(B317="","",BOM!B317)</f>
        <v/>
      </c>
      <c r="D317" s="35" t="str">
        <f>IF(B317="","",IFERROR(INDEX(DM_NL!$B$5:$B$304,MATCH(C317,DM_NL!$A$5:$A$304,0)),""))</f>
        <v/>
      </c>
      <c r="E317" s="35" t="str">
        <f>IF(B317="","",IFERROR(INDEX(DM_NL!$C$5:$C$304,MATCH(C317,DM_NL!$A$5:$A$304,0)),""))</f>
        <v/>
      </c>
      <c r="F317" s="39" t="str">
        <f>IF(B317="","",SUMIFS(Mau15a!$F$11:$F$310,Mau15a!$B$11:$B$310,B317))</f>
        <v/>
      </c>
      <c r="G317" s="39" t="str">
        <f>IF(B317="","",IF(OR(M317="KXDDM",BOM!F317=""),0,BOM!F317))</f>
        <v/>
      </c>
      <c r="H317" s="39" t="str">
        <f t="shared" si="21"/>
        <v/>
      </c>
      <c r="I317" s="39" t="str">
        <f>IF(B317="","",SUMIFS(Mau15a!$H$11:$H$310,Mau15a!$B$11:$B$310,B317)+SUMIFS(Mau15a!$I$11:$I$310,Mau15a!$B$11:$B$310,B317)+SUMIFS(Mau15a!$J$11:$J$310,Mau15a!$B$11:$B$310,B317)-SUMIFS(Mau15a!$G$11:$G$310,Mau15a!$B$11:$B$310,B317))</f>
        <v/>
      </c>
      <c r="J317" s="39" t="str">
        <f t="shared" si="22"/>
        <v/>
      </c>
      <c r="K317" s="39" t="str">
        <f>IF(B317="","",(SUMIFS(Mau15a!$K$11:$K$310,Mau15a!$B$11:$B$310,B317)-SUMIFS(Mau15a!$E$11:$E$310,Mau15a!$B$11:$B$310,B317))*G317)</f>
        <v/>
      </c>
      <c r="L317" s="36" t="str">
        <f t="shared" si="23"/>
        <v/>
      </c>
      <c r="M317" s="36" t="str">
        <f>IF(B317="","",BOM!G317&amp;"")</f>
        <v/>
      </c>
      <c r="N317" s="36" t="str">
        <f t="shared" si="24"/>
        <v/>
      </c>
    </row>
    <row r="318" spans="1:14" x14ac:dyDescent="0.25">
      <c r="A318" s="35" t="str">
        <f t="shared" si="20"/>
        <v/>
      </c>
      <c r="B318" s="35" t="str">
        <f>IF(BOM!A318="","",BOM!A318)</f>
        <v/>
      </c>
      <c r="C318" s="35" t="str">
        <f>IF(B318="","",BOM!B318)</f>
        <v/>
      </c>
      <c r="D318" s="35" t="str">
        <f>IF(B318="","",IFERROR(INDEX(DM_NL!$B$5:$B$304,MATCH(C318,DM_NL!$A$5:$A$304,0)),""))</f>
        <v/>
      </c>
      <c r="E318" s="35" t="str">
        <f>IF(B318="","",IFERROR(INDEX(DM_NL!$C$5:$C$304,MATCH(C318,DM_NL!$A$5:$A$304,0)),""))</f>
        <v/>
      </c>
      <c r="F318" s="39" t="str">
        <f>IF(B318="","",SUMIFS(Mau15a!$F$11:$F$310,Mau15a!$B$11:$B$310,B318))</f>
        <v/>
      </c>
      <c r="G318" s="39" t="str">
        <f>IF(B318="","",IF(OR(M318="KXDDM",BOM!F318=""),0,BOM!F318))</f>
        <v/>
      </c>
      <c r="H318" s="39" t="str">
        <f t="shared" si="21"/>
        <v/>
      </c>
      <c r="I318" s="39" t="str">
        <f>IF(B318="","",SUMIFS(Mau15a!$H$11:$H$310,Mau15a!$B$11:$B$310,B318)+SUMIFS(Mau15a!$I$11:$I$310,Mau15a!$B$11:$B$310,B318)+SUMIFS(Mau15a!$J$11:$J$310,Mau15a!$B$11:$B$310,B318)-SUMIFS(Mau15a!$G$11:$G$310,Mau15a!$B$11:$B$310,B318))</f>
        <v/>
      </c>
      <c r="J318" s="39" t="str">
        <f t="shared" si="22"/>
        <v/>
      </c>
      <c r="K318" s="39" t="str">
        <f>IF(B318="","",(SUMIFS(Mau15a!$K$11:$K$310,Mau15a!$B$11:$B$310,B318)-SUMIFS(Mau15a!$E$11:$E$310,Mau15a!$B$11:$B$310,B318))*G318)</f>
        <v/>
      </c>
      <c r="L318" s="36" t="str">
        <f t="shared" si="23"/>
        <v/>
      </c>
      <c r="M318" s="36" t="str">
        <f>IF(B318="","",BOM!G318&amp;"")</f>
        <v/>
      </c>
      <c r="N318" s="36" t="str">
        <f t="shared" si="24"/>
        <v/>
      </c>
    </row>
    <row r="319" spans="1:14" x14ac:dyDescent="0.25">
      <c r="A319" s="35" t="str">
        <f t="shared" si="20"/>
        <v/>
      </c>
      <c r="B319" s="35" t="str">
        <f>IF(BOM!A319="","",BOM!A319)</f>
        <v/>
      </c>
      <c r="C319" s="35" t="str">
        <f>IF(B319="","",BOM!B319)</f>
        <v/>
      </c>
      <c r="D319" s="35" t="str">
        <f>IF(B319="","",IFERROR(INDEX(DM_NL!$B$5:$B$304,MATCH(C319,DM_NL!$A$5:$A$304,0)),""))</f>
        <v/>
      </c>
      <c r="E319" s="35" t="str">
        <f>IF(B319="","",IFERROR(INDEX(DM_NL!$C$5:$C$304,MATCH(C319,DM_NL!$A$5:$A$304,0)),""))</f>
        <v/>
      </c>
      <c r="F319" s="39" t="str">
        <f>IF(B319="","",SUMIFS(Mau15a!$F$11:$F$310,Mau15a!$B$11:$B$310,B319))</f>
        <v/>
      </c>
      <c r="G319" s="39" t="str">
        <f>IF(B319="","",IF(OR(M319="KXDDM",BOM!F319=""),0,BOM!F319))</f>
        <v/>
      </c>
      <c r="H319" s="39" t="str">
        <f t="shared" si="21"/>
        <v/>
      </c>
      <c r="I319" s="39" t="str">
        <f>IF(B319="","",SUMIFS(Mau15a!$H$11:$H$310,Mau15a!$B$11:$B$310,B319)+SUMIFS(Mau15a!$I$11:$I$310,Mau15a!$B$11:$B$310,B319)+SUMIFS(Mau15a!$J$11:$J$310,Mau15a!$B$11:$B$310,B319)-SUMIFS(Mau15a!$G$11:$G$310,Mau15a!$B$11:$B$310,B319))</f>
        <v/>
      </c>
      <c r="J319" s="39" t="str">
        <f t="shared" si="22"/>
        <v/>
      </c>
      <c r="K319" s="39" t="str">
        <f>IF(B319="","",(SUMIFS(Mau15a!$K$11:$K$310,Mau15a!$B$11:$B$310,B319)-SUMIFS(Mau15a!$E$11:$E$310,Mau15a!$B$11:$B$310,B319))*G319)</f>
        <v/>
      </c>
      <c r="L319" s="36" t="str">
        <f t="shared" si="23"/>
        <v/>
      </c>
      <c r="M319" s="36" t="str">
        <f>IF(B319="","",BOM!G319&amp;"")</f>
        <v/>
      </c>
      <c r="N319" s="36" t="str">
        <f t="shared" si="24"/>
        <v/>
      </c>
    </row>
    <row r="320" spans="1:14" x14ac:dyDescent="0.25">
      <c r="A320" s="35" t="str">
        <f t="shared" si="20"/>
        <v/>
      </c>
      <c r="B320" s="35" t="str">
        <f>IF(BOM!A320="","",BOM!A320)</f>
        <v/>
      </c>
      <c r="C320" s="35" t="str">
        <f>IF(B320="","",BOM!B320)</f>
        <v/>
      </c>
      <c r="D320" s="35" t="str">
        <f>IF(B320="","",IFERROR(INDEX(DM_NL!$B$5:$B$304,MATCH(C320,DM_NL!$A$5:$A$304,0)),""))</f>
        <v/>
      </c>
      <c r="E320" s="35" t="str">
        <f>IF(B320="","",IFERROR(INDEX(DM_NL!$C$5:$C$304,MATCH(C320,DM_NL!$A$5:$A$304,0)),""))</f>
        <v/>
      </c>
      <c r="F320" s="39" t="str">
        <f>IF(B320="","",SUMIFS(Mau15a!$F$11:$F$310,Mau15a!$B$11:$B$310,B320))</f>
        <v/>
      </c>
      <c r="G320" s="39" t="str">
        <f>IF(B320="","",IF(OR(M320="KXDDM",BOM!F320=""),0,BOM!F320))</f>
        <v/>
      </c>
      <c r="H320" s="39" t="str">
        <f t="shared" si="21"/>
        <v/>
      </c>
      <c r="I320" s="39" t="str">
        <f>IF(B320="","",SUMIFS(Mau15a!$H$11:$H$310,Mau15a!$B$11:$B$310,B320)+SUMIFS(Mau15a!$I$11:$I$310,Mau15a!$B$11:$B$310,B320)+SUMIFS(Mau15a!$J$11:$J$310,Mau15a!$B$11:$B$310,B320)-SUMIFS(Mau15a!$G$11:$G$310,Mau15a!$B$11:$B$310,B320))</f>
        <v/>
      </c>
      <c r="J320" s="39" t="str">
        <f t="shared" si="22"/>
        <v/>
      </c>
      <c r="K320" s="39" t="str">
        <f>IF(B320="","",(SUMIFS(Mau15a!$K$11:$K$310,Mau15a!$B$11:$B$310,B320)-SUMIFS(Mau15a!$E$11:$E$310,Mau15a!$B$11:$B$310,B320))*G320)</f>
        <v/>
      </c>
      <c r="L320" s="36" t="str">
        <f t="shared" si="23"/>
        <v/>
      </c>
      <c r="M320" s="36" t="str">
        <f>IF(B320="","",BOM!G320&amp;"")</f>
        <v/>
      </c>
      <c r="N320" s="36" t="str">
        <f t="shared" si="24"/>
        <v/>
      </c>
    </row>
    <row r="321" spans="1:14" x14ac:dyDescent="0.25">
      <c r="A321" s="35" t="str">
        <f t="shared" si="20"/>
        <v/>
      </c>
      <c r="B321" s="35" t="str">
        <f>IF(BOM!A321="","",BOM!A321)</f>
        <v/>
      </c>
      <c r="C321" s="35" t="str">
        <f>IF(B321="","",BOM!B321)</f>
        <v/>
      </c>
      <c r="D321" s="35" t="str">
        <f>IF(B321="","",IFERROR(INDEX(DM_NL!$B$5:$B$304,MATCH(C321,DM_NL!$A$5:$A$304,0)),""))</f>
        <v/>
      </c>
      <c r="E321" s="35" t="str">
        <f>IF(B321="","",IFERROR(INDEX(DM_NL!$C$5:$C$304,MATCH(C321,DM_NL!$A$5:$A$304,0)),""))</f>
        <v/>
      </c>
      <c r="F321" s="39" t="str">
        <f>IF(B321="","",SUMIFS(Mau15a!$F$11:$F$310,Mau15a!$B$11:$B$310,B321))</f>
        <v/>
      </c>
      <c r="G321" s="39" t="str">
        <f>IF(B321="","",IF(OR(M321="KXDDM",BOM!F321=""),0,BOM!F321))</f>
        <v/>
      </c>
      <c r="H321" s="39" t="str">
        <f t="shared" si="21"/>
        <v/>
      </c>
      <c r="I321" s="39" t="str">
        <f>IF(B321="","",SUMIFS(Mau15a!$H$11:$H$310,Mau15a!$B$11:$B$310,B321)+SUMIFS(Mau15a!$I$11:$I$310,Mau15a!$B$11:$B$310,B321)+SUMIFS(Mau15a!$J$11:$J$310,Mau15a!$B$11:$B$310,B321)-SUMIFS(Mau15a!$G$11:$G$310,Mau15a!$B$11:$B$310,B321))</f>
        <v/>
      </c>
      <c r="J321" s="39" t="str">
        <f t="shared" si="22"/>
        <v/>
      </c>
      <c r="K321" s="39" t="str">
        <f>IF(B321="","",(SUMIFS(Mau15a!$K$11:$K$310,Mau15a!$B$11:$B$310,B321)-SUMIFS(Mau15a!$E$11:$E$310,Mau15a!$B$11:$B$310,B321))*G321)</f>
        <v/>
      </c>
      <c r="L321" s="36" t="str">
        <f t="shared" si="23"/>
        <v/>
      </c>
      <c r="M321" s="36" t="str">
        <f>IF(B321="","",BOM!G321&amp;"")</f>
        <v/>
      </c>
      <c r="N321" s="36" t="str">
        <f t="shared" si="24"/>
        <v/>
      </c>
    </row>
    <row r="322" spans="1:14" x14ac:dyDescent="0.25">
      <c r="A322" s="35" t="str">
        <f t="shared" si="20"/>
        <v/>
      </c>
      <c r="B322" s="35" t="str">
        <f>IF(BOM!A322="","",BOM!A322)</f>
        <v/>
      </c>
      <c r="C322" s="35" t="str">
        <f>IF(B322="","",BOM!B322)</f>
        <v/>
      </c>
      <c r="D322" s="35" t="str">
        <f>IF(B322="","",IFERROR(INDEX(DM_NL!$B$5:$B$304,MATCH(C322,DM_NL!$A$5:$A$304,0)),""))</f>
        <v/>
      </c>
      <c r="E322" s="35" t="str">
        <f>IF(B322="","",IFERROR(INDEX(DM_NL!$C$5:$C$304,MATCH(C322,DM_NL!$A$5:$A$304,0)),""))</f>
        <v/>
      </c>
      <c r="F322" s="39" t="str">
        <f>IF(B322="","",SUMIFS(Mau15a!$F$11:$F$310,Mau15a!$B$11:$B$310,B322))</f>
        <v/>
      </c>
      <c r="G322" s="39" t="str">
        <f>IF(B322="","",IF(OR(M322="KXDDM",BOM!F322=""),0,BOM!F322))</f>
        <v/>
      </c>
      <c r="H322" s="39" t="str">
        <f t="shared" si="21"/>
        <v/>
      </c>
      <c r="I322" s="39" t="str">
        <f>IF(B322="","",SUMIFS(Mau15a!$H$11:$H$310,Mau15a!$B$11:$B$310,B322)+SUMIFS(Mau15a!$I$11:$I$310,Mau15a!$B$11:$B$310,B322)+SUMIFS(Mau15a!$J$11:$J$310,Mau15a!$B$11:$B$310,B322)-SUMIFS(Mau15a!$G$11:$G$310,Mau15a!$B$11:$B$310,B322))</f>
        <v/>
      </c>
      <c r="J322" s="39" t="str">
        <f t="shared" si="22"/>
        <v/>
      </c>
      <c r="K322" s="39" t="str">
        <f>IF(B322="","",(SUMIFS(Mau15a!$K$11:$K$310,Mau15a!$B$11:$B$310,B322)-SUMIFS(Mau15a!$E$11:$E$310,Mau15a!$B$11:$B$310,B322))*G322)</f>
        <v/>
      </c>
      <c r="L322" s="36" t="str">
        <f t="shared" si="23"/>
        <v/>
      </c>
      <c r="M322" s="36" t="str">
        <f>IF(B322="","",BOM!G322&amp;"")</f>
        <v/>
      </c>
      <c r="N322" s="36" t="str">
        <f t="shared" si="24"/>
        <v/>
      </c>
    </row>
    <row r="323" spans="1:14" x14ac:dyDescent="0.25">
      <c r="A323" s="35" t="str">
        <f t="shared" si="20"/>
        <v/>
      </c>
      <c r="B323" s="35" t="str">
        <f>IF(BOM!A323="","",BOM!A323)</f>
        <v/>
      </c>
      <c r="C323" s="35" t="str">
        <f>IF(B323="","",BOM!B323)</f>
        <v/>
      </c>
      <c r="D323" s="35" t="str">
        <f>IF(B323="","",IFERROR(INDEX(DM_NL!$B$5:$B$304,MATCH(C323,DM_NL!$A$5:$A$304,0)),""))</f>
        <v/>
      </c>
      <c r="E323" s="35" t="str">
        <f>IF(B323="","",IFERROR(INDEX(DM_NL!$C$5:$C$304,MATCH(C323,DM_NL!$A$5:$A$304,0)),""))</f>
        <v/>
      </c>
      <c r="F323" s="39" t="str">
        <f>IF(B323="","",SUMIFS(Mau15a!$F$11:$F$310,Mau15a!$B$11:$B$310,B323))</f>
        <v/>
      </c>
      <c r="G323" s="39" t="str">
        <f>IF(B323="","",IF(OR(M323="KXDDM",BOM!F323=""),0,BOM!F323))</f>
        <v/>
      </c>
      <c r="H323" s="39" t="str">
        <f t="shared" si="21"/>
        <v/>
      </c>
      <c r="I323" s="39" t="str">
        <f>IF(B323="","",SUMIFS(Mau15a!$H$11:$H$310,Mau15a!$B$11:$B$310,B323)+SUMIFS(Mau15a!$I$11:$I$310,Mau15a!$B$11:$B$310,B323)+SUMIFS(Mau15a!$J$11:$J$310,Mau15a!$B$11:$B$310,B323)-SUMIFS(Mau15a!$G$11:$G$310,Mau15a!$B$11:$B$310,B323))</f>
        <v/>
      </c>
      <c r="J323" s="39" t="str">
        <f t="shared" si="22"/>
        <v/>
      </c>
      <c r="K323" s="39" t="str">
        <f>IF(B323="","",(SUMIFS(Mau15a!$K$11:$K$310,Mau15a!$B$11:$B$310,B323)-SUMIFS(Mau15a!$E$11:$E$310,Mau15a!$B$11:$B$310,B323))*G323)</f>
        <v/>
      </c>
      <c r="L323" s="36" t="str">
        <f t="shared" si="23"/>
        <v/>
      </c>
      <c r="M323" s="36" t="str">
        <f>IF(B323="","",BOM!G323&amp;"")</f>
        <v/>
      </c>
      <c r="N323" s="36" t="str">
        <f t="shared" si="24"/>
        <v/>
      </c>
    </row>
    <row r="324" spans="1:14" x14ac:dyDescent="0.25">
      <c r="A324" s="35" t="str">
        <f t="shared" si="20"/>
        <v/>
      </c>
      <c r="B324" s="35" t="str">
        <f>IF(BOM!A324="","",BOM!A324)</f>
        <v/>
      </c>
      <c r="C324" s="35" t="str">
        <f>IF(B324="","",BOM!B324)</f>
        <v/>
      </c>
      <c r="D324" s="35" t="str">
        <f>IF(B324="","",IFERROR(INDEX(DM_NL!$B$5:$B$304,MATCH(C324,DM_NL!$A$5:$A$304,0)),""))</f>
        <v/>
      </c>
      <c r="E324" s="35" t="str">
        <f>IF(B324="","",IFERROR(INDEX(DM_NL!$C$5:$C$304,MATCH(C324,DM_NL!$A$5:$A$304,0)),""))</f>
        <v/>
      </c>
      <c r="F324" s="39" t="str">
        <f>IF(B324="","",SUMIFS(Mau15a!$F$11:$F$310,Mau15a!$B$11:$B$310,B324))</f>
        <v/>
      </c>
      <c r="G324" s="39" t="str">
        <f>IF(B324="","",IF(OR(M324="KXDDM",BOM!F324=""),0,BOM!F324))</f>
        <v/>
      </c>
      <c r="H324" s="39" t="str">
        <f t="shared" si="21"/>
        <v/>
      </c>
      <c r="I324" s="39" t="str">
        <f>IF(B324="","",SUMIFS(Mau15a!$H$11:$H$310,Mau15a!$B$11:$B$310,B324)+SUMIFS(Mau15a!$I$11:$I$310,Mau15a!$B$11:$B$310,B324)+SUMIFS(Mau15a!$J$11:$J$310,Mau15a!$B$11:$B$310,B324)-SUMIFS(Mau15a!$G$11:$G$310,Mau15a!$B$11:$B$310,B324))</f>
        <v/>
      </c>
      <c r="J324" s="39" t="str">
        <f t="shared" si="22"/>
        <v/>
      </c>
      <c r="K324" s="39" t="str">
        <f>IF(B324="","",(SUMIFS(Mau15a!$K$11:$K$310,Mau15a!$B$11:$B$310,B324)-SUMIFS(Mau15a!$E$11:$E$310,Mau15a!$B$11:$B$310,B324))*G324)</f>
        <v/>
      </c>
      <c r="L324" s="36" t="str">
        <f t="shared" si="23"/>
        <v/>
      </c>
      <c r="M324" s="36" t="str">
        <f>IF(B324="","",BOM!G324&amp;"")</f>
        <v/>
      </c>
      <c r="N324" s="36" t="str">
        <f t="shared" si="24"/>
        <v/>
      </c>
    </row>
    <row r="325" spans="1:14" x14ac:dyDescent="0.25">
      <c r="A325" s="35" t="str">
        <f t="shared" ref="A325:A388" si="25">IF(B325="","",ROW()-4)</f>
        <v/>
      </c>
      <c r="B325" s="35" t="str">
        <f>IF(BOM!A325="","",BOM!A325)</f>
        <v/>
      </c>
      <c r="C325" s="35" t="str">
        <f>IF(B325="","",BOM!B325)</f>
        <v/>
      </c>
      <c r="D325" s="35" t="str">
        <f>IF(B325="","",IFERROR(INDEX(DM_NL!$B$5:$B$304,MATCH(C325,DM_NL!$A$5:$A$304,0)),""))</f>
        <v/>
      </c>
      <c r="E325" s="35" t="str">
        <f>IF(B325="","",IFERROR(INDEX(DM_NL!$C$5:$C$304,MATCH(C325,DM_NL!$A$5:$A$304,0)),""))</f>
        <v/>
      </c>
      <c r="F325" s="39" t="str">
        <f>IF(B325="","",SUMIFS(Mau15a!$F$11:$F$310,Mau15a!$B$11:$B$310,B325))</f>
        <v/>
      </c>
      <c r="G325" s="39" t="str">
        <f>IF(B325="","",IF(OR(M325="KXDDM",BOM!F325=""),0,BOM!F325))</f>
        <v/>
      </c>
      <c r="H325" s="39" t="str">
        <f t="shared" ref="H325:H388" si="26">IF(B325="","",F325*G325)</f>
        <v/>
      </c>
      <c r="I325" s="39" t="str">
        <f>IF(B325="","",SUMIFS(Mau15a!$H$11:$H$310,Mau15a!$B$11:$B$310,B325)+SUMIFS(Mau15a!$I$11:$I$310,Mau15a!$B$11:$B$310,B325)+SUMIFS(Mau15a!$J$11:$J$310,Mau15a!$B$11:$B$310,B325)-SUMIFS(Mau15a!$G$11:$G$310,Mau15a!$B$11:$B$310,B325))</f>
        <v/>
      </c>
      <c r="J325" s="39" t="str">
        <f t="shared" ref="J325:J388" si="27">IF(B325="","",I325*G325)</f>
        <v/>
      </c>
      <c r="K325" s="39" t="str">
        <f>IF(B325="","",(SUMIFS(Mau15a!$K$11:$K$310,Mau15a!$B$11:$B$310,B325)-SUMIFS(Mau15a!$E$11:$E$310,Mau15a!$B$11:$B$310,B325))*G325)</f>
        <v/>
      </c>
      <c r="L325" s="36" t="str">
        <f t="shared" ref="L325:L388" si="28">IF(B325="","",IF(ABS(H325-J325-K325)&lt;0.000001,"Khớp","Lệch"))</f>
        <v/>
      </c>
      <c r="M325" s="36" t="str">
        <f>IF(B325="","",BOM!G325&amp;"")</f>
        <v/>
      </c>
      <c r="N325" s="36" t="str">
        <f t="shared" ref="N325:N388" si="29">IF(B325="","",IF(M325="",1,0))</f>
        <v/>
      </c>
    </row>
    <row r="326" spans="1:14" x14ac:dyDescent="0.25">
      <c r="A326" s="35" t="str">
        <f t="shared" si="25"/>
        <v/>
      </c>
      <c r="B326" s="35" t="str">
        <f>IF(BOM!A326="","",BOM!A326)</f>
        <v/>
      </c>
      <c r="C326" s="35" t="str">
        <f>IF(B326="","",BOM!B326)</f>
        <v/>
      </c>
      <c r="D326" s="35" t="str">
        <f>IF(B326="","",IFERROR(INDEX(DM_NL!$B$5:$B$304,MATCH(C326,DM_NL!$A$5:$A$304,0)),""))</f>
        <v/>
      </c>
      <c r="E326" s="35" t="str">
        <f>IF(B326="","",IFERROR(INDEX(DM_NL!$C$5:$C$304,MATCH(C326,DM_NL!$A$5:$A$304,0)),""))</f>
        <v/>
      </c>
      <c r="F326" s="39" t="str">
        <f>IF(B326="","",SUMIFS(Mau15a!$F$11:$F$310,Mau15a!$B$11:$B$310,B326))</f>
        <v/>
      </c>
      <c r="G326" s="39" t="str">
        <f>IF(B326="","",IF(OR(M326="KXDDM",BOM!F326=""),0,BOM!F326))</f>
        <v/>
      </c>
      <c r="H326" s="39" t="str">
        <f t="shared" si="26"/>
        <v/>
      </c>
      <c r="I326" s="39" t="str">
        <f>IF(B326="","",SUMIFS(Mau15a!$H$11:$H$310,Mau15a!$B$11:$B$310,B326)+SUMIFS(Mau15a!$I$11:$I$310,Mau15a!$B$11:$B$310,B326)+SUMIFS(Mau15a!$J$11:$J$310,Mau15a!$B$11:$B$310,B326)-SUMIFS(Mau15a!$G$11:$G$310,Mau15a!$B$11:$B$310,B326))</f>
        <v/>
      </c>
      <c r="J326" s="39" t="str">
        <f t="shared" si="27"/>
        <v/>
      </c>
      <c r="K326" s="39" t="str">
        <f>IF(B326="","",(SUMIFS(Mau15a!$K$11:$K$310,Mau15a!$B$11:$B$310,B326)-SUMIFS(Mau15a!$E$11:$E$310,Mau15a!$B$11:$B$310,B326))*G326)</f>
        <v/>
      </c>
      <c r="L326" s="36" t="str">
        <f t="shared" si="28"/>
        <v/>
      </c>
      <c r="M326" s="36" t="str">
        <f>IF(B326="","",BOM!G326&amp;"")</f>
        <v/>
      </c>
      <c r="N326" s="36" t="str">
        <f t="shared" si="29"/>
        <v/>
      </c>
    </row>
    <row r="327" spans="1:14" x14ac:dyDescent="0.25">
      <c r="A327" s="35" t="str">
        <f t="shared" si="25"/>
        <v/>
      </c>
      <c r="B327" s="35" t="str">
        <f>IF(BOM!A327="","",BOM!A327)</f>
        <v/>
      </c>
      <c r="C327" s="35" t="str">
        <f>IF(B327="","",BOM!B327)</f>
        <v/>
      </c>
      <c r="D327" s="35" t="str">
        <f>IF(B327="","",IFERROR(INDEX(DM_NL!$B$5:$B$304,MATCH(C327,DM_NL!$A$5:$A$304,0)),""))</f>
        <v/>
      </c>
      <c r="E327" s="35" t="str">
        <f>IF(B327="","",IFERROR(INDEX(DM_NL!$C$5:$C$304,MATCH(C327,DM_NL!$A$5:$A$304,0)),""))</f>
        <v/>
      </c>
      <c r="F327" s="39" t="str">
        <f>IF(B327="","",SUMIFS(Mau15a!$F$11:$F$310,Mau15a!$B$11:$B$310,B327))</f>
        <v/>
      </c>
      <c r="G327" s="39" t="str">
        <f>IF(B327="","",IF(OR(M327="KXDDM",BOM!F327=""),0,BOM!F327))</f>
        <v/>
      </c>
      <c r="H327" s="39" t="str">
        <f t="shared" si="26"/>
        <v/>
      </c>
      <c r="I327" s="39" t="str">
        <f>IF(B327="","",SUMIFS(Mau15a!$H$11:$H$310,Mau15a!$B$11:$B$310,B327)+SUMIFS(Mau15a!$I$11:$I$310,Mau15a!$B$11:$B$310,B327)+SUMIFS(Mau15a!$J$11:$J$310,Mau15a!$B$11:$B$310,B327)-SUMIFS(Mau15a!$G$11:$G$310,Mau15a!$B$11:$B$310,B327))</f>
        <v/>
      </c>
      <c r="J327" s="39" t="str">
        <f t="shared" si="27"/>
        <v/>
      </c>
      <c r="K327" s="39" t="str">
        <f>IF(B327="","",(SUMIFS(Mau15a!$K$11:$K$310,Mau15a!$B$11:$B$310,B327)-SUMIFS(Mau15a!$E$11:$E$310,Mau15a!$B$11:$B$310,B327))*G327)</f>
        <v/>
      </c>
      <c r="L327" s="36" t="str">
        <f t="shared" si="28"/>
        <v/>
      </c>
      <c r="M327" s="36" t="str">
        <f>IF(B327="","",BOM!G327&amp;"")</f>
        <v/>
      </c>
      <c r="N327" s="36" t="str">
        <f t="shared" si="29"/>
        <v/>
      </c>
    </row>
    <row r="328" spans="1:14" x14ac:dyDescent="0.25">
      <c r="A328" s="35" t="str">
        <f t="shared" si="25"/>
        <v/>
      </c>
      <c r="B328" s="35" t="str">
        <f>IF(BOM!A328="","",BOM!A328)</f>
        <v/>
      </c>
      <c r="C328" s="35" t="str">
        <f>IF(B328="","",BOM!B328)</f>
        <v/>
      </c>
      <c r="D328" s="35" t="str">
        <f>IF(B328="","",IFERROR(INDEX(DM_NL!$B$5:$B$304,MATCH(C328,DM_NL!$A$5:$A$304,0)),""))</f>
        <v/>
      </c>
      <c r="E328" s="35" t="str">
        <f>IF(B328="","",IFERROR(INDEX(DM_NL!$C$5:$C$304,MATCH(C328,DM_NL!$A$5:$A$304,0)),""))</f>
        <v/>
      </c>
      <c r="F328" s="39" t="str">
        <f>IF(B328="","",SUMIFS(Mau15a!$F$11:$F$310,Mau15a!$B$11:$B$310,B328))</f>
        <v/>
      </c>
      <c r="G328" s="39" t="str">
        <f>IF(B328="","",IF(OR(M328="KXDDM",BOM!F328=""),0,BOM!F328))</f>
        <v/>
      </c>
      <c r="H328" s="39" t="str">
        <f t="shared" si="26"/>
        <v/>
      </c>
      <c r="I328" s="39" t="str">
        <f>IF(B328="","",SUMIFS(Mau15a!$H$11:$H$310,Mau15a!$B$11:$B$310,B328)+SUMIFS(Mau15a!$I$11:$I$310,Mau15a!$B$11:$B$310,B328)+SUMIFS(Mau15a!$J$11:$J$310,Mau15a!$B$11:$B$310,B328)-SUMIFS(Mau15a!$G$11:$G$310,Mau15a!$B$11:$B$310,B328))</f>
        <v/>
      </c>
      <c r="J328" s="39" t="str">
        <f t="shared" si="27"/>
        <v/>
      </c>
      <c r="K328" s="39" t="str">
        <f>IF(B328="","",(SUMIFS(Mau15a!$K$11:$K$310,Mau15a!$B$11:$B$310,B328)-SUMIFS(Mau15a!$E$11:$E$310,Mau15a!$B$11:$B$310,B328))*G328)</f>
        <v/>
      </c>
      <c r="L328" s="36" t="str">
        <f t="shared" si="28"/>
        <v/>
      </c>
      <c r="M328" s="36" t="str">
        <f>IF(B328="","",BOM!G328&amp;"")</f>
        <v/>
      </c>
      <c r="N328" s="36" t="str">
        <f t="shared" si="29"/>
        <v/>
      </c>
    </row>
    <row r="329" spans="1:14" x14ac:dyDescent="0.25">
      <c r="A329" s="35" t="str">
        <f t="shared" si="25"/>
        <v/>
      </c>
      <c r="B329" s="35" t="str">
        <f>IF(BOM!A329="","",BOM!A329)</f>
        <v/>
      </c>
      <c r="C329" s="35" t="str">
        <f>IF(B329="","",BOM!B329)</f>
        <v/>
      </c>
      <c r="D329" s="35" t="str">
        <f>IF(B329="","",IFERROR(INDEX(DM_NL!$B$5:$B$304,MATCH(C329,DM_NL!$A$5:$A$304,0)),""))</f>
        <v/>
      </c>
      <c r="E329" s="35" t="str">
        <f>IF(B329="","",IFERROR(INDEX(DM_NL!$C$5:$C$304,MATCH(C329,DM_NL!$A$5:$A$304,0)),""))</f>
        <v/>
      </c>
      <c r="F329" s="39" t="str">
        <f>IF(B329="","",SUMIFS(Mau15a!$F$11:$F$310,Mau15a!$B$11:$B$310,B329))</f>
        <v/>
      </c>
      <c r="G329" s="39" t="str">
        <f>IF(B329="","",IF(OR(M329="KXDDM",BOM!F329=""),0,BOM!F329))</f>
        <v/>
      </c>
      <c r="H329" s="39" t="str">
        <f t="shared" si="26"/>
        <v/>
      </c>
      <c r="I329" s="39" t="str">
        <f>IF(B329="","",SUMIFS(Mau15a!$H$11:$H$310,Mau15a!$B$11:$B$310,B329)+SUMIFS(Mau15a!$I$11:$I$310,Mau15a!$B$11:$B$310,B329)+SUMIFS(Mau15a!$J$11:$J$310,Mau15a!$B$11:$B$310,B329)-SUMIFS(Mau15a!$G$11:$G$310,Mau15a!$B$11:$B$310,B329))</f>
        <v/>
      </c>
      <c r="J329" s="39" t="str">
        <f t="shared" si="27"/>
        <v/>
      </c>
      <c r="K329" s="39" t="str">
        <f>IF(B329="","",(SUMIFS(Mau15a!$K$11:$K$310,Mau15a!$B$11:$B$310,B329)-SUMIFS(Mau15a!$E$11:$E$310,Mau15a!$B$11:$B$310,B329))*G329)</f>
        <v/>
      </c>
      <c r="L329" s="36" t="str">
        <f t="shared" si="28"/>
        <v/>
      </c>
      <c r="M329" s="36" t="str">
        <f>IF(B329="","",BOM!G329&amp;"")</f>
        <v/>
      </c>
      <c r="N329" s="36" t="str">
        <f t="shared" si="29"/>
        <v/>
      </c>
    </row>
    <row r="330" spans="1:14" x14ac:dyDescent="0.25">
      <c r="A330" s="35" t="str">
        <f t="shared" si="25"/>
        <v/>
      </c>
      <c r="B330" s="35" t="str">
        <f>IF(BOM!A330="","",BOM!A330)</f>
        <v/>
      </c>
      <c r="C330" s="35" t="str">
        <f>IF(B330="","",BOM!B330)</f>
        <v/>
      </c>
      <c r="D330" s="35" t="str">
        <f>IF(B330="","",IFERROR(INDEX(DM_NL!$B$5:$B$304,MATCH(C330,DM_NL!$A$5:$A$304,0)),""))</f>
        <v/>
      </c>
      <c r="E330" s="35" t="str">
        <f>IF(B330="","",IFERROR(INDEX(DM_NL!$C$5:$C$304,MATCH(C330,DM_NL!$A$5:$A$304,0)),""))</f>
        <v/>
      </c>
      <c r="F330" s="39" t="str">
        <f>IF(B330="","",SUMIFS(Mau15a!$F$11:$F$310,Mau15a!$B$11:$B$310,B330))</f>
        <v/>
      </c>
      <c r="G330" s="39" t="str">
        <f>IF(B330="","",IF(OR(M330="KXDDM",BOM!F330=""),0,BOM!F330))</f>
        <v/>
      </c>
      <c r="H330" s="39" t="str">
        <f t="shared" si="26"/>
        <v/>
      </c>
      <c r="I330" s="39" t="str">
        <f>IF(B330="","",SUMIFS(Mau15a!$H$11:$H$310,Mau15a!$B$11:$B$310,B330)+SUMIFS(Mau15a!$I$11:$I$310,Mau15a!$B$11:$B$310,B330)+SUMIFS(Mau15a!$J$11:$J$310,Mau15a!$B$11:$B$310,B330)-SUMIFS(Mau15a!$G$11:$G$310,Mau15a!$B$11:$B$310,B330))</f>
        <v/>
      </c>
      <c r="J330" s="39" t="str">
        <f t="shared" si="27"/>
        <v/>
      </c>
      <c r="K330" s="39" t="str">
        <f>IF(B330="","",(SUMIFS(Mau15a!$K$11:$K$310,Mau15a!$B$11:$B$310,B330)-SUMIFS(Mau15a!$E$11:$E$310,Mau15a!$B$11:$B$310,B330))*G330)</f>
        <v/>
      </c>
      <c r="L330" s="36" t="str">
        <f t="shared" si="28"/>
        <v/>
      </c>
      <c r="M330" s="36" t="str">
        <f>IF(B330="","",BOM!G330&amp;"")</f>
        <v/>
      </c>
      <c r="N330" s="36" t="str">
        <f t="shared" si="29"/>
        <v/>
      </c>
    </row>
    <row r="331" spans="1:14" x14ac:dyDescent="0.25">
      <c r="A331" s="35" t="str">
        <f t="shared" si="25"/>
        <v/>
      </c>
      <c r="B331" s="35" t="str">
        <f>IF(BOM!A331="","",BOM!A331)</f>
        <v/>
      </c>
      <c r="C331" s="35" t="str">
        <f>IF(B331="","",BOM!B331)</f>
        <v/>
      </c>
      <c r="D331" s="35" t="str">
        <f>IF(B331="","",IFERROR(INDEX(DM_NL!$B$5:$B$304,MATCH(C331,DM_NL!$A$5:$A$304,0)),""))</f>
        <v/>
      </c>
      <c r="E331" s="35" t="str">
        <f>IF(B331="","",IFERROR(INDEX(DM_NL!$C$5:$C$304,MATCH(C331,DM_NL!$A$5:$A$304,0)),""))</f>
        <v/>
      </c>
      <c r="F331" s="39" t="str">
        <f>IF(B331="","",SUMIFS(Mau15a!$F$11:$F$310,Mau15a!$B$11:$B$310,B331))</f>
        <v/>
      </c>
      <c r="G331" s="39" t="str">
        <f>IF(B331="","",IF(OR(M331="KXDDM",BOM!F331=""),0,BOM!F331))</f>
        <v/>
      </c>
      <c r="H331" s="39" t="str">
        <f t="shared" si="26"/>
        <v/>
      </c>
      <c r="I331" s="39" t="str">
        <f>IF(B331="","",SUMIFS(Mau15a!$H$11:$H$310,Mau15a!$B$11:$B$310,B331)+SUMIFS(Mau15a!$I$11:$I$310,Mau15a!$B$11:$B$310,B331)+SUMIFS(Mau15a!$J$11:$J$310,Mau15a!$B$11:$B$310,B331)-SUMIFS(Mau15a!$G$11:$G$310,Mau15a!$B$11:$B$310,B331))</f>
        <v/>
      </c>
      <c r="J331" s="39" t="str">
        <f t="shared" si="27"/>
        <v/>
      </c>
      <c r="K331" s="39" t="str">
        <f>IF(B331="","",(SUMIFS(Mau15a!$K$11:$K$310,Mau15a!$B$11:$B$310,B331)-SUMIFS(Mau15a!$E$11:$E$310,Mau15a!$B$11:$B$310,B331))*G331)</f>
        <v/>
      </c>
      <c r="L331" s="36" t="str">
        <f t="shared" si="28"/>
        <v/>
      </c>
      <c r="M331" s="36" t="str">
        <f>IF(B331="","",BOM!G331&amp;"")</f>
        <v/>
      </c>
      <c r="N331" s="36" t="str">
        <f t="shared" si="29"/>
        <v/>
      </c>
    </row>
    <row r="332" spans="1:14" x14ac:dyDescent="0.25">
      <c r="A332" s="35" t="str">
        <f t="shared" si="25"/>
        <v/>
      </c>
      <c r="B332" s="35" t="str">
        <f>IF(BOM!A332="","",BOM!A332)</f>
        <v/>
      </c>
      <c r="C332" s="35" t="str">
        <f>IF(B332="","",BOM!B332)</f>
        <v/>
      </c>
      <c r="D332" s="35" t="str">
        <f>IF(B332="","",IFERROR(INDEX(DM_NL!$B$5:$B$304,MATCH(C332,DM_NL!$A$5:$A$304,0)),""))</f>
        <v/>
      </c>
      <c r="E332" s="35" t="str">
        <f>IF(B332="","",IFERROR(INDEX(DM_NL!$C$5:$C$304,MATCH(C332,DM_NL!$A$5:$A$304,0)),""))</f>
        <v/>
      </c>
      <c r="F332" s="39" t="str">
        <f>IF(B332="","",SUMIFS(Mau15a!$F$11:$F$310,Mau15a!$B$11:$B$310,B332))</f>
        <v/>
      </c>
      <c r="G332" s="39" t="str">
        <f>IF(B332="","",IF(OR(M332="KXDDM",BOM!F332=""),0,BOM!F332))</f>
        <v/>
      </c>
      <c r="H332" s="39" t="str">
        <f t="shared" si="26"/>
        <v/>
      </c>
      <c r="I332" s="39" t="str">
        <f>IF(B332="","",SUMIFS(Mau15a!$H$11:$H$310,Mau15a!$B$11:$B$310,B332)+SUMIFS(Mau15a!$I$11:$I$310,Mau15a!$B$11:$B$310,B332)+SUMIFS(Mau15a!$J$11:$J$310,Mau15a!$B$11:$B$310,B332)-SUMIFS(Mau15a!$G$11:$G$310,Mau15a!$B$11:$B$310,B332))</f>
        <v/>
      </c>
      <c r="J332" s="39" t="str">
        <f t="shared" si="27"/>
        <v/>
      </c>
      <c r="K332" s="39" t="str">
        <f>IF(B332="","",(SUMIFS(Mau15a!$K$11:$K$310,Mau15a!$B$11:$B$310,B332)-SUMIFS(Mau15a!$E$11:$E$310,Mau15a!$B$11:$B$310,B332))*G332)</f>
        <v/>
      </c>
      <c r="L332" s="36" t="str">
        <f t="shared" si="28"/>
        <v/>
      </c>
      <c r="M332" s="36" t="str">
        <f>IF(B332="","",BOM!G332&amp;"")</f>
        <v/>
      </c>
      <c r="N332" s="36" t="str">
        <f t="shared" si="29"/>
        <v/>
      </c>
    </row>
    <row r="333" spans="1:14" x14ac:dyDescent="0.25">
      <c r="A333" s="35" t="str">
        <f t="shared" si="25"/>
        <v/>
      </c>
      <c r="B333" s="35" t="str">
        <f>IF(BOM!A333="","",BOM!A333)</f>
        <v/>
      </c>
      <c r="C333" s="35" t="str">
        <f>IF(B333="","",BOM!B333)</f>
        <v/>
      </c>
      <c r="D333" s="35" t="str">
        <f>IF(B333="","",IFERROR(INDEX(DM_NL!$B$5:$B$304,MATCH(C333,DM_NL!$A$5:$A$304,0)),""))</f>
        <v/>
      </c>
      <c r="E333" s="35" t="str">
        <f>IF(B333="","",IFERROR(INDEX(DM_NL!$C$5:$C$304,MATCH(C333,DM_NL!$A$5:$A$304,0)),""))</f>
        <v/>
      </c>
      <c r="F333" s="39" t="str">
        <f>IF(B333="","",SUMIFS(Mau15a!$F$11:$F$310,Mau15a!$B$11:$B$310,B333))</f>
        <v/>
      </c>
      <c r="G333" s="39" t="str">
        <f>IF(B333="","",IF(OR(M333="KXDDM",BOM!F333=""),0,BOM!F333))</f>
        <v/>
      </c>
      <c r="H333" s="39" t="str">
        <f t="shared" si="26"/>
        <v/>
      </c>
      <c r="I333" s="39" t="str">
        <f>IF(B333="","",SUMIFS(Mau15a!$H$11:$H$310,Mau15a!$B$11:$B$310,B333)+SUMIFS(Mau15a!$I$11:$I$310,Mau15a!$B$11:$B$310,B333)+SUMIFS(Mau15a!$J$11:$J$310,Mau15a!$B$11:$B$310,B333)-SUMIFS(Mau15a!$G$11:$G$310,Mau15a!$B$11:$B$310,B333))</f>
        <v/>
      </c>
      <c r="J333" s="39" t="str">
        <f t="shared" si="27"/>
        <v/>
      </c>
      <c r="K333" s="39" t="str">
        <f>IF(B333="","",(SUMIFS(Mau15a!$K$11:$K$310,Mau15a!$B$11:$B$310,B333)-SUMIFS(Mau15a!$E$11:$E$310,Mau15a!$B$11:$B$310,B333))*G333)</f>
        <v/>
      </c>
      <c r="L333" s="36" t="str">
        <f t="shared" si="28"/>
        <v/>
      </c>
      <c r="M333" s="36" t="str">
        <f>IF(B333="","",BOM!G333&amp;"")</f>
        <v/>
      </c>
      <c r="N333" s="36" t="str">
        <f t="shared" si="29"/>
        <v/>
      </c>
    </row>
    <row r="334" spans="1:14" x14ac:dyDescent="0.25">
      <c r="A334" s="35" t="str">
        <f t="shared" si="25"/>
        <v/>
      </c>
      <c r="B334" s="35" t="str">
        <f>IF(BOM!A334="","",BOM!A334)</f>
        <v/>
      </c>
      <c r="C334" s="35" t="str">
        <f>IF(B334="","",BOM!B334)</f>
        <v/>
      </c>
      <c r="D334" s="35" t="str">
        <f>IF(B334="","",IFERROR(INDEX(DM_NL!$B$5:$B$304,MATCH(C334,DM_NL!$A$5:$A$304,0)),""))</f>
        <v/>
      </c>
      <c r="E334" s="35" t="str">
        <f>IF(B334="","",IFERROR(INDEX(DM_NL!$C$5:$C$304,MATCH(C334,DM_NL!$A$5:$A$304,0)),""))</f>
        <v/>
      </c>
      <c r="F334" s="39" t="str">
        <f>IF(B334="","",SUMIFS(Mau15a!$F$11:$F$310,Mau15a!$B$11:$B$310,B334))</f>
        <v/>
      </c>
      <c r="G334" s="39" t="str">
        <f>IF(B334="","",IF(OR(M334="KXDDM",BOM!F334=""),0,BOM!F334))</f>
        <v/>
      </c>
      <c r="H334" s="39" t="str">
        <f t="shared" si="26"/>
        <v/>
      </c>
      <c r="I334" s="39" t="str">
        <f>IF(B334="","",SUMIFS(Mau15a!$H$11:$H$310,Mau15a!$B$11:$B$310,B334)+SUMIFS(Mau15a!$I$11:$I$310,Mau15a!$B$11:$B$310,B334)+SUMIFS(Mau15a!$J$11:$J$310,Mau15a!$B$11:$B$310,B334)-SUMIFS(Mau15a!$G$11:$G$310,Mau15a!$B$11:$B$310,B334))</f>
        <v/>
      </c>
      <c r="J334" s="39" t="str">
        <f t="shared" si="27"/>
        <v/>
      </c>
      <c r="K334" s="39" t="str">
        <f>IF(B334="","",(SUMIFS(Mau15a!$K$11:$K$310,Mau15a!$B$11:$B$310,B334)-SUMIFS(Mau15a!$E$11:$E$310,Mau15a!$B$11:$B$310,B334))*G334)</f>
        <v/>
      </c>
      <c r="L334" s="36" t="str">
        <f t="shared" si="28"/>
        <v/>
      </c>
      <c r="M334" s="36" t="str">
        <f>IF(B334="","",BOM!G334&amp;"")</f>
        <v/>
      </c>
      <c r="N334" s="36" t="str">
        <f t="shared" si="29"/>
        <v/>
      </c>
    </row>
    <row r="335" spans="1:14" x14ac:dyDescent="0.25">
      <c r="A335" s="35" t="str">
        <f t="shared" si="25"/>
        <v/>
      </c>
      <c r="B335" s="35" t="str">
        <f>IF(BOM!A335="","",BOM!A335)</f>
        <v/>
      </c>
      <c r="C335" s="35" t="str">
        <f>IF(B335="","",BOM!B335)</f>
        <v/>
      </c>
      <c r="D335" s="35" t="str">
        <f>IF(B335="","",IFERROR(INDEX(DM_NL!$B$5:$B$304,MATCH(C335,DM_NL!$A$5:$A$304,0)),""))</f>
        <v/>
      </c>
      <c r="E335" s="35" t="str">
        <f>IF(B335="","",IFERROR(INDEX(DM_NL!$C$5:$C$304,MATCH(C335,DM_NL!$A$5:$A$304,0)),""))</f>
        <v/>
      </c>
      <c r="F335" s="39" t="str">
        <f>IF(B335="","",SUMIFS(Mau15a!$F$11:$F$310,Mau15a!$B$11:$B$310,B335))</f>
        <v/>
      </c>
      <c r="G335" s="39" t="str">
        <f>IF(B335="","",IF(OR(M335="KXDDM",BOM!F335=""),0,BOM!F335))</f>
        <v/>
      </c>
      <c r="H335" s="39" t="str">
        <f t="shared" si="26"/>
        <v/>
      </c>
      <c r="I335" s="39" t="str">
        <f>IF(B335="","",SUMIFS(Mau15a!$H$11:$H$310,Mau15a!$B$11:$B$310,B335)+SUMIFS(Mau15a!$I$11:$I$310,Mau15a!$B$11:$B$310,B335)+SUMIFS(Mau15a!$J$11:$J$310,Mau15a!$B$11:$B$310,B335)-SUMIFS(Mau15a!$G$11:$G$310,Mau15a!$B$11:$B$310,B335))</f>
        <v/>
      </c>
      <c r="J335" s="39" t="str">
        <f t="shared" si="27"/>
        <v/>
      </c>
      <c r="K335" s="39" t="str">
        <f>IF(B335="","",(SUMIFS(Mau15a!$K$11:$K$310,Mau15a!$B$11:$B$310,B335)-SUMIFS(Mau15a!$E$11:$E$310,Mau15a!$B$11:$B$310,B335))*G335)</f>
        <v/>
      </c>
      <c r="L335" s="36" t="str">
        <f t="shared" si="28"/>
        <v/>
      </c>
      <c r="M335" s="36" t="str">
        <f>IF(B335="","",BOM!G335&amp;"")</f>
        <v/>
      </c>
      <c r="N335" s="36" t="str">
        <f t="shared" si="29"/>
        <v/>
      </c>
    </row>
    <row r="336" spans="1:14" x14ac:dyDescent="0.25">
      <c r="A336" s="35" t="str">
        <f t="shared" si="25"/>
        <v/>
      </c>
      <c r="B336" s="35" t="str">
        <f>IF(BOM!A336="","",BOM!A336)</f>
        <v/>
      </c>
      <c r="C336" s="35" t="str">
        <f>IF(B336="","",BOM!B336)</f>
        <v/>
      </c>
      <c r="D336" s="35" t="str">
        <f>IF(B336="","",IFERROR(INDEX(DM_NL!$B$5:$B$304,MATCH(C336,DM_NL!$A$5:$A$304,0)),""))</f>
        <v/>
      </c>
      <c r="E336" s="35" t="str">
        <f>IF(B336="","",IFERROR(INDEX(DM_NL!$C$5:$C$304,MATCH(C336,DM_NL!$A$5:$A$304,0)),""))</f>
        <v/>
      </c>
      <c r="F336" s="39" t="str">
        <f>IF(B336="","",SUMIFS(Mau15a!$F$11:$F$310,Mau15a!$B$11:$B$310,B336))</f>
        <v/>
      </c>
      <c r="G336" s="39" t="str">
        <f>IF(B336="","",IF(OR(M336="KXDDM",BOM!F336=""),0,BOM!F336))</f>
        <v/>
      </c>
      <c r="H336" s="39" t="str">
        <f t="shared" si="26"/>
        <v/>
      </c>
      <c r="I336" s="39" t="str">
        <f>IF(B336="","",SUMIFS(Mau15a!$H$11:$H$310,Mau15a!$B$11:$B$310,B336)+SUMIFS(Mau15a!$I$11:$I$310,Mau15a!$B$11:$B$310,B336)+SUMIFS(Mau15a!$J$11:$J$310,Mau15a!$B$11:$B$310,B336)-SUMIFS(Mau15a!$G$11:$G$310,Mau15a!$B$11:$B$310,B336))</f>
        <v/>
      </c>
      <c r="J336" s="39" t="str">
        <f t="shared" si="27"/>
        <v/>
      </c>
      <c r="K336" s="39" t="str">
        <f>IF(B336="","",(SUMIFS(Mau15a!$K$11:$K$310,Mau15a!$B$11:$B$310,B336)-SUMIFS(Mau15a!$E$11:$E$310,Mau15a!$B$11:$B$310,B336))*G336)</f>
        <v/>
      </c>
      <c r="L336" s="36" t="str">
        <f t="shared" si="28"/>
        <v/>
      </c>
      <c r="M336" s="36" t="str">
        <f>IF(B336="","",BOM!G336&amp;"")</f>
        <v/>
      </c>
      <c r="N336" s="36" t="str">
        <f t="shared" si="29"/>
        <v/>
      </c>
    </row>
    <row r="337" spans="1:14" x14ac:dyDescent="0.25">
      <c r="A337" s="35" t="str">
        <f t="shared" si="25"/>
        <v/>
      </c>
      <c r="B337" s="35" t="str">
        <f>IF(BOM!A337="","",BOM!A337)</f>
        <v/>
      </c>
      <c r="C337" s="35" t="str">
        <f>IF(B337="","",BOM!B337)</f>
        <v/>
      </c>
      <c r="D337" s="35" t="str">
        <f>IF(B337="","",IFERROR(INDEX(DM_NL!$B$5:$B$304,MATCH(C337,DM_NL!$A$5:$A$304,0)),""))</f>
        <v/>
      </c>
      <c r="E337" s="35" t="str">
        <f>IF(B337="","",IFERROR(INDEX(DM_NL!$C$5:$C$304,MATCH(C337,DM_NL!$A$5:$A$304,0)),""))</f>
        <v/>
      </c>
      <c r="F337" s="39" t="str">
        <f>IF(B337="","",SUMIFS(Mau15a!$F$11:$F$310,Mau15a!$B$11:$B$310,B337))</f>
        <v/>
      </c>
      <c r="G337" s="39" t="str">
        <f>IF(B337="","",IF(OR(M337="KXDDM",BOM!F337=""),0,BOM!F337))</f>
        <v/>
      </c>
      <c r="H337" s="39" t="str">
        <f t="shared" si="26"/>
        <v/>
      </c>
      <c r="I337" s="39" t="str">
        <f>IF(B337="","",SUMIFS(Mau15a!$H$11:$H$310,Mau15a!$B$11:$B$310,B337)+SUMIFS(Mau15a!$I$11:$I$310,Mau15a!$B$11:$B$310,B337)+SUMIFS(Mau15a!$J$11:$J$310,Mau15a!$B$11:$B$310,B337)-SUMIFS(Mau15a!$G$11:$G$310,Mau15a!$B$11:$B$310,B337))</f>
        <v/>
      </c>
      <c r="J337" s="39" t="str">
        <f t="shared" si="27"/>
        <v/>
      </c>
      <c r="K337" s="39" t="str">
        <f>IF(B337="","",(SUMIFS(Mau15a!$K$11:$K$310,Mau15a!$B$11:$B$310,B337)-SUMIFS(Mau15a!$E$11:$E$310,Mau15a!$B$11:$B$310,B337))*G337)</f>
        <v/>
      </c>
      <c r="L337" s="36" t="str">
        <f t="shared" si="28"/>
        <v/>
      </c>
      <c r="M337" s="36" t="str">
        <f>IF(B337="","",BOM!G337&amp;"")</f>
        <v/>
      </c>
      <c r="N337" s="36" t="str">
        <f t="shared" si="29"/>
        <v/>
      </c>
    </row>
    <row r="338" spans="1:14" x14ac:dyDescent="0.25">
      <c r="A338" s="35" t="str">
        <f t="shared" si="25"/>
        <v/>
      </c>
      <c r="B338" s="35" t="str">
        <f>IF(BOM!A338="","",BOM!A338)</f>
        <v/>
      </c>
      <c r="C338" s="35" t="str">
        <f>IF(B338="","",BOM!B338)</f>
        <v/>
      </c>
      <c r="D338" s="35" t="str">
        <f>IF(B338="","",IFERROR(INDEX(DM_NL!$B$5:$B$304,MATCH(C338,DM_NL!$A$5:$A$304,0)),""))</f>
        <v/>
      </c>
      <c r="E338" s="35" t="str">
        <f>IF(B338="","",IFERROR(INDEX(DM_NL!$C$5:$C$304,MATCH(C338,DM_NL!$A$5:$A$304,0)),""))</f>
        <v/>
      </c>
      <c r="F338" s="39" t="str">
        <f>IF(B338="","",SUMIFS(Mau15a!$F$11:$F$310,Mau15a!$B$11:$B$310,B338))</f>
        <v/>
      </c>
      <c r="G338" s="39" t="str">
        <f>IF(B338="","",IF(OR(M338="KXDDM",BOM!F338=""),0,BOM!F338))</f>
        <v/>
      </c>
      <c r="H338" s="39" t="str">
        <f t="shared" si="26"/>
        <v/>
      </c>
      <c r="I338" s="39" t="str">
        <f>IF(B338="","",SUMIFS(Mau15a!$H$11:$H$310,Mau15a!$B$11:$B$310,B338)+SUMIFS(Mau15a!$I$11:$I$310,Mau15a!$B$11:$B$310,B338)+SUMIFS(Mau15a!$J$11:$J$310,Mau15a!$B$11:$B$310,B338)-SUMIFS(Mau15a!$G$11:$G$310,Mau15a!$B$11:$B$310,B338))</f>
        <v/>
      </c>
      <c r="J338" s="39" t="str">
        <f t="shared" si="27"/>
        <v/>
      </c>
      <c r="K338" s="39" t="str">
        <f>IF(B338="","",(SUMIFS(Mau15a!$K$11:$K$310,Mau15a!$B$11:$B$310,B338)-SUMIFS(Mau15a!$E$11:$E$310,Mau15a!$B$11:$B$310,B338))*G338)</f>
        <v/>
      </c>
      <c r="L338" s="36" t="str">
        <f t="shared" si="28"/>
        <v/>
      </c>
      <c r="M338" s="36" t="str">
        <f>IF(B338="","",BOM!G338&amp;"")</f>
        <v/>
      </c>
      <c r="N338" s="36" t="str">
        <f t="shared" si="29"/>
        <v/>
      </c>
    </row>
    <row r="339" spans="1:14" x14ac:dyDescent="0.25">
      <c r="A339" s="35" t="str">
        <f t="shared" si="25"/>
        <v/>
      </c>
      <c r="B339" s="35" t="str">
        <f>IF(BOM!A339="","",BOM!A339)</f>
        <v/>
      </c>
      <c r="C339" s="35" t="str">
        <f>IF(B339="","",BOM!B339)</f>
        <v/>
      </c>
      <c r="D339" s="35" t="str">
        <f>IF(B339="","",IFERROR(INDEX(DM_NL!$B$5:$B$304,MATCH(C339,DM_NL!$A$5:$A$304,0)),""))</f>
        <v/>
      </c>
      <c r="E339" s="35" t="str">
        <f>IF(B339="","",IFERROR(INDEX(DM_NL!$C$5:$C$304,MATCH(C339,DM_NL!$A$5:$A$304,0)),""))</f>
        <v/>
      </c>
      <c r="F339" s="39" t="str">
        <f>IF(B339="","",SUMIFS(Mau15a!$F$11:$F$310,Mau15a!$B$11:$B$310,B339))</f>
        <v/>
      </c>
      <c r="G339" s="39" t="str">
        <f>IF(B339="","",IF(OR(M339="KXDDM",BOM!F339=""),0,BOM!F339))</f>
        <v/>
      </c>
      <c r="H339" s="39" t="str">
        <f t="shared" si="26"/>
        <v/>
      </c>
      <c r="I339" s="39" t="str">
        <f>IF(B339="","",SUMIFS(Mau15a!$H$11:$H$310,Mau15a!$B$11:$B$310,B339)+SUMIFS(Mau15a!$I$11:$I$310,Mau15a!$B$11:$B$310,B339)+SUMIFS(Mau15a!$J$11:$J$310,Mau15a!$B$11:$B$310,B339)-SUMIFS(Mau15a!$G$11:$G$310,Mau15a!$B$11:$B$310,B339))</f>
        <v/>
      </c>
      <c r="J339" s="39" t="str">
        <f t="shared" si="27"/>
        <v/>
      </c>
      <c r="K339" s="39" t="str">
        <f>IF(B339="","",(SUMIFS(Mau15a!$K$11:$K$310,Mau15a!$B$11:$B$310,B339)-SUMIFS(Mau15a!$E$11:$E$310,Mau15a!$B$11:$B$310,B339))*G339)</f>
        <v/>
      </c>
      <c r="L339" s="36" t="str">
        <f t="shared" si="28"/>
        <v/>
      </c>
      <c r="M339" s="36" t="str">
        <f>IF(B339="","",BOM!G339&amp;"")</f>
        <v/>
      </c>
      <c r="N339" s="36" t="str">
        <f t="shared" si="29"/>
        <v/>
      </c>
    </row>
    <row r="340" spans="1:14" x14ac:dyDescent="0.25">
      <c r="A340" s="35" t="str">
        <f t="shared" si="25"/>
        <v/>
      </c>
      <c r="B340" s="35" t="str">
        <f>IF(BOM!A340="","",BOM!A340)</f>
        <v/>
      </c>
      <c r="C340" s="35" t="str">
        <f>IF(B340="","",BOM!B340)</f>
        <v/>
      </c>
      <c r="D340" s="35" t="str">
        <f>IF(B340="","",IFERROR(INDEX(DM_NL!$B$5:$B$304,MATCH(C340,DM_NL!$A$5:$A$304,0)),""))</f>
        <v/>
      </c>
      <c r="E340" s="35" t="str">
        <f>IF(B340="","",IFERROR(INDEX(DM_NL!$C$5:$C$304,MATCH(C340,DM_NL!$A$5:$A$304,0)),""))</f>
        <v/>
      </c>
      <c r="F340" s="39" t="str">
        <f>IF(B340="","",SUMIFS(Mau15a!$F$11:$F$310,Mau15a!$B$11:$B$310,B340))</f>
        <v/>
      </c>
      <c r="G340" s="39" t="str">
        <f>IF(B340="","",IF(OR(M340="KXDDM",BOM!F340=""),0,BOM!F340))</f>
        <v/>
      </c>
      <c r="H340" s="39" t="str">
        <f t="shared" si="26"/>
        <v/>
      </c>
      <c r="I340" s="39" t="str">
        <f>IF(B340="","",SUMIFS(Mau15a!$H$11:$H$310,Mau15a!$B$11:$B$310,B340)+SUMIFS(Mau15a!$I$11:$I$310,Mau15a!$B$11:$B$310,B340)+SUMIFS(Mau15a!$J$11:$J$310,Mau15a!$B$11:$B$310,B340)-SUMIFS(Mau15a!$G$11:$G$310,Mau15a!$B$11:$B$310,B340))</f>
        <v/>
      </c>
      <c r="J340" s="39" t="str">
        <f t="shared" si="27"/>
        <v/>
      </c>
      <c r="K340" s="39" t="str">
        <f>IF(B340="","",(SUMIFS(Mau15a!$K$11:$K$310,Mau15a!$B$11:$B$310,B340)-SUMIFS(Mau15a!$E$11:$E$310,Mau15a!$B$11:$B$310,B340))*G340)</f>
        <v/>
      </c>
      <c r="L340" s="36" t="str">
        <f t="shared" si="28"/>
        <v/>
      </c>
      <c r="M340" s="36" t="str">
        <f>IF(B340="","",BOM!G340&amp;"")</f>
        <v/>
      </c>
      <c r="N340" s="36" t="str">
        <f t="shared" si="29"/>
        <v/>
      </c>
    </row>
    <row r="341" spans="1:14" x14ac:dyDescent="0.25">
      <c r="A341" s="35" t="str">
        <f t="shared" si="25"/>
        <v/>
      </c>
      <c r="B341" s="35" t="str">
        <f>IF(BOM!A341="","",BOM!A341)</f>
        <v/>
      </c>
      <c r="C341" s="35" t="str">
        <f>IF(B341="","",BOM!B341)</f>
        <v/>
      </c>
      <c r="D341" s="35" t="str">
        <f>IF(B341="","",IFERROR(INDEX(DM_NL!$B$5:$B$304,MATCH(C341,DM_NL!$A$5:$A$304,0)),""))</f>
        <v/>
      </c>
      <c r="E341" s="35" t="str">
        <f>IF(B341="","",IFERROR(INDEX(DM_NL!$C$5:$C$304,MATCH(C341,DM_NL!$A$5:$A$304,0)),""))</f>
        <v/>
      </c>
      <c r="F341" s="39" t="str">
        <f>IF(B341="","",SUMIFS(Mau15a!$F$11:$F$310,Mau15a!$B$11:$B$310,B341))</f>
        <v/>
      </c>
      <c r="G341" s="39" t="str">
        <f>IF(B341="","",IF(OR(M341="KXDDM",BOM!F341=""),0,BOM!F341))</f>
        <v/>
      </c>
      <c r="H341" s="39" t="str">
        <f t="shared" si="26"/>
        <v/>
      </c>
      <c r="I341" s="39" t="str">
        <f>IF(B341="","",SUMIFS(Mau15a!$H$11:$H$310,Mau15a!$B$11:$B$310,B341)+SUMIFS(Mau15a!$I$11:$I$310,Mau15a!$B$11:$B$310,B341)+SUMIFS(Mau15a!$J$11:$J$310,Mau15a!$B$11:$B$310,B341)-SUMIFS(Mau15a!$G$11:$G$310,Mau15a!$B$11:$B$310,B341))</f>
        <v/>
      </c>
      <c r="J341" s="39" t="str">
        <f t="shared" si="27"/>
        <v/>
      </c>
      <c r="K341" s="39" t="str">
        <f>IF(B341="","",(SUMIFS(Mau15a!$K$11:$K$310,Mau15a!$B$11:$B$310,B341)-SUMIFS(Mau15a!$E$11:$E$310,Mau15a!$B$11:$B$310,B341))*G341)</f>
        <v/>
      </c>
      <c r="L341" s="36" t="str">
        <f t="shared" si="28"/>
        <v/>
      </c>
      <c r="M341" s="36" t="str">
        <f>IF(B341="","",BOM!G341&amp;"")</f>
        <v/>
      </c>
      <c r="N341" s="36" t="str">
        <f t="shared" si="29"/>
        <v/>
      </c>
    </row>
    <row r="342" spans="1:14" x14ac:dyDescent="0.25">
      <c r="A342" s="35" t="str">
        <f t="shared" si="25"/>
        <v/>
      </c>
      <c r="B342" s="35" t="str">
        <f>IF(BOM!A342="","",BOM!A342)</f>
        <v/>
      </c>
      <c r="C342" s="35" t="str">
        <f>IF(B342="","",BOM!B342)</f>
        <v/>
      </c>
      <c r="D342" s="35" t="str">
        <f>IF(B342="","",IFERROR(INDEX(DM_NL!$B$5:$B$304,MATCH(C342,DM_NL!$A$5:$A$304,0)),""))</f>
        <v/>
      </c>
      <c r="E342" s="35" t="str">
        <f>IF(B342="","",IFERROR(INDEX(DM_NL!$C$5:$C$304,MATCH(C342,DM_NL!$A$5:$A$304,0)),""))</f>
        <v/>
      </c>
      <c r="F342" s="39" t="str">
        <f>IF(B342="","",SUMIFS(Mau15a!$F$11:$F$310,Mau15a!$B$11:$B$310,B342))</f>
        <v/>
      </c>
      <c r="G342" s="39" t="str">
        <f>IF(B342="","",IF(OR(M342="KXDDM",BOM!F342=""),0,BOM!F342))</f>
        <v/>
      </c>
      <c r="H342" s="39" t="str">
        <f t="shared" si="26"/>
        <v/>
      </c>
      <c r="I342" s="39" t="str">
        <f>IF(B342="","",SUMIFS(Mau15a!$H$11:$H$310,Mau15a!$B$11:$B$310,B342)+SUMIFS(Mau15a!$I$11:$I$310,Mau15a!$B$11:$B$310,B342)+SUMIFS(Mau15a!$J$11:$J$310,Mau15a!$B$11:$B$310,B342)-SUMIFS(Mau15a!$G$11:$G$310,Mau15a!$B$11:$B$310,B342))</f>
        <v/>
      </c>
      <c r="J342" s="39" t="str">
        <f t="shared" si="27"/>
        <v/>
      </c>
      <c r="K342" s="39" t="str">
        <f>IF(B342="","",(SUMIFS(Mau15a!$K$11:$K$310,Mau15a!$B$11:$B$310,B342)-SUMIFS(Mau15a!$E$11:$E$310,Mau15a!$B$11:$B$310,B342))*G342)</f>
        <v/>
      </c>
      <c r="L342" s="36" t="str">
        <f t="shared" si="28"/>
        <v/>
      </c>
      <c r="M342" s="36" t="str">
        <f>IF(B342="","",BOM!G342&amp;"")</f>
        <v/>
      </c>
      <c r="N342" s="36" t="str">
        <f t="shared" si="29"/>
        <v/>
      </c>
    </row>
    <row r="343" spans="1:14" x14ac:dyDescent="0.25">
      <c r="A343" s="35" t="str">
        <f t="shared" si="25"/>
        <v/>
      </c>
      <c r="B343" s="35" t="str">
        <f>IF(BOM!A343="","",BOM!A343)</f>
        <v/>
      </c>
      <c r="C343" s="35" t="str">
        <f>IF(B343="","",BOM!B343)</f>
        <v/>
      </c>
      <c r="D343" s="35" t="str">
        <f>IF(B343="","",IFERROR(INDEX(DM_NL!$B$5:$B$304,MATCH(C343,DM_NL!$A$5:$A$304,0)),""))</f>
        <v/>
      </c>
      <c r="E343" s="35" t="str">
        <f>IF(B343="","",IFERROR(INDEX(DM_NL!$C$5:$C$304,MATCH(C343,DM_NL!$A$5:$A$304,0)),""))</f>
        <v/>
      </c>
      <c r="F343" s="39" t="str">
        <f>IF(B343="","",SUMIFS(Mau15a!$F$11:$F$310,Mau15a!$B$11:$B$310,B343))</f>
        <v/>
      </c>
      <c r="G343" s="39" t="str">
        <f>IF(B343="","",IF(OR(M343="KXDDM",BOM!F343=""),0,BOM!F343))</f>
        <v/>
      </c>
      <c r="H343" s="39" t="str">
        <f t="shared" si="26"/>
        <v/>
      </c>
      <c r="I343" s="39" t="str">
        <f>IF(B343="","",SUMIFS(Mau15a!$H$11:$H$310,Mau15a!$B$11:$B$310,B343)+SUMIFS(Mau15a!$I$11:$I$310,Mau15a!$B$11:$B$310,B343)+SUMIFS(Mau15a!$J$11:$J$310,Mau15a!$B$11:$B$310,B343)-SUMIFS(Mau15a!$G$11:$G$310,Mau15a!$B$11:$B$310,B343))</f>
        <v/>
      </c>
      <c r="J343" s="39" t="str">
        <f t="shared" si="27"/>
        <v/>
      </c>
      <c r="K343" s="39" t="str">
        <f>IF(B343="","",(SUMIFS(Mau15a!$K$11:$K$310,Mau15a!$B$11:$B$310,B343)-SUMIFS(Mau15a!$E$11:$E$310,Mau15a!$B$11:$B$310,B343))*G343)</f>
        <v/>
      </c>
      <c r="L343" s="36" t="str">
        <f t="shared" si="28"/>
        <v/>
      </c>
      <c r="M343" s="36" t="str">
        <f>IF(B343="","",BOM!G343&amp;"")</f>
        <v/>
      </c>
      <c r="N343" s="36" t="str">
        <f t="shared" si="29"/>
        <v/>
      </c>
    </row>
    <row r="344" spans="1:14" x14ac:dyDescent="0.25">
      <c r="A344" s="35" t="str">
        <f t="shared" si="25"/>
        <v/>
      </c>
      <c r="B344" s="35" t="str">
        <f>IF(BOM!A344="","",BOM!A344)</f>
        <v/>
      </c>
      <c r="C344" s="35" t="str">
        <f>IF(B344="","",BOM!B344)</f>
        <v/>
      </c>
      <c r="D344" s="35" t="str">
        <f>IF(B344="","",IFERROR(INDEX(DM_NL!$B$5:$B$304,MATCH(C344,DM_NL!$A$5:$A$304,0)),""))</f>
        <v/>
      </c>
      <c r="E344" s="35" t="str">
        <f>IF(B344="","",IFERROR(INDEX(DM_NL!$C$5:$C$304,MATCH(C344,DM_NL!$A$5:$A$304,0)),""))</f>
        <v/>
      </c>
      <c r="F344" s="39" t="str">
        <f>IF(B344="","",SUMIFS(Mau15a!$F$11:$F$310,Mau15a!$B$11:$B$310,B344))</f>
        <v/>
      </c>
      <c r="G344" s="39" t="str">
        <f>IF(B344="","",IF(OR(M344="KXDDM",BOM!F344=""),0,BOM!F344))</f>
        <v/>
      </c>
      <c r="H344" s="39" t="str">
        <f t="shared" si="26"/>
        <v/>
      </c>
      <c r="I344" s="39" t="str">
        <f>IF(B344="","",SUMIFS(Mau15a!$H$11:$H$310,Mau15a!$B$11:$B$310,B344)+SUMIFS(Mau15a!$I$11:$I$310,Mau15a!$B$11:$B$310,B344)+SUMIFS(Mau15a!$J$11:$J$310,Mau15a!$B$11:$B$310,B344)-SUMIFS(Mau15a!$G$11:$G$310,Mau15a!$B$11:$B$310,B344))</f>
        <v/>
      </c>
      <c r="J344" s="39" t="str">
        <f t="shared" si="27"/>
        <v/>
      </c>
      <c r="K344" s="39" t="str">
        <f>IF(B344="","",(SUMIFS(Mau15a!$K$11:$K$310,Mau15a!$B$11:$B$310,B344)-SUMIFS(Mau15a!$E$11:$E$310,Mau15a!$B$11:$B$310,B344))*G344)</f>
        <v/>
      </c>
      <c r="L344" s="36" t="str">
        <f t="shared" si="28"/>
        <v/>
      </c>
      <c r="M344" s="36" t="str">
        <f>IF(B344="","",BOM!G344&amp;"")</f>
        <v/>
      </c>
      <c r="N344" s="36" t="str">
        <f t="shared" si="29"/>
        <v/>
      </c>
    </row>
    <row r="345" spans="1:14" x14ac:dyDescent="0.25">
      <c r="A345" s="35" t="str">
        <f t="shared" si="25"/>
        <v/>
      </c>
      <c r="B345" s="35" t="str">
        <f>IF(BOM!A345="","",BOM!A345)</f>
        <v/>
      </c>
      <c r="C345" s="35" t="str">
        <f>IF(B345="","",BOM!B345)</f>
        <v/>
      </c>
      <c r="D345" s="35" t="str">
        <f>IF(B345="","",IFERROR(INDEX(DM_NL!$B$5:$B$304,MATCH(C345,DM_NL!$A$5:$A$304,0)),""))</f>
        <v/>
      </c>
      <c r="E345" s="35" t="str">
        <f>IF(B345="","",IFERROR(INDEX(DM_NL!$C$5:$C$304,MATCH(C345,DM_NL!$A$5:$A$304,0)),""))</f>
        <v/>
      </c>
      <c r="F345" s="39" t="str">
        <f>IF(B345="","",SUMIFS(Mau15a!$F$11:$F$310,Mau15a!$B$11:$B$310,B345))</f>
        <v/>
      </c>
      <c r="G345" s="39" t="str">
        <f>IF(B345="","",IF(OR(M345="KXDDM",BOM!F345=""),0,BOM!F345))</f>
        <v/>
      </c>
      <c r="H345" s="39" t="str">
        <f t="shared" si="26"/>
        <v/>
      </c>
      <c r="I345" s="39" t="str">
        <f>IF(B345="","",SUMIFS(Mau15a!$H$11:$H$310,Mau15a!$B$11:$B$310,B345)+SUMIFS(Mau15a!$I$11:$I$310,Mau15a!$B$11:$B$310,B345)+SUMIFS(Mau15a!$J$11:$J$310,Mau15a!$B$11:$B$310,B345)-SUMIFS(Mau15a!$G$11:$G$310,Mau15a!$B$11:$B$310,B345))</f>
        <v/>
      </c>
      <c r="J345" s="39" t="str">
        <f t="shared" si="27"/>
        <v/>
      </c>
      <c r="K345" s="39" t="str">
        <f>IF(B345="","",(SUMIFS(Mau15a!$K$11:$K$310,Mau15a!$B$11:$B$310,B345)-SUMIFS(Mau15a!$E$11:$E$310,Mau15a!$B$11:$B$310,B345))*G345)</f>
        <v/>
      </c>
      <c r="L345" s="36" t="str">
        <f t="shared" si="28"/>
        <v/>
      </c>
      <c r="M345" s="36" t="str">
        <f>IF(B345="","",BOM!G345&amp;"")</f>
        <v/>
      </c>
      <c r="N345" s="36" t="str">
        <f t="shared" si="29"/>
        <v/>
      </c>
    </row>
    <row r="346" spans="1:14" x14ac:dyDescent="0.25">
      <c r="A346" s="35" t="str">
        <f t="shared" si="25"/>
        <v/>
      </c>
      <c r="B346" s="35" t="str">
        <f>IF(BOM!A346="","",BOM!A346)</f>
        <v/>
      </c>
      <c r="C346" s="35" t="str">
        <f>IF(B346="","",BOM!B346)</f>
        <v/>
      </c>
      <c r="D346" s="35" t="str">
        <f>IF(B346="","",IFERROR(INDEX(DM_NL!$B$5:$B$304,MATCH(C346,DM_NL!$A$5:$A$304,0)),""))</f>
        <v/>
      </c>
      <c r="E346" s="35" t="str">
        <f>IF(B346="","",IFERROR(INDEX(DM_NL!$C$5:$C$304,MATCH(C346,DM_NL!$A$5:$A$304,0)),""))</f>
        <v/>
      </c>
      <c r="F346" s="39" t="str">
        <f>IF(B346="","",SUMIFS(Mau15a!$F$11:$F$310,Mau15a!$B$11:$B$310,B346))</f>
        <v/>
      </c>
      <c r="G346" s="39" t="str">
        <f>IF(B346="","",IF(OR(M346="KXDDM",BOM!F346=""),0,BOM!F346))</f>
        <v/>
      </c>
      <c r="H346" s="39" t="str">
        <f t="shared" si="26"/>
        <v/>
      </c>
      <c r="I346" s="39" t="str">
        <f>IF(B346="","",SUMIFS(Mau15a!$H$11:$H$310,Mau15a!$B$11:$B$310,B346)+SUMIFS(Mau15a!$I$11:$I$310,Mau15a!$B$11:$B$310,B346)+SUMIFS(Mau15a!$J$11:$J$310,Mau15a!$B$11:$B$310,B346)-SUMIFS(Mau15a!$G$11:$G$310,Mau15a!$B$11:$B$310,B346))</f>
        <v/>
      </c>
      <c r="J346" s="39" t="str">
        <f t="shared" si="27"/>
        <v/>
      </c>
      <c r="K346" s="39" t="str">
        <f>IF(B346="","",(SUMIFS(Mau15a!$K$11:$K$310,Mau15a!$B$11:$B$310,B346)-SUMIFS(Mau15a!$E$11:$E$310,Mau15a!$B$11:$B$310,B346))*G346)</f>
        <v/>
      </c>
      <c r="L346" s="36" t="str">
        <f t="shared" si="28"/>
        <v/>
      </c>
      <c r="M346" s="36" t="str">
        <f>IF(B346="","",BOM!G346&amp;"")</f>
        <v/>
      </c>
      <c r="N346" s="36" t="str">
        <f t="shared" si="29"/>
        <v/>
      </c>
    </row>
    <row r="347" spans="1:14" x14ac:dyDescent="0.25">
      <c r="A347" s="35" t="str">
        <f t="shared" si="25"/>
        <v/>
      </c>
      <c r="B347" s="35" t="str">
        <f>IF(BOM!A347="","",BOM!A347)</f>
        <v/>
      </c>
      <c r="C347" s="35" t="str">
        <f>IF(B347="","",BOM!B347)</f>
        <v/>
      </c>
      <c r="D347" s="35" t="str">
        <f>IF(B347="","",IFERROR(INDEX(DM_NL!$B$5:$B$304,MATCH(C347,DM_NL!$A$5:$A$304,0)),""))</f>
        <v/>
      </c>
      <c r="E347" s="35" t="str">
        <f>IF(B347="","",IFERROR(INDEX(DM_NL!$C$5:$C$304,MATCH(C347,DM_NL!$A$5:$A$304,0)),""))</f>
        <v/>
      </c>
      <c r="F347" s="39" t="str">
        <f>IF(B347="","",SUMIFS(Mau15a!$F$11:$F$310,Mau15a!$B$11:$B$310,B347))</f>
        <v/>
      </c>
      <c r="G347" s="39" t="str">
        <f>IF(B347="","",IF(OR(M347="KXDDM",BOM!F347=""),0,BOM!F347))</f>
        <v/>
      </c>
      <c r="H347" s="39" t="str">
        <f t="shared" si="26"/>
        <v/>
      </c>
      <c r="I347" s="39" t="str">
        <f>IF(B347="","",SUMIFS(Mau15a!$H$11:$H$310,Mau15a!$B$11:$B$310,B347)+SUMIFS(Mau15a!$I$11:$I$310,Mau15a!$B$11:$B$310,B347)+SUMIFS(Mau15a!$J$11:$J$310,Mau15a!$B$11:$B$310,B347)-SUMIFS(Mau15a!$G$11:$G$310,Mau15a!$B$11:$B$310,B347))</f>
        <v/>
      </c>
      <c r="J347" s="39" t="str">
        <f t="shared" si="27"/>
        <v/>
      </c>
      <c r="K347" s="39" t="str">
        <f>IF(B347="","",(SUMIFS(Mau15a!$K$11:$K$310,Mau15a!$B$11:$B$310,B347)-SUMIFS(Mau15a!$E$11:$E$310,Mau15a!$B$11:$B$310,B347))*G347)</f>
        <v/>
      </c>
      <c r="L347" s="36" t="str">
        <f t="shared" si="28"/>
        <v/>
      </c>
      <c r="M347" s="36" t="str">
        <f>IF(B347="","",BOM!G347&amp;"")</f>
        <v/>
      </c>
      <c r="N347" s="36" t="str">
        <f t="shared" si="29"/>
        <v/>
      </c>
    </row>
    <row r="348" spans="1:14" x14ac:dyDescent="0.25">
      <c r="A348" s="35" t="str">
        <f t="shared" si="25"/>
        <v/>
      </c>
      <c r="B348" s="35" t="str">
        <f>IF(BOM!A348="","",BOM!A348)</f>
        <v/>
      </c>
      <c r="C348" s="35" t="str">
        <f>IF(B348="","",BOM!B348)</f>
        <v/>
      </c>
      <c r="D348" s="35" t="str">
        <f>IF(B348="","",IFERROR(INDEX(DM_NL!$B$5:$B$304,MATCH(C348,DM_NL!$A$5:$A$304,0)),""))</f>
        <v/>
      </c>
      <c r="E348" s="35" t="str">
        <f>IF(B348="","",IFERROR(INDEX(DM_NL!$C$5:$C$304,MATCH(C348,DM_NL!$A$5:$A$304,0)),""))</f>
        <v/>
      </c>
      <c r="F348" s="39" t="str">
        <f>IF(B348="","",SUMIFS(Mau15a!$F$11:$F$310,Mau15a!$B$11:$B$310,B348))</f>
        <v/>
      </c>
      <c r="G348" s="39" t="str">
        <f>IF(B348="","",IF(OR(M348="KXDDM",BOM!F348=""),0,BOM!F348))</f>
        <v/>
      </c>
      <c r="H348" s="39" t="str">
        <f t="shared" si="26"/>
        <v/>
      </c>
      <c r="I348" s="39" t="str">
        <f>IF(B348="","",SUMIFS(Mau15a!$H$11:$H$310,Mau15a!$B$11:$B$310,B348)+SUMIFS(Mau15a!$I$11:$I$310,Mau15a!$B$11:$B$310,B348)+SUMIFS(Mau15a!$J$11:$J$310,Mau15a!$B$11:$B$310,B348)-SUMIFS(Mau15a!$G$11:$G$310,Mau15a!$B$11:$B$310,B348))</f>
        <v/>
      </c>
      <c r="J348" s="39" t="str">
        <f t="shared" si="27"/>
        <v/>
      </c>
      <c r="K348" s="39" t="str">
        <f>IF(B348="","",(SUMIFS(Mau15a!$K$11:$K$310,Mau15a!$B$11:$B$310,B348)-SUMIFS(Mau15a!$E$11:$E$310,Mau15a!$B$11:$B$310,B348))*G348)</f>
        <v/>
      </c>
      <c r="L348" s="36" t="str">
        <f t="shared" si="28"/>
        <v/>
      </c>
      <c r="M348" s="36" t="str">
        <f>IF(B348="","",BOM!G348&amp;"")</f>
        <v/>
      </c>
      <c r="N348" s="36" t="str">
        <f t="shared" si="29"/>
        <v/>
      </c>
    </row>
    <row r="349" spans="1:14" x14ac:dyDescent="0.25">
      <c r="A349" s="35" t="str">
        <f t="shared" si="25"/>
        <v/>
      </c>
      <c r="B349" s="35" t="str">
        <f>IF(BOM!A349="","",BOM!A349)</f>
        <v/>
      </c>
      <c r="C349" s="35" t="str">
        <f>IF(B349="","",BOM!B349)</f>
        <v/>
      </c>
      <c r="D349" s="35" t="str">
        <f>IF(B349="","",IFERROR(INDEX(DM_NL!$B$5:$B$304,MATCH(C349,DM_NL!$A$5:$A$304,0)),""))</f>
        <v/>
      </c>
      <c r="E349" s="35" t="str">
        <f>IF(B349="","",IFERROR(INDEX(DM_NL!$C$5:$C$304,MATCH(C349,DM_NL!$A$5:$A$304,0)),""))</f>
        <v/>
      </c>
      <c r="F349" s="39" t="str">
        <f>IF(B349="","",SUMIFS(Mau15a!$F$11:$F$310,Mau15a!$B$11:$B$310,B349))</f>
        <v/>
      </c>
      <c r="G349" s="39" t="str">
        <f>IF(B349="","",IF(OR(M349="KXDDM",BOM!F349=""),0,BOM!F349))</f>
        <v/>
      </c>
      <c r="H349" s="39" t="str">
        <f t="shared" si="26"/>
        <v/>
      </c>
      <c r="I349" s="39" t="str">
        <f>IF(B349="","",SUMIFS(Mau15a!$H$11:$H$310,Mau15a!$B$11:$B$310,B349)+SUMIFS(Mau15a!$I$11:$I$310,Mau15a!$B$11:$B$310,B349)+SUMIFS(Mau15a!$J$11:$J$310,Mau15a!$B$11:$B$310,B349)-SUMIFS(Mau15a!$G$11:$G$310,Mau15a!$B$11:$B$310,B349))</f>
        <v/>
      </c>
      <c r="J349" s="39" t="str">
        <f t="shared" si="27"/>
        <v/>
      </c>
      <c r="K349" s="39" t="str">
        <f>IF(B349="","",(SUMIFS(Mau15a!$K$11:$K$310,Mau15a!$B$11:$B$310,B349)-SUMIFS(Mau15a!$E$11:$E$310,Mau15a!$B$11:$B$310,B349))*G349)</f>
        <v/>
      </c>
      <c r="L349" s="36" t="str">
        <f t="shared" si="28"/>
        <v/>
      </c>
      <c r="M349" s="36" t="str">
        <f>IF(B349="","",BOM!G349&amp;"")</f>
        <v/>
      </c>
      <c r="N349" s="36" t="str">
        <f t="shared" si="29"/>
        <v/>
      </c>
    </row>
    <row r="350" spans="1:14" x14ac:dyDescent="0.25">
      <c r="A350" s="35" t="str">
        <f t="shared" si="25"/>
        <v/>
      </c>
      <c r="B350" s="35" t="str">
        <f>IF(BOM!A350="","",BOM!A350)</f>
        <v/>
      </c>
      <c r="C350" s="35" t="str">
        <f>IF(B350="","",BOM!B350)</f>
        <v/>
      </c>
      <c r="D350" s="35" t="str">
        <f>IF(B350="","",IFERROR(INDEX(DM_NL!$B$5:$B$304,MATCH(C350,DM_NL!$A$5:$A$304,0)),""))</f>
        <v/>
      </c>
      <c r="E350" s="35" t="str">
        <f>IF(B350="","",IFERROR(INDEX(DM_NL!$C$5:$C$304,MATCH(C350,DM_NL!$A$5:$A$304,0)),""))</f>
        <v/>
      </c>
      <c r="F350" s="39" t="str">
        <f>IF(B350="","",SUMIFS(Mau15a!$F$11:$F$310,Mau15a!$B$11:$B$310,B350))</f>
        <v/>
      </c>
      <c r="G350" s="39" t="str">
        <f>IF(B350="","",IF(OR(M350="KXDDM",BOM!F350=""),0,BOM!F350))</f>
        <v/>
      </c>
      <c r="H350" s="39" t="str">
        <f t="shared" si="26"/>
        <v/>
      </c>
      <c r="I350" s="39" t="str">
        <f>IF(B350="","",SUMIFS(Mau15a!$H$11:$H$310,Mau15a!$B$11:$B$310,B350)+SUMIFS(Mau15a!$I$11:$I$310,Mau15a!$B$11:$B$310,B350)+SUMIFS(Mau15a!$J$11:$J$310,Mau15a!$B$11:$B$310,B350)-SUMIFS(Mau15a!$G$11:$G$310,Mau15a!$B$11:$B$310,B350))</f>
        <v/>
      </c>
      <c r="J350" s="39" t="str">
        <f t="shared" si="27"/>
        <v/>
      </c>
      <c r="K350" s="39" t="str">
        <f>IF(B350="","",(SUMIFS(Mau15a!$K$11:$K$310,Mau15a!$B$11:$B$310,B350)-SUMIFS(Mau15a!$E$11:$E$310,Mau15a!$B$11:$B$310,B350))*G350)</f>
        <v/>
      </c>
      <c r="L350" s="36" t="str">
        <f t="shared" si="28"/>
        <v/>
      </c>
      <c r="M350" s="36" t="str">
        <f>IF(B350="","",BOM!G350&amp;"")</f>
        <v/>
      </c>
      <c r="N350" s="36" t="str">
        <f t="shared" si="29"/>
        <v/>
      </c>
    </row>
    <row r="351" spans="1:14" x14ac:dyDescent="0.25">
      <c r="A351" s="35" t="str">
        <f t="shared" si="25"/>
        <v/>
      </c>
      <c r="B351" s="35" t="str">
        <f>IF(BOM!A351="","",BOM!A351)</f>
        <v/>
      </c>
      <c r="C351" s="35" t="str">
        <f>IF(B351="","",BOM!B351)</f>
        <v/>
      </c>
      <c r="D351" s="35" t="str">
        <f>IF(B351="","",IFERROR(INDEX(DM_NL!$B$5:$B$304,MATCH(C351,DM_NL!$A$5:$A$304,0)),""))</f>
        <v/>
      </c>
      <c r="E351" s="35" t="str">
        <f>IF(B351="","",IFERROR(INDEX(DM_NL!$C$5:$C$304,MATCH(C351,DM_NL!$A$5:$A$304,0)),""))</f>
        <v/>
      </c>
      <c r="F351" s="39" t="str">
        <f>IF(B351="","",SUMIFS(Mau15a!$F$11:$F$310,Mau15a!$B$11:$B$310,B351))</f>
        <v/>
      </c>
      <c r="G351" s="39" t="str">
        <f>IF(B351="","",IF(OR(M351="KXDDM",BOM!F351=""),0,BOM!F351))</f>
        <v/>
      </c>
      <c r="H351" s="39" t="str">
        <f t="shared" si="26"/>
        <v/>
      </c>
      <c r="I351" s="39" t="str">
        <f>IF(B351="","",SUMIFS(Mau15a!$H$11:$H$310,Mau15a!$B$11:$B$310,B351)+SUMIFS(Mau15a!$I$11:$I$310,Mau15a!$B$11:$B$310,B351)+SUMIFS(Mau15a!$J$11:$J$310,Mau15a!$B$11:$B$310,B351)-SUMIFS(Mau15a!$G$11:$G$310,Mau15a!$B$11:$B$310,B351))</f>
        <v/>
      </c>
      <c r="J351" s="39" t="str">
        <f t="shared" si="27"/>
        <v/>
      </c>
      <c r="K351" s="39" t="str">
        <f>IF(B351="","",(SUMIFS(Mau15a!$K$11:$K$310,Mau15a!$B$11:$B$310,B351)-SUMIFS(Mau15a!$E$11:$E$310,Mau15a!$B$11:$B$310,B351))*G351)</f>
        <v/>
      </c>
      <c r="L351" s="36" t="str">
        <f t="shared" si="28"/>
        <v/>
      </c>
      <c r="M351" s="36" t="str">
        <f>IF(B351="","",BOM!G351&amp;"")</f>
        <v/>
      </c>
      <c r="N351" s="36" t="str">
        <f t="shared" si="29"/>
        <v/>
      </c>
    </row>
    <row r="352" spans="1:14" x14ac:dyDescent="0.25">
      <c r="A352" s="35" t="str">
        <f t="shared" si="25"/>
        <v/>
      </c>
      <c r="B352" s="35" t="str">
        <f>IF(BOM!A352="","",BOM!A352)</f>
        <v/>
      </c>
      <c r="C352" s="35" t="str">
        <f>IF(B352="","",BOM!B352)</f>
        <v/>
      </c>
      <c r="D352" s="35" t="str">
        <f>IF(B352="","",IFERROR(INDEX(DM_NL!$B$5:$B$304,MATCH(C352,DM_NL!$A$5:$A$304,0)),""))</f>
        <v/>
      </c>
      <c r="E352" s="35" t="str">
        <f>IF(B352="","",IFERROR(INDEX(DM_NL!$C$5:$C$304,MATCH(C352,DM_NL!$A$5:$A$304,0)),""))</f>
        <v/>
      </c>
      <c r="F352" s="39" t="str">
        <f>IF(B352="","",SUMIFS(Mau15a!$F$11:$F$310,Mau15a!$B$11:$B$310,B352))</f>
        <v/>
      </c>
      <c r="G352" s="39" t="str">
        <f>IF(B352="","",IF(OR(M352="KXDDM",BOM!F352=""),0,BOM!F352))</f>
        <v/>
      </c>
      <c r="H352" s="39" t="str">
        <f t="shared" si="26"/>
        <v/>
      </c>
      <c r="I352" s="39" t="str">
        <f>IF(B352="","",SUMIFS(Mau15a!$H$11:$H$310,Mau15a!$B$11:$B$310,B352)+SUMIFS(Mau15a!$I$11:$I$310,Mau15a!$B$11:$B$310,B352)+SUMIFS(Mau15a!$J$11:$J$310,Mau15a!$B$11:$B$310,B352)-SUMIFS(Mau15a!$G$11:$G$310,Mau15a!$B$11:$B$310,B352))</f>
        <v/>
      </c>
      <c r="J352" s="39" t="str">
        <f t="shared" si="27"/>
        <v/>
      </c>
      <c r="K352" s="39" t="str">
        <f>IF(B352="","",(SUMIFS(Mau15a!$K$11:$K$310,Mau15a!$B$11:$B$310,B352)-SUMIFS(Mau15a!$E$11:$E$310,Mau15a!$B$11:$B$310,B352))*G352)</f>
        <v/>
      </c>
      <c r="L352" s="36" t="str">
        <f t="shared" si="28"/>
        <v/>
      </c>
      <c r="M352" s="36" t="str">
        <f>IF(B352="","",BOM!G352&amp;"")</f>
        <v/>
      </c>
      <c r="N352" s="36" t="str">
        <f t="shared" si="29"/>
        <v/>
      </c>
    </row>
    <row r="353" spans="1:14" x14ac:dyDescent="0.25">
      <c r="A353" s="35" t="str">
        <f t="shared" si="25"/>
        <v/>
      </c>
      <c r="B353" s="35" t="str">
        <f>IF(BOM!A353="","",BOM!A353)</f>
        <v/>
      </c>
      <c r="C353" s="35" t="str">
        <f>IF(B353="","",BOM!B353)</f>
        <v/>
      </c>
      <c r="D353" s="35" t="str">
        <f>IF(B353="","",IFERROR(INDEX(DM_NL!$B$5:$B$304,MATCH(C353,DM_NL!$A$5:$A$304,0)),""))</f>
        <v/>
      </c>
      <c r="E353" s="35" t="str">
        <f>IF(B353="","",IFERROR(INDEX(DM_NL!$C$5:$C$304,MATCH(C353,DM_NL!$A$5:$A$304,0)),""))</f>
        <v/>
      </c>
      <c r="F353" s="39" t="str">
        <f>IF(B353="","",SUMIFS(Mau15a!$F$11:$F$310,Mau15a!$B$11:$B$310,B353))</f>
        <v/>
      </c>
      <c r="G353" s="39" t="str">
        <f>IF(B353="","",IF(OR(M353="KXDDM",BOM!F353=""),0,BOM!F353))</f>
        <v/>
      </c>
      <c r="H353" s="39" t="str">
        <f t="shared" si="26"/>
        <v/>
      </c>
      <c r="I353" s="39" t="str">
        <f>IF(B353="","",SUMIFS(Mau15a!$H$11:$H$310,Mau15a!$B$11:$B$310,B353)+SUMIFS(Mau15a!$I$11:$I$310,Mau15a!$B$11:$B$310,B353)+SUMIFS(Mau15a!$J$11:$J$310,Mau15a!$B$11:$B$310,B353)-SUMIFS(Mau15a!$G$11:$G$310,Mau15a!$B$11:$B$310,B353))</f>
        <v/>
      </c>
      <c r="J353" s="39" t="str">
        <f t="shared" si="27"/>
        <v/>
      </c>
      <c r="K353" s="39" t="str">
        <f>IF(B353="","",(SUMIFS(Mau15a!$K$11:$K$310,Mau15a!$B$11:$B$310,B353)-SUMIFS(Mau15a!$E$11:$E$310,Mau15a!$B$11:$B$310,B353))*G353)</f>
        <v/>
      </c>
      <c r="L353" s="36" t="str">
        <f t="shared" si="28"/>
        <v/>
      </c>
      <c r="M353" s="36" t="str">
        <f>IF(B353="","",BOM!G353&amp;"")</f>
        <v/>
      </c>
      <c r="N353" s="36" t="str">
        <f t="shared" si="29"/>
        <v/>
      </c>
    </row>
    <row r="354" spans="1:14" x14ac:dyDescent="0.25">
      <c r="A354" s="35" t="str">
        <f t="shared" si="25"/>
        <v/>
      </c>
      <c r="B354" s="35" t="str">
        <f>IF(BOM!A354="","",BOM!A354)</f>
        <v/>
      </c>
      <c r="C354" s="35" t="str">
        <f>IF(B354="","",BOM!B354)</f>
        <v/>
      </c>
      <c r="D354" s="35" t="str">
        <f>IF(B354="","",IFERROR(INDEX(DM_NL!$B$5:$B$304,MATCH(C354,DM_NL!$A$5:$A$304,0)),""))</f>
        <v/>
      </c>
      <c r="E354" s="35" t="str">
        <f>IF(B354="","",IFERROR(INDEX(DM_NL!$C$5:$C$304,MATCH(C354,DM_NL!$A$5:$A$304,0)),""))</f>
        <v/>
      </c>
      <c r="F354" s="39" t="str">
        <f>IF(B354="","",SUMIFS(Mau15a!$F$11:$F$310,Mau15a!$B$11:$B$310,B354))</f>
        <v/>
      </c>
      <c r="G354" s="39" t="str">
        <f>IF(B354="","",IF(OR(M354="KXDDM",BOM!F354=""),0,BOM!F354))</f>
        <v/>
      </c>
      <c r="H354" s="39" t="str">
        <f t="shared" si="26"/>
        <v/>
      </c>
      <c r="I354" s="39" t="str">
        <f>IF(B354="","",SUMIFS(Mau15a!$H$11:$H$310,Mau15a!$B$11:$B$310,B354)+SUMIFS(Mau15a!$I$11:$I$310,Mau15a!$B$11:$B$310,B354)+SUMIFS(Mau15a!$J$11:$J$310,Mau15a!$B$11:$B$310,B354)-SUMIFS(Mau15a!$G$11:$G$310,Mau15a!$B$11:$B$310,B354))</f>
        <v/>
      </c>
      <c r="J354" s="39" t="str">
        <f t="shared" si="27"/>
        <v/>
      </c>
      <c r="K354" s="39" t="str">
        <f>IF(B354="","",(SUMIFS(Mau15a!$K$11:$K$310,Mau15a!$B$11:$B$310,B354)-SUMIFS(Mau15a!$E$11:$E$310,Mau15a!$B$11:$B$310,B354))*G354)</f>
        <v/>
      </c>
      <c r="L354" s="36" t="str">
        <f t="shared" si="28"/>
        <v/>
      </c>
      <c r="M354" s="36" t="str">
        <f>IF(B354="","",BOM!G354&amp;"")</f>
        <v/>
      </c>
      <c r="N354" s="36" t="str">
        <f t="shared" si="29"/>
        <v/>
      </c>
    </row>
    <row r="355" spans="1:14" x14ac:dyDescent="0.25">
      <c r="A355" s="35" t="str">
        <f t="shared" si="25"/>
        <v/>
      </c>
      <c r="B355" s="35" t="str">
        <f>IF(BOM!A355="","",BOM!A355)</f>
        <v/>
      </c>
      <c r="C355" s="35" t="str">
        <f>IF(B355="","",BOM!B355)</f>
        <v/>
      </c>
      <c r="D355" s="35" t="str">
        <f>IF(B355="","",IFERROR(INDEX(DM_NL!$B$5:$B$304,MATCH(C355,DM_NL!$A$5:$A$304,0)),""))</f>
        <v/>
      </c>
      <c r="E355" s="35" t="str">
        <f>IF(B355="","",IFERROR(INDEX(DM_NL!$C$5:$C$304,MATCH(C355,DM_NL!$A$5:$A$304,0)),""))</f>
        <v/>
      </c>
      <c r="F355" s="39" t="str">
        <f>IF(B355="","",SUMIFS(Mau15a!$F$11:$F$310,Mau15a!$B$11:$B$310,B355))</f>
        <v/>
      </c>
      <c r="G355" s="39" t="str">
        <f>IF(B355="","",IF(OR(M355="KXDDM",BOM!F355=""),0,BOM!F355))</f>
        <v/>
      </c>
      <c r="H355" s="39" t="str">
        <f t="shared" si="26"/>
        <v/>
      </c>
      <c r="I355" s="39" t="str">
        <f>IF(B355="","",SUMIFS(Mau15a!$H$11:$H$310,Mau15a!$B$11:$B$310,B355)+SUMIFS(Mau15a!$I$11:$I$310,Mau15a!$B$11:$B$310,B355)+SUMIFS(Mau15a!$J$11:$J$310,Mau15a!$B$11:$B$310,B355)-SUMIFS(Mau15a!$G$11:$G$310,Mau15a!$B$11:$B$310,B355))</f>
        <v/>
      </c>
      <c r="J355" s="39" t="str">
        <f t="shared" si="27"/>
        <v/>
      </c>
      <c r="K355" s="39" t="str">
        <f>IF(B355="","",(SUMIFS(Mau15a!$K$11:$K$310,Mau15a!$B$11:$B$310,B355)-SUMIFS(Mau15a!$E$11:$E$310,Mau15a!$B$11:$B$310,B355))*G355)</f>
        <v/>
      </c>
      <c r="L355" s="36" t="str">
        <f t="shared" si="28"/>
        <v/>
      </c>
      <c r="M355" s="36" t="str">
        <f>IF(B355="","",BOM!G355&amp;"")</f>
        <v/>
      </c>
      <c r="N355" s="36" t="str">
        <f t="shared" si="29"/>
        <v/>
      </c>
    </row>
    <row r="356" spans="1:14" x14ac:dyDescent="0.25">
      <c r="A356" s="35" t="str">
        <f t="shared" si="25"/>
        <v/>
      </c>
      <c r="B356" s="35" t="str">
        <f>IF(BOM!A356="","",BOM!A356)</f>
        <v/>
      </c>
      <c r="C356" s="35" t="str">
        <f>IF(B356="","",BOM!B356)</f>
        <v/>
      </c>
      <c r="D356" s="35" t="str">
        <f>IF(B356="","",IFERROR(INDEX(DM_NL!$B$5:$B$304,MATCH(C356,DM_NL!$A$5:$A$304,0)),""))</f>
        <v/>
      </c>
      <c r="E356" s="35" t="str">
        <f>IF(B356="","",IFERROR(INDEX(DM_NL!$C$5:$C$304,MATCH(C356,DM_NL!$A$5:$A$304,0)),""))</f>
        <v/>
      </c>
      <c r="F356" s="39" t="str">
        <f>IF(B356="","",SUMIFS(Mau15a!$F$11:$F$310,Mau15a!$B$11:$B$310,B356))</f>
        <v/>
      </c>
      <c r="G356" s="39" t="str">
        <f>IF(B356="","",IF(OR(M356="KXDDM",BOM!F356=""),0,BOM!F356))</f>
        <v/>
      </c>
      <c r="H356" s="39" t="str">
        <f t="shared" si="26"/>
        <v/>
      </c>
      <c r="I356" s="39" t="str">
        <f>IF(B356="","",SUMIFS(Mau15a!$H$11:$H$310,Mau15a!$B$11:$B$310,B356)+SUMIFS(Mau15a!$I$11:$I$310,Mau15a!$B$11:$B$310,B356)+SUMIFS(Mau15a!$J$11:$J$310,Mau15a!$B$11:$B$310,B356)-SUMIFS(Mau15a!$G$11:$G$310,Mau15a!$B$11:$B$310,B356))</f>
        <v/>
      </c>
      <c r="J356" s="39" t="str">
        <f t="shared" si="27"/>
        <v/>
      </c>
      <c r="K356" s="39" t="str">
        <f>IF(B356="","",(SUMIFS(Mau15a!$K$11:$K$310,Mau15a!$B$11:$B$310,B356)-SUMIFS(Mau15a!$E$11:$E$310,Mau15a!$B$11:$B$310,B356))*G356)</f>
        <v/>
      </c>
      <c r="L356" s="36" t="str">
        <f t="shared" si="28"/>
        <v/>
      </c>
      <c r="M356" s="36" t="str">
        <f>IF(B356="","",BOM!G356&amp;"")</f>
        <v/>
      </c>
      <c r="N356" s="36" t="str">
        <f t="shared" si="29"/>
        <v/>
      </c>
    </row>
    <row r="357" spans="1:14" x14ac:dyDescent="0.25">
      <c r="A357" s="35" t="str">
        <f t="shared" si="25"/>
        <v/>
      </c>
      <c r="B357" s="35" t="str">
        <f>IF(BOM!A357="","",BOM!A357)</f>
        <v/>
      </c>
      <c r="C357" s="35" t="str">
        <f>IF(B357="","",BOM!B357)</f>
        <v/>
      </c>
      <c r="D357" s="35" t="str">
        <f>IF(B357="","",IFERROR(INDEX(DM_NL!$B$5:$B$304,MATCH(C357,DM_NL!$A$5:$A$304,0)),""))</f>
        <v/>
      </c>
      <c r="E357" s="35" t="str">
        <f>IF(B357="","",IFERROR(INDEX(DM_NL!$C$5:$C$304,MATCH(C357,DM_NL!$A$5:$A$304,0)),""))</f>
        <v/>
      </c>
      <c r="F357" s="39" t="str">
        <f>IF(B357="","",SUMIFS(Mau15a!$F$11:$F$310,Mau15a!$B$11:$B$310,B357))</f>
        <v/>
      </c>
      <c r="G357" s="39" t="str">
        <f>IF(B357="","",IF(OR(M357="KXDDM",BOM!F357=""),0,BOM!F357))</f>
        <v/>
      </c>
      <c r="H357" s="39" t="str">
        <f t="shared" si="26"/>
        <v/>
      </c>
      <c r="I357" s="39" t="str">
        <f>IF(B357="","",SUMIFS(Mau15a!$H$11:$H$310,Mau15a!$B$11:$B$310,B357)+SUMIFS(Mau15a!$I$11:$I$310,Mau15a!$B$11:$B$310,B357)+SUMIFS(Mau15a!$J$11:$J$310,Mau15a!$B$11:$B$310,B357)-SUMIFS(Mau15a!$G$11:$G$310,Mau15a!$B$11:$B$310,B357))</f>
        <v/>
      </c>
      <c r="J357" s="39" t="str">
        <f t="shared" si="27"/>
        <v/>
      </c>
      <c r="K357" s="39" t="str">
        <f>IF(B357="","",(SUMIFS(Mau15a!$K$11:$K$310,Mau15a!$B$11:$B$310,B357)-SUMIFS(Mau15a!$E$11:$E$310,Mau15a!$B$11:$B$310,B357))*G357)</f>
        <v/>
      </c>
      <c r="L357" s="36" t="str">
        <f t="shared" si="28"/>
        <v/>
      </c>
      <c r="M357" s="36" t="str">
        <f>IF(B357="","",BOM!G357&amp;"")</f>
        <v/>
      </c>
      <c r="N357" s="36" t="str">
        <f t="shared" si="29"/>
        <v/>
      </c>
    </row>
    <row r="358" spans="1:14" x14ac:dyDescent="0.25">
      <c r="A358" s="35" t="str">
        <f t="shared" si="25"/>
        <v/>
      </c>
      <c r="B358" s="35" t="str">
        <f>IF(BOM!A358="","",BOM!A358)</f>
        <v/>
      </c>
      <c r="C358" s="35" t="str">
        <f>IF(B358="","",BOM!B358)</f>
        <v/>
      </c>
      <c r="D358" s="35" t="str">
        <f>IF(B358="","",IFERROR(INDEX(DM_NL!$B$5:$B$304,MATCH(C358,DM_NL!$A$5:$A$304,0)),""))</f>
        <v/>
      </c>
      <c r="E358" s="35" t="str">
        <f>IF(B358="","",IFERROR(INDEX(DM_NL!$C$5:$C$304,MATCH(C358,DM_NL!$A$5:$A$304,0)),""))</f>
        <v/>
      </c>
      <c r="F358" s="39" t="str">
        <f>IF(B358="","",SUMIFS(Mau15a!$F$11:$F$310,Mau15a!$B$11:$B$310,B358))</f>
        <v/>
      </c>
      <c r="G358" s="39" t="str">
        <f>IF(B358="","",IF(OR(M358="KXDDM",BOM!F358=""),0,BOM!F358))</f>
        <v/>
      </c>
      <c r="H358" s="39" t="str">
        <f t="shared" si="26"/>
        <v/>
      </c>
      <c r="I358" s="39" t="str">
        <f>IF(B358="","",SUMIFS(Mau15a!$H$11:$H$310,Mau15a!$B$11:$B$310,B358)+SUMIFS(Mau15a!$I$11:$I$310,Mau15a!$B$11:$B$310,B358)+SUMIFS(Mau15a!$J$11:$J$310,Mau15a!$B$11:$B$310,B358)-SUMIFS(Mau15a!$G$11:$G$310,Mau15a!$B$11:$B$310,B358))</f>
        <v/>
      </c>
      <c r="J358" s="39" t="str">
        <f t="shared" si="27"/>
        <v/>
      </c>
      <c r="K358" s="39" t="str">
        <f>IF(B358="","",(SUMIFS(Mau15a!$K$11:$K$310,Mau15a!$B$11:$B$310,B358)-SUMIFS(Mau15a!$E$11:$E$310,Mau15a!$B$11:$B$310,B358))*G358)</f>
        <v/>
      </c>
      <c r="L358" s="36" t="str">
        <f t="shared" si="28"/>
        <v/>
      </c>
      <c r="M358" s="36" t="str">
        <f>IF(B358="","",BOM!G358&amp;"")</f>
        <v/>
      </c>
      <c r="N358" s="36" t="str">
        <f t="shared" si="29"/>
        <v/>
      </c>
    </row>
    <row r="359" spans="1:14" x14ac:dyDescent="0.25">
      <c r="A359" s="35" t="str">
        <f t="shared" si="25"/>
        <v/>
      </c>
      <c r="B359" s="35" t="str">
        <f>IF(BOM!A359="","",BOM!A359)</f>
        <v/>
      </c>
      <c r="C359" s="35" t="str">
        <f>IF(B359="","",BOM!B359)</f>
        <v/>
      </c>
      <c r="D359" s="35" t="str">
        <f>IF(B359="","",IFERROR(INDEX(DM_NL!$B$5:$B$304,MATCH(C359,DM_NL!$A$5:$A$304,0)),""))</f>
        <v/>
      </c>
      <c r="E359" s="35" t="str">
        <f>IF(B359="","",IFERROR(INDEX(DM_NL!$C$5:$C$304,MATCH(C359,DM_NL!$A$5:$A$304,0)),""))</f>
        <v/>
      </c>
      <c r="F359" s="39" t="str">
        <f>IF(B359="","",SUMIFS(Mau15a!$F$11:$F$310,Mau15a!$B$11:$B$310,B359))</f>
        <v/>
      </c>
      <c r="G359" s="39" t="str">
        <f>IF(B359="","",IF(OR(M359="KXDDM",BOM!F359=""),0,BOM!F359))</f>
        <v/>
      </c>
      <c r="H359" s="39" t="str">
        <f t="shared" si="26"/>
        <v/>
      </c>
      <c r="I359" s="39" t="str">
        <f>IF(B359="","",SUMIFS(Mau15a!$H$11:$H$310,Mau15a!$B$11:$B$310,B359)+SUMIFS(Mau15a!$I$11:$I$310,Mau15a!$B$11:$B$310,B359)+SUMIFS(Mau15a!$J$11:$J$310,Mau15a!$B$11:$B$310,B359)-SUMIFS(Mau15a!$G$11:$G$310,Mau15a!$B$11:$B$310,B359))</f>
        <v/>
      </c>
      <c r="J359" s="39" t="str">
        <f t="shared" si="27"/>
        <v/>
      </c>
      <c r="K359" s="39" t="str">
        <f>IF(B359="","",(SUMIFS(Mau15a!$K$11:$K$310,Mau15a!$B$11:$B$310,B359)-SUMIFS(Mau15a!$E$11:$E$310,Mau15a!$B$11:$B$310,B359))*G359)</f>
        <v/>
      </c>
      <c r="L359" s="36" t="str">
        <f t="shared" si="28"/>
        <v/>
      </c>
      <c r="M359" s="36" t="str">
        <f>IF(B359="","",BOM!G359&amp;"")</f>
        <v/>
      </c>
      <c r="N359" s="36" t="str">
        <f t="shared" si="29"/>
        <v/>
      </c>
    </row>
    <row r="360" spans="1:14" x14ac:dyDescent="0.25">
      <c r="A360" s="35" t="str">
        <f t="shared" si="25"/>
        <v/>
      </c>
      <c r="B360" s="35" t="str">
        <f>IF(BOM!A360="","",BOM!A360)</f>
        <v/>
      </c>
      <c r="C360" s="35" t="str">
        <f>IF(B360="","",BOM!B360)</f>
        <v/>
      </c>
      <c r="D360" s="35" t="str">
        <f>IF(B360="","",IFERROR(INDEX(DM_NL!$B$5:$B$304,MATCH(C360,DM_NL!$A$5:$A$304,0)),""))</f>
        <v/>
      </c>
      <c r="E360" s="35" t="str">
        <f>IF(B360="","",IFERROR(INDEX(DM_NL!$C$5:$C$304,MATCH(C360,DM_NL!$A$5:$A$304,0)),""))</f>
        <v/>
      </c>
      <c r="F360" s="39" t="str">
        <f>IF(B360="","",SUMIFS(Mau15a!$F$11:$F$310,Mau15a!$B$11:$B$310,B360))</f>
        <v/>
      </c>
      <c r="G360" s="39" t="str">
        <f>IF(B360="","",IF(OR(M360="KXDDM",BOM!F360=""),0,BOM!F360))</f>
        <v/>
      </c>
      <c r="H360" s="39" t="str">
        <f t="shared" si="26"/>
        <v/>
      </c>
      <c r="I360" s="39" t="str">
        <f>IF(B360="","",SUMIFS(Mau15a!$H$11:$H$310,Mau15a!$B$11:$B$310,B360)+SUMIFS(Mau15a!$I$11:$I$310,Mau15a!$B$11:$B$310,B360)+SUMIFS(Mau15a!$J$11:$J$310,Mau15a!$B$11:$B$310,B360)-SUMIFS(Mau15a!$G$11:$G$310,Mau15a!$B$11:$B$310,B360))</f>
        <v/>
      </c>
      <c r="J360" s="39" t="str">
        <f t="shared" si="27"/>
        <v/>
      </c>
      <c r="K360" s="39" t="str">
        <f>IF(B360="","",(SUMIFS(Mau15a!$K$11:$K$310,Mau15a!$B$11:$B$310,B360)-SUMIFS(Mau15a!$E$11:$E$310,Mau15a!$B$11:$B$310,B360))*G360)</f>
        <v/>
      </c>
      <c r="L360" s="36" t="str">
        <f t="shared" si="28"/>
        <v/>
      </c>
      <c r="M360" s="36" t="str">
        <f>IF(B360="","",BOM!G360&amp;"")</f>
        <v/>
      </c>
      <c r="N360" s="36" t="str">
        <f t="shared" si="29"/>
        <v/>
      </c>
    </row>
    <row r="361" spans="1:14" x14ac:dyDescent="0.25">
      <c r="A361" s="35" t="str">
        <f t="shared" si="25"/>
        <v/>
      </c>
      <c r="B361" s="35" t="str">
        <f>IF(BOM!A361="","",BOM!A361)</f>
        <v/>
      </c>
      <c r="C361" s="35" t="str">
        <f>IF(B361="","",BOM!B361)</f>
        <v/>
      </c>
      <c r="D361" s="35" t="str">
        <f>IF(B361="","",IFERROR(INDEX(DM_NL!$B$5:$B$304,MATCH(C361,DM_NL!$A$5:$A$304,0)),""))</f>
        <v/>
      </c>
      <c r="E361" s="35" t="str">
        <f>IF(B361="","",IFERROR(INDEX(DM_NL!$C$5:$C$304,MATCH(C361,DM_NL!$A$5:$A$304,0)),""))</f>
        <v/>
      </c>
      <c r="F361" s="39" t="str">
        <f>IF(B361="","",SUMIFS(Mau15a!$F$11:$F$310,Mau15a!$B$11:$B$310,B361))</f>
        <v/>
      </c>
      <c r="G361" s="39" t="str">
        <f>IF(B361="","",IF(OR(M361="KXDDM",BOM!F361=""),0,BOM!F361))</f>
        <v/>
      </c>
      <c r="H361" s="39" t="str">
        <f t="shared" si="26"/>
        <v/>
      </c>
      <c r="I361" s="39" t="str">
        <f>IF(B361="","",SUMIFS(Mau15a!$H$11:$H$310,Mau15a!$B$11:$B$310,B361)+SUMIFS(Mau15a!$I$11:$I$310,Mau15a!$B$11:$B$310,B361)+SUMIFS(Mau15a!$J$11:$J$310,Mau15a!$B$11:$B$310,B361)-SUMIFS(Mau15a!$G$11:$G$310,Mau15a!$B$11:$B$310,B361))</f>
        <v/>
      </c>
      <c r="J361" s="39" t="str">
        <f t="shared" si="27"/>
        <v/>
      </c>
      <c r="K361" s="39" t="str">
        <f>IF(B361="","",(SUMIFS(Mau15a!$K$11:$K$310,Mau15a!$B$11:$B$310,B361)-SUMIFS(Mau15a!$E$11:$E$310,Mau15a!$B$11:$B$310,B361))*G361)</f>
        <v/>
      </c>
      <c r="L361" s="36" t="str">
        <f t="shared" si="28"/>
        <v/>
      </c>
      <c r="M361" s="36" t="str">
        <f>IF(B361="","",BOM!G361&amp;"")</f>
        <v/>
      </c>
      <c r="N361" s="36" t="str">
        <f t="shared" si="29"/>
        <v/>
      </c>
    </row>
    <row r="362" spans="1:14" x14ac:dyDescent="0.25">
      <c r="A362" s="35" t="str">
        <f t="shared" si="25"/>
        <v/>
      </c>
      <c r="B362" s="35" t="str">
        <f>IF(BOM!A362="","",BOM!A362)</f>
        <v/>
      </c>
      <c r="C362" s="35" t="str">
        <f>IF(B362="","",BOM!B362)</f>
        <v/>
      </c>
      <c r="D362" s="35" t="str">
        <f>IF(B362="","",IFERROR(INDEX(DM_NL!$B$5:$B$304,MATCH(C362,DM_NL!$A$5:$A$304,0)),""))</f>
        <v/>
      </c>
      <c r="E362" s="35" t="str">
        <f>IF(B362="","",IFERROR(INDEX(DM_NL!$C$5:$C$304,MATCH(C362,DM_NL!$A$5:$A$304,0)),""))</f>
        <v/>
      </c>
      <c r="F362" s="39" t="str">
        <f>IF(B362="","",SUMIFS(Mau15a!$F$11:$F$310,Mau15a!$B$11:$B$310,B362))</f>
        <v/>
      </c>
      <c r="G362" s="39" t="str">
        <f>IF(B362="","",IF(OR(M362="KXDDM",BOM!F362=""),0,BOM!F362))</f>
        <v/>
      </c>
      <c r="H362" s="39" t="str">
        <f t="shared" si="26"/>
        <v/>
      </c>
      <c r="I362" s="39" t="str">
        <f>IF(B362="","",SUMIFS(Mau15a!$H$11:$H$310,Mau15a!$B$11:$B$310,B362)+SUMIFS(Mau15a!$I$11:$I$310,Mau15a!$B$11:$B$310,B362)+SUMIFS(Mau15a!$J$11:$J$310,Mau15a!$B$11:$B$310,B362)-SUMIFS(Mau15a!$G$11:$G$310,Mau15a!$B$11:$B$310,B362))</f>
        <v/>
      </c>
      <c r="J362" s="39" t="str">
        <f t="shared" si="27"/>
        <v/>
      </c>
      <c r="K362" s="39" t="str">
        <f>IF(B362="","",(SUMIFS(Mau15a!$K$11:$K$310,Mau15a!$B$11:$B$310,B362)-SUMIFS(Mau15a!$E$11:$E$310,Mau15a!$B$11:$B$310,B362))*G362)</f>
        <v/>
      </c>
      <c r="L362" s="36" t="str">
        <f t="shared" si="28"/>
        <v/>
      </c>
      <c r="M362" s="36" t="str">
        <f>IF(B362="","",BOM!G362&amp;"")</f>
        <v/>
      </c>
      <c r="N362" s="36" t="str">
        <f t="shared" si="29"/>
        <v/>
      </c>
    </row>
    <row r="363" spans="1:14" x14ac:dyDescent="0.25">
      <c r="A363" s="35" t="str">
        <f t="shared" si="25"/>
        <v/>
      </c>
      <c r="B363" s="35" t="str">
        <f>IF(BOM!A363="","",BOM!A363)</f>
        <v/>
      </c>
      <c r="C363" s="35" t="str">
        <f>IF(B363="","",BOM!B363)</f>
        <v/>
      </c>
      <c r="D363" s="35" t="str">
        <f>IF(B363="","",IFERROR(INDEX(DM_NL!$B$5:$B$304,MATCH(C363,DM_NL!$A$5:$A$304,0)),""))</f>
        <v/>
      </c>
      <c r="E363" s="35" t="str">
        <f>IF(B363="","",IFERROR(INDEX(DM_NL!$C$5:$C$304,MATCH(C363,DM_NL!$A$5:$A$304,0)),""))</f>
        <v/>
      </c>
      <c r="F363" s="39" t="str">
        <f>IF(B363="","",SUMIFS(Mau15a!$F$11:$F$310,Mau15a!$B$11:$B$310,B363))</f>
        <v/>
      </c>
      <c r="G363" s="39" t="str">
        <f>IF(B363="","",IF(OR(M363="KXDDM",BOM!F363=""),0,BOM!F363))</f>
        <v/>
      </c>
      <c r="H363" s="39" t="str">
        <f t="shared" si="26"/>
        <v/>
      </c>
      <c r="I363" s="39" t="str">
        <f>IF(B363="","",SUMIFS(Mau15a!$H$11:$H$310,Mau15a!$B$11:$B$310,B363)+SUMIFS(Mau15a!$I$11:$I$310,Mau15a!$B$11:$B$310,B363)+SUMIFS(Mau15a!$J$11:$J$310,Mau15a!$B$11:$B$310,B363)-SUMIFS(Mau15a!$G$11:$G$310,Mau15a!$B$11:$B$310,B363))</f>
        <v/>
      </c>
      <c r="J363" s="39" t="str">
        <f t="shared" si="27"/>
        <v/>
      </c>
      <c r="K363" s="39" t="str">
        <f>IF(B363="","",(SUMIFS(Mau15a!$K$11:$K$310,Mau15a!$B$11:$B$310,B363)-SUMIFS(Mau15a!$E$11:$E$310,Mau15a!$B$11:$B$310,B363))*G363)</f>
        <v/>
      </c>
      <c r="L363" s="36" t="str">
        <f t="shared" si="28"/>
        <v/>
      </c>
      <c r="M363" s="36" t="str">
        <f>IF(B363="","",BOM!G363&amp;"")</f>
        <v/>
      </c>
      <c r="N363" s="36" t="str">
        <f t="shared" si="29"/>
        <v/>
      </c>
    </row>
    <row r="364" spans="1:14" x14ac:dyDescent="0.25">
      <c r="A364" s="35" t="str">
        <f t="shared" si="25"/>
        <v/>
      </c>
      <c r="B364" s="35" t="str">
        <f>IF(BOM!A364="","",BOM!A364)</f>
        <v/>
      </c>
      <c r="C364" s="35" t="str">
        <f>IF(B364="","",BOM!B364)</f>
        <v/>
      </c>
      <c r="D364" s="35" t="str">
        <f>IF(B364="","",IFERROR(INDEX(DM_NL!$B$5:$B$304,MATCH(C364,DM_NL!$A$5:$A$304,0)),""))</f>
        <v/>
      </c>
      <c r="E364" s="35" t="str">
        <f>IF(B364="","",IFERROR(INDEX(DM_NL!$C$5:$C$304,MATCH(C364,DM_NL!$A$5:$A$304,0)),""))</f>
        <v/>
      </c>
      <c r="F364" s="39" t="str">
        <f>IF(B364="","",SUMIFS(Mau15a!$F$11:$F$310,Mau15a!$B$11:$B$310,B364))</f>
        <v/>
      </c>
      <c r="G364" s="39" t="str">
        <f>IF(B364="","",IF(OR(M364="KXDDM",BOM!F364=""),0,BOM!F364))</f>
        <v/>
      </c>
      <c r="H364" s="39" t="str">
        <f t="shared" si="26"/>
        <v/>
      </c>
      <c r="I364" s="39" t="str">
        <f>IF(B364="","",SUMIFS(Mau15a!$H$11:$H$310,Mau15a!$B$11:$B$310,B364)+SUMIFS(Mau15a!$I$11:$I$310,Mau15a!$B$11:$B$310,B364)+SUMIFS(Mau15a!$J$11:$J$310,Mau15a!$B$11:$B$310,B364)-SUMIFS(Mau15a!$G$11:$G$310,Mau15a!$B$11:$B$310,B364))</f>
        <v/>
      </c>
      <c r="J364" s="39" t="str">
        <f t="shared" si="27"/>
        <v/>
      </c>
      <c r="K364" s="39" t="str">
        <f>IF(B364="","",(SUMIFS(Mau15a!$K$11:$K$310,Mau15a!$B$11:$B$310,B364)-SUMIFS(Mau15a!$E$11:$E$310,Mau15a!$B$11:$B$310,B364))*G364)</f>
        <v/>
      </c>
      <c r="L364" s="36" t="str">
        <f t="shared" si="28"/>
        <v/>
      </c>
      <c r="M364" s="36" t="str">
        <f>IF(B364="","",BOM!G364&amp;"")</f>
        <v/>
      </c>
      <c r="N364" s="36" t="str">
        <f t="shared" si="29"/>
        <v/>
      </c>
    </row>
    <row r="365" spans="1:14" x14ac:dyDescent="0.25">
      <c r="A365" s="35" t="str">
        <f t="shared" si="25"/>
        <v/>
      </c>
      <c r="B365" s="35" t="str">
        <f>IF(BOM!A365="","",BOM!A365)</f>
        <v/>
      </c>
      <c r="C365" s="35" t="str">
        <f>IF(B365="","",BOM!B365)</f>
        <v/>
      </c>
      <c r="D365" s="35" t="str">
        <f>IF(B365="","",IFERROR(INDEX(DM_NL!$B$5:$B$304,MATCH(C365,DM_NL!$A$5:$A$304,0)),""))</f>
        <v/>
      </c>
      <c r="E365" s="35" t="str">
        <f>IF(B365="","",IFERROR(INDEX(DM_NL!$C$5:$C$304,MATCH(C365,DM_NL!$A$5:$A$304,0)),""))</f>
        <v/>
      </c>
      <c r="F365" s="39" t="str">
        <f>IF(B365="","",SUMIFS(Mau15a!$F$11:$F$310,Mau15a!$B$11:$B$310,B365))</f>
        <v/>
      </c>
      <c r="G365" s="39" t="str">
        <f>IF(B365="","",IF(OR(M365="KXDDM",BOM!F365=""),0,BOM!F365))</f>
        <v/>
      </c>
      <c r="H365" s="39" t="str">
        <f t="shared" si="26"/>
        <v/>
      </c>
      <c r="I365" s="39" t="str">
        <f>IF(B365="","",SUMIFS(Mau15a!$H$11:$H$310,Mau15a!$B$11:$B$310,B365)+SUMIFS(Mau15a!$I$11:$I$310,Mau15a!$B$11:$B$310,B365)+SUMIFS(Mau15a!$J$11:$J$310,Mau15a!$B$11:$B$310,B365)-SUMIFS(Mau15a!$G$11:$G$310,Mau15a!$B$11:$B$310,B365))</f>
        <v/>
      </c>
      <c r="J365" s="39" t="str">
        <f t="shared" si="27"/>
        <v/>
      </c>
      <c r="K365" s="39" t="str">
        <f>IF(B365="","",(SUMIFS(Mau15a!$K$11:$K$310,Mau15a!$B$11:$B$310,B365)-SUMIFS(Mau15a!$E$11:$E$310,Mau15a!$B$11:$B$310,B365))*G365)</f>
        <v/>
      </c>
      <c r="L365" s="36" t="str">
        <f t="shared" si="28"/>
        <v/>
      </c>
      <c r="M365" s="36" t="str">
        <f>IF(B365="","",BOM!G365&amp;"")</f>
        <v/>
      </c>
      <c r="N365" s="36" t="str">
        <f t="shared" si="29"/>
        <v/>
      </c>
    </row>
    <row r="366" spans="1:14" x14ac:dyDescent="0.25">
      <c r="A366" s="35" t="str">
        <f t="shared" si="25"/>
        <v/>
      </c>
      <c r="B366" s="35" t="str">
        <f>IF(BOM!A366="","",BOM!A366)</f>
        <v/>
      </c>
      <c r="C366" s="35" t="str">
        <f>IF(B366="","",BOM!B366)</f>
        <v/>
      </c>
      <c r="D366" s="35" t="str">
        <f>IF(B366="","",IFERROR(INDEX(DM_NL!$B$5:$B$304,MATCH(C366,DM_NL!$A$5:$A$304,0)),""))</f>
        <v/>
      </c>
      <c r="E366" s="35" t="str">
        <f>IF(B366="","",IFERROR(INDEX(DM_NL!$C$5:$C$304,MATCH(C366,DM_NL!$A$5:$A$304,0)),""))</f>
        <v/>
      </c>
      <c r="F366" s="39" t="str">
        <f>IF(B366="","",SUMIFS(Mau15a!$F$11:$F$310,Mau15a!$B$11:$B$310,B366))</f>
        <v/>
      </c>
      <c r="G366" s="39" t="str">
        <f>IF(B366="","",IF(OR(M366="KXDDM",BOM!F366=""),0,BOM!F366))</f>
        <v/>
      </c>
      <c r="H366" s="39" t="str">
        <f t="shared" si="26"/>
        <v/>
      </c>
      <c r="I366" s="39" t="str">
        <f>IF(B366="","",SUMIFS(Mau15a!$H$11:$H$310,Mau15a!$B$11:$B$310,B366)+SUMIFS(Mau15a!$I$11:$I$310,Mau15a!$B$11:$B$310,B366)+SUMIFS(Mau15a!$J$11:$J$310,Mau15a!$B$11:$B$310,B366)-SUMIFS(Mau15a!$G$11:$G$310,Mau15a!$B$11:$B$310,B366))</f>
        <v/>
      </c>
      <c r="J366" s="39" t="str">
        <f t="shared" si="27"/>
        <v/>
      </c>
      <c r="K366" s="39" t="str">
        <f>IF(B366="","",(SUMIFS(Mau15a!$K$11:$K$310,Mau15a!$B$11:$B$310,B366)-SUMIFS(Mau15a!$E$11:$E$310,Mau15a!$B$11:$B$310,B366))*G366)</f>
        <v/>
      </c>
      <c r="L366" s="36" t="str">
        <f t="shared" si="28"/>
        <v/>
      </c>
      <c r="M366" s="36" t="str">
        <f>IF(B366="","",BOM!G366&amp;"")</f>
        <v/>
      </c>
      <c r="N366" s="36" t="str">
        <f t="shared" si="29"/>
        <v/>
      </c>
    </row>
    <row r="367" spans="1:14" x14ac:dyDescent="0.25">
      <c r="A367" s="35" t="str">
        <f t="shared" si="25"/>
        <v/>
      </c>
      <c r="B367" s="35" t="str">
        <f>IF(BOM!A367="","",BOM!A367)</f>
        <v/>
      </c>
      <c r="C367" s="35" t="str">
        <f>IF(B367="","",BOM!B367)</f>
        <v/>
      </c>
      <c r="D367" s="35" t="str">
        <f>IF(B367="","",IFERROR(INDEX(DM_NL!$B$5:$B$304,MATCH(C367,DM_NL!$A$5:$A$304,0)),""))</f>
        <v/>
      </c>
      <c r="E367" s="35" t="str">
        <f>IF(B367="","",IFERROR(INDEX(DM_NL!$C$5:$C$304,MATCH(C367,DM_NL!$A$5:$A$304,0)),""))</f>
        <v/>
      </c>
      <c r="F367" s="39" t="str">
        <f>IF(B367="","",SUMIFS(Mau15a!$F$11:$F$310,Mau15a!$B$11:$B$310,B367))</f>
        <v/>
      </c>
      <c r="G367" s="39" t="str">
        <f>IF(B367="","",IF(OR(M367="KXDDM",BOM!F367=""),0,BOM!F367))</f>
        <v/>
      </c>
      <c r="H367" s="39" t="str">
        <f t="shared" si="26"/>
        <v/>
      </c>
      <c r="I367" s="39" t="str">
        <f>IF(B367="","",SUMIFS(Mau15a!$H$11:$H$310,Mau15a!$B$11:$B$310,B367)+SUMIFS(Mau15a!$I$11:$I$310,Mau15a!$B$11:$B$310,B367)+SUMIFS(Mau15a!$J$11:$J$310,Mau15a!$B$11:$B$310,B367)-SUMIFS(Mau15a!$G$11:$G$310,Mau15a!$B$11:$B$310,B367))</f>
        <v/>
      </c>
      <c r="J367" s="39" t="str">
        <f t="shared" si="27"/>
        <v/>
      </c>
      <c r="K367" s="39" t="str">
        <f>IF(B367="","",(SUMIFS(Mau15a!$K$11:$K$310,Mau15a!$B$11:$B$310,B367)-SUMIFS(Mau15a!$E$11:$E$310,Mau15a!$B$11:$B$310,B367))*G367)</f>
        <v/>
      </c>
      <c r="L367" s="36" t="str">
        <f t="shared" si="28"/>
        <v/>
      </c>
      <c r="M367" s="36" t="str">
        <f>IF(B367="","",BOM!G367&amp;"")</f>
        <v/>
      </c>
      <c r="N367" s="36" t="str">
        <f t="shared" si="29"/>
        <v/>
      </c>
    </row>
    <row r="368" spans="1:14" x14ac:dyDescent="0.25">
      <c r="A368" s="35" t="str">
        <f t="shared" si="25"/>
        <v/>
      </c>
      <c r="B368" s="35" t="str">
        <f>IF(BOM!A368="","",BOM!A368)</f>
        <v/>
      </c>
      <c r="C368" s="35" t="str">
        <f>IF(B368="","",BOM!B368)</f>
        <v/>
      </c>
      <c r="D368" s="35" t="str">
        <f>IF(B368="","",IFERROR(INDEX(DM_NL!$B$5:$B$304,MATCH(C368,DM_NL!$A$5:$A$304,0)),""))</f>
        <v/>
      </c>
      <c r="E368" s="35" t="str">
        <f>IF(B368="","",IFERROR(INDEX(DM_NL!$C$5:$C$304,MATCH(C368,DM_NL!$A$5:$A$304,0)),""))</f>
        <v/>
      </c>
      <c r="F368" s="39" t="str">
        <f>IF(B368="","",SUMIFS(Mau15a!$F$11:$F$310,Mau15a!$B$11:$B$310,B368))</f>
        <v/>
      </c>
      <c r="G368" s="39" t="str">
        <f>IF(B368="","",IF(OR(M368="KXDDM",BOM!F368=""),0,BOM!F368))</f>
        <v/>
      </c>
      <c r="H368" s="39" t="str">
        <f t="shared" si="26"/>
        <v/>
      </c>
      <c r="I368" s="39" t="str">
        <f>IF(B368="","",SUMIFS(Mau15a!$H$11:$H$310,Mau15a!$B$11:$B$310,B368)+SUMIFS(Mau15a!$I$11:$I$310,Mau15a!$B$11:$B$310,B368)+SUMIFS(Mau15a!$J$11:$J$310,Mau15a!$B$11:$B$310,B368)-SUMIFS(Mau15a!$G$11:$G$310,Mau15a!$B$11:$B$310,B368))</f>
        <v/>
      </c>
      <c r="J368" s="39" t="str">
        <f t="shared" si="27"/>
        <v/>
      </c>
      <c r="K368" s="39" t="str">
        <f>IF(B368="","",(SUMIFS(Mau15a!$K$11:$K$310,Mau15a!$B$11:$B$310,B368)-SUMIFS(Mau15a!$E$11:$E$310,Mau15a!$B$11:$B$310,B368))*G368)</f>
        <v/>
      </c>
      <c r="L368" s="36" t="str">
        <f t="shared" si="28"/>
        <v/>
      </c>
      <c r="M368" s="36" t="str">
        <f>IF(B368="","",BOM!G368&amp;"")</f>
        <v/>
      </c>
      <c r="N368" s="36" t="str">
        <f t="shared" si="29"/>
        <v/>
      </c>
    </row>
    <row r="369" spans="1:14" x14ac:dyDescent="0.25">
      <c r="A369" s="35" t="str">
        <f t="shared" si="25"/>
        <v/>
      </c>
      <c r="B369" s="35" t="str">
        <f>IF(BOM!A369="","",BOM!A369)</f>
        <v/>
      </c>
      <c r="C369" s="35" t="str">
        <f>IF(B369="","",BOM!B369)</f>
        <v/>
      </c>
      <c r="D369" s="35" t="str">
        <f>IF(B369="","",IFERROR(INDEX(DM_NL!$B$5:$B$304,MATCH(C369,DM_NL!$A$5:$A$304,0)),""))</f>
        <v/>
      </c>
      <c r="E369" s="35" t="str">
        <f>IF(B369="","",IFERROR(INDEX(DM_NL!$C$5:$C$304,MATCH(C369,DM_NL!$A$5:$A$304,0)),""))</f>
        <v/>
      </c>
      <c r="F369" s="39" t="str">
        <f>IF(B369="","",SUMIFS(Mau15a!$F$11:$F$310,Mau15a!$B$11:$B$310,B369))</f>
        <v/>
      </c>
      <c r="G369" s="39" t="str">
        <f>IF(B369="","",IF(OR(M369="KXDDM",BOM!F369=""),0,BOM!F369))</f>
        <v/>
      </c>
      <c r="H369" s="39" t="str">
        <f t="shared" si="26"/>
        <v/>
      </c>
      <c r="I369" s="39" t="str">
        <f>IF(B369="","",SUMIFS(Mau15a!$H$11:$H$310,Mau15a!$B$11:$B$310,B369)+SUMIFS(Mau15a!$I$11:$I$310,Mau15a!$B$11:$B$310,B369)+SUMIFS(Mau15a!$J$11:$J$310,Mau15a!$B$11:$B$310,B369)-SUMIFS(Mau15a!$G$11:$G$310,Mau15a!$B$11:$B$310,B369))</f>
        <v/>
      </c>
      <c r="J369" s="39" t="str">
        <f t="shared" si="27"/>
        <v/>
      </c>
      <c r="K369" s="39" t="str">
        <f>IF(B369="","",(SUMIFS(Mau15a!$K$11:$K$310,Mau15a!$B$11:$B$310,B369)-SUMIFS(Mau15a!$E$11:$E$310,Mau15a!$B$11:$B$310,B369))*G369)</f>
        <v/>
      </c>
      <c r="L369" s="36" t="str">
        <f t="shared" si="28"/>
        <v/>
      </c>
      <c r="M369" s="36" t="str">
        <f>IF(B369="","",BOM!G369&amp;"")</f>
        <v/>
      </c>
      <c r="N369" s="36" t="str">
        <f t="shared" si="29"/>
        <v/>
      </c>
    </row>
    <row r="370" spans="1:14" x14ac:dyDescent="0.25">
      <c r="A370" s="35" t="str">
        <f t="shared" si="25"/>
        <v/>
      </c>
      <c r="B370" s="35" t="str">
        <f>IF(BOM!A370="","",BOM!A370)</f>
        <v/>
      </c>
      <c r="C370" s="35" t="str">
        <f>IF(B370="","",BOM!B370)</f>
        <v/>
      </c>
      <c r="D370" s="35" t="str">
        <f>IF(B370="","",IFERROR(INDEX(DM_NL!$B$5:$B$304,MATCH(C370,DM_NL!$A$5:$A$304,0)),""))</f>
        <v/>
      </c>
      <c r="E370" s="35" t="str">
        <f>IF(B370="","",IFERROR(INDEX(DM_NL!$C$5:$C$304,MATCH(C370,DM_NL!$A$5:$A$304,0)),""))</f>
        <v/>
      </c>
      <c r="F370" s="39" t="str">
        <f>IF(B370="","",SUMIFS(Mau15a!$F$11:$F$310,Mau15a!$B$11:$B$310,B370))</f>
        <v/>
      </c>
      <c r="G370" s="39" t="str">
        <f>IF(B370="","",IF(OR(M370="KXDDM",BOM!F370=""),0,BOM!F370))</f>
        <v/>
      </c>
      <c r="H370" s="39" t="str">
        <f t="shared" si="26"/>
        <v/>
      </c>
      <c r="I370" s="39" t="str">
        <f>IF(B370="","",SUMIFS(Mau15a!$H$11:$H$310,Mau15a!$B$11:$B$310,B370)+SUMIFS(Mau15a!$I$11:$I$310,Mau15a!$B$11:$B$310,B370)+SUMIFS(Mau15a!$J$11:$J$310,Mau15a!$B$11:$B$310,B370)-SUMIFS(Mau15a!$G$11:$G$310,Mau15a!$B$11:$B$310,B370))</f>
        <v/>
      </c>
      <c r="J370" s="39" t="str">
        <f t="shared" si="27"/>
        <v/>
      </c>
      <c r="K370" s="39" t="str">
        <f>IF(B370="","",(SUMIFS(Mau15a!$K$11:$K$310,Mau15a!$B$11:$B$310,B370)-SUMIFS(Mau15a!$E$11:$E$310,Mau15a!$B$11:$B$310,B370))*G370)</f>
        <v/>
      </c>
      <c r="L370" s="36" t="str">
        <f t="shared" si="28"/>
        <v/>
      </c>
      <c r="M370" s="36" t="str">
        <f>IF(B370="","",BOM!G370&amp;"")</f>
        <v/>
      </c>
      <c r="N370" s="36" t="str">
        <f t="shared" si="29"/>
        <v/>
      </c>
    </row>
    <row r="371" spans="1:14" x14ac:dyDescent="0.25">
      <c r="A371" s="35" t="str">
        <f t="shared" si="25"/>
        <v/>
      </c>
      <c r="B371" s="35" t="str">
        <f>IF(BOM!A371="","",BOM!A371)</f>
        <v/>
      </c>
      <c r="C371" s="35" t="str">
        <f>IF(B371="","",BOM!B371)</f>
        <v/>
      </c>
      <c r="D371" s="35" t="str">
        <f>IF(B371="","",IFERROR(INDEX(DM_NL!$B$5:$B$304,MATCH(C371,DM_NL!$A$5:$A$304,0)),""))</f>
        <v/>
      </c>
      <c r="E371" s="35" t="str">
        <f>IF(B371="","",IFERROR(INDEX(DM_NL!$C$5:$C$304,MATCH(C371,DM_NL!$A$5:$A$304,0)),""))</f>
        <v/>
      </c>
      <c r="F371" s="39" t="str">
        <f>IF(B371="","",SUMIFS(Mau15a!$F$11:$F$310,Mau15a!$B$11:$B$310,B371))</f>
        <v/>
      </c>
      <c r="G371" s="39" t="str">
        <f>IF(B371="","",IF(OR(M371="KXDDM",BOM!F371=""),0,BOM!F371))</f>
        <v/>
      </c>
      <c r="H371" s="39" t="str">
        <f t="shared" si="26"/>
        <v/>
      </c>
      <c r="I371" s="39" t="str">
        <f>IF(B371="","",SUMIFS(Mau15a!$H$11:$H$310,Mau15a!$B$11:$B$310,B371)+SUMIFS(Mau15a!$I$11:$I$310,Mau15a!$B$11:$B$310,B371)+SUMIFS(Mau15a!$J$11:$J$310,Mau15a!$B$11:$B$310,B371)-SUMIFS(Mau15a!$G$11:$G$310,Mau15a!$B$11:$B$310,B371))</f>
        <v/>
      </c>
      <c r="J371" s="39" t="str">
        <f t="shared" si="27"/>
        <v/>
      </c>
      <c r="K371" s="39" t="str">
        <f>IF(B371="","",(SUMIFS(Mau15a!$K$11:$K$310,Mau15a!$B$11:$B$310,B371)-SUMIFS(Mau15a!$E$11:$E$310,Mau15a!$B$11:$B$310,B371))*G371)</f>
        <v/>
      </c>
      <c r="L371" s="36" t="str">
        <f t="shared" si="28"/>
        <v/>
      </c>
      <c r="M371" s="36" t="str">
        <f>IF(B371="","",BOM!G371&amp;"")</f>
        <v/>
      </c>
      <c r="N371" s="36" t="str">
        <f t="shared" si="29"/>
        <v/>
      </c>
    </row>
    <row r="372" spans="1:14" x14ac:dyDescent="0.25">
      <c r="A372" s="35" t="str">
        <f t="shared" si="25"/>
        <v/>
      </c>
      <c r="B372" s="35" t="str">
        <f>IF(BOM!A372="","",BOM!A372)</f>
        <v/>
      </c>
      <c r="C372" s="35" t="str">
        <f>IF(B372="","",BOM!B372)</f>
        <v/>
      </c>
      <c r="D372" s="35" t="str">
        <f>IF(B372="","",IFERROR(INDEX(DM_NL!$B$5:$B$304,MATCH(C372,DM_NL!$A$5:$A$304,0)),""))</f>
        <v/>
      </c>
      <c r="E372" s="35" t="str">
        <f>IF(B372="","",IFERROR(INDEX(DM_NL!$C$5:$C$304,MATCH(C372,DM_NL!$A$5:$A$304,0)),""))</f>
        <v/>
      </c>
      <c r="F372" s="39" t="str">
        <f>IF(B372="","",SUMIFS(Mau15a!$F$11:$F$310,Mau15a!$B$11:$B$310,B372))</f>
        <v/>
      </c>
      <c r="G372" s="39" t="str">
        <f>IF(B372="","",IF(OR(M372="KXDDM",BOM!F372=""),0,BOM!F372))</f>
        <v/>
      </c>
      <c r="H372" s="39" t="str">
        <f t="shared" si="26"/>
        <v/>
      </c>
      <c r="I372" s="39" t="str">
        <f>IF(B372="","",SUMIFS(Mau15a!$H$11:$H$310,Mau15a!$B$11:$B$310,B372)+SUMIFS(Mau15a!$I$11:$I$310,Mau15a!$B$11:$B$310,B372)+SUMIFS(Mau15a!$J$11:$J$310,Mau15a!$B$11:$B$310,B372)-SUMIFS(Mau15a!$G$11:$G$310,Mau15a!$B$11:$B$310,B372))</f>
        <v/>
      </c>
      <c r="J372" s="39" t="str">
        <f t="shared" si="27"/>
        <v/>
      </c>
      <c r="K372" s="39" t="str">
        <f>IF(B372="","",(SUMIFS(Mau15a!$K$11:$K$310,Mau15a!$B$11:$B$310,B372)-SUMIFS(Mau15a!$E$11:$E$310,Mau15a!$B$11:$B$310,B372))*G372)</f>
        <v/>
      </c>
      <c r="L372" s="36" t="str">
        <f t="shared" si="28"/>
        <v/>
      </c>
      <c r="M372" s="36" t="str">
        <f>IF(B372="","",BOM!G372&amp;"")</f>
        <v/>
      </c>
      <c r="N372" s="36" t="str">
        <f t="shared" si="29"/>
        <v/>
      </c>
    </row>
    <row r="373" spans="1:14" x14ac:dyDescent="0.25">
      <c r="A373" s="35" t="str">
        <f t="shared" si="25"/>
        <v/>
      </c>
      <c r="B373" s="35" t="str">
        <f>IF(BOM!A373="","",BOM!A373)</f>
        <v/>
      </c>
      <c r="C373" s="35" t="str">
        <f>IF(B373="","",BOM!B373)</f>
        <v/>
      </c>
      <c r="D373" s="35" t="str">
        <f>IF(B373="","",IFERROR(INDEX(DM_NL!$B$5:$B$304,MATCH(C373,DM_NL!$A$5:$A$304,0)),""))</f>
        <v/>
      </c>
      <c r="E373" s="35" t="str">
        <f>IF(B373="","",IFERROR(INDEX(DM_NL!$C$5:$C$304,MATCH(C373,DM_NL!$A$5:$A$304,0)),""))</f>
        <v/>
      </c>
      <c r="F373" s="39" t="str">
        <f>IF(B373="","",SUMIFS(Mau15a!$F$11:$F$310,Mau15a!$B$11:$B$310,B373))</f>
        <v/>
      </c>
      <c r="G373" s="39" t="str">
        <f>IF(B373="","",IF(OR(M373="KXDDM",BOM!F373=""),0,BOM!F373))</f>
        <v/>
      </c>
      <c r="H373" s="39" t="str">
        <f t="shared" si="26"/>
        <v/>
      </c>
      <c r="I373" s="39" t="str">
        <f>IF(B373="","",SUMIFS(Mau15a!$H$11:$H$310,Mau15a!$B$11:$B$310,B373)+SUMIFS(Mau15a!$I$11:$I$310,Mau15a!$B$11:$B$310,B373)+SUMIFS(Mau15a!$J$11:$J$310,Mau15a!$B$11:$B$310,B373)-SUMIFS(Mau15a!$G$11:$G$310,Mau15a!$B$11:$B$310,B373))</f>
        <v/>
      </c>
      <c r="J373" s="39" t="str">
        <f t="shared" si="27"/>
        <v/>
      </c>
      <c r="K373" s="39" t="str">
        <f>IF(B373="","",(SUMIFS(Mau15a!$K$11:$K$310,Mau15a!$B$11:$B$310,B373)-SUMIFS(Mau15a!$E$11:$E$310,Mau15a!$B$11:$B$310,B373))*G373)</f>
        <v/>
      </c>
      <c r="L373" s="36" t="str">
        <f t="shared" si="28"/>
        <v/>
      </c>
      <c r="M373" s="36" t="str">
        <f>IF(B373="","",BOM!G373&amp;"")</f>
        <v/>
      </c>
      <c r="N373" s="36" t="str">
        <f t="shared" si="29"/>
        <v/>
      </c>
    </row>
    <row r="374" spans="1:14" x14ac:dyDescent="0.25">
      <c r="A374" s="35" t="str">
        <f t="shared" si="25"/>
        <v/>
      </c>
      <c r="B374" s="35" t="str">
        <f>IF(BOM!A374="","",BOM!A374)</f>
        <v/>
      </c>
      <c r="C374" s="35" t="str">
        <f>IF(B374="","",BOM!B374)</f>
        <v/>
      </c>
      <c r="D374" s="35" t="str">
        <f>IF(B374="","",IFERROR(INDEX(DM_NL!$B$5:$B$304,MATCH(C374,DM_NL!$A$5:$A$304,0)),""))</f>
        <v/>
      </c>
      <c r="E374" s="35" t="str">
        <f>IF(B374="","",IFERROR(INDEX(DM_NL!$C$5:$C$304,MATCH(C374,DM_NL!$A$5:$A$304,0)),""))</f>
        <v/>
      </c>
      <c r="F374" s="39" t="str">
        <f>IF(B374="","",SUMIFS(Mau15a!$F$11:$F$310,Mau15a!$B$11:$B$310,B374))</f>
        <v/>
      </c>
      <c r="G374" s="39" t="str">
        <f>IF(B374="","",IF(OR(M374="KXDDM",BOM!F374=""),0,BOM!F374))</f>
        <v/>
      </c>
      <c r="H374" s="39" t="str">
        <f t="shared" si="26"/>
        <v/>
      </c>
      <c r="I374" s="39" t="str">
        <f>IF(B374="","",SUMIFS(Mau15a!$H$11:$H$310,Mau15a!$B$11:$B$310,B374)+SUMIFS(Mau15a!$I$11:$I$310,Mau15a!$B$11:$B$310,B374)+SUMIFS(Mau15a!$J$11:$J$310,Mau15a!$B$11:$B$310,B374)-SUMIFS(Mau15a!$G$11:$G$310,Mau15a!$B$11:$B$310,B374))</f>
        <v/>
      </c>
      <c r="J374" s="39" t="str">
        <f t="shared" si="27"/>
        <v/>
      </c>
      <c r="K374" s="39" t="str">
        <f>IF(B374="","",(SUMIFS(Mau15a!$K$11:$K$310,Mau15a!$B$11:$B$310,B374)-SUMIFS(Mau15a!$E$11:$E$310,Mau15a!$B$11:$B$310,B374))*G374)</f>
        <v/>
      </c>
      <c r="L374" s="36" t="str">
        <f t="shared" si="28"/>
        <v/>
      </c>
      <c r="M374" s="36" t="str">
        <f>IF(B374="","",BOM!G374&amp;"")</f>
        <v/>
      </c>
      <c r="N374" s="36" t="str">
        <f t="shared" si="29"/>
        <v/>
      </c>
    </row>
    <row r="375" spans="1:14" x14ac:dyDescent="0.25">
      <c r="A375" s="35" t="str">
        <f t="shared" si="25"/>
        <v/>
      </c>
      <c r="B375" s="35" t="str">
        <f>IF(BOM!A375="","",BOM!A375)</f>
        <v/>
      </c>
      <c r="C375" s="35" t="str">
        <f>IF(B375="","",BOM!B375)</f>
        <v/>
      </c>
      <c r="D375" s="35" t="str">
        <f>IF(B375="","",IFERROR(INDEX(DM_NL!$B$5:$B$304,MATCH(C375,DM_NL!$A$5:$A$304,0)),""))</f>
        <v/>
      </c>
      <c r="E375" s="35" t="str">
        <f>IF(B375="","",IFERROR(INDEX(DM_NL!$C$5:$C$304,MATCH(C375,DM_NL!$A$5:$A$304,0)),""))</f>
        <v/>
      </c>
      <c r="F375" s="39" t="str">
        <f>IF(B375="","",SUMIFS(Mau15a!$F$11:$F$310,Mau15a!$B$11:$B$310,B375))</f>
        <v/>
      </c>
      <c r="G375" s="39" t="str">
        <f>IF(B375="","",IF(OR(M375="KXDDM",BOM!F375=""),0,BOM!F375))</f>
        <v/>
      </c>
      <c r="H375" s="39" t="str">
        <f t="shared" si="26"/>
        <v/>
      </c>
      <c r="I375" s="39" t="str">
        <f>IF(B375="","",SUMIFS(Mau15a!$H$11:$H$310,Mau15a!$B$11:$B$310,B375)+SUMIFS(Mau15a!$I$11:$I$310,Mau15a!$B$11:$B$310,B375)+SUMIFS(Mau15a!$J$11:$J$310,Mau15a!$B$11:$B$310,B375)-SUMIFS(Mau15a!$G$11:$G$310,Mau15a!$B$11:$B$310,B375))</f>
        <v/>
      </c>
      <c r="J375" s="39" t="str">
        <f t="shared" si="27"/>
        <v/>
      </c>
      <c r="K375" s="39" t="str">
        <f>IF(B375="","",(SUMIFS(Mau15a!$K$11:$K$310,Mau15a!$B$11:$B$310,B375)-SUMIFS(Mau15a!$E$11:$E$310,Mau15a!$B$11:$B$310,B375))*G375)</f>
        <v/>
      </c>
      <c r="L375" s="36" t="str">
        <f t="shared" si="28"/>
        <v/>
      </c>
      <c r="M375" s="36" t="str">
        <f>IF(B375="","",BOM!G375&amp;"")</f>
        <v/>
      </c>
      <c r="N375" s="36" t="str">
        <f t="shared" si="29"/>
        <v/>
      </c>
    </row>
    <row r="376" spans="1:14" x14ac:dyDescent="0.25">
      <c r="A376" s="35" t="str">
        <f t="shared" si="25"/>
        <v/>
      </c>
      <c r="B376" s="35" t="str">
        <f>IF(BOM!A376="","",BOM!A376)</f>
        <v/>
      </c>
      <c r="C376" s="35" t="str">
        <f>IF(B376="","",BOM!B376)</f>
        <v/>
      </c>
      <c r="D376" s="35" t="str">
        <f>IF(B376="","",IFERROR(INDEX(DM_NL!$B$5:$B$304,MATCH(C376,DM_NL!$A$5:$A$304,0)),""))</f>
        <v/>
      </c>
      <c r="E376" s="35" t="str">
        <f>IF(B376="","",IFERROR(INDEX(DM_NL!$C$5:$C$304,MATCH(C376,DM_NL!$A$5:$A$304,0)),""))</f>
        <v/>
      </c>
      <c r="F376" s="39" t="str">
        <f>IF(B376="","",SUMIFS(Mau15a!$F$11:$F$310,Mau15a!$B$11:$B$310,B376))</f>
        <v/>
      </c>
      <c r="G376" s="39" t="str">
        <f>IF(B376="","",IF(OR(M376="KXDDM",BOM!F376=""),0,BOM!F376))</f>
        <v/>
      </c>
      <c r="H376" s="39" t="str">
        <f t="shared" si="26"/>
        <v/>
      </c>
      <c r="I376" s="39" t="str">
        <f>IF(B376="","",SUMIFS(Mau15a!$H$11:$H$310,Mau15a!$B$11:$B$310,B376)+SUMIFS(Mau15a!$I$11:$I$310,Mau15a!$B$11:$B$310,B376)+SUMIFS(Mau15a!$J$11:$J$310,Mau15a!$B$11:$B$310,B376)-SUMIFS(Mau15a!$G$11:$G$310,Mau15a!$B$11:$B$310,B376))</f>
        <v/>
      </c>
      <c r="J376" s="39" t="str">
        <f t="shared" si="27"/>
        <v/>
      </c>
      <c r="K376" s="39" t="str">
        <f>IF(B376="","",(SUMIFS(Mau15a!$K$11:$K$310,Mau15a!$B$11:$B$310,B376)-SUMIFS(Mau15a!$E$11:$E$310,Mau15a!$B$11:$B$310,B376))*G376)</f>
        <v/>
      </c>
      <c r="L376" s="36" t="str">
        <f t="shared" si="28"/>
        <v/>
      </c>
      <c r="M376" s="36" t="str">
        <f>IF(B376="","",BOM!G376&amp;"")</f>
        <v/>
      </c>
      <c r="N376" s="36" t="str">
        <f t="shared" si="29"/>
        <v/>
      </c>
    </row>
    <row r="377" spans="1:14" x14ac:dyDescent="0.25">
      <c r="A377" s="35" t="str">
        <f t="shared" si="25"/>
        <v/>
      </c>
      <c r="B377" s="35" t="str">
        <f>IF(BOM!A377="","",BOM!A377)</f>
        <v/>
      </c>
      <c r="C377" s="35" t="str">
        <f>IF(B377="","",BOM!B377)</f>
        <v/>
      </c>
      <c r="D377" s="35" t="str">
        <f>IF(B377="","",IFERROR(INDEX(DM_NL!$B$5:$B$304,MATCH(C377,DM_NL!$A$5:$A$304,0)),""))</f>
        <v/>
      </c>
      <c r="E377" s="35" t="str">
        <f>IF(B377="","",IFERROR(INDEX(DM_NL!$C$5:$C$304,MATCH(C377,DM_NL!$A$5:$A$304,0)),""))</f>
        <v/>
      </c>
      <c r="F377" s="39" t="str">
        <f>IF(B377="","",SUMIFS(Mau15a!$F$11:$F$310,Mau15a!$B$11:$B$310,B377))</f>
        <v/>
      </c>
      <c r="G377" s="39" t="str">
        <f>IF(B377="","",IF(OR(M377="KXDDM",BOM!F377=""),0,BOM!F377))</f>
        <v/>
      </c>
      <c r="H377" s="39" t="str">
        <f t="shared" si="26"/>
        <v/>
      </c>
      <c r="I377" s="39" t="str">
        <f>IF(B377="","",SUMIFS(Mau15a!$H$11:$H$310,Mau15a!$B$11:$B$310,B377)+SUMIFS(Mau15a!$I$11:$I$310,Mau15a!$B$11:$B$310,B377)+SUMIFS(Mau15a!$J$11:$J$310,Mau15a!$B$11:$B$310,B377)-SUMIFS(Mau15a!$G$11:$G$310,Mau15a!$B$11:$B$310,B377))</f>
        <v/>
      </c>
      <c r="J377" s="39" t="str">
        <f t="shared" si="27"/>
        <v/>
      </c>
      <c r="K377" s="39" t="str">
        <f>IF(B377="","",(SUMIFS(Mau15a!$K$11:$K$310,Mau15a!$B$11:$B$310,B377)-SUMIFS(Mau15a!$E$11:$E$310,Mau15a!$B$11:$B$310,B377))*G377)</f>
        <v/>
      </c>
      <c r="L377" s="36" t="str">
        <f t="shared" si="28"/>
        <v/>
      </c>
      <c r="M377" s="36" t="str">
        <f>IF(B377="","",BOM!G377&amp;"")</f>
        <v/>
      </c>
      <c r="N377" s="36" t="str">
        <f t="shared" si="29"/>
        <v/>
      </c>
    </row>
    <row r="378" spans="1:14" x14ac:dyDescent="0.25">
      <c r="A378" s="35" t="str">
        <f t="shared" si="25"/>
        <v/>
      </c>
      <c r="B378" s="35" t="str">
        <f>IF(BOM!A378="","",BOM!A378)</f>
        <v/>
      </c>
      <c r="C378" s="35" t="str">
        <f>IF(B378="","",BOM!B378)</f>
        <v/>
      </c>
      <c r="D378" s="35" t="str">
        <f>IF(B378="","",IFERROR(INDEX(DM_NL!$B$5:$B$304,MATCH(C378,DM_NL!$A$5:$A$304,0)),""))</f>
        <v/>
      </c>
      <c r="E378" s="35" t="str">
        <f>IF(B378="","",IFERROR(INDEX(DM_NL!$C$5:$C$304,MATCH(C378,DM_NL!$A$5:$A$304,0)),""))</f>
        <v/>
      </c>
      <c r="F378" s="39" t="str">
        <f>IF(B378="","",SUMIFS(Mau15a!$F$11:$F$310,Mau15a!$B$11:$B$310,B378))</f>
        <v/>
      </c>
      <c r="G378" s="39" t="str">
        <f>IF(B378="","",IF(OR(M378="KXDDM",BOM!F378=""),0,BOM!F378))</f>
        <v/>
      </c>
      <c r="H378" s="39" t="str">
        <f t="shared" si="26"/>
        <v/>
      </c>
      <c r="I378" s="39" t="str">
        <f>IF(B378="","",SUMIFS(Mau15a!$H$11:$H$310,Mau15a!$B$11:$B$310,B378)+SUMIFS(Mau15a!$I$11:$I$310,Mau15a!$B$11:$B$310,B378)+SUMIFS(Mau15a!$J$11:$J$310,Mau15a!$B$11:$B$310,B378)-SUMIFS(Mau15a!$G$11:$G$310,Mau15a!$B$11:$B$310,B378))</f>
        <v/>
      </c>
      <c r="J378" s="39" t="str">
        <f t="shared" si="27"/>
        <v/>
      </c>
      <c r="K378" s="39" t="str">
        <f>IF(B378="","",(SUMIFS(Mau15a!$K$11:$K$310,Mau15a!$B$11:$B$310,B378)-SUMIFS(Mau15a!$E$11:$E$310,Mau15a!$B$11:$B$310,B378))*G378)</f>
        <v/>
      </c>
      <c r="L378" s="36" t="str">
        <f t="shared" si="28"/>
        <v/>
      </c>
      <c r="M378" s="36" t="str">
        <f>IF(B378="","",BOM!G378&amp;"")</f>
        <v/>
      </c>
      <c r="N378" s="36" t="str">
        <f t="shared" si="29"/>
        <v/>
      </c>
    </row>
    <row r="379" spans="1:14" x14ac:dyDescent="0.25">
      <c r="A379" s="35" t="str">
        <f t="shared" si="25"/>
        <v/>
      </c>
      <c r="B379" s="35" t="str">
        <f>IF(BOM!A379="","",BOM!A379)</f>
        <v/>
      </c>
      <c r="C379" s="35" t="str">
        <f>IF(B379="","",BOM!B379)</f>
        <v/>
      </c>
      <c r="D379" s="35" t="str">
        <f>IF(B379="","",IFERROR(INDEX(DM_NL!$B$5:$B$304,MATCH(C379,DM_NL!$A$5:$A$304,0)),""))</f>
        <v/>
      </c>
      <c r="E379" s="35" t="str">
        <f>IF(B379="","",IFERROR(INDEX(DM_NL!$C$5:$C$304,MATCH(C379,DM_NL!$A$5:$A$304,0)),""))</f>
        <v/>
      </c>
      <c r="F379" s="39" t="str">
        <f>IF(B379="","",SUMIFS(Mau15a!$F$11:$F$310,Mau15a!$B$11:$B$310,B379))</f>
        <v/>
      </c>
      <c r="G379" s="39" t="str">
        <f>IF(B379="","",IF(OR(M379="KXDDM",BOM!F379=""),0,BOM!F379))</f>
        <v/>
      </c>
      <c r="H379" s="39" t="str">
        <f t="shared" si="26"/>
        <v/>
      </c>
      <c r="I379" s="39" t="str">
        <f>IF(B379="","",SUMIFS(Mau15a!$H$11:$H$310,Mau15a!$B$11:$B$310,B379)+SUMIFS(Mau15a!$I$11:$I$310,Mau15a!$B$11:$B$310,B379)+SUMIFS(Mau15a!$J$11:$J$310,Mau15a!$B$11:$B$310,B379)-SUMIFS(Mau15a!$G$11:$G$310,Mau15a!$B$11:$B$310,B379))</f>
        <v/>
      </c>
      <c r="J379" s="39" t="str">
        <f t="shared" si="27"/>
        <v/>
      </c>
      <c r="K379" s="39" t="str">
        <f>IF(B379="","",(SUMIFS(Mau15a!$K$11:$K$310,Mau15a!$B$11:$B$310,B379)-SUMIFS(Mau15a!$E$11:$E$310,Mau15a!$B$11:$B$310,B379))*G379)</f>
        <v/>
      </c>
      <c r="L379" s="36" t="str">
        <f t="shared" si="28"/>
        <v/>
      </c>
      <c r="M379" s="36" t="str">
        <f>IF(B379="","",BOM!G379&amp;"")</f>
        <v/>
      </c>
      <c r="N379" s="36" t="str">
        <f t="shared" si="29"/>
        <v/>
      </c>
    </row>
    <row r="380" spans="1:14" x14ac:dyDescent="0.25">
      <c r="A380" s="35" t="str">
        <f t="shared" si="25"/>
        <v/>
      </c>
      <c r="B380" s="35" t="str">
        <f>IF(BOM!A380="","",BOM!A380)</f>
        <v/>
      </c>
      <c r="C380" s="35" t="str">
        <f>IF(B380="","",BOM!B380)</f>
        <v/>
      </c>
      <c r="D380" s="35" t="str">
        <f>IF(B380="","",IFERROR(INDEX(DM_NL!$B$5:$B$304,MATCH(C380,DM_NL!$A$5:$A$304,0)),""))</f>
        <v/>
      </c>
      <c r="E380" s="35" t="str">
        <f>IF(B380="","",IFERROR(INDEX(DM_NL!$C$5:$C$304,MATCH(C380,DM_NL!$A$5:$A$304,0)),""))</f>
        <v/>
      </c>
      <c r="F380" s="39" t="str">
        <f>IF(B380="","",SUMIFS(Mau15a!$F$11:$F$310,Mau15a!$B$11:$B$310,B380))</f>
        <v/>
      </c>
      <c r="G380" s="39" t="str">
        <f>IF(B380="","",IF(OR(M380="KXDDM",BOM!F380=""),0,BOM!F380))</f>
        <v/>
      </c>
      <c r="H380" s="39" t="str">
        <f t="shared" si="26"/>
        <v/>
      </c>
      <c r="I380" s="39" t="str">
        <f>IF(B380="","",SUMIFS(Mau15a!$H$11:$H$310,Mau15a!$B$11:$B$310,B380)+SUMIFS(Mau15a!$I$11:$I$310,Mau15a!$B$11:$B$310,B380)+SUMIFS(Mau15a!$J$11:$J$310,Mau15a!$B$11:$B$310,B380)-SUMIFS(Mau15a!$G$11:$G$310,Mau15a!$B$11:$B$310,B380))</f>
        <v/>
      </c>
      <c r="J380" s="39" t="str">
        <f t="shared" si="27"/>
        <v/>
      </c>
      <c r="K380" s="39" t="str">
        <f>IF(B380="","",(SUMIFS(Mau15a!$K$11:$K$310,Mau15a!$B$11:$B$310,B380)-SUMIFS(Mau15a!$E$11:$E$310,Mau15a!$B$11:$B$310,B380))*G380)</f>
        <v/>
      </c>
      <c r="L380" s="36" t="str">
        <f t="shared" si="28"/>
        <v/>
      </c>
      <c r="M380" s="36" t="str">
        <f>IF(B380="","",BOM!G380&amp;"")</f>
        <v/>
      </c>
      <c r="N380" s="36" t="str">
        <f t="shared" si="29"/>
        <v/>
      </c>
    </row>
    <row r="381" spans="1:14" x14ac:dyDescent="0.25">
      <c r="A381" s="35" t="str">
        <f t="shared" si="25"/>
        <v/>
      </c>
      <c r="B381" s="35" t="str">
        <f>IF(BOM!A381="","",BOM!A381)</f>
        <v/>
      </c>
      <c r="C381" s="35" t="str">
        <f>IF(B381="","",BOM!B381)</f>
        <v/>
      </c>
      <c r="D381" s="35" t="str">
        <f>IF(B381="","",IFERROR(INDEX(DM_NL!$B$5:$B$304,MATCH(C381,DM_NL!$A$5:$A$304,0)),""))</f>
        <v/>
      </c>
      <c r="E381" s="35" t="str">
        <f>IF(B381="","",IFERROR(INDEX(DM_NL!$C$5:$C$304,MATCH(C381,DM_NL!$A$5:$A$304,0)),""))</f>
        <v/>
      </c>
      <c r="F381" s="39" t="str">
        <f>IF(B381="","",SUMIFS(Mau15a!$F$11:$F$310,Mau15a!$B$11:$B$310,B381))</f>
        <v/>
      </c>
      <c r="G381" s="39" t="str">
        <f>IF(B381="","",IF(OR(M381="KXDDM",BOM!F381=""),0,BOM!F381))</f>
        <v/>
      </c>
      <c r="H381" s="39" t="str">
        <f t="shared" si="26"/>
        <v/>
      </c>
      <c r="I381" s="39" t="str">
        <f>IF(B381="","",SUMIFS(Mau15a!$H$11:$H$310,Mau15a!$B$11:$B$310,B381)+SUMIFS(Mau15a!$I$11:$I$310,Mau15a!$B$11:$B$310,B381)+SUMIFS(Mau15a!$J$11:$J$310,Mau15a!$B$11:$B$310,B381)-SUMIFS(Mau15a!$G$11:$G$310,Mau15a!$B$11:$B$310,B381))</f>
        <v/>
      </c>
      <c r="J381" s="39" t="str">
        <f t="shared" si="27"/>
        <v/>
      </c>
      <c r="K381" s="39" t="str">
        <f>IF(B381="","",(SUMIFS(Mau15a!$K$11:$K$310,Mau15a!$B$11:$B$310,B381)-SUMIFS(Mau15a!$E$11:$E$310,Mau15a!$B$11:$B$310,B381))*G381)</f>
        <v/>
      </c>
      <c r="L381" s="36" t="str">
        <f t="shared" si="28"/>
        <v/>
      </c>
      <c r="M381" s="36" t="str">
        <f>IF(B381="","",BOM!G381&amp;"")</f>
        <v/>
      </c>
      <c r="N381" s="36" t="str">
        <f t="shared" si="29"/>
        <v/>
      </c>
    </row>
    <row r="382" spans="1:14" x14ac:dyDescent="0.25">
      <c r="A382" s="35" t="str">
        <f t="shared" si="25"/>
        <v/>
      </c>
      <c r="B382" s="35" t="str">
        <f>IF(BOM!A382="","",BOM!A382)</f>
        <v/>
      </c>
      <c r="C382" s="35" t="str">
        <f>IF(B382="","",BOM!B382)</f>
        <v/>
      </c>
      <c r="D382" s="35" t="str">
        <f>IF(B382="","",IFERROR(INDEX(DM_NL!$B$5:$B$304,MATCH(C382,DM_NL!$A$5:$A$304,0)),""))</f>
        <v/>
      </c>
      <c r="E382" s="35" t="str">
        <f>IF(B382="","",IFERROR(INDEX(DM_NL!$C$5:$C$304,MATCH(C382,DM_NL!$A$5:$A$304,0)),""))</f>
        <v/>
      </c>
      <c r="F382" s="39" t="str">
        <f>IF(B382="","",SUMIFS(Mau15a!$F$11:$F$310,Mau15a!$B$11:$B$310,B382))</f>
        <v/>
      </c>
      <c r="G382" s="39" t="str">
        <f>IF(B382="","",IF(OR(M382="KXDDM",BOM!F382=""),0,BOM!F382))</f>
        <v/>
      </c>
      <c r="H382" s="39" t="str">
        <f t="shared" si="26"/>
        <v/>
      </c>
      <c r="I382" s="39" t="str">
        <f>IF(B382="","",SUMIFS(Mau15a!$H$11:$H$310,Mau15a!$B$11:$B$310,B382)+SUMIFS(Mau15a!$I$11:$I$310,Mau15a!$B$11:$B$310,B382)+SUMIFS(Mau15a!$J$11:$J$310,Mau15a!$B$11:$B$310,B382)-SUMIFS(Mau15a!$G$11:$G$310,Mau15a!$B$11:$B$310,B382))</f>
        <v/>
      </c>
      <c r="J382" s="39" t="str">
        <f t="shared" si="27"/>
        <v/>
      </c>
      <c r="K382" s="39" t="str">
        <f>IF(B382="","",(SUMIFS(Mau15a!$K$11:$K$310,Mau15a!$B$11:$B$310,B382)-SUMIFS(Mau15a!$E$11:$E$310,Mau15a!$B$11:$B$310,B382))*G382)</f>
        <v/>
      </c>
      <c r="L382" s="36" t="str">
        <f t="shared" si="28"/>
        <v/>
      </c>
      <c r="M382" s="36" t="str">
        <f>IF(B382="","",BOM!G382&amp;"")</f>
        <v/>
      </c>
      <c r="N382" s="36" t="str">
        <f t="shared" si="29"/>
        <v/>
      </c>
    </row>
    <row r="383" spans="1:14" x14ac:dyDescent="0.25">
      <c r="A383" s="35" t="str">
        <f t="shared" si="25"/>
        <v/>
      </c>
      <c r="B383" s="35" t="str">
        <f>IF(BOM!A383="","",BOM!A383)</f>
        <v/>
      </c>
      <c r="C383" s="35" t="str">
        <f>IF(B383="","",BOM!B383)</f>
        <v/>
      </c>
      <c r="D383" s="35" t="str">
        <f>IF(B383="","",IFERROR(INDEX(DM_NL!$B$5:$B$304,MATCH(C383,DM_NL!$A$5:$A$304,0)),""))</f>
        <v/>
      </c>
      <c r="E383" s="35" t="str">
        <f>IF(B383="","",IFERROR(INDEX(DM_NL!$C$5:$C$304,MATCH(C383,DM_NL!$A$5:$A$304,0)),""))</f>
        <v/>
      </c>
      <c r="F383" s="39" t="str">
        <f>IF(B383="","",SUMIFS(Mau15a!$F$11:$F$310,Mau15a!$B$11:$B$310,B383))</f>
        <v/>
      </c>
      <c r="G383" s="39" t="str">
        <f>IF(B383="","",IF(OR(M383="KXDDM",BOM!F383=""),0,BOM!F383))</f>
        <v/>
      </c>
      <c r="H383" s="39" t="str">
        <f t="shared" si="26"/>
        <v/>
      </c>
      <c r="I383" s="39" t="str">
        <f>IF(B383="","",SUMIFS(Mau15a!$H$11:$H$310,Mau15a!$B$11:$B$310,B383)+SUMIFS(Mau15a!$I$11:$I$310,Mau15a!$B$11:$B$310,B383)+SUMIFS(Mau15a!$J$11:$J$310,Mau15a!$B$11:$B$310,B383)-SUMIFS(Mau15a!$G$11:$G$310,Mau15a!$B$11:$B$310,B383))</f>
        <v/>
      </c>
      <c r="J383" s="39" t="str">
        <f t="shared" si="27"/>
        <v/>
      </c>
      <c r="K383" s="39" t="str">
        <f>IF(B383="","",(SUMIFS(Mau15a!$K$11:$K$310,Mau15a!$B$11:$B$310,B383)-SUMIFS(Mau15a!$E$11:$E$310,Mau15a!$B$11:$B$310,B383))*G383)</f>
        <v/>
      </c>
      <c r="L383" s="36" t="str">
        <f t="shared" si="28"/>
        <v/>
      </c>
      <c r="M383" s="36" t="str">
        <f>IF(B383="","",BOM!G383&amp;"")</f>
        <v/>
      </c>
      <c r="N383" s="36" t="str">
        <f t="shared" si="29"/>
        <v/>
      </c>
    </row>
    <row r="384" spans="1:14" x14ac:dyDescent="0.25">
      <c r="A384" s="35" t="str">
        <f t="shared" si="25"/>
        <v/>
      </c>
      <c r="B384" s="35" t="str">
        <f>IF(BOM!A384="","",BOM!A384)</f>
        <v/>
      </c>
      <c r="C384" s="35" t="str">
        <f>IF(B384="","",BOM!B384)</f>
        <v/>
      </c>
      <c r="D384" s="35" t="str">
        <f>IF(B384="","",IFERROR(INDEX(DM_NL!$B$5:$B$304,MATCH(C384,DM_NL!$A$5:$A$304,0)),""))</f>
        <v/>
      </c>
      <c r="E384" s="35" t="str">
        <f>IF(B384="","",IFERROR(INDEX(DM_NL!$C$5:$C$304,MATCH(C384,DM_NL!$A$5:$A$304,0)),""))</f>
        <v/>
      </c>
      <c r="F384" s="39" t="str">
        <f>IF(B384="","",SUMIFS(Mau15a!$F$11:$F$310,Mau15a!$B$11:$B$310,B384))</f>
        <v/>
      </c>
      <c r="G384" s="39" t="str">
        <f>IF(B384="","",IF(OR(M384="KXDDM",BOM!F384=""),0,BOM!F384))</f>
        <v/>
      </c>
      <c r="H384" s="39" t="str">
        <f t="shared" si="26"/>
        <v/>
      </c>
      <c r="I384" s="39" t="str">
        <f>IF(B384="","",SUMIFS(Mau15a!$H$11:$H$310,Mau15a!$B$11:$B$310,B384)+SUMIFS(Mau15a!$I$11:$I$310,Mau15a!$B$11:$B$310,B384)+SUMIFS(Mau15a!$J$11:$J$310,Mau15a!$B$11:$B$310,B384)-SUMIFS(Mau15a!$G$11:$G$310,Mau15a!$B$11:$B$310,B384))</f>
        <v/>
      </c>
      <c r="J384" s="39" t="str">
        <f t="shared" si="27"/>
        <v/>
      </c>
      <c r="K384" s="39" t="str">
        <f>IF(B384="","",(SUMIFS(Mau15a!$K$11:$K$310,Mau15a!$B$11:$B$310,B384)-SUMIFS(Mau15a!$E$11:$E$310,Mau15a!$B$11:$B$310,B384))*G384)</f>
        <v/>
      </c>
      <c r="L384" s="36" t="str">
        <f t="shared" si="28"/>
        <v/>
      </c>
      <c r="M384" s="36" t="str">
        <f>IF(B384="","",BOM!G384&amp;"")</f>
        <v/>
      </c>
      <c r="N384" s="36" t="str">
        <f t="shared" si="29"/>
        <v/>
      </c>
    </row>
    <row r="385" spans="1:14" x14ac:dyDescent="0.25">
      <c r="A385" s="35" t="str">
        <f t="shared" si="25"/>
        <v/>
      </c>
      <c r="B385" s="35" t="str">
        <f>IF(BOM!A385="","",BOM!A385)</f>
        <v/>
      </c>
      <c r="C385" s="35" t="str">
        <f>IF(B385="","",BOM!B385)</f>
        <v/>
      </c>
      <c r="D385" s="35" t="str">
        <f>IF(B385="","",IFERROR(INDEX(DM_NL!$B$5:$B$304,MATCH(C385,DM_NL!$A$5:$A$304,0)),""))</f>
        <v/>
      </c>
      <c r="E385" s="35" t="str">
        <f>IF(B385="","",IFERROR(INDEX(DM_NL!$C$5:$C$304,MATCH(C385,DM_NL!$A$5:$A$304,0)),""))</f>
        <v/>
      </c>
      <c r="F385" s="39" t="str">
        <f>IF(B385="","",SUMIFS(Mau15a!$F$11:$F$310,Mau15a!$B$11:$B$310,B385))</f>
        <v/>
      </c>
      <c r="G385" s="39" t="str">
        <f>IF(B385="","",IF(OR(M385="KXDDM",BOM!F385=""),0,BOM!F385))</f>
        <v/>
      </c>
      <c r="H385" s="39" t="str">
        <f t="shared" si="26"/>
        <v/>
      </c>
      <c r="I385" s="39" t="str">
        <f>IF(B385="","",SUMIFS(Mau15a!$H$11:$H$310,Mau15a!$B$11:$B$310,B385)+SUMIFS(Mau15a!$I$11:$I$310,Mau15a!$B$11:$B$310,B385)+SUMIFS(Mau15a!$J$11:$J$310,Mau15a!$B$11:$B$310,B385)-SUMIFS(Mau15a!$G$11:$G$310,Mau15a!$B$11:$B$310,B385))</f>
        <v/>
      </c>
      <c r="J385" s="39" t="str">
        <f t="shared" si="27"/>
        <v/>
      </c>
      <c r="K385" s="39" t="str">
        <f>IF(B385="","",(SUMIFS(Mau15a!$K$11:$K$310,Mau15a!$B$11:$B$310,B385)-SUMIFS(Mau15a!$E$11:$E$310,Mau15a!$B$11:$B$310,B385))*G385)</f>
        <v/>
      </c>
      <c r="L385" s="36" t="str">
        <f t="shared" si="28"/>
        <v/>
      </c>
      <c r="M385" s="36" t="str">
        <f>IF(B385="","",BOM!G385&amp;"")</f>
        <v/>
      </c>
      <c r="N385" s="36" t="str">
        <f t="shared" si="29"/>
        <v/>
      </c>
    </row>
    <row r="386" spans="1:14" x14ac:dyDescent="0.25">
      <c r="A386" s="35" t="str">
        <f t="shared" si="25"/>
        <v/>
      </c>
      <c r="B386" s="35" t="str">
        <f>IF(BOM!A386="","",BOM!A386)</f>
        <v/>
      </c>
      <c r="C386" s="35" t="str">
        <f>IF(B386="","",BOM!B386)</f>
        <v/>
      </c>
      <c r="D386" s="35" t="str">
        <f>IF(B386="","",IFERROR(INDEX(DM_NL!$B$5:$B$304,MATCH(C386,DM_NL!$A$5:$A$304,0)),""))</f>
        <v/>
      </c>
      <c r="E386" s="35" t="str">
        <f>IF(B386="","",IFERROR(INDEX(DM_NL!$C$5:$C$304,MATCH(C386,DM_NL!$A$5:$A$304,0)),""))</f>
        <v/>
      </c>
      <c r="F386" s="39" t="str">
        <f>IF(B386="","",SUMIFS(Mau15a!$F$11:$F$310,Mau15a!$B$11:$B$310,B386))</f>
        <v/>
      </c>
      <c r="G386" s="39" t="str">
        <f>IF(B386="","",IF(OR(M386="KXDDM",BOM!F386=""),0,BOM!F386))</f>
        <v/>
      </c>
      <c r="H386" s="39" t="str">
        <f t="shared" si="26"/>
        <v/>
      </c>
      <c r="I386" s="39" t="str">
        <f>IF(B386="","",SUMIFS(Mau15a!$H$11:$H$310,Mau15a!$B$11:$B$310,B386)+SUMIFS(Mau15a!$I$11:$I$310,Mau15a!$B$11:$B$310,B386)+SUMIFS(Mau15a!$J$11:$J$310,Mau15a!$B$11:$B$310,B386)-SUMIFS(Mau15a!$G$11:$G$310,Mau15a!$B$11:$B$310,B386))</f>
        <v/>
      </c>
      <c r="J386" s="39" t="str">
        <f t="shared" si="27"/>
        <v/>
      </c>
      <c r="K386" s="39" t="str">
        <f>IF(B386="","",(SUMIFS(Mau15a!$K$11:$K$310,Mau15a!$B$11:$B$310,B386)-SUMIFS(Mau15a!$E$11:$E$310,Mau15a!$B$11:$B$310,B386))*G386)</f>
        <v/>
      </c>
      <c r="L386" s="36" t="str">
        <f t="shared" si="28"/>
        <v/>
      </c>
      <c r="M386" s="36" t="str">
        <f>IF(B386="","",BOM!G386&amp;"")</f>
        <v/>
      </c>
      <c r="N386" s="36" t="str">
        <f t="shared" si="29"/>
        <v/>
      </c>
    </row>
    <row r="387" spans="1:14" x14ac:dyDescent="0.25">
      <c r="A387" s="35" t="str">
        <f t="shared" si="25"/>
        <v/>
      </c>
      <c r="B387" s="35" t="str">
        <f>IF(BOM!A387="","",BOM!A387)</f>
        <v/>
      </c>
      <c r="C387" s="35" t="str">
        <f>IF(B387="","",BOM!B387)</f>
        <v/>
      </c>
      <c r="D387" s="35" t="str">
        <f>IF(B387="","",IFERROR(INDEX(DM_NL!$B$5:$B$304,MATCH(C387,DM_NL!$A$5:$A$304,0)),""))</f>
        <v/>
      </c>
      <c r="E387" s="35" t="str">
        <f>IF(B387="","",IFERROR(INDEX(DM_NL!$C$5:$C$304,MATCH(C387,DM_NL!$A$5:$A$304,0)),""))</f>
        <v/>
      </c>
      <c r="F387" s="39" t="str">
        <f>IF(B387="","",SUMIFS(Mau15a!$F$11:$F$310,Mau15a!$B$11:$B$310,B387))</f>
        <v/>
      </c>
      <c r="G387" s="39" t="str">
        <f>IF(B387="","",IF(OR(M387="KXDDM",BOM!F387=""),0,BOM!F387))</f>
        <v/>
      </c>
      <c r="H387" s="39" t="str">
        <f t="shared" si="26"/>
        <v/>
      </c>
      <c r="I387" s="39" t="str">
        <f>IF(B387="","",SUMIFS(Mau15a!$H$11:$H$310,Mau15a!$B$11:$B$310,B387)+SUMIFS(Mau15a!$I$11:$I$310,Mau15a!$B$11:$B$310,B387)+SUMIFS(Mau15a!$J$11:$J$310,Mau15a!$B$11:$B$310,B387)-SUMIFS(Mau15a!$G$11:$G$310,Mau15a!$B$11:$B$310,B387))</f>
        <v/>
      </c>
      <c r="J387" s="39" t="str">
        <f t="shared" si="27"/>
        <v/>
      </c>
      <c r="K387" s="39" t="str">
        <f>IF(B387="","",(SUMIFS(Mau15a!$K$11:$K$310,Mau15a!$B$11:$B$310,B387)-SUMIFS(Mau15a!$E$11:$E$310,Mau15a!$B$11:$B$310,B387))*G387)</f>
        <v/>
      </c>
      <c r="L387" s="36" t="str">
        <f t="shared" si="28"/>
        <v/>
      </c>
      <c r="M387" s="36" t="str">
        <f>IF(B387="","",BOM!G387&amp;"")</f>
        <v/>
      </c>
      <c r="N387" s="36" t="str">
        <f t="shared" si="29"/>
        <v/>
      </c>
    </row>
    <row r="388" spans="1:14" x14ac:dyDescent="0.25">
      <c r="A388" s="35" t="str">
        <f t="shared" si="25"/>
        <v/>
      </c>
      <c r="B388" s="35" t="str">
        <f>IF(BOM!A388="","",BOM!A388)</f>
        <v/>
      </c>
      <c r="C388" s="35" t="str">
        <f>IF(B388="","",BOM!B388)</f>
        <v/>
      </c>
      <c r="D388" s="35" t="str">
        <f>IF(B388="","",IFERROR(INDEX(DM_NL!$B$5:$B$304,MATCH(C388,DM_NL!$A$5:$A$304,0)),""))</f>
        <v/>
      </c>
      <c r="E388" s="35" t="str">
        <f>IF(B388="","",IFERROR(INDEX(DM_NL!$C$5:$C$304,MATCH(C388,DM_NL!$A$5:$A$304,0)),""))</f>
        <v/>
      </c>
      <c r="F388" s="39" t="str">
        <f>IF(B388="","",SUMIFS(Mau15a!$F$11:$F$310,Mau15a!$B$11:$B$310,B388))</f>
        <v/>
      </c>
      <c r="G388" s="39" t="str">
        <f>IF(B388="","",IF(OR(M388="KXDDM",BOM!F388=""),0,BOM!F388))</f>
        <v/>
      </c>
      <c r="H388" s="39" t="str">
        <f t="shared" si="26"/>
        <v/>
      </c>
      <c r="I388" s="39" t="str">
        <f>IF(B388="","",SUMIFS(Mau15a!$H$11:$H$310,Mau15a!$B$11:$B$310,B388)+SUMIFS(Mau15a!$I$11:$I$310,Mau15a!$B$11:$B$310,B388)+SUMIFS(Mau15a!$J$11:$J$310,Mau15a!$B$11:$B$310,B388)-SUMIFS(Mau15a!$G$11:$G$310,Mau15a!$B$11:$B$310,B388))</f>
        <v/>
      </c>
      <c r="J388" s="39" t="str">
        <f t="shared" si="27"/>
        <v/>
      </c>
      <c r="K388" s="39" t="str">
        <f>IF(B388="","",(SUMIFS(Mau15a!$K$11:$K$310,Mau15a!$B$11:$B$310,B388)-SUMIFS(Mau15a!$E$11:$E$310,Mau15a!$B$11:$B$310,B388))*G388)</f>
        <v/>
      </c>
      <c r="L388" s="36" t="str">
        <f t="shared" si="28"/>
        <v/>
      </c>
      <c r="M388" s="36" t="str">
        <f>IF(B388="","",BOM!G388&amp;"")</f>
        <v/>
      </c>
      <c r="N388" s="36" t="str">
        <f t="shared" si="29"/>
        <v/>
      </c>
    </row>
    <row r="389" spans="1:14" x14ac:dyDescent="0.25">
      <c r="A389" s="35" t="str">
        <f t="shared" ref="A389:A452" si="30">IF(B389="","",ROW()-4)</f>
        <v/>
      </c>
      <c r="B389" s="35" t="str">
        <f>IF(BOM!A389="","",BOM!A389)</f>
        <v/>
      </c>
      <c r="C389" s="35" t="str">
        <f>IF(B389="","",BOM!B389)</f>
        <v/>
      </c>
      <c r="D389" s="35" t="str">
        <f>IF(B389="","",IFERROR(INDEX(DM_NL!$B$5:$B$304,MATCH(C389,DM_NL!$A$5:$A$304,0)),""))</f>
        <v/>
      </c>
      <c r="E389" s="35" t="str">
        <f>IF(B389="","",IFERROR(INDEX(DM_NL!$C$5:$C$304,MATCH(C389,DM_NL!$A$5:$A$304,0)),""))</f>
        <v/>
      </c>
      <c r="F389" s="39" t="str">
        <f>IF(B389="","",SUMIFS(Mau15a!$F$11:$F$310,Mau15a!$B$11:$B$310,B389))</f>
        <v/>
      </c>
      <c r="G389" s="39" t="str">
        <f>IF(B389="","",IF(OR(M389="KXDDM",BOM!F389=""),0,BOM!F389))</f>
        <v/>
      </c>
      <c r="H389" s="39" t="str">
        <f t="shared" ref="H389:H452" si="31">IF(B389="","",F389*G389)</f>
        <v/>
      </c>
      <c r="I389" s="39" t="str">
        <f>IF(B389="","",SUMIFS(Mau15a!$H$11:$H$310,Mau15a!$B$11:$B$310,B389)+SUMIFS(Mau15a!$I$11:$I$310,Mau15a!$B$11:$B$310,B389)+SUMIFS(Mau15a!$J$11:$J$310,Mau15a!$B$11:$B$310,B389)-SUMIFS(Mau15a!$G$11:$G$310,Mau15a!$B$11:$B$310,B389))</f>
        <v/>
      </c>
      <c r="J389" s="39" t="str">
        <f t="shared" ref="J389:J452" si="32">IF(B389="","",I389*G389)</f>
        <v/>
      </c>
      <c r="K389" s="39" t="str">
        <f>IF(B389="","",(SUMIFS(Mau15a!$K$11:$K$310,Mau15a!$B$11:$B$310,B389)-SUMIFS(Mau15a!$E$11:$E$310,Mau15a!$B$11:$B$310,B389))*G389)</f>
        <v/>
      </c>
      <c r="L389" s="36" t="str">
        <f t="shared" ref="L389:L452" si="33">IF(B389="","",IF(ABS(H389-J389-K389)&lt;0.000001,"Khớp","Lệch"))</f>
        <v/>
      </c>
      <c r="M389" s="36" t="str">
        <f>IF(B389="","",BOM!G389&amp;"")</f>
        <v/>
      </c>
      <c r="N389" s="36" t="str">
        <f t="shared" ref="N389:N452" si="34">IF(B389="","",IF(M389="",1,0))</f>
        <v/>
      </c>
    </row>
    <row r="390" spans="1:14" x14ac:dyDescent="0.25">
      <c r="A390" s="35" t="str">
        <f t="shared" si="30"/>
        <v/>
      </c>
      <c r="B390" s="35" t="str">
        <f>IF(BOM!A390="","",BOM!A390)</f>
        <v/>
      </c>
      <c r="C390" s="35" t="str">
        <f>IF(B390="","",BOM!B390)</f>
        <v/>
      </c>
      <c r="D390" s="35" t="str">
        <f>IF(B390="","",IFERROR(INDEX(DM_NL!$B$5:$B$304,MATCH(C390,DM_NL!$A$5:$A$304,0)),""))</f>
        <v/>
      </c>
      <c r="E390" s="35" t="str">
        <f>IF(B390="","",IFERROR(INDEX(DM_NL!$C$5:$C$304,MATCH(C390,DM_NL!$A$5:$A$304,0)),""))</f>
        <v/>
      </c>
      <c r="F390" s="39" t="str">
        <f>IF(B390="","",SUMIFS(Mau15a!$F$11:$F$310,Mau15a!$B$11:$B$310,B390))</f>
        <v/>
      </c>
      <c r="G390" s="39" t="str">
        <f>IF(B390="","",IF(OR(M390="KXDDM",BOM!F390=""),0,BOM!F390))</f>
        <v/>
      </c>
      <c r="H390" s="39" t="str">
        <f t="shared" si="31"/>
        <v/>
      </c>
      <c r="I390" s="39" t="str">
        <f>IF(B390="","",SUMIFS(Mau15a!$H$11:$H$310,Mau15a!$B$11:$B$310,B390)+SUMIFS(Mau15a!$I$11:$I$310,Mau15a!$B$11:$B$310,B390)+SUMIFS(Mau15a!$J$11:$J$310,Mau15a!$B$11:$B$310,B390)-SUMIFS(Mau15a!$G$11:$G$310,Mau15a!$B$11:$B$310,B390))</f>
        <v/>
      </c>
      <c r="J390" s="39" t="str">
        <f t="shared" si="32"/>
        <v/>
      </c>
      <c r="K390" s="39" t="str">
        <f>IF(B390="","",(SUMIFS(Mau15a!$K$11:$K$310,Mau15a!$B$11:$B$310,B390)-SUMIFS(Mau15a!$E$11:$E$310,Mau15a!$B$11:$B$310,B390))*G390)</f>
        <v/>
      </c>
      <c r="L390" s="36" t="str">
        <f t="shared" si="33"/>
        <v/>
      </c>
      <c r="M390" s="36" t="str">
        <f>IF(B390="","",BOM!G390&amp;"")</f>
        <v/>
      </c>
      <c r="N390" s="36" t="str">
        <f t="shared" si="34"/>
        <v/>
      </c>
    </row>
    <row r="391" spans="1:14" x14ac:dyDescent="0.25">
      <c r="A391" s="35" t="str">
        <f t="shared" si="30"/>
        <v/>
      </c>
      <c r="B391" s="35" t="str">
        <f>IF(BOM!A391="","",BOM!A391)</f>
        <v/>
      </c>
      <c r="C391" s="35" t="str">
        <f>IF(B391="","",BOM!B391)</f>
        <v/>
      </c>
      <c r="D391" s="35" t="str">
        <f>IF(B391="","",IFERROR(INDEX(DM_NL!$B$5:$B$304,MATCH(C391,DM_NL!$A$5:$A$304,0)),""))</f>
        <v/>
      </c>
      <c r="E391" s="35" t="str">
        <f>IF(B391="","",IFERROR(INDEX(DM_NL!$C$5:$C$304,MATCH(C391,DM_NL!$A$5:$A$304,0)),""))</f>
        <v/>
      </c>
      <c r="F391" s="39" t="str">
        <f>IF(B391="","",SUMIFS(Mau15a!$F$11:$F$310,Mau15a!$B$11:$B$310,B391))</f>
        <v/>
      </c>
      <c r="G391" s="39" t="str">
        <f>IF(B391="","",IF(OR(M391="KXDDM",BOM!F391=""),0,BOM!F391))</f>
        <v/>
      </c>
      <c r="H391" s="39" t="str">
        <f t="shared" si="31"/>
        <v/>
      </c>
      <c r="I391" s="39" t="str">
        <f>IF(B391="","",SUMIFS(Mau15a!$H$11:$H$310,Mau15a!$B$11:$B$310,B391)+SUMIFS(Mau15a!$I$11:$I$310,Mau15a!$B$11:$B$310,B391)+SUMIFS(Mau15a!$J$11:$J$310,Mau15a!$B$11:$B$310,B391)-SUMIFS(Mau15a!$G$11:$G$310,Mau15a!$B$11:$B$310,B391))</f>
        <v/>
      </c>
      <c r="J391" s="39" t="str">
        <f t="shared" si="32"/>
        <v/>
      </c>
      <c r="K391" s="39" t="str">
        <f>IF(B391="","",(SUMIFS(Mau15a!$K$11:$K$310,Mau15a!$B$11:$B$310,B391)-SUMIFS(Mau15a!$E$11:$E$310,Mau15a!$B$11:$B$310,B391))*G391)</f>
        <v/>
      </c>
      <c r="L391" s="36" t="str">
        <f t="shared" si="33"/>
        <v/>
      </c>
      <c r="M391" s="36" t="str">
        <f>IF(B391="","",BOM!G391&amp;"")</f>
        <v/>
      </c>
      <c r="N391" s="36" t="str">
        <f t="shared" si="34"/>
        <v/>
      </c>
    </row>
    <row r="392" spans="1:14" x14ac:dyDescent="0.25">
      <c r="A392" s="35" t="str">
        <f t="shared" si="30"/>
        <v/>
      </c>
      <c r="B392" s="35" t="str">
        <f>IF(BOM!A392="","",BOM!A392)</f>
        <v/>
      </c>
      <c r="C392" s="35" t="str">
        <f>IF(B392="","",BOM!B392)</f>
        <v/>
      </c>
      <c r="D392" s="35" t="str">
        <f>IF(B392="","",IFERROR(INDEX(DM_NL!$B$5:$B$304,MATCH(C392,DM_NL!$A$5:$A$304,0)),""))</f>
        <v/>
      </c>
      <c r="E392" s="35" t="str">
        <f>IF(B392="","",IFERROR(INDEX(DM_NL!$C$5:$C$304,MATCH(C392,DM_NL!$A$5:$A$304,0)),""))</f>
        <v/>
      </c>
      <c r="F392" s="39" t="str">
        <f>IF(B392="","",SUMIFS(Mau15a!$F$11:$F$310,Mau15a!$B$11:$B$310,B392))</f>
        <v/>
      </c>
      <c r="G392" s="39" t="str">
        <f>IF(B392="","",IF(OR(M392="KXDDM",BOM!F392=""),0,BOM!F392))</f>
        <v/>
      </c>
      <c r="H392" s="39" t="str">
        <f t="shared" si="31"/>
        <v/>
      </c>
      <c r="I392" s="39" t="str">
        <f>IF(B392="","",SUMIFS(Mau15a!$H$11:$H$310,Mau15a!$B$11:$B$310,B392)+SUMIFS(Mau15a!$I$11:$I$310,Mau15a!$B$11:$B$310,B392)+SUMIFS(Mau15a!$J$11:$J$310,Mau15a!$B$11:$B$310,B392)-SUMIFS(Mau15a!$G$11:$G$310,Mau15a!$B$11:$B$310,B392))</f>
        <v/>
      </c>
      <c r="J392" s="39" t="str">
        <f t="shared" si="32"/>
        <v/>
      </c>
      <c r="K392" s="39" t="str">
        <f>IF(B392="","",(SUMIFS(Mau15a!$K$11:$K$310,Mau15a!$B$11:$B$310,B392)-SUMIFS(Mau15a!$E$11:$E$310,Mau15a!$B$11:$B$310,B392))*G392)</f>
        <v/>
      </c>
      <c r="L392" s="36" t="str">
        <f t="shared" si="33"/>
        <v/>
      </c>
      <c r="M392" s="36" t="str">
        <f>IF(B392="","",BOM!G392&amp;"")</f>
        <v/>
      </c>
      <c r="N392" s="36" t="str">
        <f t="shared" si="34"/>
        <v/>
      </c>
    </row>
    <row r="393" spans="1:14" x14ac:dyDescent="0.25">
      <c r="A393" s="35" t="str">
        <f t="shared" si="30"/>
        <v/>
      </c>
      <c r="B393" s="35" t="str">
        <f>IF(BOM!A393="","",BOM!A393)</f>
        <v/>
      </c>
      <c r="C393" s="35" t="str">
        <f>IF(B393="","",BOM!B393)</f>
        <v/>
      </c>
      <c r="D393" s="35" t="str">
        <f>IF(B393="","",IFERROR(INDEX(DM_NL!$B$5:$B$304,MATCH(C393,DM_NL!$A$5:$A$304,0)),""))</f>
        <v/>
      </c>
      <c r="E393" s="35" t="str">
        <f>IF(B393="","",IFERROR(INDEX(DM_NL!$C$5:$C$304,MATCH(C393,DM_NL!$A$5:$A$304,0)),""))</f>
        <v/>
      </c>
      <c r="F393" s="39" t="str">
        <f>IF(B393="","",SUMIFS(Mau15a!$F$11:$F$310,Mau15a!$B$11:$B$310,B393))</f>
        <v/>
      </c>
      <c r="G393" s="39" t="str">
        <f>IF(B393="","",IF(OR(M393="KXDDM",BOM!F393=""),0,BOM!F393))</f>
        <v/>
      </c>
      <c r="H393" s="39" t="str">
        <f t="shared" si="31"/>
        <v/>
      </c>
      <c r="I393" s="39" t="str">
        <f>IF(B393="","",SUMIFS(Mau15a!$H$11:$H$310,Mau15a!$B$11:$B$310,B393)+SUMIFS(Mau15a!$I$11:$I$310,Mau15a!$B$11:$B$310,B393)+SUMIFS(Mau15a!$J$11:$J$310,Mau15a!$B$11:$B$310,B393)-SUMIFS(Mau15a!$G$11:$G$310,Mau15a!$B$11:$B$310,B393))</f>
        <v/>
      </c>
      <c r="J393" s="39" t="str">
        <f t="shared" si="32"/>
        <v/>
      </c>
      <c r="K393" s="39" t="str">
        <f>IF(B393="","",(SUMIFS(Mau15a!$K$11:$K$310,Mau15a!$B$11:$B$310,B393)-SUMIFS(Mau15a!$E$11:$E$310,Mau15a!$B$11:$B$310,B393))*G393)</f>
        <v/>
      </c>
      <c r="L393" s="36" t="str">
        <f t="shared" si="33"/>
        <v/>
      </c>
      <c r="M393" s="36" t="str">
        <f>IF(B393="","",BOM!G393&amp;"")</f>
        <v/>
      </c>
      <c r="N393" s="36" t="str">
        <f t="shared" si="34"/>
        <v/>
      </c>
    </row>
    <row r="394" spans="1:14" x14ac:dyDescent="0.25">
      <c r="A394" s="35" t="str">
        <f t="shared" si="30"/>
        <v/>
      </c>
      <c r="B394" s="35" t="str">
        <f>IF(BOM!A394="","",BOM!A394)</f>
        <v/>
      </c>
      <c r="C394" s="35" t="str">
        <f>IF(B394="","",BOM!B394)</f>
        <v/>
      </c>
      <c r="D394" s="35" t="str">
        <f>IF(B394="","",IFERROR(INDEX(DM_NL!$B$5:$B$304,MATCH(C394,DM_NL!$A$5:$A$304,0)),""))</f>
        <v/>
      </c>
      <c r="E394" s="35" t="str">
        <f>IF(B394="","",IFERROR(INDEX(DM_NL!$C$5:$C$304,MATCH(C394,DM_NL!$A$5:$A$304,0)),""))</f>
        <v/>
      </c>
      <c r="F394" s="39" t="str">
        <f>IF(B394="","",SUMIFS(Mau15a!$F$11:$F$310,Mau15a!$B$11:$B$310,B394))</f>
        <v/>
      </c>
      <c r="G394" s="39" t="str">
        <f>IF(B394="","",IF(OR(M394="KXDDM",BOM!F394=""),0,BOM!F394))</f>
        <v/>
      </c>
      <c r="H394" s="39" t="str">
        <f t="shared" si="31"/>
        <v/>
      </c>
      <c r="I394" s="39" t="str">
        <f>IF(B394="","",SUMIFS(Mau15a!$H$11:$H$310,Mau15a!$B$11:$B$310,B394)+SUMIFS(Mau15a!$I$11:$I$310,Mau15a!$B$11:$B$310,B394)+SUMIFS(Mau15a!$J$11:$J$310,Mau15a!$B$11:$B$310,B394)-SUMIFS(Mau15a!$G$11:$G$310,Mau15a!$B$11:$B$310,B394))</f>
        <v/>
      </c>
      <c r="J394" s="39" t="str">
        <f t="shared" si="32"/>
        <v/>
      </c>
      <c r="K394" s="39" t="str">
        <f>IF(B394="","",(SUMIFS(Mau15a!$K$11:$K$310,Mau15a!$B$11:$B$310,B394)-SUMIFS(Mau15a!$E$11:$E$310,Mau15a!$B$11:$B$310,B394))*G394)</f>
        <v/>
      </c>
      <c r="L394" s="36" t="str">
        <f t="shared" si="33"/>
        <v/>
      </c>
      <c r="M394" s="36" t="str">
        <f>IF(B394="","",BOM!G394&amp;"")</f>
        <v/>
      </c>
      <c r="N394" s="36" t="str">
        <f t="shared" si="34"/>
        <v/>
      </c>
    </row>
    <row r="395" spans="1:14" x14ac:dyDescent="0.25">
      <c r="A395" s="35" t="str">
        <f t="shared" si="30"/>
        <v/>
      </c>
      <c r="B395" s="35" t="str">
        <f>IF(BOM!A395="","",BOM!A395)</f>
        <v/>
      </c>
      <c r="C395" s="35" t="str">
        <f>IF(B395="","",BOM!B395)</f>
        <v/>
      </c>
      <c r="D395" s="35" t="str">
        <f>IF(B395="","",IFERROR(INDEX(DM_NL!$B$5:$B$304,MATCH(C395,DM_NL!$A$5:$A$304,0)),""))</f>
        <v/>
      </c>
      <c r="E395" s="35" t="str">
        <f>IF(B395="","",IFERROR(INDEX(DM_NL!$C$5:$C$304,MATCH(C395,DM_NL!$A$5:$A$304,0)),""))</f>
        <v/>
      </c>
      <c r="F395" s="39" t="str">
        <f>IF(B395="","",SUMIFS(Mau15a!$F$11:$F$310,Mau15a!$B$11:$B$310,B395))</f>
        <v/>
      </c>
      <c r="G395" s="39" t="str">
        <f>IF(B395="","",IF(OR(M395="KXDDM",BOM!F395=""),0,BOM!F395))</f>
        <v/>
      </c>
      <c r="H395" s="39" t="str">
        <f t="shared" si="31"/>
        <v/>
      </c>
      <c r="I395" s="39" t="str">
        <f>IF(B395="","",SUMIFS(Mau15a!$H$11:$H$310,Mau15a!$B$11:$B$310,B395)+SUMIFS(Mau15a!$I$11:$I$310,Mau15a!$B$11:$B$310,B395)+SUMIFS(Mau15a!$J$11:$J$310,Mau15a!$B$11:$B$310,B395)-SUMIFS(Mau15a!$G$11:$G$310,Mau15a!$B$11:$B$310,B395))</f>
        <v/>
      </c>
      <c r="J395" s="39" t="str">
        <f t="shared" si="32"/>
        <v/>
      </c>
      <c r="K395" s="39" t="str">
        <f>IF(B395="","",(SUMIFS(Mau15a!$K$11:$K$310,Mau15a!$B$11:$B$310,B395)-SUMIFS(Mau15a!$E$11:$E$310,Mau15a!$B$11:$B$310,B395))*G395)</f>
        <v/>
      </c>
      <c r="L395" s="36" t="str">
        <f t="shared" si="33"/>
        <v/>
      </c>
      <c r="M395" s="36" t="str">
        <f>IF(B395="","",BOM!G395&amp;"")</f>
        <v/>
      </c>
      <c r="N395" s="36" t="str">
        <f t="shared" si="34"/>
        <v/>
      </c>
    </row>
    <row r="396" spans="1:14" x14ac:dyDescent="0.25">
      <c r="A396" s="35" t="str">
        <f t="shared" si="30"/>
        <v/>
      </c>
      <c r="B396" s="35" t="str">
        <f>IF(BOM!A396="","",BOM!A396)</f>
        <v/>
      </c>
      <c r="C396" s="35" t="str">
        <f>IF(B396="","",BOM!B396)</f>
        <v/>
      </c>
      <c r="D396" s="35" t="str">
        <f>IF(B396="","",IFERROR(INDEX(DM_NL!$B$5:$B$304,MATCH(C396,DM_NL!$A$5:$A$304,0)),""))</f>
        <v/>
      </c>
      <c r="E396" s="35" t="str">
        <f>IF(B396="","",IFERROR(INDEX(DM_NL!$C$5:$C$304,MATCH(C396,DM_NL!$A$5:$A$304,0)),""))</f>
        <v/>
      </c>
      <c r="F396" s="39" t="str">
        <f>IF(B396="","",SUMIFS(Mau15a!$F$11:$F$310,Mau15a!$B$11:$B$310,B396))</f>
        <v/>
      </c>
      <c r="G396" s="39" t="str">
        <f>IF(B396="","",IF(OR(M396="KXDDM",BOM!F396=""),0,BOM!F396))</f>
        <v/>
      </c>
      <c r="H396" s="39" t="str">
        <f t="shared" si="31"/>
        <v/>
      </c>
      <c r="I396" s="39" t="str">
        <f>IF(B396="","",SUMIFS(Mau15a!$H$11:$H$310,Mau15a!$B$11:$B$310,B396)+SUMIFS(Mau15a!$I$11:$I$310,Mau15a!$B$11:$B$310,B396)+SUMIFS(Mau15a!$J$11:$J$310,Mau15a!$B$11:$B$310,B396)-SUMIFS(Mau15a!$G$11:$G$310,Mau15a!$B$11:$B$310,B396))</f>
        <v/>
      </c>
      <c r="J396" s="39" t="str">
        <f t="shared" si="32"/>
        <v/>
      </c>
      <c r="K396" s="39" t="str">
        <f>IF(B396="","",(SUMIFS(Mau15a!$K$11:$K$310,Mau15a!$B$11:$B$310,B396)-SUMIFS(Mau15a!$E$11:$E$310,Mau15a!$B$11:$B$310,B396))*G396)</f>
        <v/>
      </c>
      <c r="L396" s="36" t="str">
        <f t="shared" si="33"/>
        <v/>
      </c>
      <c r="M396" s="36" t="str">
        <f>IF(B396="","",BOM!G396&amp;"")</f>
        <v/>
      </c>
      <c r="N396" s="36" t="str">
        <f t="shared" si="34"/>
        <v/>
      </c>
    </row>
    <row r="397" spans="1:14" x14ac:dyDescent="0.25">
      <c r="A397" s="35" t="str">
        <f t="shared" si="30"/>
        <v/>
      </c>
      <c r="B397" s="35" t="str">
        <f>IF(BOM!A397="","",BOM!A397)</f>
        <v/>
      </c>
      <c r="C397" s="35" t="str">
        <f>IF(B397="","",BOM!B397)</f>
        <v/>
      </c>
      <c r="D397" s="35" t="str">
        <f>IF(B397="","",IFERROR(INDEX(DM_NL!$B$5:$B$304,MATCH(C397,DM_NL!$A$5:$A$304,0)),""))</f>
        <v/>
      </c>
      <c r="E397" s="35" t="str">
        <f>IF(B397="","",IFERROR(INDEX(DM_NL!$C$5:$C$304,MATCH(C397,DM_NL!$A$5:$A$304,0)),""))</f>
        <v/>
      </c>
      <c r="F397" s="39" t="str">
        <f>IF(B397="","",SUMIFS(Mau15a!$F$11:$F$310,Mau15a!$B$11:$B$310,B397))</f>
        <v/>
      </c>
      <c r="G397" s="39" t="str">
        <f>IF(B397="","",IF(OR(M397="KXDDM",BOM!F397=""),0,BOM!F397))</f>
        <v/>
      </c>
      <c r="H397" s="39" t="str">
        <f t="shared" si="31"/>
        <v/>
      </c>
      <c r="I397" s="39" t="str">
        <f>IF(B397="","",SUMIFS(Mau15a!$H$11:$H$310,Mau15a!$B$11:$B$310,B397)+SUMIFS(Mau15a!$I$11:$I$310,Mau15a!$B$11:$B$310,B397)+SUMIFS(Mau15a!$J$11:$J$310,Mau15a!$B$11:$B$310,B397)-SUMIFS(Mau15a!$G$11:$G$310,Mau15a!$B$11:$B$310,B397))</f>
        <v/>
      </c>
      <c r="J397" s="39" t="str">
        <f t="shared" si="32"/>
        <v/>
      </c>
      <c r="K397" s="39" t="str">
        <f>IF(B397="","",(SUMIFS(Mau15a!$K$11:$K$310,Mau15a!$B$11:$B$310,B397)-SUMIFS(Mau15a!$E$11:$E$310,Mau15a!$B$11:$B$310,B397))*G397)</f>
        <v/>
      </c>
      <c r="L397" s="36" t="str">
        <f t="shared" si="33"/>
        <v/>
      </c>
      <c r="M397" s="36" t="str">
        <f>IF(B397="","",BOM!G397&amp;"")</f>
        <v/>
      </c>
      <c r="N397" s="36" t="str">
        <f t="shared" si="34"/>
        <v/>
      </c>
    </row>
    <row r="398" spans="1:14" x14ac:dyDescent="0.25">
      <c r="A398" s="35" t="str">
        <f t="shared" si="30"/>
        <v/>
      </c>
      <c r="B398" s="35" t="str">
        <f>IF(BOM!A398="","",BOM!A398)</f>
        <v/>
      </c>
      <c r="C398" s="35" t="str">
        <f>IF(B398="","",BOM!B398)</f>
        <v/>
      </c>
      <c r="D398" s="35" t="str">
        <f>IF(B398="","",IFERROR(INDEX(DM_NL!$B$5:$B$304,MATCH(C398,DM_NL!$A$5:$A$304,0)),""))</f>
        <v/>
      </c>
      <c r="E398" s="35" t="str">
        <f>IF(B398="","",IFERROR(INDEX(DM_NL!$C$5:$C$304,MATCH(C398,DM_NL!$A$5:$A$304,0)),""))</f>
        <v/>
      </c>
      <c r="F398" s="39" t="str">
        <f>IF(B398="","",SUMIFS(Mau15a!$F$11:$F$310,Mau15a!$B$11:$B$310,B398))</f>
        <v/>
      </c>
      <c r="G398" s="39" t="str">
        <f>IF(B398="","",IF(OR(M398="KXDDM",BOM!F398=""),0,BOM!F398))</f>
        <v/>
      </c>
      <c r="H398" s="39" t="str">
        <f t="shared" si="31"/>
        <v/>
      </c>
      <c r="I398" s="39" t="str">
        <f>IF(B398="","",SUMIFS(Mau15a!$H$11:$H$310,Mau15a!$B$11:$B$310,B398)+SUMIFS(Mau15a!$I$11:$I$310,Mau15a!$B$11:$B$310,B398)+SUMIFS(Mau15a!$J$11:$J$310,Mau15a!$B$11:$B$310,B398)-SUMIFS(Mau15a!$G$11:$G$310,Mau15a!$B$11:$B$310,B398))</f>
        <v/>
      </c>
      <c r="J398" s="39" t="str">
        <f t="shared" si="32"/>
        <v/>
      </c>
      <c r="K398" s="39" t="str">
        <f>IF(B398="","",(SUMIFS(Mau15a!$K$11:$K$310,Mau15a!$B$11:$B$310,B398)-SUMIFS(Mau15a!$E$11:$E$310,Mau15a!$B$11:$B$310,B398))*G398)</f>
        <v/>
      </c>
      <c r="L398" s="36" t="str">
        <f t="shared" si="33"/>
        <v/>
      </c>
      <c r="M398" s="36" t="str">
        <f>IF(B398="","",BOM!G398&amp;"")</f>
        <v/>
      </c>
      <c r="N398" s="36" t="str">
        <f t="shared" si="34"/>
        <v/>
      </c>
    </row>
    <row r="399" spans="1:14" x14ac:dyDescent="0.25">
      <c r="A399" s="35" t="str">
        <f t="shared" si="30"/>
        <v/>
      </c>
      <c r="B399" s="35" t="str">
        <f>IF(BOM!A399="","",BOM!A399)</f>
        <v/>
      </c>
      <c r="C399" s="35" t="str">
        <f>IF(B399="","",BOM!B399)</f>
        <v/>
      </c>
      <c r="D399" s="35" t="str">
        <f>IF(B399="","",IFERROR(INDEX(DM_NL!$B$5:$B$304,MATCH(C399,DM_NL!$A$5:$A$304,0)),""))</f>
        <v/>
      </c>
      <c r="E399" s="35" t="str">
        <f>IF(B399="","",IFERROR(INDEX(DM_NL!$C$5:$C$304,MATCH(C399,DM_NL!$A$5:$A$304,0)),""))</f>
        <v/>
      </c>
      <c r="F399" s="39" t="str">
        <f>IF(B399="","",SUMIFS(Mau15a!$F$11:$F$310,Mau15a!$B$11:$B$310,B399))</f>
        <v/>
      </c>
      <c r="G399" s="39" t="str">
        <f>IF(B399="","",IF(OR(M399="KXDDM",BOM!F399=""),0,BOM!F399))</f>
        <v/>
      </c>
      <c r="H399" s="39" t="str">
        <f t="shared" si="31"/>
        <v/>
      </c>
      <c r="I399" s="39" t="str">
        <f>IF(B399="","",SUMIFS(Mau15a!$H$11:$H$310,Mau15a!$B$11:$B$310,B399)+SUMIFS(Mau15a!$I$11:$I$310,Mau15a!$B$11:$B$310,B399)+SUMIFS(Mau15a!$J$11:$J$310,Mau15a!$B$11:$B$310,B399)-SUMIFS(Mau15a!$G$11:$G$310,Mau15a!$B$11:$B$310,B399))</f>
        <v/>
      </c>
      <c r="J399" s="39" t="str">
        <f t="shared" si="32"/>
        <v/>
      </c>
      <c r="K399" s="39" t="str">
        <f>IF(B399="","",(SUMIFS(Mau15a!$K$11:$K$310,Mau15a!$B$11:$B$310,B399)-SUMIFS(Mau15a!$E$11:$E$310,Mau15a!$B$11:$B$310,B399))*G399)</f>
        <v/>
      </c>
      <c r="L399" s="36" t="str">
        <f t="shared" si="33"/>
        <v/>
      </c>
      <c r="M399" s="36" t="str">
        <f>IF(B399="","",BOM!G399&amp;"")</f>
        <v/>
      </c>
      <c r="N399" s="36" t="str">
        <f t="shared" si="34"/>
        <v/>
      </c>
    </row>
    <row r="400" spans="1:14" x14ac:dyDescent="0.25">
      <c r="A400" s="35" t="str">
        <f t="shared" si="30"/>
        <v/>
      </c>
      <c r="B400" s="35" t="str">
        <f>IF(BOM!A400="","",BOM!A400)</f>
        <v/>
      </c>
      <c r="C400" s="35" t="str">
        <f>IF(B400="","",BOM!B400)</f>
        <v/>
      </c>
      <c r="D400" s="35" t="str">
        <f>IF(B400="","",IFERROR(INDEX(DM_NL!$B$5:$B$304,MATCH(C400,DM_NL!$A$5:$A$304,0)),""))</f>
        <v/>
      </c>
      <c r="E400" s="35" t="str">
        <f>IF(B400="","",IFERROR(INDEX(DM_NL!$C$5:$C$304,MATCH(C400,DM_NL!$A$5:$A$304,0)),""))</f>
        <v/>
      </c>
      <c r="F400" s="39" t="str">
        <f>IF(B400="","",SUMIFS(Mau15a!$F$11:$F$310,Mau15a!$B$11:$B$310,B400))</f>
        <v/>
      </c>
      <c r="G400" s="39" t="str">
        <f>IF(B400="","",IF(OR(M400="KXDDM",BOM!F400=""),0,BOM!F400))</f>
        <v/>
      </c>
      <c r="H400" s="39" t="str">
        <f t="shared" si="31"/>
        <v/>
      </c>
      <c r="I400" s="39" t="str">
        <f>IF(B400="","",SUMIFS(Mau15a!$H$11:$H$310,Mau15a!$B$11:$B$310,B400)+SUMIFS(Mau15a!$I$11:$I$310,Mau15a!$B$11:$B$310,B400)+SUMIFS(Mau15a!$J$11:$J$310,Mau15a!$B$11:$B$310,B400)-SUMIFS(Mau15a!$G$11:$G$310,Mau15a!$B$11:$B$310,B400))</f>
        <v/>
      </c>
      <c r="J400" s="39" t="str">
        <f t="shared" si="32"/>
        <v/>
      </c>
      <c r="K400" s="39" t="str">
        <f>IF(B400="","",(SUMIFS(Mau15a!$K$11:$K$310,Mau15a!$B$11:$B$310,B400)-SUMIFS(Mau15a!$E$11:$E$310,Mau15a!$B$11:$B$310,B400))*G400)</f>
        <v/>
      </c>
      <c r="L400" s="36" t="str">
        <f t="shared" si="33"/>
        <v/>
      </c>
      <c r="M400" s="36" t="str">
        <f>IF(B400="","",BOM!G400&amp;"")</f>
        <v/>
      </c>
      <c r="N400" s="36" t="str">
        <f t="shared" si="34"/>
        <v/>
      </c>
    </row>
    <row r="401" spans="1:14" x14ac:dyDescent="0.25">
      <c r="A401" s="35" t="str">
        <f t="shared" si="30"/>
        <v/>
      </c>
      <c r="B401" s="35" t="str">
        <f>IF(BOM!A401="","",BOM!A401)</f>
        <v/>
      </c>
      <c r="C401" s="35" t="str">
        <f>IF(B401="","",BOM!B401)</f>
        <v/>
      </c>
      <c r="D401" s="35" t="str">
        <f>IF(B401="","",IFERROR(INDEX(DM_NL!$B$5:$B$304,MATCH(C401,DM_NL!$A$5:$A$304,0)),""))</f>
        <v/>
      </c>
      <c r="E401" s="35" t="str">
        <f>IF(B401="","",IFERROR(INDEX(DM_NL!$C$5:$C$304,MATCH(C401,DM_NL!$A$5:$A$304,0)),""))</f>
        <v/>
      </c>
      <c r="F401" s="39" t="str">
        <f>IF(B401="","",SUMIFS(Mau15a!$F$11:$F$310,Mau15a!$B$11:$B$310,B401))</f>
        <v/>
      </c>
      <c r="G401" s="39" t="str">
        <f>IF(B401="","",IF(OR(M401="KXDDM",BOM!F401=""),0,BOM!F401))</f>
        <v/>
      </c>
      <c r="H401" s="39" t="str">
        <f t="shared" si="31"/>
        <v/>
      </c>
      <c r="I401" s="39" t="str">
        <f>IF(B401="","",SUMIFS(Mau15a!$H$11:$H$310,Mau15a!$B$11:$B$310,B401)+SUMIFS(Mau15a!$I$11:$I$310,Mau15a!$B$11:$B$310,B401)+SUMIFS(Mau15a!$J$11:$J$310,Mau15a!$B$11:$B$310,B401)-SUMIFS(Mau15a!$G$11:$G$310,Mau15a!$B$11:$B$310,B401))</f>
        <v/>
      </c>
      <c r="J401" s="39" t="str">
        <f t="shared" si="32"/>
        <v/>
      </c>
      <c r="K401" s="39" t="str">
        <f>IF(B401="","",(SUMIFS(Mau15a!$K$11:$K$310,Mau15a!$B$11:$B$310,B401)-SUMIFS(Mau15a!$E$11:$E$310,Mau15a!$B$11:$B$310,B401))*G401)</f>
        <v/>
      </c>
      <c r="L401" s="36" t="str">
        <f t="shared" si="33"/>
        <v/>
      </c>
      <c r="M401" s="36" t="str">
        <f>IF(B401="","",BOM!G401&amp;"")</f>
        <v/>
      </c>
      <c r="N401" s="36" t="str">
        <f t="shared" si="34"/>
        <v/>
      </c>
    </row>
    <row r="402" spans="1:14" x14ac:dyDescent="0.25">
      <c r="A402" s="35" t="str">
        <f t="shared" si="30"/>
        <v/>
      </c>
      <c r="B402" s="35" t="str">
        <f>IF(BOM!A402="","",BOM!A402)</f>
        <v/>
      </c>
      <c r="C402" s="35" t="str">
        <f>IF(B402="","",BOM!B402)</f>
        <v/>
      </c>
      <c r="D402" s="35" t="str">
        <f>IF(B402="","",IFERROR(INDEX(DM_NL!$B$5:$B$304,MATCH(C402,DM_NL!$A$5:$A$304,0)),""))</f>
        <v/>
      </c>
      <c r="E402" s="35" t="str">
        <f>IF(B402="","",IFERROR(INDEX(DM_NL!$C$5:$C$304,MATCH(C402,DM_NL!$A$5:$A$304,0)),""))</f>
        <v/>
      </c>
      <c r="F402" s="39" t="str">
        <f>IF(B402="","",SUMIFS(Mau15a!$F$11:$F$310,Mau15a!$B$11:$B$310,B402))</f>
        <v/>
      </c>
      <c r="G402" s="39" t="str">
        <f>IF(B402="","",IF(OR(M402="KXDDM",BOM!F402=""),0,BOM!F402))</f>
        <v/>
      </c>
      <c r="H402" s="39" t="str">
        <f t="shared" si="31"/>
        <v/>
      </c>
      <c r="I402" s="39" t="str">
        <f>IF(B402="","",SUMIFS(Mau15a!$H$11:$H$310,Mau15a!$B$11:$B$310,B402)+SUMIFS(Mau15a!$I$11:$I$310,Mau15a!$B$11:$B$310,B402)+SUMIFS(Mau15a!$J$11:$J$310,Mau15a!$B$11:$B$310,B402)-SUMIFS(Mau15a!$G$11:$G$310,Mau15a!$B$11:$B$310,B402))</f>
        <v/>
      </c>
      <c r="J402" s="39" t="str">
        <f t="shared" si="32"/>
        <v/>
      </c>
      <c r="K402" s="39" t="str">
        <f>IF(B402="","",(SUMIFS(Mau15a!$K$11:$K$310,Mau15a!$B$11:$B$310,B402)-SUMIFS(Mau15a!$E$11:$E$310,Mau15a!$B$11:$B$310,B402))*G402)</f>
        <v/>
      </c>
      <c r="L402" s="36" t="str">
        <f t="shared" si="33"/>
        <v/>
      </c>
      <c r="M402" s="36" t="str">
        <f>IF(B402="","",BOM!G402&amp;"")</f>
        <v/>
      </c>
      <c r="N402" s="36" t="str">
        <f t="shared" si="34"/>
        <v/>
      </c>
    </row>
    <row r="403" spans="1:14" x14ac:dyDescent="0.25">
      <c r="A403" s="35" t="str">
        <f t="shared" si="30"/>
        <v/>
      </c>
      <c r="B403" s="35" t="str">
        <f>IF(BOM!A403="","",BOM!A403)</f>
        <v/>
      </c>
      <c r="C403" s="35" t="str">
        <f>IF(B403="","",BOM!B403)</f>
        <v/>
      </c>
      <c r="D403" s="35" t="str">
        <f>IF(B403="","",IFERROR(INDEX(DM_NL!$B$5:$B$304,MATCH(C403,DM_NL!$A$5:$A$304,0)),""))</f>
        <v/>
      </c>
      <c r="E403" s="35" t="str">
        <f>IF(B403="","",IFERROR(INDEX(DM_NL!$C$5:$C$304,MATCH(C403,DM_NL!$A$5:$A$304,0)),""))</f>
        <v/>
      </c>
      <c r="F403" s="39" t="str">
        <f>IF(B403="","",SUMIFS(Mau15a!$F$11:$F$310,Mau15a!$B$11:$B$310,B403))</f>
        <v/>
      </c>
      <c r="G403" s="39" t="str">
        <f>IF(B403="","",IF(OR(M403="KXDDM",BOM!F403=""),0,BOM!F403))</f>
        <v/>
      </c>
      <c r="H403" s="39" t="str">
        <f t="shared" si="31"/>
        <v/>
      </c>
      <c r="I403" s="39" t="str">
        <f>IF(B403="","",SUMIFS(Mau15a!$H$11:$H$310,Mau15a!$B$11:$B$310,B403)+SUMIFS(Mau15a!$I$11:$I$310,Mau15a!$B$11:$B$310,B403)+SUMIFS(Mau15a!$J$11:$J$310,Mau15a!$B$11:$B$310,B403)-SUMIFS(Mau15a!$G$11:$G$310,Mau15a!$B$11:$B$310,B403))</f>
        <v/>
      </c>
      <c r="J403" s="39" t="str">
        <f t="shared" si="32"/>
        <v/>
      </c>
      <c r="K403" s="39" t="str">
        <f>IF(B403="","",(SUMIFS(Mau15a!$K$11:$K$310,Mau15a!$B$11:$B$310,B403)-SUMIFS(Mau15a!$E$11:$E$310,Mau15a!$B$11:$B$310,B403))*G403)</f>
        <v/>
      </c>
      <c r="L403" s="36" t="str">
        <f t="shared" si="33"/>
        <v/>
      </c>
      <c r="M403" s="36" t="str">
        <f>IF(B403="","",BOM!G403&amp;"")</f>
        <v/>
      </c>
      <c r="N403" s="36" t="str">
        <f t="shared" si="34"/>
        <v/>
      </c>
    </row>
    <row r="404" spans="1:14" x14ac:dyDescent="0.25">
      <c r="A404" s="35" t="str">
        <f t="shared" si="30"/>
        <v/>
      </c>
      <c r="B404" s="35" t="str">
        <f>IF(BOM!A404="","",BOM!A404)</f>
        <v/>
      </c>
      <c r="C404" s="35" t="str">
        <f>IF(B404="","",BOM!B404)</f>
        <v/>
      </c>
      <c r="D404" s="35" t="str">
        <f>IF(B404="","",IFERROR(INDEX(DM_NL!$B$5:$B$304,MATCH(C404,DM_NL!$A$5:$A$304,0)),""))</f>
        <v/>
      </c>
      <c r="E404" s="35" t="str">
        <f>IF(B404="","",IFERROR(INDEX(DM_NL!$C$5:$C$304,MATCH(C404,DM_NL!$A$5:$A$304,0)),""))</f>
        <v/>
      </c>
      <c r="F404" s="39" t="str">
        <f>IF(B404="","",SUMIFS(Mau15a!$F$11:$F$310,Mau15a!$B$11:$B$310,B404))</f>
        <v/>
      </c>
      <c r="G404" s="39" t="str">
        <f>IF(B404="","",IF(OR(M404="KXDDM",BOM!F404=""),0,BOM!F404))</f>
        <v/>
      </c>
      <c r="H404" s="39" t="str">
        <f t="shared" si="31"/>
        <v/>
      </c>
      <c r="I404" s="39" t="str">
        <f>IF(B404="","",SUMIFS(Mau15a!$H$11:$H$310,Mau15a!$B$11:$B$310,B404)+SUMIFS(Mau15a!$I$11:$I$310,Mau15a!$B$11:$B$310,B404)+SUMIFS(Mau15a!$J$11:$J$310,Mau15a!$B$11:$B$310,B404)-SUMIFS(Mau15a!$G$11:$G$310,Mau15a!$B$11:$B$310,B404))</f>
        <v/>
      </c>
      <c r="J404" s="39" t="str">
        <f t="shared" si="32"/>
        <v/>
      </c>
      <c r="K404" s="39" t="str">
        <f>IF(B404="","",(SUMIFS(Mau15a!$K$11:$K$310,Mau15a!$B$11:$B$310,B404)-SUMIFS(Mau15a!$E$11:$E$310,Mau15a!$B$11:$B$310,B404))*G404)</f>
        <v/>
      </c>
      <c r="L404" s="36" t="str">
        <f t="shared" si="33"/>
        <v/>
      </c>
      <c r="M404" s="36" t="str">
        <f>IF(B404="","",BOM!G404&amp;"")</f>
        <v/>
      </c>
      <c r="N404" s="36" t="str">
        <f t="shared" si="34"/>
        <v/>
      </c>
    </row>
    <row r="405" spans="1:14" x14ac:dyDescent="0.25">
      <c r="A405" s="35" t="str">
        <f t="shared" si="30"/>
        <v/>
      </c>
      <c r="B405" s="35" t="str">
        <f>IF(BOM!A405="","",BOM!A405)</f>
        <v/>
      </c>
      <c r="C405" s="35" t="str">
        <f>IF(B405="","",BOM!B405)</f>
        <v/>
      </c>
      <c r="D405" s="35" t="str">
        <f>IF(B405="","",IFERROR(INDEX(DM_NL!$B$5:$B$304,MATCH(C405,DM_NL!$A$5:$A$304,0)),""))</f>
        <v/>
      </c>
      <c r="E405" s="35" t="str">
        <f>IF(B405="","",IFERROR(INDEX(DM_NL!$C$5:$C$304,MATCH(C405,DM_NL!$A$5:$A$304,0)),""))</f>
        <v/>
      </c>
      <c r="F405" s="39" t="str">
        <f>IF(B405="","",SUMIFS(Mau15a!$F$11:$F$310,Mau15a!$B$11:$B$310,B405))</f>
        <v/>
      </c>
      <c r="G405" s="39" t="str">
        <f>IF(B405="","",IF(OR(M405="KXDDM",BOM!F405=""),0,BOM!F405))</f>
        <v/>
      </c>
      <c r="H405" s="39" t="str">
        <f t="shared" si="31"/>
        <v/>
      </c>
      <c r="I405" s="39" t="str">
        <f>IF(B405="","",SUMIFS(Mau15a!$H$11:$H$310,Mau15a!$B$11:$B$310,B405)+SUMIFS(Mau15a!$I$11:$I$310,Mau15a!$B$11:$B$310,B405)+SUMIFS(Mau15a!$J$11:$J$310,Mau15a!$B$11:$B$310,B405)-SUMIFS(Mau15a!$G$11:$G$310,Mau15a!$B$11:$B$310,B405))</f>
        <v/>
      </c>
      <c r="J405" s="39" t="str">
        <f t="shared" si="32"/>
        <v/>
      </c>
      <c r="K405" s="39" t="str">
        <f>IF(B405="","",(SUMIFS(Mau15a!$K$11:$K$310,Mau15a!$B$11:$B$310,B405)-SUMIFS(Mau15a!$E$11:$E$310,Mau15a!$B$11:$B$310,B405))*G405)</f>
        <v/>
      </c>
      <c r="L405" s="36" t="str">
        <f t="shared" si="33"/>
        <v/>
      </c>
      <c r="M405" s="36" t="str">
        <f>IF(B405="","",BOM!G405&amp;"")</f>
        <v/>
      </c>
      <c r="N405" s="36" t="str">
        <f t="shared" si="34"/>
        <v/>
      </c>
    </row>
    <row r="406" spans="1:14" x14ac:dyDescent="0.25">
      <c r="A406" s="35" t="str">
        <f t="shared" si="30"/>
        <v/>
      </c>
      <c r="B406" s="35" t="str">
        <f>IF(BOM!A406="","",BOM!A406)</f>
        <v/>
      </c>
      <c r="C406" s="35" t="str">
        <f>IF(B406="","",BOM!B406)</f>
        <v/>
      </c>
      <c r="D406" s="35" t="str">
        <f>IF(B406="","",IFERROR(INDEX(DM_NL!$B$5:$B$304,MATCH(C406,DM_NL!$A$5:$A$304,0)),""))</f>
        <v/>
      </c>
      <c r="E406" s="35" t="str">
        <f>IF(B406="","",IFERROR(INDEX(DM_NL!$C$5:$C$304,MATCH(C406,DM_NL!$A$5:$A$304,0)),""))</f>
        <v/>
      </c>
      <c r="F406" s="39" t="str">
        <f>IF(B406="","",SUMIFS(Mau15a!$F$11:$F$310,Mau15a!$B$11:$B$310,B406))</f>
        <v/>
      </c>
      <c r="G406" s="39" t="str">
        <f>IF(B406="","",IF(OR(M406="KXDDM",BOM!F406=""),0,BOM!F406))</f>
        <v/>
      </c>
      <c r="H406" s="39" t="str">
        <f t="shared" si="31"/>
        <v/>
      </c>
      <c r="I406" s="39" t="str">
        <f>IF(B406="","",SUMIFS(Mau15a!$H$11:$H$310,Mau15a!$B$11:$B$310,B406)+SUMIFS(Mau15a!$I$11:$I$310,Mau15a!$B$11:$B$310,B406)+SUMIFS(Mau15a!$J$11:$J$310,Mau15a!$B$11:$B$310,B406)-SUMIFS(Mau15a!$G$11:$G$310,Mau15a!$B$11:$B$310,B406))</f>
        <v/>
      </c>
      <c r="J406" s="39" t="str">
        <f t="shared" si="32"/>
        <v/>
      </c>
      <c r="K406" s="39" t="str">
        <f>IF(B406="","",(SUMIFS(Mau15a!$K$11:$K$310,Mau15a!$B$11:$B$310,B406)-SUMIFS(Mau15a!$E$11:$E$310,Mau15a!$B$11:$B$310,B406))*G406)</f>
        <v/>
      </c>
      <c r="L406" s="36" t="str">
        <f t="shared" si="33"/>
        <v/>
      </c>
      <c r="M406" s="36" t="str">
        <f>IF(B406="","",BOM!G406&amp;"")</f>
        <v/>
      </c>
      <c r="N406" s="36" t="str">
        <f t="shared" si="34"/>
        <v/>
      </c>
    </row>
    <row r="407" spans="1:14" x14ac:dyDescent="0.25">
      <c r="A407" s="35" t="str">
        <f t="shared" si="30"/>
        <v/>
      </c>
      <c r="B407" s="35" t="str">
        <f>IF(BOM!A407="","",BOM!A407)</f>
        <v/>
      </c>
      <c r="C407" s="35" t="str">
        <f>IF(B407="","",BOM!B407)</f>
        <v/>
      </c>
      <c r="D407" s="35" t="str">
        <f>IF(B407="","",IFERROR(INDEX(DM_NL!$B$5:$B$304,MATCH(C407,DM_NL!$A$5:$A$304,0)),""))</f>
        <v/>
      </c>
      <c r="E407" s="35" t="str">
        <f>IF(B407="","",IFERROR(INDEX(DM_NL!$C$5:$C$304,MATCH(C407,DM_NL!$A$5:$A$304,0)),""))</f>
        <v/>
      </c>
      <c r="F407" s="39" t="str">
        <f>IF(B407="","",SUMIFS(Mau15a!$F$11:$F$310,Mau15a!$B$11:$B$310,B407))</f>
        <v/>
      </c>
      <c r="G407" s="39" t="str">
        <f>IF(B407="","",IF(OR(M407="KXDDM",BOM!F407=""),0,BOM!F407))</f>
        <v/>
      </c>
      <c r="H407" s="39" t="str">
        <f t="shared" si="31"/>
        <v/>
      </c>
      <c r="I407" s="39" t="str">
        <f>IF(B407="","",SUMIFS(Mau15a!$H$11:$H$310,Mau15a!$B$11:$B$310,B407)+SUMIFS(Mau15a!$I$11:$I$310,Mau15a!$B$11:$B$310,B407)+SUMIFS(Mau15a!$J$11:$J$310,Mau15a!$B$11:$B$310,B407)-SUMIFS(Mau15a!$G$11:$G$310,Mau15a!$B$11:$B$310,B407))</f>
        <v/>
      </c>
      <c r="J407" s="39" t="str">
        <f t="shared" si="32"/>
        <v/>
      </c>
      <c r="K407" s="39" t="str">
        <f>IF(B407="","",(SUMIFS(Mau15a!$K$11:$K$310,Mau15a!$B$11:$B$310,B407)-SUMIFS(Mau15a!$E$11:$E$310,Mau15a!$B$11:$B$310,B407))*G407)</f>
        <v/>
      </c>
      <c r="L407" s="36" t="str">
        <f t="shared" si="33"/>
        <v/>
      </c>
      <c r="M407" s="36" t="str">
        <f>IF(B407="","",BOM!G407&amp;"")</f>
        <v/>
      </c>
      <c r="N407" s="36" t="str">
        <f t="shared" si="34"/>
        <v/>
      </c>
    </row>
    <row r="408" spans="1:14" x14ac:dyDescent="0.25">
      <c r="A408" s="35" t="str">
        <f t="shared" si="30"/>
        <v/>
      </c>
      <c r="B408" s="35" t="str">
        <f>IF(BOM!A408="","",BOM!A408)</f>
        <v/>
      </c>
      <c r="C408" s="35" t="str">
        <f>IF(B408="","",BOM!B408)</f>
        <v/>
      </c>
      <c r="D408" s="35" t="str">
        <f>IF(B408="","",IFERROR(INDEX(DM_NL!$B$5:$B$304,MATCH(C408,DM_NL!$A$5:$A$304,0)),""))</f>
        <v/>
      </c>
      <c r="E408" s="35" t="str">
        <f>IF(B408="","",IFERROR(INDEX(DM_NL!$C$5:$C$304,MATCH(C408,DM_NL!$A$5:$A$304,0)),""))</f>
        <v/>
      </c>
      <c r="F408" s="39" t="str">
        <f>IF(B408="","",SUMIFS(Mau15a!$F$11:$F$310,Mau15a!$B$11:$B$310,B408))</f>
        <v/>
      </c>
      <c r="G408" s="39" t="str">
        <f>IF(B408="","",IF(OR(M408="KXDDM",BOM!F408=""),0,BOM!F408))</f>
        <v/>
      </c>
      <c r="H408" s="39" t="str">
        <f t="shared" si="31"/>
        <v/>
      </c>
      <c r="I408" s="39" t="str">
        <f>IF(B408="","",SUMIFS(Mau15a!$H$11:$H$310,Mau15a!$B$11:$B$310,B408)+SUMIFS(Mau15a!$I$11:$I$310,Mau15a!$B$11:$B$310,B408)+SUMIFS(Mau15a!$J$11:$J$310,Mau15a!$B$11:$B$310,B408)-SUMIFS(Mau15a!$G$11:$G$310,Mau15a!$B$11:$B$310,B408))</f>
        <v/>
      </c>
      <c r="J408" s="39" t="str">
        <f t="shared" si="32"/>
        <v/>
      </c>
      <c r="K408" s="39" t="str">
        <f>IF(B408="","",(SUMIFS(Mau15a!$K$11:$K$310,Mau15a!$B$11:$B$310,B408)-SUMIFS(Mau15a!$E$11:$E$310,Mau15a!$B$11:$B$310,B408))*G408)</f>
        <v/>
      </c>
      <c r="L408" s="36" t="str">
        <f t="shared" si="33"/>
        <v/>
      </c>
      <c r="M408" s="36" t="str">
        <f>IF(B408="","",BOM!G408&amp;"")</f>
        <v/>
      </c>
      <c r="N408" s="36" t="str">
        <f t="shared" si="34"/>
        <v/>
      </c>
    </row>
    <row r="409" spans="1:14" x14ac:dyDescent="0.25">
      <c r="A409" s="35" t="str">
        <f t="shared" si="30"/>
        <v/>
      </c>
      <c r="B409" s="35" t="str">
        <f>IF(BOM!A409="","",BOM!A409)</f>
        <v/>
      </c>
      <c r="C409" s="35" t="str">
        <f>IF(B409="","",BOM!B409)</f>
        <v/>
      </c>
      <c r="D409" s="35" t="str">
        <f>IF(B409="","",IFERROR(INDEX(DM_NL!$B$5:$B$304,MATCH(C409,DM_NL!$A$5:$A$304,0)),""))</f>
        <v/>
      </c>
      <c r="E409" s="35" t="str">
        <f>IF(B409="","",IFERROR(INDEX(DM_NL!$C$5:$C$304,MATCH(C409,DM_NL!$A$5:$A$304,0)),""))</f>
        <v/>
      </c>
      <c r="F409" s="39" t="str">
        <f>IF(B409="","",SUMIFS(Mau15a!$F$11:$F$310,Mau15a!$B$11:$B$310,B409))</f>
        <v/>
      </c>
      <c r="G409" s="39" t="str">
        <f>IF(B409="","",IF(OR(M409="KXDDM",BOM!F409=""),0,BOM!F409))</f>
        <v/>
      </c>
      <c r="H409" s="39" t="str">
        <f t="shared" si="31"/>
        <v/>
      </c>
      <c r="I409" s="39" t="str">
        <f>IF(B409="","",SUMIFS(Mau15a!$H$11:$H$310,Mau15a!$B$11:$B$310,B409)+SUMIFS(Mau15a!$I$11:$I$310,Mau15a!$B$11:$B$310,B409)+SUMIFS(Mau15a!$J$11:$J$310,Mau15a!$B$11:$B$310,B409)-SUMIFS(Mau15a!$G$11:$G$310,Mau15a!$B$11:$B$310,B409))</f>
        <v/>
      </c>
      <c r="J409" s="39" t="str">
        <f t="shared" si="32"/>
        <v/>
      </c>
      <c r="K409" s="39" t="str">
        <f>IF(B409="","",(SUMIFS(Mau15a!$K$11:$K$310,Mau15a!$B$11:$B$310,B409)-SUMIFS(Mau15a!$E$11:$E$310,Mau15a!$B$11:$B$310,B409))*G409)</f>
        <v/>
      </c>
      <c r="L409" s="36" t="str">
        <f t="shared" si="33"/>
        <v/>
      </c>
      <c r="M409" s="36" t="str">
        <f>IF(B409="","",BOM!G409&amp;"")</f>
        <v/>
      </c>
      <c r="N409" s="36" t="str">
        <f t="shared" si="34"/>
        <v/>
      </c>
    </row>
    <row r="410" spans="1:14" x14ac:dyDescent="0.25">
      <c r="A410" s="35" t="str">
        <f t="shared" si="30"/>
        <v/>
      </c>
      <c r="B410" s="35" t="str">
        <f>IF(BOM!A410="","",BOM!A410)</f>
        <v/>
      </c>
      <c r="C410" s="35" t="str">
        <f>IF(B410="","",BOM!B410)</f>
        <v/>
      </c>
      <c r="D410" s="35" t="str">
        <f>IF(B410="","",IFERROR(INDEX(DM_NL!$B$5:$B$304,MATCH(C410,DM_NL!$A$5:$A$304,0)),""))</f>
        <v/>
      </c>
      <c r="E410" s="35" t="str">
        <f>IF(B410="","",IFERROR(INDEX(DM_NL!$C$5:$C$304,MATCH(C410,DM_NL!$A$5:$A$304,0)),""))</f>
        <v/>
      </c>
      <c r="F410" s="39" t="str">
        <f>IF(B410="","",SUMIFS(Mau15a!$F$11:$F$310,Mau15a!$B$11:$B$310,B410))</f>
        <v/>
      </c>
      <c r="G410" s="39" t="str">
        <f>IF(B410="","",IF(OR(M410="KXDDM",BOM!F410=""),0,BOM!F410))</f>
        <v/>
      </c>
      <c r="H410" s="39" t="str">
        <f t="shared" si="31"/>
        <v/>
      </c>
      <c r="I410" s="39" t="str">
        <f>IF(B410="","",SUMIFS(Mau15a!$H$11:$H$310,Mau15a!$B$11:$B$310,B410)+SUMIFS(Mau15a!$I$11:$I$310,Mau15a!$B$11:$B$310,B410)+SUMIFS(Mau15a!$J$11:$J$310,Mau15a!$B$11:$B$310,B410)-SUMIFS(Mau15a!$G$11:$G$310,Mau15a!$B$11:$B$310,B410))</f>
        <v/>
      </c>
      <c r="J410" s="39" t="str">
        <f t="shared" si="32"/>
        <v/>
      </c>
      <c r="K410" s="39" t="str">
        <f>IF(B410="","",(SUMIFS(Mau15a!$K$11:$K$310,Mau15a!$B$11:$B$310,B410)-SUMIFS(Mau15a!$E$11:$E$310,Mau15a!$B$11:$B$310,B410))*G410)</f>
        <v/>
      </c>
      <c r="L410" s="36" t="str">
        <f t="shared" si="33"/>
        <v/>
      </c>
      <c r="M410" s="36" t="str">
        <f>IF(B410="","",BOM!G410&amp;"")</f>
        <v/>
      </c>
      <c r="N410" s="36" t="str">
        <f t="shared" si="34"/>
        <v/>
      </c>
    </row>
    <row r="411" spans="1:14" x14ac:dyDescent="0.25">
      <c r="A411" s="35" t="str">
        <f t="shared" si="30"/>
        <v/>
      </c>
      <c r="B411" s="35" t="str">
        <f>IF(BOM!A411="","",BOM!A411)</f>
        <v/>
      </c>
      <c r="C411" s="35" t="str">
        <f>IF(B411="","",BOM!B411)</f>
        <v/>
      </c>
      <c r="D411" s="35" t="str">
        <f>IF(B411="","",IFERROR(INDEX(DM_NL!$B$5:$B$304,MATCH(C411,DM_NL!$A$5:$A$304,0)),""))</f>
        <v/>
      </c>
      <c r="E411" s="35" t="str">
        <f>IF(B411="","",IFERROR(INDEX(DM_NL!$C$5:$C$304,MATCH(C411,DM_NL!$A$5:$A$304,0)),""))</f>
        <v/>
      </c>
      <c r="F411" s="39" t="str">
        <f>IF(B411="","",SUMIFS(Mau15a!$F$11:$F$310,Mau15a!$B$11:$B$310,B411))</f>
        <v/>
      </c>
      <c r="G411" s="39" t="str">
        <f>IF(B411="","",IF(OR(M411="KXDDM",BOM!F411=""),0,BOM!F411))</f>
        <v/>
      </c>
      <c r="H411" s="39" t="str">
        <f t="shared" si="31"/>
        <v/>
      </c>
      <c r="I411" s="39" t="str">
        <f>IF(B411="","",SUMIFS(Mau15a!$H$11:$H$310,Mau15a!$B$11:$B$310,B411)+SUMIFS(Mau15a!$I$11:$I$310,Mau15a!$B$11:$B$310,B411)+SUMIFS(Mau15a!$J$11:$J$310,Mau15a!$B$11:$B$310,B411)-SUMIFS(Mau15a!$G$11:$G$310,Mau15a!$B$11:$B$310,B411))</f>
        <v/>
      </c>
      <c r="J411" s="39" t="str">
        <f t="shared" si="32"/>
        <v/>
      </c>
      <c r="K411" s="39" t="str">
        <f>IF(B411="","",(SUMIFS(Mau15a!$K$11:$K$310,Mau15a!$B$11:$B$310,B411)-SUMIFS(Mau15a!$E$11:$E$310,Mau15a!$B$11:$B$310,B411))*G411)</f>
        <v/>
      </c>
      <c r="L411" s="36" t="str">
        <f t="shared" si="33"/>
        <v/>
      </c>
      <c r="M411" s="36" t="str">
        <f>IF(B411="","",BOM!G411&amp;"")</f>
        <v/>
      </c>
      <c r="N411" s="36" t="str">
        <f t="shared" si="34"/>
        <v/>
      </c>
    </row>
    <row r="412" spans="1:14" x14ac:dyDescent="0.25">
      <c r="A412" s="35" t="str">
        <f t="shared" si="30"/>
        <v/>
      </c>
      <c r="B412" s="35" t="str">
        <f>IF(BOM!A412="","",BOM!A412)</f>
        <v/>
      </c>
      <c r="C412" s="35" t="str">
        <f>IF(B412="","",BOM!B412)</f>
        <v/>
      </c>
      <c r="D412" s="35" t="str">
        <f>IF(B412="","",IFERROR(INDEX(DM_NL!$B$5:$B$304,MATCH(C412,DM_NL!$A$5:$A$304,0)),""))</f>
        <v/>
      </c>
      <c r="E412" s="35" t="str">
        <f>IF(B412="","",IFERROR(INDEX(DM_NL!$C$5:$C$304,MATCH(C412,DM_NL!$A$5:$A$304,0)),""))</f>
        <v/>
      </c>
      <c r="F412" s="39" t="str">
        <f>IF(B412="","",SUMIFS(Mau15a!$F$11:$F$310,Mau15a!$B$11:$B$310,B412))</f>
        <v/>
      </c>
      <c r="G412" s="39" t="str">
        <f>IF(B412="","",IF(OR(M412="KXDDM",BOM!F412=""),0,BOM!F412))</f>
        <v/>
      </c>
      <c r="H412" s="39" t="str">
        <f t="shared" si="31"/>
        <v/>
      </c>
      <c r="I412" s="39" t="str">
        <f>IF(B412="","",SUMIFS(Mau15a!$H$11:$H$310,Mau15a!$B$11:$B$310,B412)+SUMIFS(Mau15a!$I$11:$I$310,Mau15a!$B$11:$B$310,B412)+SUMIFS(Mau15a!$J$11:$J$310,Mau15a!$B$11:$B$310,B412)-SUMIFS(Mau15a!$G$11:$G$310,Mau15a!$B$11:$B$310,B412))</f>
        <v/>
      </c>
      <c r="J412" s="39" t="str">
        <f t="shared" si="32"/>
        <v/>
      </c>
      <c r="K412" s="39" t="str">
        <f>IF(B412="","",(SUMIFS(Mau15a!$K$11:$K$310,Mau15a!$B$11:$B$310,B412)-SUMIFS(Mau15a!$E$11:$E$310,Mau15a!$B$11:$B$310,B412))*G412)</f>
        <v/>
      </c>
      <c r="L412" s="36" t="str">
        <f t="shared" si="33"/>
        <v/>
      </c>
      <c r="M412" s="36" t="str">
        <f>IF(B412="","",BOM!G412&amp;"")</f>
        <v/>
      </c>
      <c r="N412" s="36" t="str">
        <f t="shared" si="34"/>
        <v/>
      </c>
    </row>
    <row r="413" spans="1:14" x14ac:dyDescent="0.25">
      <c r="A413" s="35" t="str">
        <f t="shared" si="30"/>
        <v/>
      </c>
      <c r="B413" s="35" t="str">
        <f>IF(BOM!A413="","",BOM!A413)</f>
        <v/>
      </c>
      <c r="C413" s="35" t="str">
        <f>IF(B413="","",BOM!B413)</f>
        <v/>
      </c>
      <c r="D413" s="35" t="str">
        <f>IF(B413="","",IFERROR(INDEX(DM_NL!$B$5:$B$304,MATCH(C413,DM_NL!$A$5:$A$304,0)),""))</f>
        <v/>
      </c>
      <c r="E413" s="35" t="str">
        <f>IF(B413="","",IFERROR(INDEX(DM_NL!$C$5:$C$304,MATCH(C413,DM_NL!$A$5:$A$304,0)),""))</f>
        <v/>
      </c>
      <c r="F413" s="39" t="str">
        <f>IF(B413="","",SUMIFS(Mau15a!$F$11:$F$310,Mau15a!$B$11:$B$310,B413))</f>
        <v/>
      </c>
      <c r="G413" s="39" t="str">
        <f>IF(B413="","",IF(OR(M413="KXDDM",BOM!F413=""),0,BOM!F413))</f>
        <v/>
      </c>
      <c r="H413" s="39" t="str">
        <f t="shared" si="31"/>
        <v/>
      </c>
      <c r="I413" s="39" t="str">
        <f>IF(B413="","",SUMIFS(Mau15a!$H$11:$H$310,Mau15a!$B$11:$B$310,B413)+SUMIFS(Mau15a!$I$11:$I$310,Mau15a!$B$11:$B$310,B413)+SUMIFS(Mau15a!$J$11:$J$310,Mau15a!$B$11:$B$310,B413)-SUMIFS(Mau15a!$G$11:$G$310,Mau15a!$B$11:$B$310,B413))</f>
        <v/>
      </c>
      <c r="J413" s="39" t="str">
        <f t="shared" si="32"/>
        <v/>
      </c>
      <c r="K413" s="39" t="str">
        <f>IF(B413="","",(SUMIFS(Mau15a!$K$11:$K$310,Mau15a!$B$11:$B$310,B413)-SUMIFS(Mau15a!$E$11:$E$310,Mau15a!$B$11:$B$310,B413))*G413)</f>
        <v/>
      </c>
      <c r="L413" s="36" t="str">
        <f t="shared" si="33"/>
        <v/>
      </c>
      <c r="M413" s="36" t="str">
        <f>IF(B413="","",BOM!G413&amp;"")</f>
        <v/>
      </c>
      <c r="N413" s="36" t="str">
        <f t="shared" si="34"/>
        <v/>
      </c>
    </row>
    <row r="414" spans="1:14" x14ac:dyDescent="0.25">
      <c r="A414" s="35" t="str">
        <f t="shared" si="30"/>
        <v/>
      </c>
      <c r="B414" s="35" t="str">
        <f>IF(BOM!A414="","",BOM!A414)</f>
        <v/>
      </c>
      <c r="C414" s="35" t="str">
        <f>IF(B414="","",BOM!B414)</f>
        <v/>
      </c>
      <c r="D414" s="35" t="str">
        <f>IF(B414="","",IFERROR(INDEX(DM_NL!$B$5:$B$304,MATCH(C414,DM_NL!$A$5:$A$304,0)),""))</f>
        <v/>
      </c>
      <c r="E414" s="35" t="str">
        <f>IF(B414="","",IFERROR(INDEX(DM_NL!$C$5:$C$304,MATCH(C414,DM_NL!$A$5:$A$304,0)),""))</f>
        <v/>
      </c>
      <c r="F414" s="39" t="str">
        <f>IF(B414="","",SUMIFS(Mau15a!$F$11:$F$310,Mau15a!$B$11:$B$310,B414))</f>
        <v/>
      </c>
      <c r="G414" s="39" t="str">
        <f>IF(B414="","",IF(OR(M414="KXDDM",BOM!F414=""),0,BOM!F414))</f>
        <v/>
      </c>
      <c r="H414" s="39" t="str">
        <f t="shared" si="31"/>
        <v/>
      </c>
      <c r="I414" s="39" t="str">
        <f>IF(B414="","",SUMIFS(Mau15a!$H$11:$H$310,Mau15a!$B$11:$B$310,B414)+SUMIFS(Mau15a!$I$11:$I$310,Mau15a!$B$11:$B$310,B414)+SUMIFS(Mau15a!$J$11:$J$310,Mau15a!$B$11:$B$310,B414)-SUMIFS(Mau15a!$G$11:$G$310,Mau15a!$B$11:$B$310,B414))</f>
        <v/>
      </c>
      <c r="J414" s="39" t="str">
        <f t="shared" si="32"/>
        <v/>
      </c>
      <c r="K414" s="39" t="str">
        <f>IF(B414="","",(SUMIFS(Mau15a!$K$11:$K$310,Mau15a!$B$11:$B$310,B414)-SUMIFS(Mau15a!$E$11:$E$310,Mau15a!$B$11:$B$310,B414))*G414)</f>
        <v/>
      </c>
      <c r="L414" s="36" t="str">
        <f t="shared" si="33"/>
        <v/>
      </c>
      <c r="M414" s="36" t="str">
        <f>IF(B414="","",BOM!G414&amp;"")</f>
        <v/>
      </c>
      <c r="N414" s="36" t="str">
        <f t="shared" si="34"/>
        <v/>
      </c>
    </row>
    <row r="415" spans="1:14" x14ac:dyDescent="0.25">
      <c r="A415" s="35" t="str">
        <f t="shared" si="30"/>
        <v/>
      </c>
      <c r="B415" s="35" t="str">
        <f>IF(BOM!A415="","",BOM!A415)</f>
        <v/>
      </c>
      <c r="C415" s="35" t="str">
        <f>IF(B415="","",BOM!B415)</f>
        <v/>
      </c>
      <c r="D415" s="35" t="str">
        <f>IF(B415="","",IFERROR(INDEX(DM_NL!$B$5:$B$304,MATCH(C415,DM_NL!$A$5:$A$304,0)),""))</f>
        <v/>
      </c>
      <c r="E415" s="35" t="str">
        <f>IF(B415="","",IFERROR(INDEX(DM_NL!$C$5:$C$304,MATCH(C415,DM_NL!$A$5:$A$304,0)),""))</f>
        <v/>
      </c>
      <c r="F415" s="39" t="str">
        <f>IF(B415="","",SUMIFS(Mau15a!$F$11:$F$310,Mau15a!$B$11:$B$310,B415))</f>
        <v/>
      </c>
      <c r="G415" s="39" t="str">
        <f>IF(B415="","",IF(OR(M415="KXDDM",BOM!F415=""),0,BOM!F415))</f>
        <v/>
      </c>
      <c r="H415" s="39" t="str">
        <f t="shared" si="31"/>
        <v/>
      </c>
      <c r="I415" s="39" t="str">
        <f>IF(B415="","",SUMIFS(Mau15a!$H$11:$H$310,Mau15a!$B$11:$B$310,B415)+SUMIFS(Mau15a!$I$11:$I$310,Mau15a!$B$11:$B$310,B415)+SUMIFS(Mau15a!$J$11:$J$310,Mau15a!$B$11:$B$310,B415)-SUMIFS(Mau15a!$G$11:$G$310,Mau15a!$B$11:$B$310,B415))</f>
        <v/>
      </c>
      <c r="J415" s="39" t="str">
        <f t="shared" si="32"/>
        <v/>
      </c>
      <c r="K415" s="39" t="str">
        <f>IF(B415="","",(SUMIFS(Mau15a!$K$11:$K$310,Mau15a!$B$11:$B$310,B415)-SUMIFS(Mau15a!$E$11:$E$310,Mau15a!$B$11:$B$310,B415))*G415)</f>
        <v/>
      </c>
      <c r="L415" s="36" t="str">
        <f t="shared" si="33"/>
        <v/>
      </c>
      <c r="M415" s="36" t="str">
        <f>IF(B415="","",BOM!G415&amp;"")</f>
        <v/>
      </c>
      <c r="N415" s="36" t="str">
        <f t="shared" si="34"/>
        <v/>
      </c>
    </row>
    <row r="416" spans="1:14" x14ac:dyDescent="0.25">
      <c r="A416" s="35" t="str">
        <f t="shared" si="30"/>
        <v/>
      </c>
      <c r="B416" s="35" t="str">
        <f>IF(BOM!A416="","",BOM!A416)</f>
        <v/>
      </c>
      <c r="C416" s="35" t="str">
        <f>IF(B416="","",BOM!B416)</f>
        <v/>
      </c>
      <c r="D416" s="35" t="str">
        <f>IF(B416="","",IFERROR(INDEX(DM_NL!$B$5:$B$304,MATCH(C416,DM_NL!$A$5:$A$304,0)),""))</f>
        <v/>
      </c>
      <c r="E416" s="35" t="str">
        <f>IF(B416="","",IFERROR(INDEX(DM_NL!$C$5:$C$304,MATCH(C416,DM_NL!$A$5:$A$304,0)),""))</f>
        <v/>
      </c>
      <c r="F416" s="39" t="str">
        <f>IF(B416="","",SUMIFS(Mau15a!$F$11:$F$310,Mau15a!$B$11:$B$310,B416))</f>
        <v/>
      </c>
      <c r="G416" s="39" t="str">
        <f>IF(B416="","",IF(OR(M416="KXDDM",BOM!F416=""),0,BOM!F416))</f>
        <v/>
      </c>
      <c r="H416" s="39" t="str">
        <f t="shared" si="31"/>
        <v/>
      </c>
      <c r="I416" s="39" t="str">
        <f>IF(B416="","",SUMIFS(Mau15a!$H$11:$H$310,Mau15a!$B$11:$B$310,B416)+SUMIFS(Mau15a!$I$11:$I$310,Mau15a!$B$11:$B$310,B416)+SUMIFS(Mau15a!$J$11:$J$310,Mau15a!$B$11:$B$310,B416)-SUMIFS(Mau15a!$G$11:$G$310,Mau15a!$B$11:$B$310,B416))</f>
        <v/>
      </c>
      <c r="J416" s="39" t="str">
        <f t="shared" si="32"/>
        <v/>
      </c>
      <c r="K416" s="39" t="str">
        <f>IF(B416="","",(SUMIFS(Mau15a!$K$11:$K$310,Mau15a!$B$11:$B$310,B416)-SUMIFS(Mau15a!$E$11:$E$310,Mau15a!$B$11:$B$310,B416))*G416)</f>
        <v/>
      </c>
      <c r="L416" s="36" t="str">
        <f t="shared" si="33"/>
        <v/>
      </c>
      <c r="M416" s="36" t="str">
        <f>IF(B416="","",BOM!G416&amp;"")</f>
        <v/>
      </c>
      <c r="N416" s="36" t="str">
        <f t="shared" si="34"/>
        <v/>
      </c>
    </row>
    <row r="417" spans="1:14" x14ac:dyDescent="0.25">
      <c r="A417" s="35" t="str">
        <f t="shared" si="30"/>
        <v/>
      </c>
      <c r="B417" s="35" t="str">
        <f>IF(BOM!A417="","",BOM!A417)</f>
        <v/>
      </c>
      <c r="C417" s="35" t="str">
        <f>IF(B417="","",BOM!B417)</f>
        <v/>
      </c>
      <c r="D417" s="35" t="str">
        <f>IF(B417="","",IFERROR(INDEX(DM_NL!$B$5:$B$304,MATCH(C417,DM_NL!$A$5:$A$304,0)),""))</f>
        <v/>
      </c>
      <c r="E417" s="35" t="str">
        <f>IF(B417="","",IFERROR(INDEX(DM_NL!$C$5:$C$304,MATCH(C417,DM_NL!$A$5:$A$304,0)),""))</f>
        <v/>
      </c>
      <c r="F417" s="39" t="str">
        <f>IF(B417="","",SUMIFS(Mau15a!$F$11:$F$310,Mau15a!$B$11:$B$310,B417))</f>
        <v/>
      </c>
      <c r="G417" s="39" t="str">
        <f>IF(B417="","",IF(OR(M417="KXDDM",BOM!F417=""),0,BOM!F417))</f>
        <v/>
      </c>
      <c r="H417" s="39" t="str">
        <f t="shared" si="31"/>
        <v/>
      </c>
      <c r="I417" s="39" t="str">
        <f>IF(B417="","",SUMIFS(Mau15a!$H$11:$H$310,Mau15a!$B$11:$B$310,B417)+SUMIFS(Mau15a!$I$11:$I$310,Mau15a!$B$11:$B$310,B417)+SUMIFS(Mau15a!$J$11:$J$310,Mau15a!$B$11:$B$310,B417)-SUMIFS(Mau15a!$G$11:$G$310,Mau15a!$B$11:$B$310,B417))</f>
        <v/>
      </c>
      <c r="J417" s="39" t="str">
        <f t="shared" si="32"/>
        <v/>
      </c>
      <c r="K417" s="39" t="str">
        <f>IF(B417="","",(SUMIFS(Mau15a!$K$11:$K$310,Mau15a!$B$11:$B$310,B417)-SUMIFS(Mau15a!$E$11:$E$310,Mau15a!$B$11:$B$310,B417))*G417)</f>
        <v/>
      </c>
      <c r="L417" s="36" t="str">
        <f t="shared" si="33"/>
        <v/>
      </c>
      <c r="M417" s="36" t="str">
        <f>IF(B417="","",BOM!G417&amp;"")</f>
        <v/>
      </c>
      <c r="N417" s="36" t="str">
        <f t="shared" si="34"/>
        <v/>
      </c>
    </row>
    <row r="418" spans="1:14" x14ac:dyDescent="0.25">
      <c r="A418" s="35" t="str">
        <f t="shared" si="30"/>
        <v/>
      </c>
      <c r="B418" s="35" t="str">
        <f>IF(BOM!A418="","",BOM!A418)</f>
        <v/>
      </c>
      <c r="C418" s="35" t="str">
        <f>IF(B418="","",BOM!B418)</f>
        <v/>
      </c>
      <c r="D418" s="35" t="str">
        <f>IF(B418="","",IFERROR(INDEX(DM_NL!$B$5:$B$304,MATCH(C418,DM_NL!$A$5:$A$304,0)),""))</f>
        <v/>
      </c>
      <c r="E418" s="35" t="str">
        <f>IF(B418="","",IFERROR(INDEX(DM_NL!$C$5:$C$304,MATCH(C418,DM_NL!$A$5:$A$304,0)),""))</f>
        <v/>
      </c>
      <c r="F418" s="39" t="str">
        <f>IF(B418="","",SUMIFS(Mau15a!$F$11:$F$310,Mau15a!$B$11:$B$310,B418))</f>
        <v/>
      </c>
      <c r="G418" s="39" t="str">
        <f>IF(B418="","",IF(OR(M418="KXDDM",BOM!F418=""),0,BOM!F418))</f>
        <v/>
      </c>
      <c r="H418" s="39" t="str">
        <f t="shared" si="31"/>
        <v/>
      </c>
      <c r="I418" s="39" t="str">
        <f>IF(B418="","",SUMIFS(Mau15a!$H$11:$H$310,Mau15a!$B$11:$B$310,B418)+SUMIFS(Mau15a!$I$11:$I$310,Mau15a!$B$11:$B$310,B418)+SUMIFS(Mau15a!$J$11:$J$310,Mau15a!$B$11:$B$310,B418)-SUMIFS(Mau15a!$G$11:$G$310,Mau15a!$B$11:$B$310,B418))</f>
        <v/>
      </c>
      <c r="J418" s="39" t="str">
        <f t="shared" si="32"/>
        <v/>
      </c>
      <c r="K418" s="39" t="str">
        <f>IF(B418="","",(SUMIFS(Mau15a!$K$11:$K$310,Mau15a!$B$11:$B$310,B418)-SUMIFS(Mau15a!$E$11:$E$310,Mau15a!$B$11:$B$310,B418))*G418)</f>
        <v/>
      </c>
      <c r="L418" s="36" t="str">
        <f t="shared" si="33"/>
        <v/>
      </c>
      <c r="M418" s="36" t="str">
        <f>IF(B418="","",BOM!G418&amp;"")</f>
        <v/>
      </c>
      <c r="N418" s="36" t="str">
        <f t="shared" si="34"/>
        <v/>
      </c>
    </row>
    <row r="419" spans="1:14" x14ac:dyDescent="0.25">
      <c r="A419" s="35" t="str">
        <f t="shared" si="30"/>
        <v/>
      </c>
      <c r="B419" s="35" t="str">
        <f>IF(BOM!A419="","",BOM!A419)</f>
        <v/>
      </c>
      <c r="C419" s="35" t="str">
        <f>IF(B419="","",BOM!B419)</f>
        <v/>
      </c>
      <c r="D419" s="35" t="str">
        <f>IF(B419="","",IFERROR(INDEX(DM_NL!$B$5:$B$304,MATCH(C419,DM_NL!$A$5:$A$304,0)),""))</f>
        <v/>
      </c>
      <c r="E419" s="35" t="str">
        <f>IF(B419="","",IFERROR(INDEX(DM_NL!$C$5:$C$304,MATCH(C419,DM_NL!$A$5:$A$304,0)),""))</f>
        <v/>
      </c>
      <c r="F419" s="39" t="str">
        <f>IF(B419="","",SUMIFS(Mau15a!$F$11:$F$310,Mau15a!$B$11:$B$310,B419))</f>
        <v/>
      </c>
      <c r="G419" s="39" t="str">
        <f>IF(B419="","",IF(OR(M419="KXDDM",BOM!F419=""),0,BOM!F419))</f>
        <v/>
      </c>
      <c r="H419" s="39" t="str">
        <f t="shared" si="31"/>
        <v/>
      </c>
      <c r="I419" s="39" t="str">
        <f>IF(B419="","",SUMIFS(Mau15a!$H$11:$H$310,Mau15a!$B$11:$B$310,B419)+SUMIFS(Mau15a!$I$11:$I$310,Mau15a!$B$11:$B$310,B419)+SUMIFS(Mau15a!$J$11:$J$310,Mau15a!$B$11:$B$310,B419)-SUMIFS(Mau15a!$G$11:$G$310,Mau15a!$B$11:$B$310,B419))</f>
        <v/>
      </c>
      <c r="J419" s="39" t="str">
        <f t="shared" si="32"/>
        <v/>
      </c>
      <c r="K419" s="39" t="str">
        <f>IF(B419="","",(SUMIFS(Mau15a!$K$11:$K$310,Mau15a!$B$11:$B$310,B419)-SUMIFS(Mau15a!$E$11:$E$310,Mau15a!$B$11:$B$310,B419))*G419)</f>
        <v/>
      </c>
      <c r="L419" s="36" t="str">
        <f t="shared" si="33"/>
        <v/>
      </c>
      <c r="M419" s="36" t="str">
        <f>IF(B419="","",BOM!G419&amp;"")</f>
        <v/>
      </c>
      <c r="N419" s="36" t="str">
        <f t="shared" si="34"/>
        <v/>
      </c>
    </row>
    <row r="420" spans="1:14" x14ac:dyDescent="0.25">
      <c r="A420" s="35" t="str">
        <f t="shared" si="30"/>
        <v/>
      </c>
      <c r="B420" s="35" t="str">
        <f>IF(BOM!A420="","",BOM!A420)</f>
        <v/>
      </c>
      <c r="C420" s="35" t="str">
        <f>IF(B420="","",BOM!B420)</f>
        <v/>
      </c>
      <c r="D420" s="35" t="str">
        <f>IF(B420="","",IFERROR(INDEX(DM_NL!$B$5:$B$304,MATCH(C420,DM_NL!$A$5:$A$304,0)),""))</f>
        <v/>
      </c>
      <c r="E420" s="35" t="str">
        <f>IF(B420="","",IFERROR(INDEX(DM_NL!$C$5:$C$304,MATCH(C420,DM_NL!$A$5:$A$304,0)),""))</f>
        <v/>
      </c>
      <c r="F420" s="39" t="str">
        <f>IF(B420="","",SUMIFS(Mau15a!$F$11:$F$310,Mau15a!$B$11:$B$310,B420))</f>
        <v/>
      </c>
      <c r="G420" s="39" t="str">
        <f>IF(B420="","",IF(OR(M420="KXDDM",BOM!F420=""),0,BOM!F420))</f>
        <v/>
      </c>
      <c r="H420" s="39" t="str">
        <f t="shared" si="31"/>
        <v/>
      </c>
      <c r="I420" s="39" t="str">
        <f>IF(B420="","",SUMIFS(Mau15a!$H$11:$H$310,Mau15a!$B$11:$B$310,B420)+SUMIFS(Mau15a!$I$11:$I$310,Mau15a!$B$11:$B$310,B420)+SUMIFS(Mau15a!$J$11:$J$310,Mau15a!$B$11:$B$310,B420)-SUMIFS(Mau15a!$G$11:$G$310,Mau15a!$B$11:$B$310,B420))</f>
        <v/>
      </c>
      <c r="J420" s="39" t="str">
        <f t="shared" si="32"/>
        <v/>
      </c>
      <c r="K420" s="39" t="str">
        <f>IF(B420="","",(SUMIFS(Mau15a!$K$11:$K$310,Mau15a!$B$11:$B$310,B420)-SUMIFS(Mau15a!$E$11:$E$310,Mau15a!$B$11:$B$310,B420))*G420)</f>
        <v/>
      </c>
      <c r="L420" s="36" t="str">
        <f t="shared" si="33"/>
        <v/>
      </c>
      <c r="M420" s="36" t="str">
        <f>IF(B420="","",BOM!G420&amp;"")</f>
        <v/>
      </c>
      <c r="N420" s="36" t="str">
        <f t="shared" si="34"/>
        <v/>
      </c>
    </row>
    <row r="421" spans="1:14" x14ac:dyDescent="0.25">
      <c r="A421" s="35" t="str">
        <f t="shared" si="30"/>
        <v/>
      </c>
      <c r="B421" s="35" t="str">
        <f>IF(BOM!A421="","",BOM!A421)</f>
        <v/>
      </c>
      <c r="C421" s="35" t="str">
        <f>IF(B421="","",BOM!B421)</f>
        <v/>
      </c>
      <c r="D421" s="35" t="str">
        <f>IF(B421="","",IFERROR(INDEX(DM_NL!$B$5:$B$304,MATCH(C421,DM_NL!$A$5:$A$304,0)),""))</f>
        <v/>
      </c>
      <c r="E421" s="35" t="str">
        <f>IF(B421="","",IFERROR(INDEX(DM_NL!$C$5:$C$304,MATCH(C421,DM_NL!$A$5:$A$304,0)),""))</f>
        <v/>
      </c>
      <c r="F421" s="39" t="str">
        <f>IF(B421="","",SUMIFS(Mau15a!$F$11:$F$310,Mau15a!$B$11:$B$310,B421))</f>
        <v/>
      </c>
      <c r="G421" s="39" t="str">
        <f>IF(B421="","",IF(OR(M421="KXDDM",BOM!F421=""),0,BOM!F421))</f>
        <v/>
      </c>
      <c r="H421" s="39" t="str">
        <f t="shared" si="31"/>
        <v/>
      </c>
      <c r="I421" s="39" t="str">
        <f>IF(B421="","",SUMIFS(Mau15a!$H$11:$H$310,Mau15a!$B$11:$B$310,B421)+SUMIFS(Mau15a!$I$11:$I$310,Mau15a!$B$11:$B$310,B421)+SUMIFS(Mau15a!$J$11:$J$310,Mau15a!$B$11:$B$310,B421)-SUMIFS(Mau15a!$G$11:$G$310,Mau15a!$B$11:$B$310,B421))</f>
        <v/>
      </c>
      <c r="J421" s="39" t="str">
        <f t="shared" si="32"/>
        <v/>
      </c>
      <c r="K421" s="39" t="str">
        <f>IF(B421="","",(SUMIFS(Mau15a!$K$11:$K$310,Mau15a!$B$11:$B$310,B421)-SUMIFS(Mau15a!$E$11:$E$310,Mau15a!$B$11:$B$310,B421))*G421)</f>
        <v/>
      </c>
      <c r="L421" s="36" t="str">
        <f t="shared" si="33"/>
        <v/>
      </c>
      <c r="M421" s="36" t="str">
        <f>IF(B421="","",BOM!G421&amp;"")</f>
        <v/>
      </c>
      <c r="N421" s="36" t="str">
        <f t="shared" si="34"/>
        <v/>
      </c>
    </row>
    <row r="422" spans="1:14" x14ac:dyDescent="0.25">
      <c r="A422" s="35" t="str">
        <f t="shared" si="30"/>
        <v/>
      </c>
      <c r="B422" s="35" t="str">
        <f>IF(BOM!A422="","",BOM!A422)</f>
        <v/>
      </c>
      <c r="C422" s="35" t="str">
        <f>IF(B422="","",BOM!B422)</f>
        <v/>
      </c>
      <c r="D422" s="35" t="str">
        <f>IF(B422="","",IFERROR(INDEX(DM_NL!$B$5:$B$304,MATCH(C422,DM_NL!$A$5:$A$304,0)),""))</f>
        <v/>
      </c>
      <c r="E422" s="35" t="str">
        <f>IF(B422="","",IFERROR(INDEX(DM_NL!$C$5:$C$304,MATCH(C422,DM_NL!$A$5:$A$304,0)),""))</f>
        <v/>
      </c>
      <c r="F422" s="39" t="str">
        <f>IF(B422="","",SUMIFS(Mau15a!$F$11:$F$310,Mau15a!$B$11:$B$310,B422))</f>
        <v/>
      </c>
      <c r="G422" s="39" t="str">
        <f>IF(B422="","",IF(OR(M422="KXDDM",BOM!F422=""),0,BOM!F422))</f>
        <v/>
      </c>
      <c r="H422" s="39" t="str">
        <f t="shared" si="31"/>
        <v/>
      </c>
      <c r="I422" s="39" t="str">
        <f>IF(B422="","",SUMIFS(Mau15a!$H$11:$H$310,Mau15a!$B$11:$B$310,B422)+SUMIFS(Mau15a!$I$11:$I$310,Mau15a!$B$11:$B$310,B422)+SUMIFS(Mau15a!$J$11:$J$310,Mau15a!$B$11:$B$310,B422)-SUMIFS(Mau15a!$G$11:$G$310,Mau15a!$B$11:$B$310,B422))</f>
        <v/>
      </c>
      <c r="J422" s="39" t="str">
        <f t="shared" si="32"/>
        <v/>
      </c>
      <c r="K422" s="39" t="str">
        <f>IF(B422="","",(SUMIFS(Mau15a!$K$11:$K$310,Mau15a!$B$11:$B$310,B422)-SUMIFS(Mau15a!$E$11:$E$310,Mau15a!$B$11:$B$310,B422))*G422)</f>
        <v/>
      </c>
      <c r="L422" s="36" t="str">
        <f t="shared" si="33"/>
        <v/>
      </c>
      <c r="M422" s="36" t="str">
        <f>IF(B422="","",BOM!G422&amp;"")</f>
        <v/>
      </c>
      <c r="N422" s="36" t="str">
        <f t="shared" si="34"/>
        <v/>
      </c>
    </row>
    <row r="423" spans="1:14" x14ac:dyDescent="0.25">
      <c r="A423" s="35" t="str">
        <f t="shared" si="30"/>
        <v/>
      </c>
      <c r="B423" s="35" t="str">
        <f>IF(BOM!A423="","",BOM!A423)</f>
        <v/>
      </c>
      <c r="C423" s="35" t="str">
        <f>IF(B423="","",BOM!B423)</f>
        <v/>
      </c>
      <c r="D423" s="35" t="str">
        <f>IF(B423="","",IFERROR(INDEX(DM_NL!$B$5:$B$304,MATCH(C423,DM_NL!$A$5:$A$304,0)),""))</f>
        <v/>
      </c>
      <c r="E423" s="35" t="str">
        <f>IF(B423="","",IFERROR(INDEX(DM_NL!$C$5:$C$304,MATCH(C423,DM_NL!$A$5:$A$304,0)),""))</f>
        <v/>
      </c>
      <c r="F423" s="39" t="str">
        <f>IF(B423="","",SUMIFS(Mau15a!$F$11:$F$310,Mau15a!$B$11:$B$310,B423))</f>
        <v/>
      </c>
      <c r="G423" s="39" t="str">
        <f>IF(B423="","",IF(OR(M423="KXDDM",BOM!F423=""),0,BOM!F423))</f>
        <v/>
      </c>
      <c r="H423" s="39" t="str">
        <f t="shared" si="31"/>
        <v/>
      </c>
      <c r="I423" s="39" t="str">
        <f>IF(B423="","",SUMIFS(Mau15a!$H$11:$H$310,Mau15a!$B$11:$B$310,B423)+SUMIFS(Mau15a!$I$11:$I$310,Mau15a!$B$11:$B$310,B423)+SUMIFS(Mau15a!$J$11:$J$310,Mau15a!$B$11:$B$310,B423)-SUMIFS(Mau15a!$G$11:$G$310,Mau15a!$B$11:$B$310,B423))</f>
        <v/>
      </c>
      <c r="J423" s="39" t="str">
        <f t="shared" si="32"/>
        <v/>
      </c>
      <c r="K423" s="39" t="str">
        <f>IF(B423="","",(SUMIFS(Mau15a!$K$11:$K$310,Mau15a!$B$11:$B$310,B423)-SUMIFS(Mau15a!$E$11:$E$310,Mau15a!$B$11:$B$310,B423))*G423)</f>
        <v/>
      </c>
      <c r="L423" s="36" t="str">
        <f t="shared" si="33"/>
        <v/>
      </c>
      <c r="M423" s="36" t="str">
        <f>IF(B423="","",BOM!G423&amp;"")</f>
        <v/>
      </c>
      <c r="N423" s="36" t="str">
        <f t="shared" si="34"/>
        <v/>
      </c>
    </row>
    <row r="424" spans="1:14" x14ac:dyDescent="0.25">
      <c r="A424" s="35" t="str">
        <f t="shared" si="30"/>
        <v/>
      </c>
      <c r="B424" s="35" t="str">
        <f>IF(BOM!A424="","",BOM!A424)</f>
        <v/>
      </c>
      <c r="C424" s="35" t="str">
        <f>IF(B424="","",BOM!B424)</f>
        <v/>
      </c>
      <c r="D424" s="35" t="str">
        <f>IF(B424="","",IFERROR(INDEX(DM_NL!$B$5:$B$304,MATCH(C424,DM_NL!$A$5:$A$304,0)),""))</f>
        <v/>
      </c>
      <c r="E424" s="35" t="str">
        <f>IF(B424="","",IFERROR(INDEX(DM_NL!$C$5:$C$304,MATCH(C424,DM_NL!$A$5:$A$304,0)),""))</f>
        <v/>
      </c>
      <c r="F424" s="39" t="str">
        <f>IF(B424="","",SUMIFS(Mau15a!$F$11:$F$310,Mau15a!$B$11:$B$310,B424))</f>
        <v/>
      </c>
      <c r="G424" s="39" t="str">
        <f>IF(B424="","",IF(OR(M424="KXDDM",BOM!F424=""),0,BOM!F424))</f>
        <v/>
      </c>
      <c r="H424" s="39" t="str">
        <f t="shared" si="31"/>
        <v/>
      </c>
      <c r="I424" s="39" t="str">
        <f>IF(B424="","",SUMIFS(Mau15a!$H$11:$H$310,Mau15a!$B$11:$B$310,B424)+SUMIFS(Mau15a!$I$11:$I$310,Mau15a!$B$11:$B$310,B424)+SUMIFS(Mau15a!$J$11:$J$310,Mau15a!$B$11:$B$310,B424)-SUMIFS(Mau15a!$G$11:$G$310,Mau15a!$B$11:$B$310,B424))</f>
        <v/>
      </c>
      <c r="J424" s="39" t="str">
        <f t="shared" si="32"/>
        <v/>
      </c>
      <c r="K424" s="39" t="str">
        <f>IF(B424="","",(SUMIFS(Mau15a!$K$11:$K$310,Mau15a!$B$11:$B$310,B424)-SUMIFS(Mau15a!$E$11:$E$310,Mau15a!$B$11:$B$310,B424))*G424)</f>
        <v/>
      </c>
      <c r="L424" s="36" t="str">
        <f t="shared" si="33"/>
        <v/>
      </c>
      <c r="M424" s="36" t="str">
        <f>IF(B424="","",BOM!G424&amp;"")</f>
        <v/>
      </c>
      <c r="N424" s="36" t="str">
        <f t="shared" si="34"/>
        <v/>
      </c>
    </row>
    <row r="425" spans="1:14" x14ac:dyDescent="0.25">
      <c r="A425" s="35" t="str">
        <f t="shared" si="30"/>
        <v/>
      </c>
      <c r="B425" s="35" t="str">
        <f>IF(BOM!A425="","",BOM!A425)</f>
        <v/>
      </c>
      <c r="C425" s="35" t="str">
        <f>IF(B425="","",BOM!B425)</f>
        <v/>
      </c>
      <c r="D425" s="35" t="str">
        <f>IF(B425="","",IFERROR(INDEX(DM_NL!$B$5:$B$304,MATCH(C425,DM_NL!$A$5:$A$304,0)),""))</f>
        <v/>
      </c>
      <c r="E425" s="35" t="str">
        <f>IF(B425="","",IFERROR(INDEX(DM_NL!$C$5:$C$304,MATCH(C425,DM_NL!$A$5:$A$304,0)),""))</f>
        <v/>
      </c>
      <c r="F425" s="39" t="str">
        <f>IF(B425="","",SUMIFS(Mau15a!$F$11:$F$310,Mau15a!$B$11:$B$310,B425))</f>
        <v/>
      </c>
      <c r="G425" s="39" t="str">
        <f>IF(B425="","",IF(OR(M425="KXDDM",BOM!F425=""),0,BOM!F425))</f>
        <v/>
      </c>
      <c r="H425" s="39" t="str">
        <f t="shared" si="31"/>
        <v/>
      </c>
      <c r="I425" s="39" t="str">
        <f>IF(B425="","",SUMIFS(Mau15a!$H$11:$H$310,Mau15a!$B$11:$B$310,B425)+SUMIFS(Mau15a!$I$11:$I$310,Mau15a!$B$11:$B$310,B425)+SUMIFS(Mau15a!$J$11:$J$310,Mau15a!$B$11:$B$310,B425)-SUMIFS(Mau15a!$G$11:$G$310,Mau15a!$B$11:$B$310,B425))</f>
        <v/>
      </c>
      <c r="J425" s="39" t="str">
        <f t="shared" si="32"/>
        <v/>
      </c>
      <c r="K425" s="39" t="str">
        <f>IF(B425="","",(SUMIFS(Mau15a!$K$11:$K$310,Mau15a!$B$11:$B$310,B425)-SUMIFS(Mau15a!$E$11:$E$310,Mau15a!$B$11:$B$310,B425))*G425)</f>
        <v/>
      </c>
      <c r="L425" s="36" t="str">
        <f t="shared" si="33"/>
        <v/>
      </c>
      <c r="M425" s="36" t="str">
        <f>IF(B425="","",BOM!G425&amp;"")</f>
        <v/>
      </c>
      <c r="N425" s="36" t="str">
        <f t="shared" si="34"/>
        <v/>
      </c>
    </row>
    <row r="426" spans="1:14" x14ac:dyDescent="0.25">
      <c r="A426" s="35" t="str">
        <f t="shared" si="30"/>
        <v/>
      </c>
      <c r="B426" s="35" t="str">
        <f>IF(BOM!A426="","",BOM!A426)</f>
        <v/>
      </c>
      <c r="C426" s="35" t="str">
        <f>IF(B426="","",BOM!B426)</f>
        <v/>
      </c>
      <c r="D426" s="35" t="str">
        <f>IF(B426="","",IFERROR(INDEX(DM_NL!$B$5:$B$304,MATCH(C426,DM_NL!$A$5:$A$304,0)),""))</f>
        <v/>
      </c>
      <c r="E426" s="35" t="str">
        <f>IF(B426="","",IFERROR(INDEX(DM_NL!$C$5:$C$304,MATCH(C426,DM_NL!$A$5:$A$304,0)),""))</f>
        <v/>
      </c>
      <c r="F426" s="39" t="str">
        <f>IF(B426="","",SUMIFS(Mau15a!$F$11:$F$310,Mau15a!$B$11:$B$310,B426))</f>
        <v/>
      </c>
      <c r="G426" s="39" t="str">
        <f>IF(B426="","",IF(OR(M426="KXDDM",BOM!F426=""),0,BOM!F426))</f>
        <v/>
      </c>
      <c r="H426" s="39" t="str">
        <f t="shared" si="31"/>
        <v/>
      </c>
      <c r="I426" s="39" t="str">
        <f>IF(B426="","",SUMIFS(Mau15a!$H$11:$H$310,Mau15a!$B$11:$B$310,B426)+SUMIFS(Mau15a!$I$11:$I$310,Mau15a!$B$11:$B$310,B426)+SUMIFS(Mau15a!$J$11:$J$310,Mau15a!$B$11:$B$310,B426)-SUMIFS(Mau15a!$G$11:$G$310,Mau15a!$B$11:$B$310,B426))</f>
        <v/>
      </c>
      <c r="J426" s="39" t="str">
        <f t="shared" si="32"/>
        <v/>
      </c>
      <c r="K426" s="39" t="str">
        <f>IF(B426="","",(SUMIFS(Mau15a!$K$11:$K$310,Mau15a!$B$11:$B$310,B426)-SUMIFS(Mau15a!$E$11:$E$310,Mau15a!$B$11:$B$310,B426))*G426)</f>
        <v/>
      </c>
      <c r="L426" s="36" t="str">
        <f t="shared" si="33"/>
        <v/>
      </c>
      <c r="M426" s="36" t="str">
        <f>IF(B426="","",BOM!G426&amp;"")</f>
        <v/>
      </c>
      <c r="N426" s="36" t="str">
        <f t="shared" si="34"/>
        <v/>
      </c>
    </row>
    <row r="427" spans="1:14" x14ac:dyDescent="0.25">
      <c r="A427" s="35" t="str">
        <f t="shared" si="30"/>
        <v/>
      </c>
      <c r="B427" s="35" t="str">
        <f>IF(BOM!A427="","",BOM!A427)</f>
        <v/>
      </c>
      <c r="C427" s="35" t="str">
        <f>IF(B427="","",BOM!B427)</f>
        <v/>
      </c>
      <c r="D427" s="35" t="str">
        <f>IF(B427="","",IFERROR(INDEX(DM_NL!$B$5:$B$304,MATCH(C427,DM_NL!$A$5:$A$304,0)),""))</f>
        <v/>
      </c>
      <c r="E427" s="35" t="str">
        <f>IF(B427="","",IFERROR(INDEX(DM_NL!$C$5:$C$304,MATCH(C427,DM_NL!$A$5:$A$304,0)),""))</f>
        <v/>
      </c>
      <c r="F427" s="39" t="str">
        <f>IF(B427="","",SUMIFS(Mau15a!$F$11:$F$310,Mau15a!$B$11:$B$310,B427))</f>
        <v/>
      </c>
      <c r="G427" s="39" t="str">
        <f>IF(B427="","",IF(OR(M427="KXDDM",BOM!F427=""),0,BOM!F427))</f>
        <v/>
      </c>
      <c r="H427" s="39" t="str">
        <f t="shared" si="31"/>
        <v/>
      </c>
      <c r="I427" s="39" t="str">
        <f>IF(B427="","",SUMIFS(Mau15a!$H$11:$H$310,Mau15a!$B$11:$B$310,B427)+SUMIFS(Mau15a!$I$11:$I$310,Mau15a!$B$11:$B$310,B427)+SUMIFS(Mau15a!$J$11:$J$310,Mau15a!$B$11:$B$310,B427)-SUMIFS(Mau15a!$G$11:$G$310,Mau15a!$B$11:$B$310,B427))</f>
        <v/>
      </c>
      <c r="J427" s="39" t="str">
        <f t="shared" si="32"/>
        <v/>
      </c>
      <c r="K427" s="39" t="str">
        <f>IF(B427="","",(SUMIFS(Mau15a!$K$11:$K$310,Mau15a!$B$11:$B$310,B427)-SUMIFS(Mau15a!$E$11:$E$310,Mau15a!$B$11:$B$310,B427))*G427)</f>
        <v/>
      </c>
      <c r="L427" s="36" t="str">
        <f t="shared" si="33"/>
        <v/>
      </c>
      <c r="M427" s="36" t="str">
        <f>IF(B427="","",BOM!G427&amp;"")</f>
        <v/>
      </c>
      <c r="N427" s="36" t="str">
        <f t="shared" si="34"/>
        <v/>
      </c>
    </row>
    <row r="428" spans="1:14" x14ac:dyDescent="0.25">
      <c r="A428" s="35" t="str">
        <f t="shared" si="30"/>
        <v/>
      </c>
      <c r="B428" s="35" t="str">
        <f>IF(BOM!A428="","",BOM!A428)</f>
        <v/>
      </c>
      <c r="C428" s="35" t="str">
        <f>IF(B428="","",BOM!B428)</f>
        <v/>
      </c>
      <c r="D428" s="35" t="str">
        <f>IF(B428="","",IFERROR(INDEX(DM_NL!$B$5:$B$304,MATCH(C428,DM_NL!$A$5:$A$304,0)),""))</f>
        <v/>
      </c>
      <c r="E428" s="35" t="str">
        <f>IF(B428="","",IFERROR(INDEX(DM_NL!$C$5:$C$304,MATCH(C428,DM_NL!$A$5:$A$304,0)),""))</f>
        <v/>
      </c>
      <c r="F428" s="39" t="str">
        <f>IF(B428="","",SUMIFS(Mau15a!$F$11:$F$310,Mau15a!$B$11:$B$310,B428))</f>
        <v/>
      </c>
      <c r="G428" s="39" t="str">
        <f>IF(B428="","",IF(OR(M428="KXDDM",BOM!F428=""),0,BOM!F428))</f>
        <v/>
      </c>
      <c r="H428" s="39" t="str">
        <f t="shared" si="31"/>
        <v/>
      </c>
      <c r="I428" s="39" t="str">
        <f>IF(B428="","",SUMIFS(Mau15a!$H$11:$H$310,Mau15a!$B$11:$B$310,B428)+SUMIFS(Mau15a!$I$11:$I$310,Mau15a!$B$11:$B$310,B428)+SUMIFS(Mau15a!$J$11:$J$310,Mau15a!$B$11:$B$310,B428)-SUMIFS(Mau15a!$G$11:$G$310,Mau15a!$B$11:$B$310,B428))</f>
        <v/>
      </c>
      <c r="J428" s="39" t="str">
        <f t="shared" si="32"/>
        <v/>
      </c>
      <c r="K428" s="39" t="str">
        <f>IF(B428="","",(SUMIFS(Mau15a!$K$11:$K$310,Mau15a!$B$11:$B$310,B428)-SUMIFS(Mau15a!$E$11:$E$310,Mau15a!$B$11:$B$310,B428))*G428)</f>
        <v/>
      </c>
      <c r="L428" s="36" t="str">
        <f t="shared" si="33"/>
        <v/>
      </c>
      <c r="M428" s="36" t="str">
        <f>IF(B428="","",BOM!G428&amp;"")</f>
        <v/>
      </c>
      <c r="N428" s="36" t="str">
        <f t="shared" si="34"/>
        <v/>
      </c>
    </row>
    <row r="429" spans="1:14" x14ac:dyDescent="0.25">
      <c r="A429" s="35" t="str">
        <f t="shared" si="30"/>
        <v/>
      </c>
      <c r="B429" s="35" t="str">
        <f>IF(BOM!A429="","",BOM!A429)</f>
        <v/>
      </c>
      <c r="C429" s="35" t="str">
        <f>IF(B429="","",BOM!B429)</f>
        <v/>
      </c>
      <c r="D429" s="35" t="str">
        <f>IF(B429="","",IFERROR(INDEX(DM_NL!$B$5:$B$304,MATCH(C429,DM_NL!$A$5:$A$304,0)),""))</f>
        <v/>
      </c>
      <c r="E429" s="35" t="str">
        <f>IF(B429="","",IFERROR(INDEX(DM_NL!$C$5:$C$304,MATCH(C429,DM_NL!$A$5:$A$304,0)),""))</f>
        <v/>
      </c>
      <c r="F429" s="39" t="str">
        <f>IF(B429="","",SUMIFS(Mau15a!$F$11:$F$310,Mau15a!$B$11:$B$310,B429))</f>
        <v/>
      </c>
      <c r="G429" s="39" t="str">
        <f>IF(B429="","",IF(OR(M429="KXDDM",BOM!F429=""),0,BOM!F429))</f>
        <v/>
      </c>
      <c r="H429" s="39" t="str">
        <f t="shared" si="31"/>
        <v/>
      </c>
      <c r="I429" s="39" t="str">
        <f>IF(B429="","",SUMIFS(Mau15a!$H$11:$H$310,Mau15a!$B$11:$B$310,B429)+SUMIFS(Mau15a!$I$11:$I$310,Mau15a!$B$11:$B$310,B429)+SUMIFS(Mau15a!$J$11:$J$310,Mau15a!$B$11:$B$310,B429)-SUMIFS(Mau15a!$G$11:$G$310,Mau15a!$B$11:$B$310,B429))</f>
        <v/>
      </c>
      <c r="J429" s="39" t="str">
        <f t="shared" si="32"/>
        <v/>
      </c>
      <c r="K429" s="39" t="str">
        <f>IF(B429="","",(SUMIFS(Mau15a!$K$11:$K$310,Mau15a!$B$11:$B$310,B429)-SUMIFS(Mau15a!$E$11:$E$310,Mau15a!$B$11:$B$310,B429))*G429)</f>
        <v/>
      </c>
      <c r="L429" s="36" t="str">
        <f t="shared" si="33"/>
        <v/>
      </c>
      <c r="M429" s="36" t="str">
        <f>IF(B429="","",BOM!G429&amp;"")</f>
        <v/>
      </c>
      <c r="N429" s="36" t="str">
        <f t="shared" si="34"/>
        <v/>
      </c>
    </row>
    <row r="430" spans="1:14" x14ac:dyDescent="0.25">
      <c r="A430" s="35" t="str">
        <f t="shared" si="30"/>
        <v/>
      </c>
      <c r="B430" s="35" t="str">
        <f>IF(BOM!A430="","",BOM!A430)</f>
        <v/>
      </c>
      <c r="C430" s="35" t="str">
        <f>IF(B430="","",BOM!B430)</f>
        <v/>
      </c>
      <c r="D430" s="35" t="str">
        <f>IF(B430="","",IFERROR(INDEX(DM_NL!$B$5:$B$304,MATCH(C430,DM_NL!$A$5:$A$304,0)),""))</f>
        <v/>
      </c>
      <c r="E430" s="35" t="str">
        <f>IF(B430="","",IFERROR(INDEX(DM_NL!$C$5:$C$304,MATCH(C430,DM_NL!$A$5:$A$304,0)),""))</f>
        <v/>
      </c>
      <c r="F430" s="39" t="str">
        <f>IF(B430="","",SUMIFS(Mau15a!$F$11:$F$310,Mau15a!$B$11:$B$310,B430))</f>
        <v/>
      </c>
      <c r="G430" s="39" t="str">
        <f>IF(B430="","",IF(OR(M430="KXDDM",BOM!F430=""),0,BOM!F430))</f>
        <v/>
      </c>
      <c r="H430" s="39" t="str">
        <f t="shared" si="31"/>
        <v/>
      </c>
      <c r="I430" s="39" t="str">
        <f>IF(B430="","",SUMIFS(Mau15a!$H$11:$H$310,Mau15a!$B$11:$B$310,B430)+SUMIFS(Mau15a!$I$11:$I$310,Mau15a!$B$11:$B$310,B430)+SUMIFS(Mau15a!$J$11:$J$310,Mau15a!$B$11:$B$310,B430)-SUMIFS(Mau15a!$G$11:$G$310,Mau15a!$B$11:$B$310,B430))</f>
        <v/>
      </c>
      <c r="J430" s="39" t="str">
        <f t="shared" si="32"/>
        <v/>
      </c>
      <c r="K430" s="39" t="str">
        <f>IF(B430="","",(SUMIFS(Mau15a!$K$11:$K$310,Mau15a!$B$11:$B$310,B430)-SUMIFS(Mau15a!$E$11:$E$310,Mau15a!$B$11:$B$310,B430))*G430)</f>
        <v/>
      </c>
      <c r="L430" s="36" t="str">
        <f t="shared" si="33"/>
        <v/>
      </c>
      <c r="M430" s="36" t="str">
        <f>IF(B430="","",BOM!G430&amp;"")</f>
        <v/>
      </c>
      <c r="N430" s="36" t="str">
        <f t="shared" si="34"/>
        <v/>
      </c>
    </row>
    <row r="431" spans="1:14" x14ac:dyDescent="0.25">
      <c r="A431" s="35" t="str">
        <f t="shared" si="30"/>
        <v/>
      </c>
      <c r="B431" s="35" t="str">
        <f>IF(BOM!A431="","",BOM!A431)</f>
        <v/>
      </c>
      <c r="C431" s="35" t="str">
        <f>IF(B431="","",BOM!B431)</f>
        <v/>
      </c>
      <c r="D431" s="35" t="str">
        <f>IF(B431="","",IFERROR(INDEX(DM_NL!$B$5:$B$304,MATCH(C431,DM_NL!$A$5:$A$304,0)),""))</f>
        <v/>
      </c>
      <c r="E431" s="35" t="str">
        <f>IF(B431="","",IFERROR(INDEX(DM_NL!$C$5:$C$304,MATCH(C431,DM_NL!$A$5:$A$304,0)),""))</f>
        <v/>
      </c>
      <c r="F431" s="39" t="str">
        <f>IF(B431="","",SUMIFS(Mau15a!$F$11:$F$310,Mau15a!$B$11:$B$310,B431))</f>
        <v/>
      </c>
      <c r="G431" s="39" t="str">
        <f>IF(B431="","",IF(OR(M431="KXDDM",BOM!F431=""),0,BOM!F431))</f>
        <v/>
      </c>
      <c r="H431" s="39" t="str">
        <f t="shared" si="31"/>
        <v/>
      </c>
      <c r="I431" s="39" t="str">
        <f>IF(B431="","",SUMIFS(Mau15a!$H$11:$H$310,Mau15a!$B$11:$B$310,B431)+SUMIFS(Mau15a!$I$11:$I$310,Mau15a!$B$11:$B$310,B431)+SUMIFS(Mau15a!$J$11:$J$310,Mau15a!$B$11:$B$310,B431)-SUMIFS(Mau15a!$G$11:$G$310,Mau15a!$B$11:$B$310,B431))</f>
        <v/>
      </c>
      <c r="J431" s="39" t="str">
        <f t="shared" si="32"/>
        <v/>
      </c>
      <c r="K431" s="39" t="str">
        <f>IF(B431="","",(SUMIFS(Mau15a!$K$11:$K$310,Mau15a!$B$11:$B$310,B431)-SUMIFS(Mau15a!$E$11:$E$310,Mau15a!$B$11:$B$310,B431))*G431)</f>
        <v/>
      </c>
      <c r="L431" s="36" t="str">
        <f t="shared" si="33"/>
        <v/>
      </c>
      <c r="M431" s="36" t="str">
        <f>IF(B431="","",BOM!G431&amp;"")</f>
        <v/>
      </c>
      <c r="N431" s="36" t="str">
        <f t="shared" si="34"/>
        <v/>
      </c>
    </row>
    <row r="432" spans="1:14" x14ac:dyDescent="0.25">
      <c r="A432" s="35" t="str">
        <f t="shared" si="30"/>
        <v/>
      </c>
      <c r="B432" s="35" t="str">
        <f>IF(BOM!A432="","",BOM!A432)</f>
        <v/>
      </c>
      <c r="C432" s="35" t="str">
        <f>IF(B432="","",BOM!B432)</f>
        <v/>
      </c>
      <c r="D432" s="35" t="str">
        <f>IF(B432="","",IFERROR(INDEX(DM_NL!$B$5:$B$304,MATCH(C432,DM_NL!$A$5:$A$304,0)),""))</f>
        <v/>
      </c>
      <c r="E432" s="35" t="str">
        <f>IF(B432="","",IFERROR(INDEX(DM_NL!$C$5:$C$304,MATCH(C432,DM_NL!$A$5:$A$304,0)),""))</f>
        <v/>
      </c>
      <c r="F432" s="39" t="str">
        <f>IF(B432="","",SUMIFS(Mau15a!$F$11:$F$310,Mau15a!$B$11:$B$310,B432))</f>
        <v/>
      </c>
      <c r="G432" s="39" t="str">
        <f>IF(B432="","",IF(OR(M432="KXDDM",BOM!F432=""),0,BOM!F432))</f>
        <v/>
      </c>
      <c r="H432" s="39" t="str">
        <f t="shared" si="31"/>
        <v/>
      </c>
      <c r="I432" s="39" t="str">
        <f>IF(B432="","",SUMIFS(Mau15a!$H$11:$H$310,Mau15a!$B$11:$B$310,B432)+SUMIFS(Mau15a!$I$11:$I$310,Mau15a!$B$11:$B$310,B432)+SUMIFS(Mau15a!$J$11:$J$310,Mau15a!$B$11:$B$310,B432)-SUMIFS(Mau15a!$G$11:$G$310,Mau15a!$B$11:$B$310,B432))</f>
        <v/>
      </c>
      <c r="J432" s="39" t="str">
        <f t="shared" si="32"/>
        <v/>
      </c>
      <c r="K432" s="39" t="str">
        <f>IF(B432="","",(SUMIFS(Mau15a!$K$11:$K$310,Mau15a!$B$11:$B$310,B432)-SUMIFS(Mau15a!$E$11:$E$310,Mau15a!$B$11:$B$310,B432))*G432)</f>
        <v/>
      </c>
      <c r="L432" s="36" t="str">
        <f t="shared" si="33"/>
        <v/>
      </c>
      <c r="M432" s="36" t="str">
        <f>IF(B432="","",BOM!G432&amp;"")</f>
        <v/>
      </c>
      <c r="N432" s="36" t="str">
        <f t="shared" si="34"/>
        <v/>
      </c>
    </row>
    <row r="433" spans="1:14" x14ac:dyDescent="0.25">
      <c r="A433" s="35" t="str">
        <f t="shared" si="30"/>
        <v/>
      </c>
      <c r="B433" s="35" t="str">
        <f>IF(BOM!A433="","",BOM!A433)</f>
        <v/>
      </c>
      <c r="C433" s="35" t="str">
        <f>IF(B433="","",BOM!B433)</f>
        <v/>
      </c>
      <c r="D433" s="35" t="str">
        <f>IF(B433="","",IFERROR(INDEX(DM_NL!$B$5:$B$304,MATCH(C433,DM_NL!$A$5:$A$304,0)),""))</f>
        <v/>
      </c>
      <c r="E433" s="35" t="str">
        <f>IF(B433="","",IFERROR(INDEX(DM_NL!$C$5:$C$304,MATCH(C433,DM_NL!$A$5:$A$304,0)),""))</f>
        <v/>
      </c>
      <c r="F433" s="39" t="str">
        <f>IF(B433="","",SUMIFS(Mau15a!$F$11:$F$310,Mau15a!$B$11:$B$310,B433))</f>
        <v/>
      </c>
      <c r="G433" s="39" t="str">
        <f>IF(B433="","",IF(OR(M433="KXDDM",BOM!F433=""),0,BOM!F433))</f>
        <v/>
      </c>
      <c r="H433" s="39" t="str">
        <f t="shared" si="31"/>
        <v/>
      </c>
      <c r="I433" s="39" t="str">
        <f>IF(B433="","",SUMIFS(Mau15a!$H$11:$H$310,Mau15a!$B$11:$B$310,B433)+SUMIFS(Mau15a!$I$11:$I$310,Mau15a!$B$11:$B$310,B433)+SUMIFS(Mau15a!$J$11:$J$310,Mau15a!$B$11:$B$310,B433)-SUMIFS(Mau15a!$G$11:$G$310,Mau15a!$B$11:$B$310,B433))</f>
        <v/>
      </c>
      <c r="J433" s="39" t="str">
        <f t="shared" si="32"/>
        <v/>
      </c>
      <c r="K433" s="39" t="str">
        <f>IF(B433="","",(SUMIFS(Mau15a!$K$11:$K$310,Mau15a!$B$11:$B$310,B433)-SUMIFS(Mau15a!$E$11:$E$310,Mau15a!$B$11:$B$310,B433))*G433)</f>
        <v/>
      </c>
      <c r="L433" s="36" t="str">
        <f t="shared" si="33"/>
        <v/>
      </c>
      <c r="M433" s="36" t="str">
        <f>IF(B433="","",BOM!G433&amp;"")</f>
        <v/>
      </c>
      <c r="N433" s="36" t="str">
        <f t="shared" si="34"/>
        <v/>
      </c>
    </row>
    <row r="434" spans="1:14" x14ac:dyDescent="0.25">
      <c r="A434" s="35" t="str">
        <f t="shared" si="30"/>
        <v/>
      </c>
      <c r="B434" s="35" t="str">
        <f>IF(BOM!A434="","",BOM!A434)</f>
        <v/>
      </c>
      <c r="C434" s="35" t="str">
        <f>IF(B434="","",BOM!B434)</f>
        <v/>
      </c>
      <c r="D434" s="35" t="str">
        <f>IF(B434="","",IFERROR(INDEX(DM_NL!$B$5:$B$304,MATCH(C434,DM_NL!$A$5:$A$304,0)),""))</f>
        <v/>
      </c>
      <c r="E434" s="35" t="str">
        <f>IF(B434="","",IFERROR(INDEX(DM_NL!$C$5:$C$304,MATCH(C434,DM_NL!$A$5:$A$304,0)),""))</f>
        <v/>
      </c>
      <c r="F434" s="39" t="str">
        <f>IF(B434="","",SUMIFS(Mau15a!$F$11:$F$310,Mau15a!$B$11:$B$310,B434))</f>
        <v/>
      </c>
      <c r="G434" s="39" t="str">
        <f>IF(B434="","",IF(OR(M434="KXDDM",BOM!F434=""),0,BOM!F434))</f>
        <v/>
      </c>
      <c r="H434" s="39" t="str">
        <f t="shared" si="31"/>
        <v/>
      </c>
      <c r="I434" s="39" t="str">
        <f>IF(B434="","",SUMIFS(Mau15a!$H$11:$H$310,Mau15a!$B$11:$B$310,B434)+SUMIFS(Mau15a!$I$11:$I$310,Mau15a!$B$11:$B$310,B434)+SUMIFS(Mau15a!$J$11:$J$310,Mau15a!$B$11:$B$310,B434)-SUMIFS(Mau15a!$G$11:$G$310,Mau15a!$B$11:$B$310,B434))</f>
        <v/>
      </c>
      <c r="J434" s="39" t="str">
        <f t="shared" si="32"/>
        <v/>
      </c>
      <c r="K434" s="39" t="str">
        <f>IF(B434="","",(SUMIFS(Mau15a!$K$11:$K$310,Mau15a!$B$11:$B$310,B434)-SUMIFS(Mau15a!$E$11:$E$310,Mau15a!$B$11:$B$310,B434))*G434)</f>
        <v/>
      </c>
      <c r="L434" s="36" t="str">
        <f t="shared" si="33"/>
        <v/>
      </c>
      <c r="M434" s="36" t="str">
        <f>IF(B434="","",BOM!G434&amp;"")</f>
        <v/>
      </c>
      <c r="N434" s="36" t="str">
        <f t="shared" si="34"/>
        <v/>
      </c>
    </row>
    <row r="435" spans="1:14" x14ac:dyDescent="0.25">
      <c r="A435" s="35" t="str">
        <f t="shared" si="30"/>
        <v/>
      </c>
      <c r="B435" s="35" t="str">
        <f>IF(BOM!A435="","",BOM!A435)</f>
        <v/>
      </c>
      <c r="C435" s="35" t="str">
        <f>IF(B435="","",BOM!B435)</f>
        <v/>
      </c>
      <c r="D435" s="35" t="str">
        <f>IF(B435="","",IFERROR(INDEX(DM_NL!$B$5:$B$304,MATCH(C435,DM_NL!$A$5:$A$304,0)),""))</f>
        <v/>
      </c>
      <c r="E435" s="35" t="str">
        <f>IF(B435="","",IFERROR(INDEX(DM_NL!$C$5:$C$304,MATCH(C435,DM_NL!$A$5:$A$304,0)),""))</f>
        <v/>
      </c>
      <c r="F435" s="39" t="str">
        <f>IF(B435="","",SUMIFS(Mau15a!$F$11:$F$310,Mau15a!$B$11:$B$310,B435))</f>
        <v/>
      </c>
      <c r="G435" s="39" t="str">
        <f>IF(B435="","",IF(OR(M435="KXDDM",BOM!F435=""),0,BOM!F435))</f>
        <v/>
      </c>
      <c r="H435" s="39" t="str">
        <f t="shared" si="31"/>
        <v/>
      </c>
      <c r="I435" s="39" t="str">
        <f>IF(B435="","",SUMIFS(Mau15a!$H$11:$H$310,Mau15a!$B$11:$B$310,B435)+SUMIFS(Mau15a!$I$11:$I$310,Mau15a!$B$11:$B$310,B435)+SUMIFS(Mau15a!$J$11:$J$310,Mau15a!$B$11:$B$310,B435)-SUMIFS(Mau15a!$G$11:$G$310,Mau15a!$B$11:$B$310,B435))</f>
        <v/>
      </c>
      <c r="J435" s="39" t="str">
        <f t="shared" si="32"/>
        <v/>
      </c>
      <c r="K435" s="39" t="str">
        <f>IF(B435="","",(SUMIFS(Mau15a!$K$11:$K$310,Mau15a!$B$11:$B$310,B435)-SUMIFS(Mau15a!$E$11:$E$310,Mau15a!$B$11:$B$310,B435))*G435)</f>
        <v/>
      </c>
      <c r="L435" s="36" t="str">
        <f t="shared" si="33"/>
        <v/>
      </c>
      <c r="M435" s="36" t="str">
        <f>IF(B435="","",BOM!G435&amp;"")</f>
        <v/>
      </c>
      <c r="N435" s="36" t="str">
        <f t="shared" si="34"/>
        <v/>
      </c>
    </row>
    <row r="436" spans="1:14" x14ac:dyDescent="0.25">
      <c r="A436" s="35" t="str">
        <f t="shared" si="30"/>
        <v/>
      </c>
      <c r="B436" s="35" t="str">
        <f>IF(BOM!A436="","",BOM!A436)</f>
        <v/>
      </c>
      <c r="C436" s="35" t="str">
        <f>IF(B436="","",BOM!B436)</f>
        <v/>
      </c>
      <c r="D436" s="35" t="str">
        <f>IF(B436="","",IFERROR(INDEX(DM_NL!$B$5:$B$304,MATCH(C436,DM_NL!$A$5:$A$304,0)),""))</f>
        <v/>
      </c>
      <c r="E436" s="35" t="str">
        <f>IF(B436="","",IFERROR(INDEX(DM_NL!$C$5:$C$304,MATCH(C436,DM_NL!$A$5:$A$304,0)),""))</f>
        <v/>
      </c>
      <c r="F436" s="39" t="str">
        <f>IF(B436="","",SUMIFS(Mau15a!$F$11:$F$310,Mau15a!$B$11:$B$310,B436))</f>
        <v/>
      </c>
      <c r="G436" s="39" t="str">
        <f>IF(B436="","",IF(OR(M436="KXDDM",BOM!F436=""),0,BOM!F436))</f>
        <v/>
      </c>
      <c r="H436" s="39" t="str">
        <f t="shared" si="31"/>
        <v/>
      </c>
      <c r="I436" s="39" t="str">
        <f>IF(B436="","",SUMIFS(Mau15a!$H$11:$H$310,Mau15a!$B$11:$B$310,B436)+SUMIFS(Mau15a!$I$11:$I$310,Mau15a!$B$11:$B$310,B436)+SUMIFS(Mau15a!$J$11:$J$310,Mau15a!$B$11:$B$310,B436)-SUMIFS(Mau15a!$G$11:$G$310,Mau15a!$B$11:$B$310,B436))</f>
        <v/>
      </c>
      <c r="J436" s="39" t="str">
        <f t="shared" si="32"/>
        <v/>
      </c>
      <c r="K436" s="39" t="str">
        <f>IF(B436="","",(SUMIFS(Mau15a!$K$11:$K$310,Mau15a!$B$11:$B$310,B436)-SUMIFS(Mau15a!$E$11:$E$310,Mau15a!$B$11:$B$310,B436))*G436)</f>
        <v/>
      </c>
      <c r="L436" s="36" t="str">
        <f t="shared" si="33"/>
        <v/>
      </c>
      <c r="M436" s="36" t="str">
        <f>IF(B436="","",BOM!G436&amp;"")</f>
        <v/>
      </c>
      <c r="N436" s="36" t="str">
        <f t="shared" si="34"/>
        <v/>
      </c>
    </row>
    <row r="437" spans="1:14" x14ac:dyDescent="0.25">
      <c r="A437" s="35" t="str">
        <f t="shared" si="30"/>
        <v/>
      </c>
      <c r="B437" s="35" t="str">
        <f>IF(BOM!A437="","",BOM!A437)</f>
        <v/>
      </c>
      <c r="C437" s="35" t="str">
        <f>IF(B437="","",BOM!B437)</f>
        <v/>
      </c>
      <c r="D437" s="35" t="str">
        <f>IF(B437="","",IFERROR(INDEX(DM_NL!$B$5:$B$304,MATCH(C437,DM_NL!$A$5:$A$304,0)),""))</f>
        <v/>
      </c>
      <c r="E437" s="35" t="str">
        <f>IF(B437="","",IFERROR(INDEX(DM_NL!$C$5:$C$304,MATCH(C437,DM_NL!$A$5:$A$304,0)),""))</f>
        <v/>
      </c>
      <c r="F437" s="39" t="str">
        <f>IF(B437="","",SUMIFS(Mau15a!$F$11:$F$310,Mau15a!$B$11:$B$310,B437))</f>
        <v/>
      </c>
      <c r="G437" s="39" t="str">
        <f>IF(B437="","",IF(OR(M437="KXDDM",BOM!F437=""),0,BOM!F437))</f>
        <v/>
      </c>
      <c r="H437" s="39" t="str">
        <f t="shared" si="31"/>
        <v/>
      </c>
      <c r="I437" s="39" t="str">
        <f>IF(B437="","",SUMIFS(Mau15a!$H$11:$H$310,Mau15a!$B$11:$B$310,B437)+SUMIFS(Mau15a!$I$11:$I$310,Mau15a!$B$11:$B$310,B437)+SUMIFS(Mau15a!$J$11:$J$310,Mau15a!$B$11:$B$310,B437)-SUMIFS(Mau15a!$G$11:$G$310,Mau15a!$B$11:$B$310,B437))</f>
        <v/>
      </c>
      <c r="J437" s="39" t="str">
        <f t="shared" si="32"/>
        <v/>
      </c>
      <c r="K437" s="39" t="str">
        <f>IF(B437="","",(SUMIFS(Mau15a!$K$11:$K$310,Mau15a!$B$11:$B$310,B437)-SUMIFS(Mau15a!$E$11:$E$310,Mau15a!$B$11:$B$310,B437))*G437)</f>
        <v/>
      </c>
      <c r="L437" s="36" t="str">
        <f t="shared" si="33"/>
        <v/>
      </c>
      <c r="M437" s="36" t="str">
        <f>IF(B437="","",BOM!G437&amp;"")</f>
        <v/>
      </c>
      <c r="N437" s="36" t="str">
        <f t="shared" si="34"/>
        <v/>
      </c>
    </row>
    <row r="438" spans="1:14" x14ac:dyDescent="0.25">
      <c r="A438" s="35" t="str">
        <f t="shared" si="30"/>
        <v/>
      </c>
      <c r="B438" s="35" t="str">
        <f>IF(BOM!A438="","",BOM!A438)</f>
        <v/>
      </c>
      <c r="C438" s="35" t="str">
        <f>IF(B438="","",BOM!B438)</f>
        <v/>
      </c>
      <c r="D438" s="35" t="str">
        <f>IF(B438="","",IFERROR(INDEX(DM_NL!$B$5:$B$304,MATCH(C438,DM_NL!$A$5:$A$304,0)),""))</f>
        <v/>
      </c>
      <c r="E438" s="35" t="str">
        <f>IF(B438="","",IFERROR(INDEX(DM_NL!$C$5:$C$304,MATCH(C438,DM_NL!$A$5:$A$304,0)),""))</f>
        <v/>
      </c>
      <c r="F438" s="39" t="str">
        <f>IF(B438="","",SUMIFS(Mau15a!$F$11:$F$310,Mau15a!$B$11:$B$310,B438))</f>
        <v/>
      </c>
      <c r="G438" s="39" t="str">
        <f>IF(B438="","",IF(OR(M438="KXDDM",BOM!F438=""),0,BOM!F438))</f>
        <v/>
      </c>
      <c r="H438" s="39" t="str">
        <f t="shared" si="31"/>
        <v/>
      </c>
      <c r="I438" s="39" t="str">
        <f>IF(B438="","",SUMIFS(Mau15a!$H$11:$H$310,Mau15a!$B$11:$B$310,B438)+SUMIFS(Mau15a!$I$11:$I$310,Mau15a!$B$11:$B$310,B438)+SUMIFS(Mau15a!$J$11:$J$310,Mau15a!$B$11:$B$310,B438)-SUMIFS(Mau15a!$G$11:$G$310,Mau15a!$B$11:$B$310,B438))</f>
        <v/>
      </c>
      <c r="J438" s="39" t="str">
        <f t="shared" si="32"/>
        <v/>
      </c>
      <c r="K438" s="39" t="str">
        <f>IF(B438="","",(SUMIFS(Mau15a!$K$11:$K$310,Mau15a!$B$11:$B$310,B438)-SUMIFS(Mau15a!$E$11:$E$310,Mau15a!$B$11:$B$310,B438))*G438)</f>
        <v/>
      </c>
      <c r="L438" s="36" t="str">
        <f t="shared" si="33"/>
        <v/>
      </c>
      <c r="M438" s="36" t="str">
        <f>IF(B438="","",BOM!G438&amp;"")</f>
        <v/>
      </c>
      <c r="N438" s="36" t="str">
        <f t="shared" si="34"/>
        <v/>
      </c>
    </row>
    <row r="439" spans="1:14" x14ac:dyDescent="0.25">
      <c r="A439" s="35" t="str">
        <f t="shared" si="30"/>
        <v/>
      </c>
      <c r="B439" s="35" t="str">
        <f>IF(BOM!A439="","",BOM!A439)</f>
        <v/>
      </c>
      <c r="C439" s="35" t="str">
        <f>IF(B439="","",BOM!B439)</f>
        <v/>
      </c>
      <c r="D439" s="35" t="str">
        <f>IF(B439="","",IFERROR(INDEX(DM_NL!$B$5:$B$304,MATCH(C439,DM_NL!$A$5:$A$304,0)),""))</f>
        <v/>
      </c>
      <c r="E439" s="35" t="str">
        <f>IF(B439="","",IFERROR(INDEX(DM_NL!$C$5:$C$304,MATCH(C439,DM_NL!$A$5:$A$304,0)),""))</f>
        <v/>
      </c>
      <c r="F439" s="39" t="str">
        <f>IF(B439="","",SUMIFS(Mau15a!$F$11:$F$310,Mau15a!$B$11:$B$310,B439))</f>
        <v/>
      </c>
      <c r="G439" s="39" t="str">
        <f>IF(B439="","",IF(OR(M439="KXDDM",BOM!F439=""),0,BOM!F439))</f>
        <v/>
      </c>
      <c r="H439" s="39" t="str">
        <f t="shared" si="31"/>
        <v/>
      </c>
      <c r="I439" s="39" t="str">
        <f>IF(B439="","",SUMIFS(Mau15a!$H$11:$H$310,Mau15a!$B$11:$B$310,B439)+SUMIFS(Mau15a!$I$11:$I$310,Mau15a!$B$11:$B$310,B439)+SUMIFS(Mau15a!$J$11:$J$310,Mau15a!$B$11:$B$310,B439)-SUMIFS(Mau15a!$G$11:$G$310,Mau15a!$B$11:$B$310,B439))</f>
        <v/>
      </c>
      <c r="J439" s="39" t="str">
        <f t="shared" si="32"/>
        <v/>
      </c>
      <c r="K439" s="39" t="str">
        <f>IF(B439="","",(SUMIFS(Mau15a!$K$11:$K$310,Mau15a!$B$11:$B$310,B439)-SUMIFS(Mau15a!$E$11:$E$310,Mau15a!$B$11:$B$310,B439))*G439)</f>
        <v/>
      </c>
      <c r="L439" s="36" t="str">
        <f t="shared" si="33"/>
        <v/>
      </c>
      <c r="M439" s="36" t="str">
        <f>IF(B439="","",BOM!G439&amp;"")</f>
        <v/>
      </c>
      <c r="N439" s="36" t="str">
        <f t="shared" si="34"/>
        <v/>
      </c>
    </row>
    <row r="440" spans="1:14" x14ac:dyDescent="0.25">
      <c r="A440" s="35" t="str">
        <f t="shared" si="30"/>
        <v/>
      </c>
      <c r="B440" s="35" t="str">
        <f>IF(BOM!A440="","",BOM!A440)</f>
        <v/>
      </c>
      <c r="C440" s="35" t="str">
        <f>IF(B440="","",BOM!B440)</f>
        <v/>
      </c>
      <c r="D440" s="35" t="str">
        <f>IF(B440="","",IFERROR(INDEX(DM_NL!$B$5:$B$304,MATCH(C440,DM_NL!$A$5:$A$304,0)),""))</f>
        <v/>
      </c>
      <c r="E440" s="35" t="str">
        <f>IF(B440="","",IFERROR(INDEX(DM_NL!$C$5:$C$304,MATCH(C440,DM_NL!$A$5:$A$304,0)),""))</f>
        <v/>
      </c>
      <c r="F440" s="39" t="str">
        <f>IF(B440="","",SUMIFS(Mau15a!$F$11:$F$310,Mau15a!$B$11:$B$310,B440))</f>
        <v/>
      </c>
      <c r="G440" s="39" t="str">
        <f>IF(B440="","",IF(OR(M440="KXDDM",BOM!F440=""),0,BOM!F440))</f>
        <v/>
      </c>
      <c r="H440" s="39" t="str">
        <f t="shared" si="31"/>
        <v/>
      </c>
      <c r="I440" s="39" t="str">
        <f>IF(B440="","",SUMIFS(Mau15a!$H$11:$H$310,Mau15a!$B$11:$B$310,B440)+SUMIFS(Mau15a!$I$11:$I$310,Mau15a!$B$11:$B$310,B440)+SUMIFS(Mau15a!$J$11:$J$310,Mau15a!$B$11:$B$310,B440)-SUMIFS(Mau15a!$G$11:$G$310,Mau15a!$B$11:$B$310,B440))</f>
        <v/>
      </c>
      <c r="J440" s="39" t="str">
        <f t="shared" si="32"/>
        <v/>
      </c>
      <c r="K440" s="39" t="str">
        <f>IF(B440="","",(SUMIFS(Mau15a!$K$11:$K$310,Mau15a!$B$11:$B$310,B440)-SUMIFS(Mau15a!$E$11:$E$310,Mau15a!$B$11:$B$310,B440))*G440)</f>
        <v/>
      </c>
      <c r="L440" s="36" t="str">
        <f t="shared" si="33"/>
        <v/>
      </c>
      <c r="M440" s="36" t="str">
        <f>IF(B440="","",BOM!G440&amp;"")</f>
        <v/>
      </c>
      <c r="N440" s="36" t="str">
        <f t="shared" si="34"/>
        <v/>
      </c>
    </row>
    <row r="441" spans="1:14" x14ac:dyDescent="0.25">
      <c r="A441" s="35" t="str">
        <f t="shared" si="30"/>
        <v/>
      </c>
      <c r="B441" s="35" t="str">
        <f>IF(BOM!A441="","",BOM!A441)</f>
        <v/>
      </c>
      <c r="C441" s="35" t="str">
        <f>IF(B441="","",BOM!B441)</f>
        <v/>
      </c>
      <c r="D441" s="35" t="str">
        <f>IF(B441="","",IFERROR(INDEX(DM_NL!$B$5:$B$304,MATCH(C441,DM_NL!$A$5:$A$304,0)),""))</f>
        <v/>
      </c>
      <c r="E441" s="35" t="str">
        <f>IF(B441="","",IFERROR(INDEX(DM_NL!$C$5:$C$304,MATCH(C441,DM_NL!$A$5:$A$304,0)),""))</f>
        <v/>
      </c>
      <c r="F441" s="39" t="str">
        <f>IF(B441="","",SUMIFS(Mau15a!$F$11:$F$310,Mau15a!$B$11:$B$310,B441))</f>
        <v/>
      </c>
      <c r="G441" s="39" t="str">
        <f>IF(B441="","",IF(OR(M441="KXDDM",BOM!F441=""),0,BOM!F441))</f>
        <v/>
      </c>
      <c r="H441" s="39" t="str">
        <f t="shared" si="31"/>
        <v/>
      </c>
      <c r="I441" s="39" t="str">
        <f>IF(B441="","",SUMIFS(Mau15a!$H$11:$H$310,Mau15a!$B$11:$B$310,B441)+SUMIFS(Mau15a!$I$11:$I$310,Mau15a!$B$11:$B$310,B441)+SUMIFS(Mau15a!$J$11:$J$310,Mau15a!$B$11:$B$310,B441)-SUMIFS(Mau15a!$G$11:$G$310,Mau15a!$B$11:$B$310,B441))</f>
        <v/>
      </c>
      <c r="J441" s="39" t="str">
        <f t="shared" si="32"/>
        <v/>
      </c>
      <c r="K441" s="39" t="str">
        <f>IF(B441="","",(SUMIFS(Mau15a!$K$11:$K$310,Mau15a!$B$11:$B$310,B441)-SUMIFS(Mau15a!$E$11:$E$310,Mau15a!$B$11:$B$310,B441))*G441)</f>
        <v/>
      </c>
      <c r="L441" s="36" t="str">
        <f t="shared" si="33"/>
        <v/>
      </c>
      <c r="M441" s="36" t="str">
        <f>IF(B441="","",BOM!G441&amp;"")</f>
        <v/>
      </c>
      <c r="N441" s="36" t="str">
        <f t="shared" si="34"/>
        <v/>
      </c>
    </row>
    <row r="442" spans="1:14" x14ac:dyDescent="0.25">
      <c r="A442" s="35" t="str">
        <f t="shared" si="30"/>
        <v/>
      </c>
      <c r="B442" s="35" t="str">
        <f>IF(BOM!A442="","",BOM!A442)</f>
        <v/>
      </c>
      <c r="C442" s="35" t="str">
        <f>IF(B442="","",BOM!B442)</f>
        <v/>
      </c>
      <c r="D442" s="35" t="str">
        <f>IF(B442="","",IFERROR(INDEX(DM_NL!$B$5:$B$304,MATCH(C442,DM_NL!$A$5:$A$304,0)),""))</f>
        <v/>
      </c>
      <c r="E442" s="35" t="str">
        <f>IF(B442="","",IFERROR(INDEX(DM_NL!$C$5:$C$304,MATCH(C442,DM_NL!$A$5:$A$304,0)),""))</f>
        <v/>
      </c>
      <c r="F442" s="39" t="str">
        <f>IF(B442="","",SUMIFS(Mau15a!$F$11:$F$310,Mau15a!$B$11:$B$310,B442))</f>
        <v/>
      </c>
      <c r="G442" s="39" t="str">
        <f>IF(B442="","",IF(OR(M442="KXDDM",BOM!F442=""),0,BOM!F442))</f>
        <v/>
      </c>
      <c r="H442" s="39" t="str">
        <f t="shared" si="31"/>
        <v/>
      </c>
      <c r="I442" s="39" t="str">
        <f>IF(B442="","",SUMIFS(Mau15a!$H$11:$H$310,Mau15a!$B$11:$B$310,B442)+SUMIFS(Mau15a!$I$11:$I$310,Mau15a!$B$11:$B$310,B442)+SUMIFS(Mau15a!$J$11:$J$310,Mau15a!$B$11:$B$310,B442)-SUMIFS(Mau15a!$G$11:$G$310,Mau15a!$B$11:$B$310,B442))</f>
        <v/>
      </c>
      <c r="J442" s="39" t="str">
        <f t="shared" si="32"/>
        <v/>
      </c>
      <c r="K442" s="39" t="str">
        <f>IF(B442="","",(SUMIFS(Mau15a!$K$11:$K$310,Mau15a!$B$11:$B$310,B442)-SUMIFS(Mau15a!$E$11:$E$310,Mau15a!$B$11:$B$310,B442))*G442)</f>
        <v/>
      </c>
      <c r="L442" s="36" t="str">
        <f t="shared" si="33"/>
        <v/>
      </c>
      <c r="M442" s="36" t="str">
        <f>IF(B442="","",BOM!G442&amp;"")</f>
        <v/>
      </c>
      <c r="N442" s="36" t="str">
        <f t="shared" si="34"/>
        <v/>
      </c>
    </row>
    <row r="443" spans="1:14" x14ac:dyDescent="0.25">
      <c r="A443" s="35" t="str">
        <f t="shared" si="30"/>
        <v/>
      </c>
      <c r="B443" s="35" t="str">
        <f>IF(BOM!A443="","",BOM!A443)</f>
        <v/>
      </c>
      <c r="C443" s="35" t="str">
        <f>IF(B443="","",BOM!B443)</f>
        <v/>
      </c>
      <c r="D443" s="35" t="str">
        <f>IF(B443="","",IFERROR(INDEX(DM_NL!$B$5:$B$304,MATCH(C443,DM_NL!$A$5:$A$304,0)),""))</f>
        <v/>
      </c>
      <c r="E443" s="35" t="str">
        <f>IF(B443="","",IFERROR(INDEX(DM_NL!$C$5:$C$304,MATCH(C443,DM_NL!$A$5:$A$304,0)),""))</f>
        <v/>
      </c>
      <c r="F443" s="39" t="str">
        <f>IF(B443="","",SUMIFS(Mau15a!$F$11:$F$310,Mau15a!$B$11:$B$310,B443))</f>
        <v/>
      </c>
      <c r="G443" s="39" t="str">
        <f>IF(B443="","",IF(OR(M443="KXDDM",BOM!F443=""),0,BOM!F443))</f>
        <v/>
      </c>
      <c r="H443" s="39" t="str">
        <f t="shared" si="31"/>
        <v/>
      </c>
      <c r="I443" s="39" t="str">
        <f>IF(B443="","",SUMIFS(Mau15a!$H$11:$H$310,Mau15a!$B$11:$B$310,B443)+SUMIFS(Mau15a!$I$11:$I$310,Mau15a!$B$11:$B$310,B443)+SUMIFS(Mau15a!$J$11:$J$310,Mau15a!$B$11:$B$310,B443)-SUMIFS(Mau15a!$G$11:$G$310,Mau15a!$B$11:$B$310,B443))</f>
        <v/>
      </c>
      <c r="J443" s="39" t="str">
        <f t="shared" si="32"/>
        <v/>
      </c>
      <c r="K443" s="39" t="str">
        <f>IF(B443="","",(SUMIFS(Mau15a!$K$11:$K$310,Mau15a!$B$11:$B$310,B443)-SUMIFS(Mau15a!$E$11:$E$310,Mau15a!$B$11:$B$310,B443))*G443)</f>
        <v/>
      </c>
      <c r="L443" s="36" t="str">
        <f t="shared" si="33"/>
        <v/>
      </c>
      <c r="M443" s="36" t="str">
        <f>IF(B443="","",BOM!G443&amp;"")</f>
        <v/>
      </c>
      <c r="N443" s="36" t="str">
        <f t="shared" si="34"/>
        <v/>
      </c>
    </row>
    <row r="444" spans="1:14" x14ac:dyDescent="0.25">
      <c r="A444" s="35" t="str">
        <f t="shared" si="30"/>
        <v/>
      </c>
      <c r="B444" s="35" t="str">
        <f>IF(BOM!A444="","",BOM!A444)</f>
        <v/>
      </c>
      <c r="C444" s="35" t="str">
        <f>IF(B444="","",BOM!B444)</f>
        <v/>
      </c>
      <c r="D444" s="35" t="str">
        <f>IF(B444="","",IFERROR(INDEX(DM_NL!$B$5:$B$304,MATCH(C444,DM_NL!$A$5:$A$304,0)),""))</f>
        <v/>
      </c>
      <c r="E444" s="35" t="str">
        <f>IF(B444="","",IFERROR(INDEX(DM_NL!$C$5:$C$304,MATCH(C444,DM_NL!$A$5:$A$304,0)),""))</f>
        <v/>
      </c>
      <c r="F444" s="39" t="str">
        <f>IF(B444="","",SUMIFS(Mau15a!$F$11:$F$310,Mau15a!$B$11:$B$310,B444))</f>
        <v/>
      </c>
      <c r="G444" s="39" t="str">
        <f>IF(B444="","",IF(OR(M444="KXDDM",BOM!F444=""),0,BOM!F444))</f>
        <v/>
      </c>
      <c r="H444" s="39" t="str">
        <f t="shared" si="31"/>
        <v/>
      </c>
      <c r="I444" s="39" t="str">
        <f>IF(B444="","",SUMIFS(Mau15a!$H$11:$H$310,Mau15a!$B$11:$B$310,B444)+SUMIFS(Mau15a!$I$11:$I$310,Mau15a!$B$11:$B$310,B444)+SUMIFS(Mau15a!$J$11:$J$310,Mau15a!$B$11:$B$310,B444)-SUMIFS(Mau15a!$G$11:$G$310,Mau15a!$B$11:$B$310,B444))</f>
        <v/>
      </c>
      <c r="J444" s="39" t="str">
        <f t="shared" si="32"/>
        <v/>
      </c>
      <c r="K444" s="39" t="str">
        <f>IF(B444="","",(SUMIFS(Mau15a!$K$11:$K$310,Mau15a!$B$11:$B$310,B444)-SUMIFS(Mau15a!$E$11:$E$310,Mau15a!$B$11:$B$310,B444))*G444)</f>
        <v/>
      </c>
      <c r="L444" s="36" t="str">
        <f t="shared" si="33"/>
        <v/>
      </c>
      <c r="M444" s="36" t="str">
        <f>IF(B444="","",BOM!G444&amp;"")</f>
        <v/>
      </c>
      <c r="N444" s="36" t="str">
        <f t="shared" si="34"/>
        <v/>
      </c>
    </row>
    <row r="445" spans="1:14" x14ac:dyDescent="0.25">
      <c r="A445" s="35" t="str">
        <f t="shared" si="30"/>
        <v/>
      </c>
      <c r="B445" s="35" t="str">
        <f>IF(BOM!A445="","",BOM!A445)</f>
        <v/>
      </c>
      <c r="C445" s="35" t="str">
        <f>IF(B445="","",BOM!B445)</f>
        <v/>
      </c>
      <c r="D445" s="35" t="str">
        <f>IF(B445="","",IFERROR(INDEX(DM_NL!$B$5:$B$304,MATCH(C445,DM_NL!$A$5:$A$304,0)),""))</f>
        <v/>
      </c>
      <c r="E445" s="35" t="str">
        <f>IF(B445="","",IFERROR(INDEX(DM_NL!$C$5:$C$304,MATCH(C445,DM_NL!$A$5:$A$304,0)),""))</f>
        <v/>
      </c>
      <c r="F445" s="39" t="str">
        <f>IF(B445="","",SUMIFS(Mau15a!$F$11:$F$310,Mau15a!$B$11:$B$310,B445))</f>
        <v/>
      </c>
      <c r="G445" s="39" t="str">
        <f>IF(B445="","",IF(OR(M445="KXDDM",BOM!F445=""),0,BOM!F445))</f>
        <v/>
      </c>
      <c r="H445" s="39" t="str">
        <f t="shared" si="31"/>
        <v/>
      </c>
      <c r="I445" s="39" t="str">
        <f>IF(B445="","",SUMIFS(Mau15a!$H$11:$H$310,Mau15a!$B$11:$B$310,B445)+SUMIFS(Mau15a!$I$11:$I$310,Mau15a!$B$11:$B$310,B445)+SUMIFS(Mau15a!$J$11:$J$310,Mau15a!$B$11:$B$310,B445)-SUMIFS(Mau15a!$G$11:$G$310,Mau15a!$B$11:$B$310,B445))</f>
        <v/>
      </c>
      <c r="J445" s="39" t="str">
        <f t="shared" si="32"/>
        <v/>
      </c>
      <c r="K445" s="39" t="str">
        <f>IF(B445="","",(SUMIFS(Mau15a!$K$11:$K$310,Mau15a!$B$11:$B$310,B445)-SUMIFS(Mau15a!$E$11:$E$310,Mau15a!$B$11:$B$310,B445))*G445)</f>
        <v/>
      </c>
      <c r="L445" s="36" t="str">
        <f t="shared" si="33"/>
        <v/>
      </c>
      <c r="M445" s="36" t="str">
        <f>IF(B445="","",BOM!G445&amp;"")</f>
        <v/>
      </c>
      <c r="N445" s="36" t="str">
        <f t="shared" si="34"/>
        <v/>
      </c>
    </row>
    <row r="446" spans="1:14" x14ac:dyDescent="0.25">
      <c r="A446" s="35" t="str">
        <f t="shared" si="30"/>
        <v/>
      </c>
      <c r="B446" s="35" t="str">
        <f>IF(BOM!A446="","",BOM!A446)</f>
        <v/>
      </c>
      <c r="C446" s="35" t="str">
        <f>IF(B446="","",BOM!B446)</f>
        <v/>
      </c>
      <c r="D446" s="35" t="str">
        <f>IF(B446="","",IFERROR(INDEX(DM_NL!$B$5:$B$304,MATCH(C446,DM_NL!$A$5:$A$304,0)),""))</f>
        <v/>
      </c>
      <c r="E446" s="35" t="str">
        <f>IF(B446="","",IFERROR(INDEX(DM_NL!$C$5:$C$304,MATCH(C446,DM_NL!$A$5:$A$304,0)),""))</f>
        <v/>
      </c>
      <c r="F446" s="39" t="str">
        <f>IF(B446="","",SUMIFS(Mau15a!$F$11:$F$310,Mau15a!$B$11:$B$310,B446))</f>
        <v/>
      </c>
      <c r="G446" s="39" t="str">
        <f>IF(B446="","",IF(OR(M446="KXDDM",BOM!F446=""),0,BOM!F446))</f>
        <v/>
      </c>
      <c r="H446" s="39" t="str">
        <f t="shared" si="31"/>
        <v/>
      </c>
      <c r="I446" s="39" t="str">
        <f>IF(B446="","",SUMIFS(Mau15a!$H$11:$H$310,Mau15a!$B$11:$B$310,B446)+SUMIFS(Mau15a!$I$11:$I$310,Mau15a!$B$11:$B$310,B446)+SUMIFS(Mau15a!$J$11:$J$310,Mau15a!$B$11:$B$310,B446)-SUMIFS(Mau15a!$G$11:$G$310,Mau15a!$B$11:$B$310,B446))</f>
        <v/>
      </c>
      <c r="J446" s="39" t="str">
        <f t="shared" si="32"/>
        <v/>
      </c>
      <c r="K446" s="39" t="str">
        <f>IF(B446="","",(SUMIFS(Mau15a!$K$11:$K$310,Mau15a!$B$11:$B$310,B446)-SUMIFS(Mau15a!$E$11:$E$310,Mau15a!$B$11:$B$310,B446))*G446)</f>
        <v/>
      </c>
      <c r="L446" s="36" t="str">
        <f t="shared" si="33"/>
        <v/>
      </c>
      <c r="M446" s="36" t="str">
        <f>IF(B446="","",BOM!G446&amp;"")</f>
        <v/>
      </c>
      <c r="N446" s="36" t="str">
        <f t="shared" si="34"/>
        <v/>
      </c>
    </row>
    <row r="447" spans="1:14" x14ac:dyDescent="0.25">
      <c r="A447" s="35" t="str">
        <f t="shared" si="30"/>
        <v/>
      </c>
      <c r="B447" s="35" t="str">
        <f>IF(BOM!A447="","",BOM!A447)</f>
        <v/>
      </c>
      <c r="C447" s="35" t="str">
        <f>IF(B447="","",BOM!B447)</f>
        <v/>
      </c>
      <c r="D447" s="35" t="str">
        <f>IF(B447="","",IFERROR(INDEX(DM_NL!$B$5:$B$304,MATCH(C447,DM_NL!$A$5:$A$304,0)),""))</f>
        <v/>
      </c>
      <c r="E447" s="35" t="str">
        <f>IF(B447="","",IFERROR(INDEX(DM_NL!$C$5:$C$304,MATCH(C447,DM_NL!$A$5:$A$304,0)),""))</f>
        <v/>
      </c>
      <c r="F447" s="39" t="str">
        <f>IF(B447="","",SUMIFS(Mau15a!$F$11:$F$310,Mau15a!$B$11:$B$310,B447))</f>
        <v/>
      </c>
      <c r="G447" s="39" t="str">
        <f>IF(B447="","",IF(OR(M447="KXDDM",BOM!F447=""),0,BOM!F447))</f>
        <v/>
      </c>
      <c r="H447" s="39" t="str">
        <f t="shared" si="31"/>
        <v/>
      </c>
      <c r="I447" s="39" t="str">
        <f>IF(B447="","",SUMIFS(Mau15a!$H$11:$H$310,Mau15a!$B$11:$B$310,B447)+SUMIFS(Mau15a!$I$11:$I$310,Mau15a!$B$11:$B$310,B447)+SUMIFS(Mau15a!$J$11:$J$310,Mau15a!$B$11:$B$310,B447)-SUMIFS(Mau15a!$G$11:$G$310,Mau15a!$B$11:$B$310,B447))</f>
        <v/>
      </c>
      <c r="J447" s="39" t="str">
        <f t="shared" si="32"/>
        <v/>
      </c>
      <c r="K447" s="39" t="str">
        <f>IF(B447="","",(SUMIFS(Mau15a!$K$11:$K$310,Mau15a!$B$11:$B$310,B447)-SUMIFS(Mau15a!$E$11:$E$310,Mau15a!$B$11:$B$310,B447))*G447)</f>
        <v/>
      </c>
      <c r="L447" s="36" t="str">
        <f t="shared" si="33"/>
        <v/>
      </c>
      <c r="M447" s="36" t="str">
        <f>IF(B447="","",BOM!G447&amp;"")</f>
        <v/>
      </c>
      <c r="N447" s="36" t="str">
        <f t="shared" si="34"/>
        <v/>
      </c>
    </row>
    <row r="448" spans="1:14" x14ac:dyDescent="0.25">
      <c r="A448" s="35" t="str">
        <f t="shared" si="30"/>
        <v/>
      </c>
      <c r="B448" s="35" t="str">
        <f>IF(BOM!A448="","",BOM!A448)</f>
        <v/>
      </c>
      <c r="C448" s="35" t="str">
        <f>IF(B448="","",BOM!B448)</f>
        <v/>
      </c>
      <c r="D448" s="35" t="str">
        <f>IF(B448="","",IFERROR(INDEX(DM_NL!$B$5:$B$304,MATCH(C448,DM_NL!$A$5:$A$304,0)),""))</f>
        <v/>
      </c>
      <c r="E448" s="35" t="str">
        <f>IF(B448="","",IFERROR(INDEX(DM_NL!$C$5:$C$304,MATCH(C448,DM_NL!$A$5:$A$304,0)),""))</f>
        <v/>
      </c>
      <c r="F448" s="39" t="str">
        <f>IF(B448="","",SUMIFS(Mau15a!$F$11:$F$310,Mau15a!$B$11:$B$310,B448))</f>
        <v/>
      </c>
      <c r="G448" s="39" t="str">
        <f>IF(B448="","",IF(OR(M448="KXDDM",BOM!F448=""),0,BOM!F448))</f>
        <v/>
      </c>
      <c r="H448" s="39" t="str">
        <f t="shared" si="31"/>
        <v/>
      </c>
      <c r="I448" s="39" t="str">
        <f>IF(B448="","",SUMIFS(Mau15a!$H$11:$H$310,Mau15a!$B$11:$B$310,B448)+SUMIFS(Mau15a!$I$11:$I$310,Mau15a!$B$11:$B$310,B448)+SUMIFS(Mau15a!$J$11:$J$310,Mau15a!$B$11:$B$310,B448)-SUMIFS(Mau15a!$G$11:$G$310,Mau15a!$B$11:$B$310,B448))</f>
        <v/>
      </c>
      <c r="J448" s="39" t="str">
        <f t="shared" si="32"/>
        <v/>
      </c>
      <c r="K448" s="39" t="str">
        <f>IF(B448="","",(SUMIFS(Mau15a!$K$11:$K$310,Mau15a!$B$11:$B$310,B448)-SUMIFS(Mau15a!$E$11:$E$310,Mau15a!$B$11:$B$310,B448))*G448)</f>
        <v/>
      </c>
      <c r="L448" s="36" t="str">
        <f t="shared" si="33"/>
        <v/>
      </c>
      <c r="M448" s="36" t="str">
        <f>IF(B448="","",BOM!G448&amp;"")</f>
        <v/>
      </c>
      <c r="N448" s="36" t="str">
        <f t="shared" si="34"/>
        <v/>
      </c>
    </row>
    <row r="449" spans="1:14" x14ac:dyDescent="0.25">
      <c r="A449" s="35" t="str">
        <f t="shared" si="30"/>
        <v/>
      </c>
      <c r="B449" s="35" t="str">
        <f>IF(BOM!A449="","",BOM!A449)</f>
        <v/>
      </c>
      <c r="C449" s="35" t="str">
        <f>IF(B449="","",BOM!B449)</f>
        <v/>
      </c>
      <c r="D449" s="35" t="str">
        <f>IF(B449="","",IFERROR(INDEX(DM_NL!$B$5:$B$304,MATCH(C449,DM_NL!$A$5:$A$304,0)),""))</f>
        <v/>
      </c>
      <c r="E449" s="35" t="str">
        <f>IF(B449="","",IFERROR(INDEX(DM_NL!$C$5:$C$304,MATCH(C449,DM_NL!$A$5:$A$304,0)),""))</f>
        <v/>
      </c>
      <c r="F449" s="39" t="str">
        <f>IF(B449="","",SUMIFS(Mau15a!$F$11:$F$310,Mau15a!$B$11:$B$310,B449))</f>
        <v/>
      </c>
      <c r="G449" s="39" t="str">
        <f>IF(B449="","",IF(OR(M449="KXDDM",BOM!F449=""),0,BOM!F449))</f>
        <v/>
      </c>
      <c r="H449" s="39" t="str">
        <f t="shared" si="31"/>
        <v/>
      </c>
      <c r="I449" s="39" t="str">
        <f>IF(B449="","",SUMIFS(Mau15a!$H$11:$H$310,Mau15a!$B$11:$B$310,B449)+SUMIFS(Mau15a!$I$11:$I$310,Mau15a!$B$11:$B$310,B449)+SUMIFS(Mau15a!$J$11:$J$310,Mau15a!$B$11:$B$310,B449)-SUMIFS(Mau15a!$G$11:$G$310,Mau15a!$B$11:$B$310,B449))</f>
        <v/>
      </c>
      <c r="J449" s="39" t="str">
        <f t="shared" si="32"/>
        <v/>
      </c>
      <c r="K449" s="39" t="str">
        <f>IF(B449="","",(SUMIFS(Mau15a!$K$11:$K$310,Mau15a!$B$11:$B$310,B449)-SUMIFS(Mau15a!$E$11:$E$310,Mau15a!$B$11:$B$310,B449))*G449)</f>
        <v/>
      </c>
      <c r="L449" s="36" t="str">
        <f t="shared" si="33"/>
        <v/>
      </c>
      <c r="M449" s="36" t="str">
        <f>IF(B449="","",BOM!G449&amp;"")</f>
        <v/>
      </c>
      <c r="N449" s="36" t="str">
        <f t="shared" si="34"/>
        <v/>
      </c>
    </row>
    <row r="450" spans="1:14" x14ac:dyDescent="0.25">
      <c r="A450" s="35" t="str">
        <f t="shared" si="30"/>
        <v/>
      </c>
      <c r="B450" s="35" t="str">
        <f>IF(BOM!A450="","",BOM!A450)</f>
        <v/>
      </c>
      <c r="C450" s="35" t="str">
        <f>IF(B450="","",BOM!B450)</f>
        <v/>
      </c>
      <c r="D450" s="35" t="str">
        <f>IF(B450="","",IFERROR(INDEX(DM_NL!$B$5:$B$304,MATCH(C450,DM_NL!$A$5:$A$304,0)),""))</f>
        <v/>
      </c>
      <c r="E450" s="35" t="str">
        <f>IF(B450="","",IFERROR(INDEX(DM_NL!$C$5:$C$304,MATCH(C450,DM_NL!$A$5:$A$304,0)),""))</f>
        <v/>
      </c>
      <c r="F450" s="39" t="str">
        <f>IF(B450="","",SUMIFS(Mau15a!$F$11:$F$310,Mau15a!$B$11:$B$310,B450))</f>
        <v/>
      </c>
      <c r="G450" s="39" t="str">
        <f>IF(B450="","",IF(OR(M450="KXDDM",BOM!F450=""),0,BOM!F450))</f>
        <v/>
      </c>
      <c r="H450" s="39" t="str">
        <f t="shared" si="31"/>
        <v/>
      </c>
      <c r="I450" s="39" t="str">
        <f>IF(B450="","",SUMIFS(Mau15a!$H$11:$H$310,Mau15a!$B$11:$B$310,B450)+SUMIFS(Mau15a!$I$11:$I$310,Mau15a!$B$11:$B$310,B450)+SUMIFS(Mau15a!$J$11:$J$310,Mau15a!$B$11:$B$310,B450)-SUMIFS(Mau15a!$G$11:$G$310,Mau15a!$B$11:$B$310,B450))</f>
        <v/>
      </c>
      <c r="J450" s="39" t="str">
        <f t="shared" si="32"/>
        <v/>
      </c>
      <c r="K450" s="39" t="str">
        <f>IF(B450="","",(SUMIFS(Mau15a!$K$11:$K$310,Mau15a!$B$11:$B$310,B450)-SUMIFS(Mau15a!$E$11:$E$310,Mau15a!$B$11:$B$310,B450))*G450)</f>
        <v/>
      </c>
      <c r="L450" s="36" t="str">
        <f t="shared" si="33"/>
        <v/>
      </c>
      <c r="M450" s="36" t="str">
        <f>IF(B450="","",BOM!G450&amp;"")</f>
        <v/>
      </c>
      <c r="N450" s="36" t="str">
        <f t="shared" si="34"/>
        <v/>
      </c>
    </row>
    <row r="451" spans="1:14" x14ac:dyDescent="0.25">
      <c r="A451" s="35" t="str">
        <f t="shared" si="30"/>
        <v/>
      </c>
      <c r="B451" s="35" t="str">
        <f>IF(BOM!A451="","",BOM!A451)</f>
        <v/>
      </c>
      <c r="C451" s="35" t="str">
        <f>IF(B451="","",BOM!B451)</f>
        <v/>
      </c>
      <c r="D451" s="35" t="str">
        <f>IF(B451="","",IFERROR(INDEX(DM_NL!$B$5:$B$304,MATCH(C451,DM_NL!$A$5:$A$304,0)),""))</f>
        <v/>
      </c>
      <c r="E451" s="35" t="str">
        <f>IF(B451="","",IFERROR(INDEX(DM_NL!$C$5:$C$304,MATCH(C451,DM_NL!$A$5:$A$304,0)),""))</f>
        <v/>
      </c>
      <c r="F451" s="39" t="str">
        <f>IF(B451="","",SUMIFS(Mau15a!$F$11:$F$310,Mau15a!$B$11:$B$310,B451))</f>
        <v/>
      </c>
      <c r="G451" s="39" t="str">
        <f>IF(B451="","",IF(OR(M451="KXDDM",BOM!F451=""),0,BOM!F451))</f>
        <v/>
      </c>
      <c r="H451" s="39" t="str">
        <f t="shared" si="31"/>
        <v/>
      </c>
      <c r="I451" s="39" t="str">
        <f>IF(B451="","",SUMIFS(Mau15a!$H$11:$H$310,Mau15a!$B$11:$B$310,B451)+SUMIFS(Mau15a!$I$11:$I$310,Mau15a!$B$11:$B$310,B451)+SUMIFS(Mau15a!$J$11:$J$310,Mau15a!$B$11:$B$310,B451)-SUMIFS(Mau15a!$G$11:$G$310,Mau15a!$B$11:$B$310,B451))</f>
        <v/>
      </c>
      <c r="J451" s="39" t="str">
        <f t="shared" si="32"/>
        <v/>
      </c>
      <c r="K451" s="39" t="str">
        <f>IF(B451="","",(SUMIFS(Mau15a!$K$11:$K$310,Mau15a!$B$11:$B$310,B451)-SUMIFS(Mau15a!$E$11:$E$310,Mau15a!$B$11:$B$310,B451))*G451)</f>
        <v/>
      </c>
      <c r="L451" s="36" t="str">
        <f t="shared" si="33"/>
        <v/>
      </c>
      <c r="M451" s="36" t="str">
        <f>IF(B451="","",BOM!G451&amp;"")</f>
        <v/>
      </c>
      <c r="N451" s="36" t="str">
        <f t="shared" si="34"/>
        <v/>
      </c>
    </row>
    <row r="452" spans="1:14" x14ac:dyDescent="0.25">
      <c r="A452" s="35" t="str">
        <f t="shared" si="30"/>
        <v/>
      </c>
      <c r="B452" s="35" t="str">
        <f>IF(BOM!A452="","",BOM!A452)</f>
        <v/>
      </c>
      <c r="C452" s="35" t="str">
        <f>IF(B452="","",BOM!B452)</f>
        <v/>
      </c>
      <c r="D452" s="35" t="str">
        <f>IF(B452="","",IFERROR(INDEX(DM_NL!$B$5:$B$304,MATCH(C452,DM_NL!$A$5:$A$304,0)),""))</f>
        <v/>
      </c>
      <c r="E452" s="35" t="str">
        <f>IF(B452="","",IFERROR(INDEX(DM_NL!$C$5:$C$304,MATCH(C452,DM_NL!$A$5:$A$304,0)),""))</f>
        <v/>
      </c>
      <c r="F452" s="39" t="str">
        <f>IF(B452="","",SUMIFS(Mau15a!$F$11:$F$310,Mau15a!$B$11:$B$310,B452))</f>
        <v/>
      </c>
      <c r="G452" s="39" t="str">
        <f>IF(B452="","",IF(OR(M452="KXDDM",BOM!F452=""),0,BOM!F452))</f>
        <v/>
      </c>
      <c r="H452" s="39" t="str">
        <f t="shared" si="31"/>
        <v/>
      </c>
      <c r="I452" s="39" t="str">
        <f>IF(B452="","",SUMIFS(Mau15a!$H$11:$H$310,Mau15a!$B$11:$B$310,B452)+SUMIFS(Mau15a!$I$11:$I$310,Mau15a!$B$11:$B$310,B452)+SUMIFS(Mau15a!$J$11:$J$310,Mau15a!$B$11:$B$310,B452)-SUMIFS(Mau15a!$G$11:$G$310,Mau15a!$B$11:$B$310,B452))</f>
        <v/>
      </c>
      <c r="J452" s="39" t="str">
        <f t="shared" si="32"/>
        <v/>
      </c>
      <c r="K452" s="39" t="str">
        <f>IF(B452="","",(SUMIFS(Mau15a!$K$11:$K$310,Mau15a!$B$11:$B$310,B452)-SUMIFS(Mau15a!$E$11:$E$310,Mau15a!$B$11:$B$310,B452))*G452)</f>
        <v/>
      </c>
      <c r="L452" s="36" t="str">
        <f t="shared" si="33"/>
        <v/>
      </c>
      <c r="M452" s="36" t="str">
        <f>IF(B452="","",BOM!G452&amp;"")</f>
        <v/>
      </c>
      <c r="N452" s="36" t="str">
        <f t="shared" si="34"/>
        <v/>
      </c>
    </row>
    <row r="453" spans="1:14" x14ac:dyDescent="0.25">
      <c r="A453" s="35" t="str">
        <f t="shared" ref="A453:A516" si="35">IF(B453="","",ROW()-4)</f>
        <v/>
      </c>
      <c r="B453" s="35" t="str">
        <f>IF(BOM!A453="","",BOM!A453)</f>
        <v/>
      </c>
      <c r="C453" s="35" t="str">
        <f>IF(B453="","",BOM!B453)</f>
        <v/>
      </c>
      <c r="D453" s="35" t="str">
        <f>IF(B453="","",IFERROR(INDEX(DM_NL!$B$5:$B$304,MATCH(C453,DM_NL!$A$5:$A$304,0)),""))</f>
        <v/>
      </c>
      <c r="E453" s="35" t="str">
        <f>IF(B453="","",IFERROR(INDEX(DM_NL!$C$5:$C$304,MATCH(C453,DM_NL!$A$5:$A$304,0)),""))</f>
        <v/>
      </c>
      <c r="F453" s="39" t="str">
        <f>IF(B453="","",SUMIFS(Mau15a!$F$11:$F$310,Mau15a!$B$11:$B$310,B453))</f>
        <v/>
      </c>
      <c r="G453" s="39" t="str">
        <f>IF(B453="","",IF(OR(M453="KXDDM",BOM!F453=""),0,BOM!F453))</f>
        <v/>
      </c>
      <c r="H453" s="39" t="str">
        <f t="shared" ref="H453:H516" si="36">IF(B453="","",F453*G453)</f>
        <v/>
      </c>
      <c r="I453" s="39" t="str">
        <f>IF(B453="","",SUMIFS(Mau15a!$H$11:$H$310,Mau15a!$B$11:$B$310,B453)+SUMIFS(Mau15a!$I$11:$I$310,Mau15a!$B$11:$B$310,B453)+SUMIFS(Mau15a!$J$11:$J$310,Mau15a!$B$11:$B$310,B453)-SUMIFS(Mau15a!$G$11:$G$310,Mau15a!$B$11:$B$310,B453))</f>
        <v/>
      </c>
      <c r="J453" s="39" t="str">
        <f t="shared" ref="J453:J516" si="37">IF(B453="","",I453*G453)</f>
        <v/>
      </c>
      <c r="K453" s="39" t="str">
        <f>IF(B453="","",(SUMIFS(Mau15a!$K$11:$K$310,Mau15a!$B$11:$B$310,B453)-SUMIFS(Mau15a!$E$11:$E$310,Mau15a!$B$11:$B$310,B453))*G453)</f>
        <v/>
      </c>
      <c r="L453" s="36" t="str">
        <f t="shared" ref="L453:L516" si="38">IF(B453="","",IF(ABS(H453-J453-K453)&lt;0.000001,"Khớp","Lệch"))</f>
        <v/>
      </c>
      <c r="M453" s="36" t="str">
        <f>IF(B453="","",BOM!G453&amp;"")</f>
        <v/>
      </c>
      <c r="N453" s="36" t="str">
        <f t="shared" ref="N453:N516" si="39">IF(B453="","",IF(M453="",1,0))</f>
        <v/>
      </c>
    </row>
    <row r="454" spans="1:14" x14ac:dyDescent="0.25">
      <c r="A454" s="35" t="str">
        <f t="shared" si="35"/>
        <v/>
      </c>
      <c r="B454" s="35" t="str">
        <f>IF(BOM!A454="","",BOM!A454)</f>
        <v/>
      </c>
      <c r="C454" s="35" t="str">
        <f>IF(B454="","",BOM!B454)</f>
        <v/>
      </c>
      <c r="D454" s="35" t="str">
        <f>IF(B454="","",IFERROR(INDEX(DM_NL!$B$5:$B$304,MATCH(C454,DM_NL!$A$5:$A$304,0)),""))</f>
        <v/>
      </c>
      <c r="E454" s="35" t="str">
        <f>IF(B454="","",IFERROR(INDEX(DM_NL!$C$5:$C$304,MATCH(C454,DM_NL!$A$5:$A$304,0)),""))</f>
        <v/>
      </c>
      <c r="F454" s="39" t="str">
        <f>IF(B454="","",SUMIFS(Mau15a!$F$11:$F$310,Mau15a!$B$11:$B$310,B454))</f>
        <v/>
      </c>
      <c r="G454" s="39" t="str">
        <f>IF(B454="","",IF(OR(M454="KXDDM",BOM!F454=""),0,BOM!F454))</f>
        <v/>
      </c>
      <c r="H454" s="39" t="str">
        <f t="shared" si="36"/>
        <v/>
      </c>
      <c r="I454" s="39" t="str">
        <f>IF(B454="","",SUMIFS(Mau15a!$H$11:$H$310,Mau15a!$B$11:$B$310,B454)+SUMIFS(Mau15a!$I$11:$I$310,Mau15a!$B$11:$B$310,B454)+SUMIFS(Mau15a!$J$11:$J$310,Mau15a!$B$11:$B$310,B454)-SUMIFS(Mau15a!$G$11:$G$310,Mau15a!$B$11:$B$310,B454))</f>
        <v/>
      </c>
      <c r="J454" s="39" t="str">
        <f t="shared" si="37"/>
        <v/>
      </c>
      <c r="K454" s="39" t="str">
        <f>IF(B454="","",(SUMIFS(Mau15a!$K$11:$K$310,Mau15a!$B$11:$B$310,B454)-SUMIFS(Mau15a!$E$11:$E$310,Mau15a!$B$11:$B$310,B454))*G454)</f>
        <v/>
      </c>
      <c r="L454" s="36" t="str">
        <f t="shared" si="38"/>
        <v/>
      </c>
      <c r="M454" s="36" t="str">
        <f>IF(B454="","",BOM!G454&amp;"")</f>
        <v/>
      </c>
      <c r="N454" s="36" t="str">
        <f t="shared" si="39"/>
        <v/>
      </c>
    </row>
    <row r="455" spans="1:14" x14ac:dyDescent="0.25">
      <c r="A455" s="35" t="str">
        <f t="shared" si="35"/>
        <v/>
      </c>
      <c r="B455" s="35" t="str">
        <f>IF(BOM!A455="","",BOM!A455)</f>
        <v/>
      </c>
      <c r="C455" s="35" t="str">
        <f>IF(B455="","",BOM!B455)</f>
        <v/>
      </c>
      <c r="D455" s="35" t="str">
        <f>IF(B455="","",IFERROR(INDEX(DM_NL!$B$5:$B$304,MATCH(C455,DM_NL!$A$5:$A$304,0)),""))</f>
        <v/>
      </c>
      <c r="E455" s="35" t="str">
        <f>IF(B455="","",IFERROR(INDEX(DM_NL!$C$5:$C$304,MATCH(C455,DM_NL!$A$5:$A$304,0)),""))</f>
        <v/>
      </c>
      <c r="F455" s="39" t="str">
        <f>IF(B455="","",SUMIFS(Mau15a!$F$11:$F$310,Mau15a!$B$11:$B$310,B455))</f>
        <v/>
      </c>
      <c r="G455" s="39" t="str">
        <f>IF(B455="","",IF(OR(M455="KXDDM",BOM!F455=""),0,BOM!F455))</f>
        <v/>
      </c>
      <c r="H455" s="39" t="str">
        <f t="shared" si="36"/>
        <v/>
      </c>
      <c r="I455" s="39" t="str">
        <f>IF(B455="","",SUMIFS(Mau15a!$H$11:$H$310,Mau15a!$B$11:$B$310,B455)+SUMIFS(Mau15a!$I$11:$I$310,Mau15a!$B$11:$B$310,B455)+SUMIFS(Mau15a!$J$11:$J$310,Mau15a!$B$11:$B$310,B455)-SUMIFS(Mau15a!$G$11:$G$310,Mau15a!$B$11:$B$310,B455))</f>
        <v/>
      </c>
      <c r="J455" s="39" t="str">
        <f t="shared" si="37"/>
        <v/>
      </c>
      <c r="K455" s="39" t="str">
        <f>IF(B455="","",(SUMIFS(Mau15a!$K$11:$K$310,Mau15a!$B$11:$B$310,B455)-SUMIFS(Mau15a!$E$11:$E$310,Mau15a!$B$11:$B$310,B455))*G455)</f>
        <v/>
      </c>
      <c r="L455" s="36" t="str">
        <f t="shared" si="38"/>
        <v/>
      </c>
      <c r="M455" s="36" t="str">
        <f>IF(B455="","",BOM!G455&amp;"")</f>
        <v/>
      </c>
      <c r="N455" s="36" t="str">
        <f t="shared" si="39"/>
        <v/>
      </c>
    </row>
    <row r="456" spans="1:14" x14ac:dyDescent="0.25">
      <c r="A456" s="35" t="str">
        <f t="shared" si="35"/>
        <v/>
      </c>
      <c r="B456" s="35" t="str">
        <f>IF(BOM!A456="","",BOM!A456)</f>
        <v/>
      </c>
      <c r="C456" s="35" t="str">
        <f>IF(B456="","",BOM!B456)</f>
        <v/>
      </c>
      <c r="D456" s="35" t="str">
        <f>IF(B456="","",IFERROR(INDEX(DM_NL!$B$5:$B$304,MATCH(C456,DM_NL!$A$5:$A$304,0)),""))</f>
        <v/>
      </c>
      <c r="E456" s="35" t="str">
        <f>IF(B456="","",IFERROR(INDEX(DM_NL!$C$5:$C$304,MATCH(C456,DM_NL!$A$5:$A$304,0)),""))</f>
        <v/>
      </c>
      <c r="F456" s="39" t="str">
        <f>IF(B456="","",SUMIFS(Mau15a!$F$11:$F$310,Mau15a!$B$11:$B$310,B456))</f>
        <v/>
      </c>
      <c r="G456" s="39" t="str">
        <f>IF(B456="","",IF(OR(M456="KXDDM",BOM!F456=""),0,BOM!F456))</f>
        <v/>
      </c>
      <c r="H456" s="39" t="str">
        <f t="shared" si="36"/>
        <v/>
      </c>
      <c r="I456" s="39" t="str">
        <f>IF(B456="","",SUMIFS(Mau15a!$H$11:$H$310,Mau15a!$B$11:$B$310,B456)+SUMIFS(Mau15a!$I$11:$I$310,Mau15a!$B$11:$B$310,B456)+SUMIFS(Mau15a!$J$11:$J$310,Mau15a!$B$11:$B$310,B456)-SUMIFS(Mau15a!$G$11:$G$310,Mau15a!$B$11:$B$310,B456))</f>
        <v/>
      </c>
      <c r="J456" s="39" t="str">
        <f t="shared" si="37"/>
        <v/>
      </c>
      <c r="K456" s="39" t="str">
        <f>IF(B456="","",(SUMIFS(Mau15a!$K$11:$K$310,Mau15a!$B$11:$B$310,B456)-SUMIFS(Mau15a!$E$11:$E$310,Mau15a!$B$11:$B$310,B456))*G456)</f>
        <v/>
      </c>
      <c r="L456" s="36" t="str">
        <f t="shared" si="38"/>
        <v/>
      </c>
      <c r="M456" s="36" t="str">
        <f>IF(B456="","",BOM!G456&amp;"")</f>
        <v/>
      </c>
      <c r="N456" s="36" t="str">
        <f t="shared" si="39"/>
        <v/>
      </c>
    </row>
    <row r="457" spans="1:14" x14ac:dyDescent="0.25">
      <c r="A457" s="35" t="str">
        <f t="shared" si="35"/>
        <v/>
      </c>
      <c r="B457" s="35" t="str">
        <f>IF(BOM!A457="","",BOM!A457)</f>
        <v/>
      </c>
      <c r="C457" s="35" t="str">
        <f>IF(B457="","",BOM!B457)</f>
        <v/>
      </c>
      <c r="D457" s="35" t="str">
        <f>IF(B457="","",IFERROR(INDEX(DM_NL!$B$5:$B$304,MATCH(C457,DM_NL!$A$5:$A$304,0)),""))</f>
        <v/>
      </c>
      <c r="E457" s="35" t="str">
        <f>IF(B457="","",IFERROR(INDEX(DM_NL!$C$5:$C$304,MATCH(C457,DM_NL!$A$5:$A$304,0)),""))</f>
        <v/>
      </c>
      <c r="F457" s="39" t="str">
        <f>IF(B457="","",SUMIFS(Mau15a!$F$11:$F$310,Mau15a!$B$11:$B$310,B457))</f>
        <v/>
      </c>
      <c r="G457" s="39" t="str">
        <f>IF(B457="","",IF(OR(M457="KXDDM",BOM!F457=""),0,BOM!F457))</f>
        <v/>
      </c>
      <c r="H457" s="39" t="str">
        <f t="shared" si="36"/>
        <v/>
      </c>
      <c r="I457" s="39" t="str">
        <f>IF(B457="","",SUMIFS(Mau15a!$H$11:$H$310,Mau15a!$B$11:$B$310,B457)+SUMIFS(Mau15a!$I$11:$I$310,Mau15a!$B$11:$B$310,B457)+SUMIFS(Mau15a!$J$11:$J$310,Mau15a!$B$11:$B$310,B457)-SUMIFS(Mau15a!$G$11:$G$310,Mau15a!$B$11:$B$310,B457))</f>
        <v/>
      </c>
      <c r="J457" s="39" t="str">
        <f t="shared" si="37"/>
        <v/>
      </c>
      <c r="K457" s="39" t="str">
        <f>IF(B457="","",(SUMIFS(Mau15a!$K$11:$K$310,Mau15a!$B$11:$B$310,B457)-SUMIFS(Mau15a!$E$11:$E$310,Mau15a!$B$11:$B$310,B457))*G457)</f>
        <v/>
      </c>
      <c r="L457" s="36" t="str">
        <f t="shared" si="38"/>
        <v/>
      </c>
      <c r="M457" s="36" t="str">
        <f>IF(B457="","",BOM!G457&amp;"")</f>
        <v/>
      </c>
      <c r="N457" s="36" t="str">
        <f t="shared" si="39"/>
        <v/>
      </c>
    </row>
    <row r="458" spans="1:14" x14ac:dyDescent="0.25">
      <c r="A458" s="35" t="str">
        <f t="shared" si="35"/>
        <v/>
      </c>
      <c r="B458" s="35" t="str">
        <f>IF(BOM!A458="","",BOM!A458)</f>
        <v/>
      </c>
      <c r="C458" s="35" t="str">
        <f>IF(B458="","",BOM!B458)</f>
        <v/>
      </c>
      <c r="D458" s="35" t="str">
        <f>IF(B458="","",IFERROR(INDEX(DM_NL!$B$5:$B$304,MATCH(C458,DM_NL!$A$5:$A$304,0)),""))</f>
        <v/>
      </c>
      <c r="E458" s="35" t="str">
        <f>IF(B458="","",IFERROR(INDEX(DM_NL!$C$5:$C$304,MATCH(C458,DM_NL!$A$5:$A$304,0)),""))</f>
        <v/>
      </c>
      <c r="F458" s="39" t="str">
        <f>IF(B458="","",SUMIFS(Mau15a!$F$11:$F$310,Mau15a!$B$11:$B$310,B458))</f>
        <v/>
      </c>
      <c r="G458" s="39" t="str">
        <f>IF(B458="","",IF(OR(M458="KXDDM",BOM!F458=""),0,BOM!F458))</f>
        <v/>
      </c>
      <c r="H458" s="39" t="str">
        <f t="shared" si="36"/>
        <v/>
      </c>
      <c r="I458" s="39" t="str">
        <f>IF(B458="","",SUMIFS(Mau15a!$H$11:$H$310,Mau15a!$B$11:$B$310,B458)+SUMIFS(Mau15a!$I$11:$I$310,Mau15a!$B$11:$B$310,B458)+SUMIFS(Mau15a!$J$11:$J$310,Mau15a!$B$11:$B$310,B458)-SUMIFS(Mau15a!$G$11:$G$310,Mau15a!$B$11:$B$310,B458))</f>
        <v/>
      </c>
      <c r="J458" s="39" t="str">
        <f t="shared" si="37"/>
        <v/>
      </c>
      <c r="K458" s="39" t="str">
        <f>IF(B458="","",(SUMIFS(Mau15a!$K$11:$K$310,Mau15a!$B$11:$B$310,B458)-SUMIFS(Mau15a!$E$11:$E$310,Mau15a!$B$11:$B$310,B458))*G458)</f>
        <v/>
      </c>
      <c r="L458" s="36" t="str">
        <f t="shared" si="38"/>
        <v/>
      </c>
      <c r="M458" s="36" t="str">
        <f>IF(B458="","",BOM!G458&amp;"")</f>
        <v/>
      </c>
      <c r="N458" s="36" t="str">
        <f t="shared" si="39"/>
        <v/>
      </c>
    </row>
    <row r="459" spans="1:14" x14ac:dyDescent="0.25">
      <c r="A459" s="35" t="str">
        <f t="shared" si="35"/>
        <v/>
      </c>
      <c r="B459" s="35" t="str">
        <f>IF(BOM!A459="","",BOM!A459)</f>
        <v/>
      </c>
      <c r="C459" s="35" t="str">
        <f>IF(B459="","",BOM!B459)</f>
        <v/>
      </c>
      <c r="D459" s="35" t="str">
        <f>IF(B459="","",IFERROR(INDEX(DM_NL!$B$5:$B$304,MATCH(C459,DM_NL!$A$5:$A$304,0)),""))</f>
        <v/>
      </c>
      <c r="E459" s="35" t="str">
        <f>IF(B459="","",IFERROR(INDEX(DM_NL!$C$5:$C$304,MATCH(C459,DM_NL!$A$5:$A$304,0)),""))</f>
        <v/>
      </c>
      <c r="F459" s="39" t="str">
        <f>IF(B459="","",SUMIFS(Mau15a!$F$11:$F$310,Mau15a!$B$11:$B$310,B459))</f>
        <v/>
      </c>
      <c r="G459" s="39" t="str">
        <f>IF(B459="","",IF(OR(M459="KXDDM",BOM!F459=""),0,BOM!F459))</f>
        <v/>
      </c>
      <c r="H459" s="39" t="str">
        <f t="shared" si="36"/>
        <v/>
      </c>
      <c r="I459" s="39" t="str">
        <f>IF(B459="","",SUMIFS(Mau15a!$H$11:$H$310,Mau15a!$B$11:$B$310,B459)+SUMIFS(Mau15a!$I$11:$I$310,Mau15a!$B$11:$B$310,B459)+SUMIFS(Mau15a!$J$11:$J$310,Mau15a!$B$11:$B$310,B459)-SUMIFS(Mau15a!$G$11:$G$310,Mau15a!$B$11:$B$310,B459))</f>
        <v/>
      </c>
      <c r="J459" s="39" t="str">
        <f t="shared" si="37"/>
        <v/>
      </c>
      <c r="K459" s="39" t="str">
        <f>IF(B459="","",(SUMIFS(Mau15a!$K$11:$K$310,Mau15a!$B$11:$B$310,B459)-SUMIFS(Mau15a!$E$11:$E$310,Mau15a!$B$11:$B$310,B459))*G459)</f>
        <v/>
      </c>
      <c r="L459" s="36" t="str">
        <f t="shared" si="38"/>
        <v/>
      </c>
      <c r="M459" s="36" t="str">
        <f>IF(B459="","",BOM!G459&amp;"")</f>
        <v/>
      </c>
      <c r="N459" s="36" t="str">
        <f t="shared" si="39"/>
        <v/>
      </c>
    </row>
    <row r="460" spans="1:14" x14ac:dyDescent="0.25">
      <c r="A460" s="35" t="str">
        <f t="shared" si="35"/>
        <v/>
      </c>
      <c r="B460" s="35" t="str">
        <f>IF(BOM!A460="","",BOM!A460)</f>
        <v/>
      </c>
      <c r="C460" s="35" t="str">
        <f>IF(B460="","",BOM!B460)</f>
        <v/>
      </c>
      <c r="D460" s="35" t="str">
        <f>IF(B460="","",IFERROR(INDEX(DM_NL!$B$5:$B$304,MATCH(C460,DM_NL!$A$5:$A$304,0)),""))</f>
        <v/>
      </c>
      <c r="E460" s="35" t="str">
        <f>IF(B460="","",IFERROR(INDEX(DM_NL!$C$5:$C$304,MATCH(C460,DM_NL!$A$5:$A$304,0)),""))</f>
        <v/>
      </c>
      <c r="F460" s="39" t="str">
        <f>IF(B460="","",SUMIFS(Mau15a!$F$11:$F$310,Mau15a!$B$11:$B$310,B460))</f>
        <v/>
      </c>
      <c r="G460" s="39" t="str">
        <f>IF(B460="","",IF(OR(M460="KXDDM",BOM!F460=""),0,BOM!F460))</f>
        <v/>
      </c>
      <c r="H460" s="39" t="str">
        <f t="shared" si="36"/>
        <v/>
      </c>
      <c r="I460" s="39" t="str">
        <f>IF(B460="","",SUMIFS(Mau15a!$H$11:$H$310,Mau15a!$B$11:$B$310,B460)+SUMIFS(Mau15a!$I$11:$I$310,Mau15a!$B$11:$B$310,B460)+SUMIFS(Mau15a!$J$11:$J$310,Mau15a!$B$11:$B$310,B460)-SUMIFS(Mau15a!$G$11:$G$310,Mau15a!$B$11:$B$310,B460))</f>
        <v/>
      </c>
      <c r="J460" s="39" t="str">
        <f t="shared" si="37"/>
        <v/>
      </c>
      <c r="K460" s="39" t="str">
        <f>IF(B460="","",(SUMIFS(Mau15a!$K$11:$K$310,Mau15a!$B$11:$B$310,B460)-SUMIFS(Mau15a!$E$11:$E$310,Mau15a!$B$11:$B$310,B460))*G460)</f>
        <v/>
      </c>
      <c r="L460" s="36" t="str">
        <f t="shared" si="38"/>
        <v/>
      </c>
      <c r="M460" s="36" t="str">
        <f>IF(B460="","",BOM!G460&amp;"")</f>
        <v/>
      </c>
      <c r="N460" s="36" t="str">
        <f t="shared" si="39"/>
        <v/>
      </c>
    </row>
    <row r="461" spans="1:14" x14ac:dyDescent="0.25">
      <c r="A461" s="35" t="str">
        <f t="shared" si="35"/>
        <v/>
      </c>
      <c r="B461" s="35" t="str">
        <f>IF(BOM!A461="","",BOM!A461)</f>
        <v/>
      </c>
      <c r="C461" s="35" t="str">
        <f>IF(B461="","",BOM!B461)</f>
        <v/>
      </c>
      <c r="D461" s="35" t="str">
        <f>IF(B461="","",IFERROR(INDEX(DM_NL!$B$5:$B$304,MATCH(C461,DM_NL!$A$5:$A$304,0)),""))</f>
        <v/>
      </c>
      <c r="E461" s="35" t="str">
        <f>IF(B461="","",IFERROR(INDEX(DM_NL!$C$5:$C$304,MATCH(C461,DM_NL!$A$5:$A$304,0)),""))</f>
        <v/>
      </c>
      <c r="F461" s="39" t="str">
        <f>IF(B461="","",SUMIFS(Mau15a!$F$11:$F$310,Mau15a!$B$11:$B$310,B461))</f>
        <v/>
      </c>
      <c r="G461" s="39" t="str">
        <f>IF(B461="","",IF(OR(M461="KXDDM",BOM!F461=""),0,BOM!F461))</f>
        <v/>
      </c>
      <c r="H461" s="39" t="str">
        <f t="shared" si="36"/>
        <v/>
      </c>
      <c r="I461" s="39" t="str">
        <f>IF(B461="","",SUMIFS(Mau15a!$H$11:$H$310,Mau15a!$B$11:$B$310,B461)+SUMIFS(Mau15a!$I$11:$I$310,Mau15a!$B$11:$B$310,B461)+SUMIFS(Mau15a!$J$11:$J$310,Mau15a!$B$11:$B$310,B461)-SUMIFS(Mau15a!$G$11:$G$310,Mau15a!$B$11:$B$310,B461))</f>
        <v/>
      </c>
      <c r="J461" s="39" t="str">
        <f t="shared" si="37"/>
        <v/>
      </c>
      <c r="K461" s="39" t="str">
        <f>IF(B461="","",(SUMIFS(Mau15a!$K$11:$K$310,Mau15a!$B$11:$B$310,B461)-SUMIFS(Mau15a!$E$11:$E$310,Mau15a!$B$11:$B$310,B461))*G461)</f>
        <v/>
      </c>
      <c r="L461" s="36" t="str">
        <f t="shared" si="38"/>
        <v/>
      </c>
      <c r="M461" s="36" t="str">
        <f>IF(B461="","",BOM!G461&amp;"")</f>
        <v/>
      </c>
      <c r="N461" s="36" t="str">
        <f t="shared" si="39"/>
        <v/>
      </c>
    </row>
    <row r="462" spans="1:14" x14ac:dyDescent="0.25">
      <c r="A462" s="35" t="str">
        <f t="shared" si="35"/>
        <v/>
      </c>
      <c r="B462" s="35" t="str">
        <f>IF(BOM!A462="","",BOM!A462)</f>
        <v/>
      </c>
      <c r="C462" s="35" t="str">
        <f>IF(B462="","",BOM!B462)</f>
        <v/>
      </c>
      <c r="D462" s="35" t="str">
        <f>IF(B462="","",IFERROR(INDEX(DM_NL!$B$5:$B$304,MATCH(C462,DM_NL!$A$5:$A$304,0)),""))</f>
        <v/>
      </c>
      <c r="E462" s="35" t="str">
        <f>IF(B462="","",IFERROR(INDEX(DM_NL!$C$5:$C$304,MATCH(C462,DM_NL!$A$5:$A$304,0)),""))</f>
        <v/>
      </c>
      <c r="F462" s="39" t="str">
        <f>IF(B462="","",SUMIFS(Mau15a!$F$11:$F$310,Mau15a!$B$11:$B$310,B462))</f>
        <v/>
      </c>
      <c r="G462" s="39" t="str">
        <f>IF(B462="","",IF(OR(M462="KXDDM",BOM!F462=""),0,BOM!F462))</f>
        <v/>
      </c>
      <c r="H462" s="39" t="str">
        <f t="shared" si="36"/>
        <v/>
      </c>
      <c r="I462" s="39" t="str">
        <f>IF(B462="","",SUMIFS(Mau15a!$H$11:$H$310,Mau15a!$B$11:$B$310,B462)+SUMIFS(Mau15a!$I$11:$I$310,Mau15a!$B$11:$B$310,B462)+SUMIFS(Mau15a!$J$11:$J$310,Mau15a!$B$11:$B$310,B462)-SUMIFS(Mau15a!$G$11:$G$310,Mau15a!$B$11:$B$310,B462))</f>
        <v/>
      </c>
      <c r="J462" s="39" t="str">
        <f t="shared" si="37"/>
        <v/>
      </c>
      <c r="K462" s="39" t="str">
        <f>IF(B462="","",(SUMIFS(Mau15a!$K$11:$K$310,Mau15a!$B$11:$B$310,B462)-SUMIFS(Mau15a!$E$11:$E$310,Mau15a!$B$11:$B$310,B462))*G462)</f>
        <v/>
      </c>
      <c r="L462" s="36" t="str">
        <f t="shared" si="38"/>
        <v/>
      </c>
      <c r="M462" s="36" t="str">
        <f>IF(B462="","",BOM!G462&amp;"")</f>
        <v/>
      </c>
      <c r="N462" s="36" t="str">
        <f t="shared" si="39"/>
        <v/>
      </c>
    </row>
    <row r="463" spans="1:14" x14ac:dyDescent="0.25">
      <c r="A463" s="35" t="str">
        <f t="shared" si="35"/>
        <v/>
      </c>
      <c r="B463" s="35" t="str">
        <f>IF(BOM!A463="","",BOM!A463)</f>
        <v/>
      </c>
      <c r="C463" s="35" t="str">
        <f>IF(B463="","",BOM!B463)</f>
        <v/>
      </c>
      <c r="D463" s="35" t="str">
        <f>IF(B463="","",IFERROR(INDEX(DM_NL!$B$5:$B$304,MATCH(C463,DM_NL!$A$5:$A$304,0)),""))</f>
        <v/>
      </c>
      <c r="E463" s="35" t="str">
        <f>IF(B463="","",IFERROR(INDEX(DM_NL!$C$5:$C$304,MATCH(C463,DM_NL!$A$5:$A$304,0)),""))</f>
        <v/>
      </c>
      <c r="F463" s="39" t="str">
        <f>IF(B463="","",SUMIFS(Mau15a!$F$11:$F$310,Mau15a!$B$11:$B$310,B463))</f>
        <v/>
      </c>
      <c r="G463" s="39" t="str">
        <f>IF(B463="","",IF(OR(M463="KXDDM",BOM!F463=""),0,BOM!F463))</f>
        <v/>
      </c>
      <c r="H463" s="39" t="str">
        <f t="shared" si="36"/>
        <v/>
      </c>
      <c r="I463" s="39" t="str">
        <f>IF(B463="","",SUMIFS(Mau15a!$H$11:$H$310,Mau15a!$B$11:$B$310,B463)+SUMIFS(Mau15a!$I$11:$I$310,Mau15a!$B$11:$B$310,B463)+SUMIFS(Mau15a!$J$11:$J$310,Mau15a!$B$11:$B$310,B463)-SUMIFS(Mau15a!$G$11:$G$310,Mau15a!$B$11:$B$310,B463))</f>
        <v/>
      </c>
      <c r="J463" s="39" t="str">
        <f t="shared" si="37"/>
        <v/>
      </c>
      <c r="K463" s="39" t="str">
        <f>IF(B463="","",(SUMIFS(Mau15a!$K$11:$K$310,Mau15a!$B$11:$B$310,B463)-SUMIFS(Mau15a!$E$11:$E$310,Mau15a!$B$11:$B$310,B463))*G463)</f>
        <v/>
      </c>
      <c r="L463" s="36" t="str">
        <f t="shared" si="38"/>
        <v/>
      </c>
      <c r="M463" s="36" t="str">
        <f>IF(B463="","",BOM!G463&amp;"")</f>
        <v/>
      </c>
      <c r="N463" s="36" t="str">
        <f t="shared" si="39"/>
        <v/>
      </c>
    </row>
    <row r="464" spans="1:14" x14ac:dyDescent="0.25">
      <c r="A464" s="35" t="str">
        <f t="shared" si="35"/>
        <v/>
      </c>
      <c r="B464" s="35" t="str">
        <f>IF(BOM!A464="","",BOM!A464)</f>
        <v/>
      </c>
      <c r="C464" s="35" t="str">
        <f>IF(B464="","",BOM!B464)</f>
        <v/>
      </c>
      <c r="D464" s="35" t="str">
        <f>IF(B464="","",IFERROR(INDEX(DM_NL!$B$5:$B$304,MATCH(C464,DM_NL!$A$5:$A$304,0)),""))</f>
        <v/>
      </c>
      <c r="E464" s="35" t="str">
        <f>IF(B464="","",IFERROR(INDEX(DM_NL!$C$5:$C$304,MATCH(C464,DM_NL!$A$5:$A$304,0)),""))</f>
        <v/>
      </c>
      <c r="F464" s="39" t="str">
        <f>IF(B464="","",SUMIFS(Mau15a!$F$11:$F$310,Mau15a!$B$11:$B$310,B464))</f>
        <v/>
      </c>
      <c r="G464" s="39" t="str">
        <f>IF(B464="","",IF(OR(M464="KXDDM",BOM!F464=""),0,BOM!F464))</f>
        <v/>
      </c>
      <c r="H464" s="39" t="str">
        <f t="shared" si="36"/>
        <v/>
      </c>
      <c r="I464" s="39" t="str">
        <f>IF(B464="","",SUMIFS(Mau15a!$H$11:$H$310,Mau15a!$B$11:$B$310,B464)+SUMIFS(Mau15a!$I$11:$I$310,Mau15a!$B$11:$B$310,B464)+SUMIFS(Mau15a!$J$11:$J$310,Mau15a!$B$11:$B$310,B464)-SUMIFS(Mau15a!$G$11:$G$310,Mau15a!$B$11:$B$310,B464))</f>
        <v/>
      </c>
      <c r="J464" s="39" t="str">
        <f t="shared" si="37"/>
        <v/>
      </c>
      <c r="K464" s="39" t="str">
        <f>IF(B464="","",(SUMIFS(Mau15a!$K$11:$K$310,Mau15a!$B$11:$B$310,B464)-SUMIFS(Mau15a!$E$11:$E$310,Mau15a!$B$11:$B$310,B464))*G464)</f>
        <v/>
      </c>
      <c r="L464" s="36" t="str">
        <f t="shared" si="38"/>
        <v/>
      </c>
      <c r="M464" s="36" t="str">
        <f>IF(B464="","",BOM!G464&amp;"")</f>
        <v/>
      </c>
      <c r="N464" s="36" t="str">
        <f t="shared" si="39"/>
        <v/>
      </c>
    </row>
    <row r="465" spans="1:14" x14ac:dyDescent="0.25">
      <c r="A465" s="35" t="str">
        <f t="shared" si="35"/>
        <v/>
      </c>
      <c r="B465" s="35" t="str">
        <f>IF(BOM!A465="","",BOM!A465)</f>
        <v/>
      </c>
      <c r="C465" s="35" t="str">
        <f>IF(B465="","",BOM!B465)</f>
        <v/>
      </c>
      <c r="D465" s="35" t="str">
        <f>IF(B465="","",IFERROR(INDEX(DM_NL!$B$5:$B$304,MATCH(C465,DM_NL!$A$5:$A$304,0)),""))</f>
        <v/>
      </c>
      <c r="E465" s="35" t="str">
        <f>IF(B465="","",IFERROR(INDEX(DM_NL!$C$5:$C$304,MATCH(C465,DM_NL!$A$5:$A$304,0)),""))</f>
        <v/>
      </c>
      <c r="F465" s="39" t="str">
        <f>IF(B465="","",SUMIFS(Mau15a!$F$11:$F$310,Mau15a!$B$11:$B$310,B465))</f>
        <v/>
      </c>
      <c r="G465" s="39" t="str">
        <f>IF(B465="","",IF(OR(M465="KXDDM",BOM!F465=""),0,BOM!F465))</f>
        <v/>
      </c>
      <c r="H465" s="39" t="str">
        <f t="shared" si="36"/>
        <v/>
      </c>
      <c r="I465" s="39" t="str">
        <f>IF(B465="","",SUMIFS(Mau15a!$H$11:$H$310,Mau15a!$B$11:$B$310,B465)+SUMIFS(Mau15a!$I$11:$I$310,Mau15a!$B$11:$B$310,B465)+SUMIFS(Mau15a!$J$11:$J$310,Mau15a!$B$11:$B$310,B465)-SUMIFS(Mau15a!$G$11:$G$310,Mau15a!$B$11:$B$310,B465))</f>
        <v/>
      </c>
      <c r="J465" s="39" t="str">
        <f t="shared" si="37"/>
        <v/>
      </c>
      <c r="K465" s="39" t="str">
        <f>IF(B465="","",(SUMIFS(Mau15a!$K$11:$K$310,Mau15a!$B$11:$B$310,B465)-SUMIFS(Mau15a!$E$11:$E$310,Mau15a!$B$11:$B$310,B465))*G465)</f>
        <v/>
      </c>
      <c r="L465" s="36" t="str">
        <f t="shared" si="38"/>
        <v/>
      </c>
      <c r="M465" s="36" t="str">
        <f>IF(B465="","",BOM!G465&amp;"")</f>
        <v/>
      </c>
      <c r="N465" s="36" t="str">
        <f t="shared" si="39"/>
        <v/>
      </c>
    </row>
    <row r="466" spans="1:14" x14ac:dyDescent="0.25">
      <c r="A466" s="35" t="str">
        <f t="shared" si="35"/>
        <v/>
      </c>
      <c r="B466" s="35" t="str">
        <f>IF(BOM!A466="","",BOM!A466)</f>
        <v/>
      </c>
      <c r="C466" s="35" t="str">
        <f>IF(B466="","",BOM!B466)</f>
        <v/>
      </c>
      <c r="D466" s="35" t="str">
        <f>IF(B466="","",IFERROR(INDEX(DM_NL!$B$5:$B$304,MATCH(C466,DM_NL!$A$5:$A$304,0)),""))</f>
        <v/>
      </c>
      <c r="E466" s="35" t="str">
        <f>IF(B466="","",IFERROR(INDEX(DM_NL!$C$5:$C$304,MATCH(C466,DM_NL!$A$5:$A$304,0)),""))</f>
        <v/>
      </c>
      <c r="F466" s="39" t="str">
        <f>IF(B466="","",SUMIFS(Mau15a!$F$11:$F$310,Mau15a!$B$11:$B$310,B466))</f>
        <v/>
      </c>
      <c r="G466" s="39" t="str">
        <f>IF(B466="","",IF(OR(M466="KXDDM",BOM!F466=""),0,BOM!F466))</f>
        <v/>
      </c>
      <c r="H466" s="39" t="str">
        <f t="shared" si="36"/>
        <v/>
      </c>
      <c r="I466" s="39" t="str">
        <f>IF(B466="","",SUMIFS(Mau15a!$H$11:$H$310,Mau15a!$B$11:$B$310,B466)+SUMIFS(Mau15a!$I$11:$I$310,Mau15a!$B$11:$B$310,B466)+SUMIFS(Mau15a!$J$11:$J$310,Mau15a!$B$11:$B$310,B466)-SUMIFS(Mau15a!$G$11:$G$310,Mau15a!$B$11:$B$310,B466))</f>
        <v/>
      </c>
      <c r="J466" s="39" t="str">
        <f t="shared" si="37"/>
        <v/>
      </c>
      <c r="K466" s="39" t="str">
        <f>IF(B466="","",(SUMIFS(Mau15a!$K$11:$K$310,Mau15a!$B$11:$B$310,B466)-SUMIFS(Mau15a!$E$11:$E$310,Mau15a!$B$11:$B$310,B466))*G466)</f>
        <v/>
      </c>
      <c r="L466" s="36" t="str">
        <f t="shared" si="38"/>
        <v/>
      </c>
      <c r="M466" s="36" t="str">
        <f>IF(B466="","",BOM!G466&amp;"")</f>
        <v/>
      </c>
      <c r="N466" s="36" t="str">
        <f t="shared" si="39"/>
        <v/>
      </c>
    </row>
    <row r="467" spans="1:14" x14ac:dyDescent="0.25">
      <c r="A467" s="35" t="str">
        <f t="shared" si="35"/>
        <v/>
      </c>
      <c r="B467" s="35" t="str">
        <f>IF(BOM!A467="","",BOM!A467)</f>
        <v/>
      </c>
      <c r="C467" s="35" t="str">
        <f>IF(B467="","",BOM!B467)</f>
        <v/>
      </c>
      <c r="D467" s="35" t="str">
        <f>IF(B467="","",IFERROR(INDEX(DM_NL!$B$5:$B$304,MATCH(C467,DM_NL!$A$5:$A$304,0)),""))</f>
        <v/>
      </c>
      <c r="E467" s="35" t="str">
        <f>IF(B467="","",IFERROR(INDEX(DM_NL!$C$5:$C$304,MATCH(C467,DM_NL!$A$5:$A$304,0)),""))</f>
        <v/>
      </c>
      <c r="F467" s="39" t="str">
        <f>IF(B467="","",SUMIFS(Mau15a!$F$11:$F$310,Mau15a!$B$11:$B$310,B467))</f>
        <v/>
      </c>
      <c r="G467" s="39" t="str">
        <f>IF(B467="","",IF(OR(M467="KXDDM",BOM!F467=""),0,BOM!F467))</f>
        <v/>
      </c>
      <c r="H467" s="39" t="str">
        <f t="shared" si="36"/>
        <v/>
      </c>
      <c r="I467" s="39" t="str">
        <f>IF(B467="","",SUMIFS(Mau15a!$H$11:$H$310,Mau15a!$B$11:$B$310,B467)+SUMIFS(Mau15a!$I$11:$I$310,Mau15a!$B$11:$B$310,B467)+SUMIFS(Mau15a!$J$11:$J$310,Mau15a!$B$11:$B$310,B467)-SUMIFS(Mau15a!$G$11:$G$310,Mau15a!$B$11:$B$310,B467))</f>
        <v/>
      </c>
      <c r="J467" s="39" t="str">
        <f t="shared" si="37"/>
        <v/>
      </c>
      <c r="K467" s="39" t="str">
        <f>IF(B467="","",(SUMIFS(Mau15a!$K$11:$K$310,Mau15a!$B$11:$B$310,B467)-SUMIFS(Mau15a!$E$11:$E$310,Mau15a!$B$11:$B$310,B467))*G467)</f>
        <v/>
      </c>
      <c r="L467" s="36" t="str">
        <f t="shared" si="38"/>
        <v/>
      </c>
      <c r="M467" s="36" t="str">
        <f>IF(B467="","",BOM!G467&amp;"")</f>
        <v/>
      </c>
      <c r="N467" s="36" t="str">
        <f t="shared" si="39"/>
        <v/>
      </c>
    </row>
    <row r="468" spans="1:14" x14ac:dyDescent="0.25">
      <c r="A468" s="35" t="str">
        <f t="shared" si="35"/>
        <v/>
      </c>
      <c r="B468" s="35" t="str">
        <f>IF(BOM!A468="","",BOM!A468)</f>
        <v/>
      </c>
      <c r="C468" s="35" t="str">
        <f>IF(B468="","",BOM!B468)</f>
        <v/>
      </c>
      <c r="D468" s="35" t="str">
        <f>IF(B468="","",IFERROR(INDEX(DM_NL!$B$5:$B$304,MATCH(C468,DM_NL!$A$5:$A$304,0)),""))</f>
        <v/>
      </c>
      <c r="E468" s="35" t="str">
        <f>IF(B468="","",IFERROR(INDEX(DM_NL!$C$5:$C$304,MATCH(C468,DM_NL!$A$5:$A$304,0)),""))</f>
        <v/>
      </c>
      <c r="F468" s="39" t="str">
        <f>IF(B468="","",SUMIFS(Mau15a!$F$11:$F$310,Mau15a!$B$11:$B$310,B468))</f>
        <v/>
      </c>
      <c r="G468" s="39" t="str">
        <f>IF(B468="","",IF(OR(M468="KXDDM",BOM!F468=""),0,BOM!F468))</f>
        <v/>
      </c>
      <c r="H468" s="39" t="str">
        <f t="shared" si="36"/>
        <v/>
      </c>
      <c r="I468" s="39" t="str">
        <f>IF(B468="","",SUMIFS(Mau15a!$H$11:$H$310,Mau15a!$B$11:$B$310,B468)+SUMIFS(Mau15a!$I$11:$I$310,Mau15a!$B$11:$B$310,B468)+SUMIFS(Mau15a!$J$11:$J$310,Mau15a!$B$11:$B$310,B468)-SUMIFS(Mau15a!$G$11:$G$310,Mau15a!$B$11:$B$310,B468))</f>
        <v/>
      </c>
      <c r="J468" s="39" t="str">
        <f t="shared" si="37"/>
        <v/>
      </c>
      <c r="K468" s="39" t="str">
        <f>IF(B468="","",(SUMIFS(Mau15a!$K$11:$K$310,Mau15a!$B$11:$B$310,B468)-SUMIFS(Mau15a!$E$11:$E$310,Mau15a!$B$11:$B$310,B468))*G468)</f>
        <v/>
      </c>
      <c r="L468" s="36" t="str">
        <f t="shared" si="38"/>
        <v/>
      </c>
      <c r="M468" s="36" t="str">
        <f>IF(B468="","",BOM!G468&amp;"")</f>
        <v/>
      </c>
      <c r="N468" s="36" t="str">
        <f t="shared" si="39"/>
        <v/>
      </c>
    </row>
    <row r="469" spans="1:14" x14ac:dyDescent="0.25">
      <c r="A469" s="35" t="str">
        <f t="shared" si="35"/>
        <v/>
      </c>
      <c r="B469" s="35" t="str">
        <f>IF(BOM!A469="","",BOM!A469)</f>
        <v/>
      </c>
      <c r="C469" s="35" t="str">
        <f>IF(B469="","",BOM!B469)</f>
        <v/>
      </c>
      <c r="D469" s="35" t="str">
        <f>IF(B469="","",IFERROR(INDEX(DM_NL!$B$5:$B$304,MATCH(C469,DM_NL!$A$5:$A$304,0)),""))</f>
        <v/>
      </c>
      <c r="E469" s="35" t="str">
        <f>IF(B469="","",IFERROR(INDEX(DM_NL!$C$5:$C$304,MATCH(C469,DM_NL!$A$5:$A$304,0)),""))</f>
        <v/>
      </c>
      <c r="F469" s="39" t="str">
        <f>IF(B469="","",SUMIFS(Mau15a!$F$11:$F$310,Mau15a!$B$11:$B$310,B469))</f>
        <v/>
      </c>
      <c r="G469" s="39" t="str">
        <f>IF(B469="","",IF(OR(M469="KXDDM",BOM!F469=""),0,BOM!F469))</f>
        <v/>
      </c>
      <c r="H469" s="39" t="str">
        <f t="shared" si="36"/>
        <v/>
      </c>
      <c r="I469" s="39" t="str">
        <f>IF(B469="","",SUMIFS(Mau15a!$H$11:$H$310,Mau15a!$B$11:$B$310,B469)+SUMIFS(Mau15a!$I$11:$I$310,Mau15a!$B$11:$B$310,B469)+SUMIFS(Mau15a!$J$11:$J$310,Mau15a!$B$11:$B$310,B469)-SUMIFS(Mau15a!$G$11:$G$310,Mau15a!$B$11:$B$310,B469))</f>
        <v/>
      </c>
      <c r="J469" s="39" t="str">
        <f t="shared" si="37"/>
        <v/>
      </c>
      <c r="K469" s="39" t="str">
        <f>IF(B469="","",(SUMIFS(Mau15a!$K$11:$K$310,Mau15a!$B$11:$B$310,B469)-SUMIFS(Mau15a!$E$11:$E$310,Mau15a!$B$11:$B$310,B469))*G469)</f>
        <v/>
      </c>
      <c r="L469" s="36" t="str">
        <f t="shared" si="38"/>
        <v/>
      </c>
      <c r="M469" s="36" t="str">
        <f>IF(B469="","",BOM!G469&amp;"")</f>
        <v/>
      </c>
      <c r="N469" s="36" t="str">
        <f t="shared" si="39"/>
        <v/>
      </c>
    </row>
    <row r="470" spans="1:14" x14ac:dyDescent="0.25">
      <c r="A470" s="35" t="str">
        <f t="shared" si="35"/>
        <v/>
      </c>
      <c r="B470" s="35" t="str">
        <f>IF(BOM!A470="","",BOM!A470)</f>
        <v/>
      </c>
      <c r="C470" s="35" t="str">
        <f>IF(B470="","",BOM!B470)</f>
        <v/>
      </c>
      <c r="D470" s="35" t="str">
        <f>IF(B470="","",IFERROR(INDEX(DM_NL!$B$5:$B$304,MATCH(C470,DM_NL!$A$5:$A$304,0)),""))</f>
        <v/>
      </c>
      <c r="E470" s="35" t="str">
        <f>IF(B470="","",IFERROR(INDEX(DM_NL!$C$5:$C$304,MATCH(C470,DM_NL!$A$5:$A$304,0)),""))</f>
        <v/>
      </c>
      <c r="F470" s="39" t="str">
        <f>IF(B470="","",SUMIFS(Mau15a!$F$11:$F$310,Mau15a!$B$11:$B$310,B470))</f>
        <v/>
      </c>
      <c r="G470" s="39" t="str">
        <f>IF(B470="","",IF(OR(M470="KXDDM",BOM!F470=""),0,BOM!F470))</f>
        <v/>
      </c>
      <c r="H470" s="39" t="str">
        <f t="shared" si="36"/>
        <v/>
      </c>
      <c r="I470" s="39" t="str">
        <f>IF(B470="","",SUMIFS(Mau15a!$H$11:$H$310,Mau15a!$B$11:$B$310,B470)+SUMIFS(Mau15a!$I$11:$I$310,Mau15a!$B$11:$B$310,B470)+SUMIFS(Mau15a!$J$11:$J$310,Mau15a!$B$11:$B$310,B470)-SUMIFS(Mau15a!$G$11:$G$310,Mau15a!$B$11:$B$310,B470))</f>
        <v/>
      </c>
      <c r="J470" s="39" t="str">
        <f t="shared" si="37"/>
        <v/>
      </c>
      <c r="K470" s="39" t="str">
        <f>IF(B470="","",(SUMIFS(Mau15a!$K$11:$K$310,Mau15a!$B$11:$B$310,B470)-SUMIFS(Mau15a!$E$11:$E$310,Mau15a!$B$11:$B$310,B470))*G470)</f>
        <v/>
      </c>
      <c r="L470" s="36" t="str">
        <f t="shared" si="38"/>
        <v/>
      </c>
      <c r="M470" s="36" t="str">
        <f>IF(B470="","",BOM!G470&amp;"")</f>
        <v/>
      </c>
      <c r="N470" s="36" t="str">
        <f t="shared" si="39"/>
        <v/>
      </c>
    </row>
    <row r="471" spans="1:14" x14ac:dyDescent="0.25">
      <c r="A471" s="35" t="str">
        <f t="shared" si="35"/>
        <v/>
      </c>
      <c r="B471" s="35" t="str">
        <f>IF(BOM!A471="","",BOM!A471)</f>
        <v/>
      </c>
      <c r="C471" s="35" t="str">
        <f>IF(B471="","",BOM!B471)</f>
        <v/>
      </c>
      <c r="D471" s="35" t="str">
        <f>IF(B471="","",IFERROR(INDEX(DM_NL!$B$5:$B$304,MATCH(C471,DM_NL!$A$5:$A$304,0)),""))</f>
        <v/>
      </c>
      <c r="E471" s="35" t="str">
        <f>IF(B471="","",IFERROR(INDEX(DM_NL!$C$5:$C$304,MATCH(C471,DM_NL!$A$5:$A$304,0)),""))</f>
        <v/>
      </c>
      <c r="F471" s="39" t="str">
        <f>IF(B471="","",SUMIFS(Mau15a!$F$11:$F$310,Mau15a!$B$11:$B$310,B471))</f>
        <v/>
      </c>
      <c r="G471" s="39" t="str">
        <f>IF(B471="","",IF(OR(M471="KXDDM",BOM!F471=""),0,BOM!F471))</f>
        <v/>
      </c>
      <c r="H471" s="39" t="str">
        <f t="shared" si="36"/>
        <v/>
      </c>
      <c r="I471" s="39" t="str">
        <f>IF(B471="","",SUMIFS(Mau15a!$H$11:$H$310,Mau15a!$B$11:$B$310,B471)+SUMIFS(Mau15a!$I$11:$I$310,Mau15a!$B$11:$B$310,B471)+SUMIFS(Mau15a!$J$11:$J$310,Mau15a!$B$11:$B$310,B471)-SUMIFS(Mau15a!$G$11:$G$310,Mau15a!$B$11:$B$310,B471))</f>
        <v/>
      </c>
      <c r="J471" s="39" t="str">
        <f t="shared" si="37"/>
        <v/>
      </c>
      <c r="K471" s="39" t="str">
        <f>IF(B471="","",(SUMIFS(Mau15a!$K$11:$K$310,Mau15a!$B$11:$B$310,B471)-SUMIFS(Mau15a!$E$11:$E$310,Mau15a!$B$11:$B$310,B471))*G471)</f>
        <v/>
      </c>
      <c r="L471" s="36" t="str">
        <f t="shared" si="38"/>
        <v/>
      </c>
      <c r="M471" s="36" t="str">
        <f>IF(B471="","",BOM!G471&amp;"")</f>
        <v/>
      </c>
      <c r="N471" s="36" t="str">
        <f t="shared" si="39"/>
        <v/>
      </c>
    </row>
    <row r="472" spans="1:14" x14ac:dyDescent="0.25">
      <c r="A472" s="35" t="str">
        <f t="shared" si="35"/>
        <v/>
      </c>
      <c r="B472" s="35" t="str">
        <f>IF(BOM!A472="","",BOM!A472)</f>
        <v/>
      </c>
      <c r="C472" s="35" t="str">
        <f>IF(B472="","",BOM!B472)</f>
        <v/>
      </c>
      <c r="D472" s="35" t="str">
        <f>IF(B472="","",IFERROR(INDEX(DM_NL!$B$5:$B$304,MATCH(C472,DM_NL!$A$5:$A$304,0)),""))</f>
        <v/>
      </c>
      <c r="E472" s="35" t="str">
        <f>IF(B472="","",IFERROR(INDEX(DM_NL!$C$5:$C$304,MATCH(C472,DM_NL!$A$5:$A$304,0)),""))</f>
        <v/>
      </c>
      <c r="F472" s="39" t="str">
        <f>IF(B472="","",SUMIFS(Mau15a!$F$11:$F$310,Mau15a!$B$11:$B$310,B472))</f>
        <v/>
      </c>
      <c r="G472" s="39" t="str">
        <f>IF(B472="","",IF(OR(M472="KXDDM",BOM!F472=""),0,BOM!F472))</f>
        <v/>
      </c>
      <c r="H472" s="39" t="str">
        <f t="shared" si="36"/>
        <v/>
      </c>
      <c r="I472" s="39" t="str">
        <f>IF(B472="","",SUMIFS(Mau15a!$H$11:$H$310,Mau15a!$B$11:$B$310,B472)+SUMIFS(Mau15a!$I$11:$I$310,Mau15a!$B$11:$B$310,B472)+SUMIFS(Mau15a!$J$11:$J$310,Mau15a!$B$11:$B$310,B472)-SUMIFS(Mau15a!$G$11:$G$310,Mau15a!$B$11:$B$310,B472))</f>
        <v/>
      </c>
      <c r="J472" s="39" t="str">
        <f t="shared" si="37"/>
        <v/>
      </c>
      <c r="K472" s="39" t="str">
        <f>IF(B472="","",(SUMIFS(Mau15a!$K$11:$K$310,Mau15a!$B$11:$B$310,B472)-SUMIFS(Mau15a!$E$11:$E$310,Mau15a!$B$11:$B$310,B472))*G472)</f>
        <v/>
      </c>
      <c r="L472" s="36" t="str">
        <f t="shared" si="38"/>
        <v/>
      </c>
      <c r="M472" s="36" t="str">
        <f>IF(B472="","",BOM!G472&amp;"")</f>
        <v/>
      </c>
      <c r="N472" s="36" t="str">
        <f t="shared" si="39"/>
        <v/>
      </c>
    </row>
    <row r="473" spans="1:14" x14ac:dyDescent="0.25">
      <c r="A473" s="35" t="str">
        <f t="shared" si="35"/>
        <v/>
      </c>
      <c r="B473" s="35" t="str">
        <f>IF(BOM!A473="","",BOM!A473)</f>
        <v/>
      </c>
      <c r="C473" s="35" t="str">
        <f>IF(B473="","",BOM!B473)</f>
        <v/>
      </c>
      <c r="D473" s="35" t="str">
        <f>IF(B473="","",IFERROR(INDEX(DM_NL!$B$5:$B$304,MATCH(C473,DM_NL!$A$5:$A$304,0)),""))</f>
        <v/>
      </c>
      <c r="E473" s="35" t="str">
        <f>IF(B473="","",IFERROR(INDEX(DM_NL!$C$5:$C$304,MATCH(C473,DM_NL!$A$5:$A$304,0)),""))</f>
        <v/>
      </c>
      <c r="F473" s="39" t="str">
        <f>IF(B473="","",SUMIFS(Mau15a!$F$11:$F$310,Mau15a!$B$11:$B$310,B473))</f>
        <v/>
      </c>
      <c r="G473" s="39" t="str">
        <f>IF(B473="","",IF(OR(M473="KXDDM",BOM!F473=""),0,BOM!F473))</f>
        <v/>
      </c>
      <c r="H473" s="39" t="str">
        <f t="shared" si="36"/>
        <v/>
      </c>
      <c r="I473" s="39" t="str">
        <f>IF(B473="","",SUMIFS(Mau15a!$H$11:$H$310,Mau15a!$B$11:$B$310,B473)+SUMIFS(Mau15a!$I$11:$I$310,Mau15a!$B$11:$B$310,B473)+SUMIFS(Mau15a!$J$11:$J$310,Mau15a!$B$11:$B$310,B473)-SUMIFS(Mau15a!$G$11:$G$310,Mau15a!$B$11:$B$310,B473))</f>
        <v/>
      </c>
      <c r="J473" s="39" t="str">
        <f t="shared" si="37"/>
        <v/>
      </c>
      <c r="K473" s="39" t="str">
        <f>IF(B473="","",(SUMIFS(Mau15a!$K$11:$K$310,Mau15a!$B$11:$B$310,B473)-SUMIFS(Mau15a!$E$11:$E$310,Mau15a!$B$11:$B$310,B473))*G473)</f>
        <v/>
      </c>
      <c r="L473" s="36" t="str">
        <f t="shared" si="38"/>
        <v/>
      </c>
      <c r="M473" s="36" t="str">
        <f>IF(B473="","",BOM!G473&amp;"")</f>
        <v/>
      </c>
      <c r="N473" s="36" t="str">
        <f t="shared" si="39"/>
        <v/>
      </c>
    </row>
    <row r="474" spans="1:14" x14ac:dyDescent="0.25">
      <c r="A474" s="35" t="str">
        <f t="shared" si="35"/>
        <v/>
      </c>
      <c r="B474" s="35" t="str">
        <f>IF(BOM!A474="","",BOM!A474)</f>
        <v/>
      </c>
      <c r="C474" s="35" t="str">
        <f>IF(B474="","",BOM!B474)</f>
        <v/>
      </c>
      <c r="D474" s="35" t="str">
        <f>IF(B474="","",IFERROR(INDEX(DM_NL!$B$5:$B$304,MATCH(C474,DM_NL!$A$5:$A$304,0)),""))</f>
        <v/>
      </c>
      <c r="E474" s="35" t="str">
        <f>IF(B474="","",IFERROR(INDEX(DM_NL!$C$5:$C$304,MATCH(C474,DM_NL!$A$5:$A$304,0)),""))</f>
        <v/>
      </c>
      <c r="F474" s="39" t="str">
        <f>IF(B474="","",SUMIFS(Mau15a!$F$11:$F$310,Mau15a!$B$11:$B$310,B474))</f>
        <v/>
      </c>
      <c r="G474" s="39" t="str">
        <f>IF(B474="","",IF(OR(M474="KXDDM",BOM!F474=""),0,BOM!F474))</f>
        <v/>
      </c>
      <c r="H474" s="39" t="str">
        <f t="shared" si="36"/>
        <v/>
      </c>
      <c r="I474" s="39" t="str">
        <f>IF(B474="","",SUMIFS(Mau15a!$H$11:$H$310,Mau15a!$B$11:$B$310,B474)+SUMIFS(Mau15a!$I$11:$I$310,Mau15a!$B$11:$B$310,B474)+SUMIFS(Mau15a!$J$11:$J$310,Mau15a!$B$11:$B$310,B474)-SUMIFS(Mau15a!$G$11:$G$310,Mau15a!$B$11:$B$310,B474))</f>
        <v/>
      </c>
      <c r="J474" s="39" t="str">
        <f t="shared" si="37"/>
        <v/>
      </c>
      <c r="K474" s="39" t="str">
        <f>IF(B474="","",(SUMIFS(Mau15a!$K$11:$K$310,Mau15a!$B$11:$B$310,B474)-SUMIFS(Mau15a!$E$11:$E$310,Mau15a!$B$11:$B$310,B474))*G474)</f>
        <v/>
      </c>
      <c r="L474" s="36" t="str">
        <f t="shared" si="38"/>
        <v/>
      </c>
      <c r="M474" s="36" t="str">
        <f>IF(B474="","",BOM!G474&amp;"")</f>
        <v/>
      </c>
      <c r="N474" s="36" t="str">
        <f t="shared" si="39"/>
        <v/>
      </c>
    </row>
    <row r="475" spans="1:14" x14ac:dyDescent="0.25">
      <c r="A475" s="35" t="str">
        <f t="shared" si="35"/>
        <v/>
      </c>
      <c r="B475" s="35" t="str">
        <f>IF(BOM!A475="","",BOM!A475)</f>
        <v/>
      </c>
      <c r="C475" s="35" t="str">
        <f>IF(B475="","",BOM!B475)</f>
        <v/>
      </c>
      <c r="D475" s="35" t="str">
        <f>IF(B475="","",IFERROR(INDEX(DM_NL!$B$5:$B$304,MATCH(C475,DM_NL!$A$5:$A$304,0)),""))</f>
        <v/>
      </c>
      <c r="E475" s="35" t="str">
        <f>IF(B475="","",IFERROR(INDEX(DM_NL!$C$5:$C$304,MATCH(C475,DM_NL!$A$5:$A$304,0)),""))</f>
        <v/>
      </c>
      <c r="F475" s="39" t="str">
        <f>IF(B475="","",SUMIFS(Mau15a!$F$11:$F$310,Mau15a!$B$11:$B$310,B475))</f>
        <v/>
      </c>
      <c r="G475" s="39" t="str">
        <f>IF(B475="","",IF(OR(M475="KXDDM",BOM!F475=""),0,BOM!F475))</f>
        <v/>
      </c>
      <c r="H475" s="39" t="str">
        <f t="shared" si="36"/>
        <v/>
      </c>
      <c r="I475" s="39" t="str">
        <f>IF(B475="","",SUMIFS(Mau15a!$H$11:$H$310,Mau15a!$B$11:$B$310,B475)+SUMIFS(Mau15a!$I$11:$I$310,Mau15a!$B$11:$B$310,B475)+SUMIFS(Mau15a!$J$11:$J$310,Mau15a!$B$11:$B$310,B475)-SUMIFS(Mau15a!$G$11:$G$310,Mau15a!$B$11:$B$310,B475))</f>
        <v/>
      </c>
      <c r="J475" s="39" t="str">
        <f t="shared" si="37"/>
        <v/>
      </c>
      <c r="K475" s="39" t="str">
        <f>IF(B475="","",(SUMIFS(Mau15a!$K$11:$K$310,Mau15a!$B$11:$B$310,B475)-SUMIFS(Mau15a!$E$11:$E$310,Mau15a!$B$11:$B$310,B475))*G475)</f>
        <v/>
      </c>
      <c r="L475" s="36" t="str">
        <f t="shared" si="38"/>
        <v/>
      </c>
      <c r="M475" s="36" t="str">
        <f>IF(B475="","",BOM!G475&amp;"")</f>
        <v/>
      </c>
      <c r="N475" s="36" t="str">
        <f t="shared" si="39"/>
        <v/>
      </c>
    </row>
    <row r="476" spans="1:14" x14ac:dyDescent="0.25">
      <c r="A476" s="35" t="str">
        <f t="shared" si="35"/>
        <v/>
      </c>
      <c r="B476" s="35" t="str">
        <f>IF(BOM!A476="","",BOM!A476)</f>
        <v/>
      </c>
      <c r="C476" s="35" t="str">
        <f>IF(B476="","",BOM!B476)</f>
        <v/>
      </c>
      <c r="D476" s="35" t="str">
        <f>IF(B476="","",IFERROR(INDEX(DM_NL!$B$5:$B$304,MATCH(C476,DM_NL!$A$5:$A$304,0)),""))</f>
        <v/>
      </c>
      <c r="E476" s="35" t="str">
        <f>IF(B476="","",IFERROR(INDEX(DM_NL!$C$5:$C$304,MATCH(C476,DM_NL!$A$5:$A$304,0)),""))</f>
        <v/>
      </c>
      <c r="F476" s="39" t="str">
        <f>IF(B476="","",SUMIFS(Mau15a!$F$11:$F$310,Mau15a!$B$11:$B$310,B476))</f>
        <v/>
      </c>
      <c r="G476" s="39" t="str">
        <f>IF(B476="","",IF(OR(M476="KXDDM",BOM!F476=""),0,BOM!F476))</f>
        <v/>
      </c>
      <c r="H476" s="39" t="str">
        <f t="shared" si="36"/>
        <v/>
      </c>
      <c r="I476" s="39" t="str">
        <f>IF(B476="","",SUMIFS(Mau15a!$H$11:$H$310,Mau15a!$B$11:$B$310,B476)+SUMIFS(Mau15a!$I$11:$I$310,Mau15a!$B$11:$B$310,B476)+SUMIFS(Mau15a!$J$11:$J$310,Mau15a!$B$11:$B$310,B476)-SUMIFS(Mau15a!$G$11:$G$310,Mau15a!$B$11:$B$310,B476))</f>
        <v/>
      </c>
      <c r="J476" s="39" t="str">
        <f t="shared" si="37"/>
        <v/>
      </c>
      <c r="K476" s="39" t="str">
        <f>IF(B476="","",(SUMIFS(Mau15a!$K$11:$K$310,Mau15a!$B$11:$B$310,B476)-SUMIFS(Mau15a!$E$11:$E$310,Mau15a!$B$11:$B$310,B476))*G476)</f>
        <v/>
      </c>
      <c r="L476" s="36" t="str">
        <f t="shared" si="38"/>
        <v/>
      </c>
      <c r="M476" s="36" t="str">
        <f>IF(B476="","",BOM!G476&amp;"")</f>
        <v/>
      </c>
      <c r="N476" s="36" t="str">
        <f t="shared" si="39"/>
        <v/>
      </c>
    </row>
    <row r="477" spans="1:14" x14ac:dyDescent="0.25">
      <c r="A477" s="35" t="str">
        <f t="shared" si="35"/>
        <v/>
      </c>
      <c r="B477" s="35" t="str">
        <f>IF(BOM!A477="","",BOM!A477)</f>
        <v/>
      </c>
      <c r="C477" s="35" t="str">
        <f>IF(B477="","",BOM!B477)</f>
        <v/>
      </c>
      <c r="D477" s="35" t="str">
        <f>IF(B477="","",IFERROR(INDEX(DM_NL!$B$5:$B$304,MATCH(C477,DM_NL!$A$5:$A$304,0)),""))</f>
        <v/>
      </c>
      <c r="E477" s="35" t="str">
        <f>IF(B477="","",IFERROR(INDEX(DM_NL!$C$5:$C$304,MATCH(C477,DM_NL!$A$5:$A$304,0)),""))</f>
        <v/>
      </c>
      <c r="F477" s="39" t="str">
        <f>IF(B477="","",SUMIFS(Mau15a!$F$11:$F$310,Mau15a!$B$11:$B$310,B477))</f>
        <v/>
      </c>
      <c r="G477" s="39" t="str">
        <f>IF(B477="","",IF(OR(M477="KXDDM",BOM!F477=""),0,BOM!F477))</f>
        <v/>
      </c>
      <c r="H477" s="39" t="str">
        <f t="shared" si="36"/>
        <v/>
      </c>
      <c r="I477" s="39" t="str">
        <f>IF(B477="","",SUMIFS(Mau15a!$H$11:$H$310,Mau15a!$B$11:$B$310,B477)+SUMIFS(Mau15a!$I$11:$I$310,Mau15a!$B$11:$B$310,B477)+SUMIFS(Mau15a!$J$11:$J$310,Mau15a!$B$11:$B$310,B477)-SUMIFS(Mau15a!$G$11:$G$310,Mau15a!$B$11:$B$310,B477))</f>
        <v/>
      </c>
      <c r="J477" s="39" t="str">
        <f t="shared" si="37"/>
        <v/>
      </c>
      <c r="K477" s="39" t="str">
        <f>IF(B477="","",(SUMIFS(Mau15a!$K$11:$K$310,Mau15a!$B$11:$B$310,B477)-SUMIFS(Mau15a!$E$11:$E$310,Mau15a!$B$11:$B$310,B477))*G477)</f>
        <v/>
      </c>
      <c r="L477" s="36" t="str">
        <f t="shared" si="38"/>
        <v/>
      </c>
      <c r="M477" s="36" t="str">
        <f>IF(B477="","",BOM!G477&amp;"")</f>
        <v/>
      </c>
      <c r="N477" s="36" t="str">
        <f t="shared" si="39"/>
        <v/>
      </c>
    </row>
    <row r="478" spans="1:14" x14ac:dyDescent="0.25">
      <c r="A478" s="35" t="str">
        <f t="shared" si="35"/>
        <v/>
      </c>
      <c r="B478" s="35" t="str">
        <f>IF(BOM!A478="","",BOM!A478)</f>
        <v/>
      </c>
      <c r="C478" s="35" t="str">
        <f>IF(B478="","",BOM!B478)</f>
        <v/>
      </c>
      <c r="D478" s="35" t="str">
        <f>IF(B478="","",IFERROR(INDEX(DM_NL!$B$5:$B$304,MATCH(C478,DM_NL!$A$5:$A$304,0)),""))</f>
        <v/>
      </c>
      <c r="E478" s="35" t="str">
        <f>IF(B478="","",IFERROR(INDEX(DM_NL!$C$5:$C$304,MATCH(C478,DM_NL!$A$5:$A$304,0)),""))</f>
        <v/>
      </c>
      <c r="F478" s="39" t="str">
        <f>IF(B478="","",SUMIFS(Mau15a!$F$11:$F$310,Mau15a!$B$11:$B$310,B478))</f>
        <v/>
      </c>
      <c r="G478" s="39" t="str">
        <f>IF(B478="","",IF(OR(M478="KXDDM",BOM!F478=""),0,BOM!F478))</f>
        <v/>
      </c>
      <c r="H478" s="39" t="str">
        <f t="shared" si="36"/>
        <v/>
      </c>
      <c r="I478" s="39" t="str">
        <f>IF(B478="","",SUMIFS(Mau15a!$H$11:$H$310,Mau15a!$B$11:$B$310,B478)+SUMIFS(Mau15a!$I$11:$I$310,Mau15a!$B$11:$B$310,B478)+SUMIFS(Mau15a!$J$11:$J$310,Mau15a!$B$11:$B$310,B478)-SUMIFS(Mau15a!$G$11:$G$310,Mau15a!$B$11:$B$310,B478))</f>
        <v/>
      </c>
      <c r="J478" s="39" t="str">
        <f t="shared" si="37"/>
        <v/>
      </c>
      <c r="K478" s="39" t="str">
        <f>IF(B478="","",(SUMIFS(Mau15a!$K$11:$K$310,Mau15a!$B$11:$B$310,B478)-SUMIFS(Mau15a!$E$11:$E$310,Mau15a!$B$11:$B$310,B478))*G478)</f>
        <v/>
      </c>
      <c r="L478" s="36" t="str">
        <f t="shared" si="38"/>
        <v/>
      </c>
      <c r="M478" s="36" t="str">
        <f>IF(B478="","",BOM!G478&amp;"")</f>
        <v/>
      </c>
      <c r="N478" s="36" t="str">
        <f t="shared" si="39"/>
        <v/>
      </c>
    </row>
    <row r="479" spans="1:14" x14ac:dyDescent="0.25">
      <c r="A479" s="35" t="str">
        <f t="shared" si="35"/>
        <v/>
      </c>
      <c r="B479" s="35" t="str">
        <f>IF(BOM!A479="","",BOM!A479)</f>
        <v/>
      </c>
      <c r="C479" s="35" t="str">
        <f>IF(B479="","",BOM!B479)</f>
        <v/>
      </c>
      <c r="D479" s="35" t="str">
        <f>IF(B479="","",IFERROR(INDEX(DM_NL!$B$5:$B$304,MATCH(C479,DM_NL!$A$5:$A$304,0)),""))</f>
        <v/>
      </c>
      <c r="E479" s="35" t="str">
        <f>IF(B479="","",IFERROR(INDEX(DM_NL!$C$5:$C$304,MATCH(C479,DM_NL!$A$5:$A$304,0)),""))</f>
        <v/>
      </c>
      <c r="F479" s="39" t="str">
        <f>IF(B479="","",SUMIFS(Mau15a!$F$11:$F$310,Mau15a!$B$11:$B$310,B479))</f>
        <v/>
      </c>
      <c r="G479" s="39" t="str">
        <f>IF(B479="","",IF(OR(M479="KXDDM",BOM!F479=""),0,BOM!F479))</f>
        <v/>
      </c>
      <c r="H479" s="39" t="str">
        <f t="shared" si="36"/>
        <v/>
      </c>
      <c r="I479" s="39" t="str">
        <f>IF(B479="","",SUMIFS(Mau15a!$H$11:$H$310,Mau15a!$B$11:$B$310,B479)+SUMIFS(Mau15a!$I$11:$I$310,Mau15a!$B$11:$B$310,B479)+SUMIFS(Mau15a!$J$11:$J$310,Mau15a!$B$11:$B$310,B479)-SUMIFS(Mau15a!$G$11:$G$310,Mau15a!$B$11:$B$310,B479))</f>
        <v/>
      </c>
      <c r="J479" s="39" t="str">
        <f t="shared" si="37"/>
        <v/>
      </c>
      <c r="K479" s="39" t="str">
        <f>IF(B479="","",(SUMIFS(Mau15a!$K$11:$K$310,Mau15a!$B$11:$B$310,B479)-SUMIFS(Mau15a!$E$11:$E$310,Mau15a!$B$11:$B$310,B479))*G479)</f>
        <v/>
      </c>
      <c r="L479" s="36" t="str">
        <f t="shared" si="38"/>
        <v/>
      </c>
      <c r="M479" s="36" t="str">
        <f>IF(B479="","",BOM!G479&amp;"")</f>
        <v/>
      </c>
      <c r="N479" s="36" t="str">
        <f t="shared" si="39"/>
        <v/>
      </c>
    </row>
    <row r="480" spans="1:14" x14ac:dyDescent="0.25">
      <c r="A480" s="35" t="str">
        <f t="shared" si="35"/>
        <v/>
      </c>
      <c r="B480" s="35" t="str">
        <f>IF(BOM!A480="","",BOM!A480)</f>
        <v/>
      </c>
      <c r="C480" s="35" t="str">
        <f>IF(B480="","",BOM!B480)</f>
        <v/>
      </c>
      <c r="D480" s="35" t="str">
        <f>IF(B480="","",IFERROR(INDEX(DM_NL!$B$5:$B$304,MATCH(C480,DM_NL!$A$5:$A$304,0)),""))</f>
        <v/>
      </c>
      <c r="E480" s="35" t="str">
        <f>IF(B480="","",IFERROR(INDEX(DM_NL!$C$5:$C$304,MATCH(C480,DM_NL!$A$5:$A$304,0)),""))</f>
        <v/>
      </c>
      <c r="F480" s="39" t="str">
        <f>IF(B480="","",SUMIFS(Mau15a!$F$11:$F$310,Mau15a!$B$11:$B$310,B480))</f>
        <v/>
      </c>
      <c r="G480" s="39" t="str">
        <f>IF(B480="","",IF(OR(M480="KXDDM",BOM!F480=""),0,BOM!F480))</f>
        <v/>
      </c>
      <c r="H480" s="39" t="str">
        <f t="shared" si="36"/>
        <v/>
      </c>
      <c r="I480" s="39" t="str">
        <f>IF(B480="","",SUMIFS(Mau15a!$H$11:$H$310,Mau15a!$B$11:$B$310,B480)+SUMIFS(Mau15a!$I$11:$I$310,Mau15a!$B$11:$B$310,B480)+SUMIFS(Mau15a!$J$11:$J$310,Mau15a!$B$11:$B$310,B480)-SUMIFS(Mau15a!$G$11:$G$310,Mau15a!$B$11:$B$310,B480))</f>
        <v/>
      </c>
      <c r="J480" s="39" t="str">
        <f t="shared" si="37"/>
        <v/>
      </c>
      <c r="K480" s="39" t="str">
        <f>IF(B480="","",(SUMIFS(Mau15a!$K$11:$K$310,Mau15a!$B$11:$B$310,B480)-SUMIFS(Mau15a!$E$11:$E$310,Mau15a!$B$11:$B$310,B480))*G480)</f>
        <v/>
      </c>
      <c r="L480" s="36" t="str">
        <f t="shared" si="38"/>
        <v/>
      </c>
      <c r="M480" s="36" t="str">
        <f>IF(B480="","",BOM!G480&amp;"")</f>
        <v/>
      </c>
      <c r="N480" s="36" t="str">
        <f t="shared" si="39"/>
        <v/>
      </c>
    </row>
    <row r="481" spans="1:14" x14ac:dyDescent="0.25">
      <c r="A481" s="35" t="str">
        <f t="shared" si="35"/>
        <v/>
      </c>
      <c r="B481" s="35" t="str">
        <f>IF(BOM!A481="","",BOM!A481)</f>
        <v/>
      </c>
      <c r="C481" s="35" t="str">
        <f>IF(B481="","",BOM!B481)</f>
        <v/>
      </c>
      <c r="D481" s="35" t="str">
        <f>IF(B481="","",IFERROR(INDEX(DM_NL!$B$5:$B$304,MATCH(C481,DM_NL!$A$5:$A$304,0)),""))</f>
        <v/>
      </c>
      <c r="E481" s="35" t="str">
        <f>IF(B481="","",IFERROR(INDEX(DM_NL!$C$5:$C$304,MATCH(C481,DM_NL!$A$5:$A$304,0)),""))</f>
        <v/>
      </c>
      <c r="F481" s="39" t="str">
        <f>IF(B481="","",SUMIFS(Mau15a!$F$11:$F$310,Mau15a!$B$11:$B$310,B481))</f>
        <v/>
      </c>
      <c r="G481" s="39" t="str">
        <f>IF(B481="","",IF(OR(M481="KXDDM",BOM!F481=""),0,BOM!F481))</f>
        <v/>
      </c>
      <c r="H481" s="39" t="str">
        <f t="shared" si="36"/>
        <v/>
      </c>
      <c r="I481" s="39" t="str">
        <f>IF(B481="","",SUMIFS(Mau15a!$H$11:$H$310,Mau15a!$B$11:$B$310,B481)+SUMIFS(Mau15a!$I$11:$I$310,Mau15a!$B$11:$B$310,B481)+SUMIFS(Mau15a!$J$11:$J$310,Mau15a!$B$11:$B$310,B481)-SUMIFS(Mau15a!$G$11:$G$310,Mau15a!$B$11:$B$310,B481))</f>
        <v/>
      </c>
      <c r="J481" s="39" t="str">
        <f t="shared" si="37"/>
        <v/>
      </c>
      <c r="K481" s="39" t="str">
        <f>IF(B481="","",(SUMIFS(Mau15a!$K$11:$K$310,Mau15a!$B$11:$B$310,B481)-SUMIFS(Mau15a!$E$11:$E$310,Mau15a!$B$11:$B$310,B481))*G481)</f>
        <v/>
      </c>
      <c r="L481" s="36" t="str">
        <f t="shared" si="38"/>
        <v/>
      </c>
      <c r="M481" s="36" t="str">
        <f>IF(B481="","",BOM!G481&amp;"")</f>
        <v/>
      </c>
      <c r="N481" s="36" t="str">
        <f t="shared" si="39"/>
        <v/>
      </c>
    </row>
    <row r="482" spans="1:14" x14ac:dyDescent="0.25">
      <c r="A482" s="35" t="str">
        <f t="shared" si="35"/>
        <v/>
      </c>
      <c r="B482" s="35" t="str">
        <f>IF(BOM!A482="","",BOM!A482)</f>
        <v/>
      </c>
      <c r="C482" s="35" t="str">
        <f>IF(B482="","",BOM!B482)</f>
        <v/>
      </c>
      <c r="D482" s="35" t="str">
        <f>IF(B482="","",IFERROR(INDEX(DM_NL!$B$5:$B$304,MATCH(C482,DM_NL!$A$5:$A$304,0)),""))</f>
        <v/>
      </c>
      <c r="E482" s="35" t="str">
        <f>IF(B482="","",IFERROR(INDEX(DM_NL!$C$5:$C$304,MATCH(C482,DM_NL!$A$5:$A$304,0)),""))</f>
        <v/>
      </c>
      <c r="F482" s="39" t="str">
        <f>IF(B482="","",SUMIFS(Mau15a!$F$11:$F$310,Mau15a!$B$11:$B$310,B482))</f>
        <v/>
      </c>
      <c r="G482" s="39" t="str">
        <f>IF(B482="","",IF(OR(M482="KXDDM",BOM!F482=""),0,BOM!F482))</f>
        <v/>
      </c>
      <c r="H482" s="39" t="str">
        <f t="shared" si="36"/>
        <v/>
      </c>
      <c r="I482" s="39" t="str">
        <f>IF(B482="","",SUMIFS(Mau15a!$H$11:$H$310,Mau15a!$B$11:$B$310,B482)+SUMIFS(Mau15a!$I$11:$I$310,Mau15a!$B$11:$B$310,B482)+SUMIFS(Mau15a!$J$11:$J$310,Mau15a!$B$11:$B$310,B482)-SUMIFS(Mau15a!$G$11:$G$310,Mau15a!$B$11:$B$310,B482))</f>
        <v/>
      </c>
      <c r="J482" s="39" t="str">
        <f t="shared" si="37"/>
        <v/>
      </c>
      <c r="K482" s="39" t="str">
        <f>IF(B482="","",(SUMIFS(Mau15a!$K$11:$K$310,Mau15a!$B$11:$B$310,B482)-SUMIFS(Mau15a!$E$11:$E$310,Mau15a!$B$11:$B$310,B482))*G482)</f>
        <v/>
      </c>
      <c r="L482" s="36" t="str">
        <f t="shared" si="38"/>
        <v/>
      </c>
      <c r="M482" s="36" t="str">
        <f>IF(B482="","",BOM!G482&amp;"")</f>
        <v/>
      </c>
      <c r="N482" s="36" t="str">
        <f t="shared" si="39"/>
        <v/>
      </c>
    </row>
    <row r="483" spans="1:14" x14ac:dyDescent="0.25">
      <c r="A483" s="35" t="str">
        <f t="shared" si="35"/>
        <v/>
      </c>
      <c r="B483" s="35" t="str">
        <f>IF(BOM!A483="","",BOM!A483)</f>
        <v/>
      </c>
      <c r="C483" s="35" t="str">
        <f>IF(B483="","",BOM!B483)</f>
        <v/>
      </c>
      <c r="D483" s="35" t="str">
        <f>IF(B483="","",IFERROR(INDEX(DM_NL!$B$5:$B$304,MATCH(C483,DM_NL!$A$5:$A$304,0)),""))</f>
        <v/>
      </c>
      <c r="E483" s="35" t="str">
        <f>IF(B483="","",IFERROR(INDEX(DM_NL!$C$5:$C$304,MATCH(C483,DM_NL!$A$5:$A$304,0)),""))</f>
        <v/>
      </c>
      <c r="F483" s="39" t="str">
        <f>IF(B483="","",SUMIFS(Mau15a!$F$11:$F$310,Mau15a!$B$11:$B$310,B483))</f>
        <v/>
      </c>
      <c r="G483" s="39" t="str">
        <f>IF(B483="","",IF(OR(M483="KXDDM",BOM!F483=""),0,BOM!F483))</f>
        <v/>
      </c>
      <c r="H483" s="39" t="str">
        <f t="shared" si="36"/>
        <v/>
      </c>
      <c r="I483" s="39" t="str">
        <f>IF(B483="","",SUMIFS(Mau15a!$H$11:$H$310,Mau15a!$B$11:$B$310,B483)+SUMIFS(Mau15a!$I$11:$I$310,Mau15a!$B$11:$B$310,B483)+SUMIFS(Mau15a!$J$11:$J$310,Mau15a!$B$11:$B$310,B483)-SUMIFS(Mau15a!$G$11:$G$310,Mau15a!$B$11:$B$310,B483))</f>
        <v/>
      </c>
      <c r="J483" s="39" t="str">
        <f t="shared" si="37"/>
        <v/>
      </c>
      <c r="K483" s="39" t="str">
        <f>IF(B483="","",(SUMIFS(Mau15a!$K$11:$K$310,Mau15a!$B$11:$B$310,B483)-SUMIFS(Mau15a!$E$11:$E$310,Mau15a!$B$11:$B$310,B483))*G483)</f>
        <v/>
      </c>
      <c r="L483" s="36" t="str">
        <f t="shared" si="38"/>
        <v/>
      </c>
      <c r="M483" s="36" t="str">
        <f>IF(B483="","",BOM!G483&amp;"")</f>
        <v/>
      </c>
      <c r="N483" s="36" t="str">
        <f t="shared" si="39"/>
        <v/>
      </c>
    </row>
    <row r="484" spans="1:14" x14ac:dyDescent="0.25">
      <c r="A484" s="35" t="str">
        <f t="shared" si="35"/>
        <v/>
      </c>
      <c r="B484" s="35" t="str">
        <f>IF(BOM!A484="","",BOM!A484)</f>
        <v/>
      </c>
      <c r="C484" s="35" t="str">
        <f>IF(B484="","",BOM!B484)</f>
        <v/>
      </c>
      <c r="D484" s="35" t="str">
        <f>IF(B484="","",IFERROR(INDEX(DM_NL!$B$5:$B$304,MATCH(C484,DM_NL!$A$5:$A$304,0)),""))</f>
        <v/>
      </c>
      <c r="E484" s="35" t="str">
        <f>IF(B484="","",IFERROR(INDEX(DM_NL!$C$5:$C$304,MATCH(C484,DM_NL!$A$5:$A$304,0)),""))</f>
        <v/>
      </c>
      <c r="F484" s="39" t="str">
        <f>IF(B484="","",SUMIFS(Mau15a!$F$11:$F$310,Mau15a!$B$11:$B$310,B484))</f>
        <v/>
      </c>
      <c r="G484" s="39" t="str">
        <f>IF(B484="","",IF(OR(M484="KXDDM",BOM!F484=""),0,BOM!F484))</f>
        <v/>
      </c>
      <c r="H484" s="39" t="str">
        <f t="shared" si="36"/>
        <v/>
      </c>
      <c r="I484" s="39" t="str">
        <f>IF(B484="","",SUMIFS(Mau15a!$H$11:$H$310,Mau15a!$B$11:$B$310,B484)+SUMIFS(Mau15a!$I$11:$I$310,Mau15a!$B$11:$B$310,B484)+SUMIFS(Mau15a!$J$11:$J$310,Mau15a!$B$11:$B$310,B484)-SUMIFS(Mau15a!$G$11:$G$310,Mau15a!$B$11:$B$310,B484))</f>
        <v/>
      </c>
      <c r="J484" s="39" t="str">
        <f t="shared" si="37"/>
        <v/>
      </c>
      <c r="K484" s="39" t="str">
        <f>IF(B484="","",(SUMIFS(Mau15a!$K$11:$K$310,Mau15a!$B$11:$B$310,B484)-SUMIFS(Mau15a!$E$11:$E$310,Mau15a!$B$11:$B$310,B484))*G484)</f>
        <v/>
      </c>
      <c r="L484" s="36" t="str">
        <f t="shared" si="38"/>
        <v/>
      </c>
      <c r="M484" s="36" t="str">
        <f>IF(B484="","",BOM!G484&amp;"")</f>
        <v/>
      </c>
      <c r="N484" s="36" t="str">
        <f t="shared" si="39"/>
        <v/>
      </c>
    </row>
    <row r="485" spans="1:14" x14ac:dyDescent="0.25">
      <c r="A485" s="35" t="str">
        <f t="shared" si="35"/>
        <v/>
      </c>
      <c r="B485" s="35" t="str">
        <f>IF(BOM!A485="","",BOM!A485)</f>
        <v/>
      </c>
      <c r="C485" s="35" t="str">
        <f>IF(B485="","",BOM!B485)</f>
        <v/>
      </c>
      <c r="D485" s="35" t="str">
        <f>IF(B485="","",IFERROR(INDEX(DM_NL!$B$5:$B$304,MATCH(C485,DM_NL!$A$5:$A$304,0)),""))</f>
        <v/>
      </c>
      <c r="E485" s="35" t="str">
        <f>IF(B485="","",IFERROR(INDEX(DM_NL!$C$5:$C$304,MATCH(C485,DM_NL!$A$5:$A$304,0)),""))</f>
        <v/>
      </c>
      <c r="F485" s="39" t="str">
        <f>IF(B485="","",SUMIFS(Mau15a!$F$11:$F$310,Mau15a!$B$11:$B$310,B485))</f>
        <v/>
      </c>
      <c r="G485" s="39" t="str">
        <f>IF(B485="","",IF(OR(M485="KXDDM",BOM!F485=""),0,BOM!F485))</f>
        <v/>
      </c>
      <c r="H485" s="39" t="str">
        <f t="shared" si="36"/>
        <v/>
      </c>
      <c r="I485" s="39" t="str">
        <f>IF(B485="","",SUMIFS(Mau15a!$H$11:$H$310,Mau15a!$B$11:$B$310,B485)+SUMIFS(Mau15a!$I$11:$I$310,Mau15a!$B$11:$B$310,B485)+SUMIFS(Mau15a!$J$11:$J$310,Mau15a!$B$11:$B$310,B485)-SUMIFS(Mau15a!$G$11:$G$310,Mau15a!$B$11:$B$310,B485))</f>
        <v/>
      </c>
      <c r="J485" s="39" t="str">
        <f t="shared" si="37"/>
        <v/>
      </c>
      <c r="K485" s="39" t="str">
        <f>IF(B485="","",(SUMIFS(Mau15a!$K$11:$K$310,Mau15a!$B$11:$B$310,B485)-SUMIFS(Mau15a!$E$11:$E$310,Mau15a!$B$11:$B$310,B485))*G485)</f>
        <v/>
      </c>
      <c r="L485" s="36" t="str">
        <f t="shared" si="38"/>
        <v/>
      </c>
      <c r="M485" s="36" t="str">
        <f>IF(B485="","",BOM!G485&amp;"")</f>
        <v/>
      </c>
      <c r="N485" s="36" t="str">
        <f t="shared" si="39"/>
        <v/>
      </c>
    </row>
    <row r="486" spans="1:14" x14ac:dyDescent="0.25">
      <c r="A486" s="35" t="str">
        <f t="shared" si="35"/>
        <v/>
      </c>
      <c r="B486" s="35" t="str">
        <f>IF(BOM!A486="","",BOM!A486)</f>
        <v/>
      </c>
      <c r="C486" s="35" t="str">
        <f>IF(B486="","",BOM!B486)</f>
        <v/>
      </c>
      <c r="D486" s="35" t="str">
        <f>IF(B486="","",IFERROR(INDEX(DM_NL!$B$5:$B$304,MATCH(C486,DM_NL!$A$5:$A$304,0)),""))</f>
        <v/>
      </c>
      <c r="E486" s="35" t="str">
        <f>IF(B486="","",IFERROR(INDEX(DM_NL!$C$5:$C$304,MATCH(C486,DM_NL!$A$5:$A$304,0)),""))</f>
        <v/>
      </c>
      <c r="F486" s="39" t="str">
        <f>IF(B486="","",SUMIFS(Mau15a!$F$11:$F$310,Mau15a!$B$11:$B$310,B486))</f>
        <v/>
      </c>
      <c r="G486" s="39" t="str">
        <f>IF(B486="","",IF(OR(M486="KXDDM",BOM!F486=""),0,BOM!F486))</f>
        <v/>
      </c>
      <c r="H486" s="39" t="str">
        <f t="shared" si="36"/>
        <v/>
      </c>
      <c r="I486" s="39" t="str">
        <f>IF(B486="","",SUMIFS(Mau15a!$H$11:$H$310,Mau15a!$B$11:$B$310,B486)+SUMIFS(Mau15a!$I$11:$I$310,Mau15a!$B$11:$B$310,B486)+SUMIFS(Mau15a!$J$11:$J$310,Mau15a!$B$11:$B$310,B486)-SUMIFS(Mau15a!$G$11:$G$310,Mau15a!$B$11:$B$310,B486))</f>
        <v/>
      </c>
      <c r="J486" s="39" t="str">
        <f t="shared" si="37"/>
        <v/>
      </c>
      <c r="K486" s="39" t="str">
        <f>IF(B486="","",(SUMIFS(Mau15a!$K$11:$K$310,Mau15a!$B$11:$B$310,B486)-SUMIFS(Mau15a!$E$11:$E$310,Mau15a!$B$11:$B$310,B486))*G486)</f>
        <v/>
      </c>
      <c r="L486" s="36" t="str">
        <f t="shared" si="38"/>
        <v/>
      </c>
      <c r="M486" s="36" t="str">
        <f>IF(B486="","",BOM!G486&amp;"")</f>
        <v/>
      </c>
      <c r="N486" s="36" t="str">
        <f t="shared" si="39"/>
        <v/>
      </c>
    </row>
    <row r="487" spans="1:14" x14ac:dyDescent="0.25">
      <c r="A487" s="35" t="str">
        <f t="shared" si="35"/>
        <v/>
      </c>
      <c r="B487" s="35" t="str">
        <f>IF(BOM!A487="","",BOM!A487)</f>
        <v/>
      </c>
      <c r="C487" s="35" t="str">
        <f>IF(B487="","",BOM!B487)</f>
        <v/>
      </c>
      <c r="D487" s="35" t="str">
        <f>IF(B487="","",IFERROR(INDEX(DM_NL!$B$5:$B$304,MATCH(C487,DM_NL!$A$5:$A$304,0)),""))</f>
        <v/>
      </c>
      <c r="E487" s="35" t="str">
        <f>IF(B487="","",IFERROR(INDEX(DM_NL!$C$5:$C$304,MATCH(C487,DM_NL!$A$5:$A$304,0)),""))</f>
        <v/>
      </c>
      <c r="F487" s="39" t="str">
        <f>IF(B487="","",SUMIFS(Mau15a!$F$11:$F$310,Mau15a!$B$11:$B$310,B487))</f>
        <v/>
      </c>
      <c r="G487" s="39" t="str">
        <f>IF(B487="","",IF(OR(M487="KXDDM",BOM!F487=""),0,BOM!F487))</f>
        <v/>
      </c>
      <c r="H487" s="39" t="str">
        <f t="shared" si="36"/>
        <v/>
      </c>
      <c r="I487" s="39" t="str">
        <f>IF(B487="","",SUMIFS(Mau15a!$H$11:$H$310,Mau15a!$B$11:$B$310,B487)+SUMIFS(Mau15a!$I$11:$I$310,Mau15a!$B$11:$B$310,B487)+SUMIFS(Mau15a!$J$11:$J$310,Mau15a!$B$11:$B$310,B487)-SUMIFS(Mau15a!$G$11:$G$310,Mau15a!$B$11:$B$310,B487))</f>
        <v/>
      </c>
      <c r="J487" s="39" t="str">
        <f t="shared" si="37"/>
        <v/>
      </c>
      <c r="K487" s="39" t="str">
        <f>IF(B487="","",(SUMIFS(Mau15a!$K$11:$K$310,Mau15a!$B$11:$B$310,B487)-SUMIFS(Mau15a!$E$11:$E$310,Mau15a!$B$11:$B$310,B487))*G487)</f>
        <v/>
      </c>
      <c r="L487" s="36" t="str">
        <f t="shared" si="38"/>
        <v/>
      </c>
      <c r="M487" s="36" t="str">
        <f>IF(B487="","",BOM!G487&amp;"")</f>
        <v/>
      </c>
      <c r="N487" s="36" t="str">
        <f t="shared" si="39"/>
        <v/>
      </c>
    </row>
    <row r="488" spans="1:14" x14ac:dyDescent="0.25">
      <c r="A488" s="35" t="str">
        <f t="shared" si="35"/>
        <v/>
      </c>
      <c r="B488" s="35" t="str">
        <f>IF(BOM!A488="","",BOM!A488)</f>
        <v/>
      </c>
      <c r="C488" s="35" t="str">
        <f>IF(B488="","",BOM!B488)</f>
        <v/>
      </c>
      <c r="D488" s="35" t="str">
        <f>IF(B488="","",IFERROR(INDEX(DM_NL!$B$5:$B$304,MATCH(C488,DM_NL!$A$5:$A$304,0)),""))</f>
        <v/>
      </c>
      <c r="E488" s="35" t="str">
        <f>IF(B488="","",IFERROR(INDEX(DM_NL!$C$5:$C$304,MATCH(C488,DM_NL!$A$5:$A$304,0)),""))</f>
        <v/>
      </c>
      <c r="F488" s="39" t="str">
        <f>IF(B488="","",SUMIFS(Mau15a!$F$11:$F$310,Mau15a!$B$11:$B$310,B488))</f>
        <v/>
      </c>
      <c r="G488" s="39" t="str">
        <f>IF(B488="","",IF(OR(M488="KXDDM",BOM!F488=""),0,BOM!F488))</f>
        <v/>
      </c>
      <c r="H488" s="39" t="str">
        <f t="shared" si="36"/>
        <v/>
      </c>
      <c r="I488" s="39" t="str">
        <f>IF(B488="","",SUMIFS(Mau15a!$H$11:$H$310,Mau15a!$B$11:$B$310,B488)+SUMIFS(Mau15a!$I$11:$I$310,Mau15a!$B$11:$B$310,B488)+SUMIFS(Mau15a!$J$11:$J$310,Mau15a!$B$11:$B$310,B488)-SUMIFS(Mau15a!$G$11:$G$310,Mau15a!$B$11:$B$310,B488))</f>
        <v/>
      </c>
      <c r="J488" s="39" t="str">
        <f t="shared" si="37"/>
        <v/>
      </c>
      <c r="K488" s="39" t="str">
        <f>IF(B488="","",(SUMIFS(Mau15a!$K$11:$K$310,Mau15a!$B$11:$B$310,B488)-SUMIFS(Mau15a!$E$11:$E$310,Mau15a!$B$11:$B$310,B488))*G488)</f>
        <v/>
      </c>
      <c r="L488" s="36" t="str">
        <f t="shared" si="38"/>
        <v/>
      </c>
      <c r="M488" s="36" t="str">
        <f>IF(B488="","",BOM!G488&amp;"")</f>
        <v/>
      </c>
      <c r="N488" s="36" t="str">
        <f t="shared" si="39"/>
        <v/>
      </c>
    </row>
    <row r="489" spans="1:14" x14ac:dyDescent="0.25">
      <c r="A489" s="35" t="str">
        <f t="shared" si="35"/>
        <v/>
      </c>
      <c r="B489" s="35" t="str">
        <f>IF(BOM!A489="","",BOM!A489)</f>
        <v/>
      </c>
      <c r="C489" s="35" t="str">
        <f>IF(B489="","",BOM!B489)</f>
        <v/>
      </c>
      <c r="D489" s="35" t="str">
        <f>IF(B489="","",IFERROR(INDEX(DM_NL!$B$5:$B$304,MATCH(C489,DM_NL!$A$5:$A$304,0)),""))</f>
        <v/>
      </c>
      <c r="E489" s="35" t="str">
        <f>IF(B489="","",IFERROR(INDEX(DM_NL!$C$5:$C$304,MATCH(C489,DM_NL!$A$5:$A$304,0)),""))</f>
        <v/>
      </c>
      <c r="F489" s="39" t="str">
        <f>IF(B489="","",SUMIFS(Mau15a!$F$11:$F$310,Mau15a!$B$11:$B$310,B489))</f>
        <v/>
      </c>
      <c r="G489" s="39" t="str">
        <f>IF(B489="","",IF(OR(M489="KXDDM",BOM!F489=""),0,BOM!F489))</f>
        <v/>
      </c>
      <c r="H489" s="39" t="str">
        <f t="shared" si="36"/>
        <v/>
      </c>
      <c r="I489" s="39" t="str">
        <f>IF(B489="","",SUMIFS(Mau15a!$H$11:$H$310,Mau15a!$B$11:$B$310,B489)+SUMIFS(Mau15a!$I$11:$I$310,Mau15a!$B$11:$B$310,B489)+SUMIFS(Mau15a!$J$11:$J$310,Mau15a!$B$11:$B$310,B489)-SUMIFS(Mau15a!$G$11:$G$310,Mau15a!$B$11:$B$310,B489))</f>
        <v/>
      </c>
      <c r="J489" s="39" t="str">
        <f t="shared" si="37"/>
        <v/>
      </c>
      <c r="K489" s="39" t="str">
        <f>IF(B489="","",(SUMIFS(Mau15a!$K$11:$K$310,Mau15a!$B$11:$B$310,B489)-SUMIFS(Mau15a!$E$11:$E$310,Mau15a!$B$11:$B$310,B489))*G489)</f>
        <v/>
      </c>
      <c r="L489" s="36" t="str">
        <f t="shared" si="38"/>
        <v/>
      </c>
      <c r="M489" s="36" t="str">
        <f>IF(B489="","",BOM!G489&amp;"")</f>
        <v/>
      </c>
      <c r="N489" s="36" t="str">
        <f t="shared" si="39"/>
        <v/>
      </c>
    </row>
    <row r="490" spans="1:14" x14ac:dyDescent="0.25">
      <c r="A490" s="35" t="str">
        <f t="shared" si="35"/>
        <v/>
      </c>
      <c r="B490" s="35" t="str">
        <f>IF(BOM!A490="","",BOM!A490)</f>
        <v/>
      </c>
      <c r="C490" s="35" t="str">
        <f>IF(B490="","",BOM!B490)</f>
        <v/>
      </c>
      <c r="D490" s="35" t="str">
        <f>IF(B490="","",IFERROR(INDEX(DM_NL!$B$5:$B$304,MATCH(C490,DM_NL!$A$5:$A$304,0)),""))</f>
        <v/>
      </c>
      <c r="E490" s="35" t="str">
        <f>IF(B490="","",IFERROR(INDEX(DM_NL!$C$5:$C$304,MATCH(C490,DM_NL!$A$5:$A$304,0)),""))</f>
        <v/>
      </c>
      <c r="F490" s="39" t="str">
        <f>IF(B490="","",SUMIFS(Mau15a!$F$11:$F$310,Mau15a!$B$11:$B$310,B490))</f>
        <v/>
      </c>
      <c r="G490" s="39" t="str">
        <f>IF(B490="","",IF(OR(M490="KXDDM",BOM!F490=""),0,BOM!F490))</f>
        <v/>
      </c>
      <c r="H490" s="39" t="str">
        <f t="shared" si="36"/>
        <v/>
      </c>
      <c r="I490" s="39" t="str">
        <f>IF(B490="","",SUMIFS(Mau15a!$H$11:$H$310,Mau15a!$B$11:$B$310,B490)+SUMIFS(Mau15a!$I$11:$I$310,Mau15a!$B$11:$B$310,B490)+SUMIFS(Mau15a!$J$11:$J$310,Mau15a!$B$11:$B$310,B490)-SUMIFS(Mau15a!$G$11:$G$310,Mau15a!$B$11:$B$310,B490))</f>
        <v/>
      </c>
      <c r="J490" s="39" t="str">
        <f t="shared" si="37"/>
        <v/>
      </c>
      <c r="K490" s="39" t="str">
        <f>IF(B490="","",(SUMIFS(Mau15a!$K$11:$K$310,Mau15a!$B$11:$B$310,B490)-SUMIFS(Mau15a!$E$11:$E$310,Mau15a!$B$11:$B$310,B490))*G490)</f>
        <v/>
      </c>
      <c r="L490" s="36" t="str">
        <f t="shared" si="38"/>
        <v/>
      </c>
      <c r="M490" s="36" t="str">
        <f>IF(B490="","",BOM!G490&amp;"")</f>
        <v/>
      </c>
      <c r="N490" s="36" t="str">
        <f t="shared" si="39"/>
        <v/>
      </c>
    </row>
    <row r="491" spans="1:14" x14ac:dyDescent="0.25">
      <c r="A491" s="35" t="str">
        <f t="shared" si="35"/>
        <v/>
      </c>
      <c r="B491" s="35" t="str">
        <f>IF(BOM!A491="","",BOM!A491)</f>
        <v/>
      </c>
      <c r="C491" s="35" t="str">
        <f>IF(B491="","",BOM!B491)</f>
        <v/>
      </c>
      <c r="D491" s="35" t="str">
        <f>IF(B491="","",IFERROR(INDEX(DM_NL!$B$5:$B$304,MATCH(C491,DM_NL!$A$5:$A$304,0)),""))</f>
        <v/>
      </c>
      <c r="E491" s="35" t="str">
        <f>IF(B491="","",IFERROR(INDEX(DM_NL!$C$5:$C$304,MATCH(C491,DM_NL!$A$5:$A$304,0)),""))</f>
        <v/>
      </c>
      <c r="F491" s="39" t="str">
        <f>IF(B491="","",SUMIFS(Mau15a!$F$11:$F$310,Mau15a!$B$11:$B$310,B491))</f>
        <v/>
      </c>
      <c r="G491" s="39" t="str">
        <f>IF(B491="","",IF(OR(M491="KXDDM",BOM!F491=""),0,BOM!F491))</f>
        <v/>
      </c>
      <c r="H491" s="39" t="str">
        <f t="shared" si="36"/>
        <v/>
      </c>
      <c r="I491" s="39" t="str">
        <f>IF(B491="","",SUMIFS(Mau15a!$H$11:$H$310,Mau15a!$B$11:$B$310,B491)+SUMIFS(Mau15a!$I$11:$I$310,Mau15a!$B$11:$B$310,B491)+SUMIFS(Mau15a!$J$11:$J$310,Mau15a!$B$11:$B$310,B491)-SUMIFS(Mau15a!$G$11:$G$310,Mau15a!$B$11:$B$310,B491))</f>
        <v/>
      </c>
      <c r="J491" s="39" t="str">
        <f t="shared" si="37"/>
        <v/>
      </c>
      <c r="K491" s="39" t="str">
        <f>IF(B491="","",(SUMIFS(Mau15a!$K$11:$K$310,Mau15a!$B$11:$B$310,B491)-SUMIFS(Mau15a!$E$11:$E$310,Mau15a!$B$11:$B$310,B491))*G491)</f>
        <v/>
      </c>
      <c r="L491" s="36" t="str">
        <f t="shared" si="38"/>
        <v/>
      </c>
      <c r="M491" s="36" t="str">
        <f>IF(B491="","",BOM!G491&amp;"")</f>
        <v/>
      </c>
      <c r="N491" s="36" t="str">
        <f t="shared" si="39"/>
        <v/>
      </c>
    </row>
    <row r="492" spans="1:14" x14ac:dyDescent="0.25">
      <c r="A492" s="35" t="str">
        <f t="shared" si="35"/>
        <v/>
      </c>
      <c r="B492" s="35" t="str">
        <f>IF(BOM!A492="","",BOM!A492)</f>
        <v/>
      </c>
      <c r="C492" s="35" t="str">
        <f>IF(B492="","",BOM!B492)</f>
        <v/>
      </c>
      <c r="D492" s="35" t="str">
        <f>IF(B492="","",IFERROR(INDEX(DM_NL!$B$5:$B$304,MATCH(C492,DM_NL!$A$5:$A$304,0)),""))</f>
        <v/>
      </c>
      <c r="E492" s="35" t="str">
        <f>IF(B492="","",IFERROR(INDEX(DM_NL!$C$5:$C$304,MATCH(C492,DM_NL!$A$5:$A$304,0)),""))</f>
        <v/>
      </c>
      <c r="F492" s="39" t="str">
        <f>IF(B492="","",SUMIFS(Mau15a!$F$11:$F$310,Mau15a!$B$11:$B$310,B492))</f>
        <v/>
      </c>
      <c r="G492" s="39" t="str">
        <f>IF(B492="","",IF(OR(M492="KXDDM",BOM!F492=""),0,BOM!F492))</f>
        <v/>
      </c>
      <c r="H492" s="39" t="str">
        <f t="shared" si="36"/>
        <v/>
      </c>
      <c r="I492" s="39" t="str">
        <f>IF(B492="","",SUMIFS(Mau15a!$H$11:$H$310,Mau15a!$B$11:$B$310,B492)+SUMIFS(Mau15a!$I$11:$I$310,Mau15a!$B$11:$B$310,B492)+SUMIFS(Mau15a!$J$11:$J$310,Mau15a!$B$11:$B$310,B492)-SUMIFS(Mau15a!$G$11:$G$310,Mau15a!$B$11:$B$310,B492))</f>
        <v/>
      </c>
      <c r="J492" s="39" t="str">
        <f t="shared" si="37"/>
        <v/>
      </c>
      <c r="K492" s="39" t="str">
        <f>IF(B492="","",(SUMIFS(Mau15a!$K$11:$K$310,Mau15a!$B$11:$B$310,B492)-SUMIFS(Mau15a!$E$11:$E$310,Mau15a!$B$11:$B$310,B492))*G492)</f>
        <v/>
      </c>
      <c r="L492" s="36" t="str">
        <f t="shared" si="38"/>
        <v/>
      </c>
      <c r="M492" s="36" t="str">
        <f>IF(B492="","",BOM!G492&amp;"")</f>
        <v/>
      </c>
      <c r="N492" s="36" t="str">
        <f t="shared" si="39"/>
        <v/>
      </c>
    </row>
    <row r="493" spans="1:14" x14ac:dyDescent="0.25">
      <c r="A493" s="35" t="str">
        <f t="shared" si="35"/>
        <v/>
      </c>
      <c r="B493" s="35" t="str">
        <f>IF(BOM!A493="","",BOM!A493)</f>
        <v/>
      </c>
      <c r="C493" s="35" t="str">
        <f>IF(B493="","",BOM!B493)</f>
        <v/>
      </c>
      <c r="D493" s="35" t="str">
        <f>IF(B493="","",IFERROR(INDEX(DM_NL!$B$5:$B$304,MATCH(C493,DM_NL!$A$5:$A$304,0)),""))</f>
        <v/>
      </c>
      <c r="E493" s="35" t="str">
        <f>IF(B493="","",IFERROR(INDEX(DM_NL!$C$5:$C$304,MATCH(C493,DM_NL!$A$5:$A$304,0)),""))</f>
        <v/>
      </c>
      <c r="F493" s="39" t="str">
        <f>IF(B493="","",SUMIFS(Mau15a!$F$11:$F$310,Mau15a!$B$11:$B$310,B493))</f>
        <v/>
      </c>
      <c r="G493" s="39" t="str">
        <f>IF(B493="","",IF(OR(M493="KXDDM",BOM!F493=""),0,BOM!F493))</f>
        <v/>
      </c>
      <c r="H493" s="39" t="str">
        <f t="shared" si="36"/>
        <v/>
      </c>
      <c r="I493" s="39" t="str">
        <f>IF(B493="","",SUMIFS(Mau15a!$H$11:$H$310,Mau15a!$B$11:$B$310,B493)+SUMIFS(Mau15a!$I$11:$I$310,Mau15a!$B$11:$B$310,B493)+SUMIFS(Mau15a!$J$11:$J$310,Mau15a!$B$11:$B$310,B493)-SUMIFS(Mau15a!$G$11:$G$310,Mau15a!$B$11:$B$310,B493))</f>
        <v/>
      </c>
      <c r="J493" s="39" t="str">
        <f t="shared" si="37"/>
        <v/>
      </c>
      <c r="K493" s="39" t="str">
        <f>IF(B493="","",(SUMIFS(Mau15a!$K$11:$K$310,Mau15a!$B$11:$B$310,B493)-SUMIFS(Mau15a!$E$11:$E$310,Mau15a!$B$11:$B$310,B493))*G493)</f>
        <v/>
      </c>
      <c r="L493" s="36" t="str">
        <f t="shared" si="38"/>
        <v/>
      </c>
      <c r="M493" s="36" t="str">
        <f>IF(B493="","",BOM!G493&amp;"")</f>
        <v/>
      </c>
      <c r="N493" s="36" t="str">
        <f t="shared" si="39"/>
        <v/>
      </c>
    </row>
    <row r="494" spans="1:14" x14ac:dyDescent="0.25">
      <c r="A494" s="35" t="str">
        <f t="shared" si="35"/>
        <v/>
      </c>
      <c r="B494" s="35" t="str">
        <f>IF(BOM!A494="","",BOM!A494)</f>
        <v/>
      </c>
      <c r="C494" s="35" t="str">
        <f>IF(B494="","",BOM!B494)</f>
        <v/>
      </c>
      <c r="D494" s="35" t="str">
        <f>IF(B494="","",IFERROR(INDEX(DM_NL!$B$5:$B$304,MATCH(C494,DM_NL!$A$5:$A$304,0)),""))</f>
        <v/>
      </c>
      <c r="E494" s="35" t="str">
        <f>IF(B494="","",IFERROR(INDEX(DM_NL!$C$5:$C$304,MATCH(C494,DM_NL!$A$5:$A$304,0)),""))</f>
        <v/>
      </c>
      <c r="F494" s="39" t="str">
        <f>IF(B494="","",SUMIFS(Mau15a!$F$11:$F$310,Mau15a!$B$11:$B$310,B494))</f>
        <v/>
      </c>
      <c r="G494" s="39" t="str">
        <f>IF(B494="","",IF(OR(M494="KXDDM",BOM!F494=""),0,BOM!F494))</f>
        <v/>
      </c>
      <c r="H494" s="39" t="str">
        <f t="shared" si="36"/>
        <v/>
      </c>
      <c r="I494" s="39" t="str">
        <f>IF(B494="","",SUMIFS(Mau15a!$H$11:$H$310,Mau15a!$B$11:$B$310,B494)+SUMIFS(Mau15a!$I$11:$I$310,Mau15a!$B$11:$B$310,B494)+SUMIFS(Mau15a!$J$11:$J$310,Mau15a!$B$11:$B$310,B494)-SUMIFS(Mau15a!$G$11:$G$310,Mau15a!$B$11:$B$310,B494))</f>
        <v/>
      </c>
      <c r="J494" s="39" t="str">
        <f t="shared" si="37"/>
        <v/>
      </c>
      <c r="K494" s="39" t="str">
        <f>IF(B494="","",(SUMIFS(Mau15a!$K$11:$K$310,Mau15a!$B$11:$B$310,B494)-SUMIFS(Mau15a!$E$11:$E$310,Mau15a!$B$11:$B$310,B494))*G494)</f>
        <v/>
      </c>
      <c r="L494" s="36" t="str">
        <f t="shared" si="38"/>
        <v/>
      </c>
      <c r="M494" s="36" t="str">
        <f>IF(B494="","",BOM!G494&amp;"")</f>
        <v/>
      </c>
      <c r="N494" s="36" t="str">
        <f t="shared" si="39"/>
        <v/>
      </c>
    </row>
    <row r="495" spans="1:14" x14ac:dyDescent="0.25">
      <c r="A495" s="35" t="str">
        <f t="shared" si="35"/>
        <v/>
      </c>
      <c r="B495" s="35" t="str">
        <f>IF(BOM!A495="","",BOM!A495)</f>
        <v/>
      </c>
      <c r="C495" s="35" t="str">
        <f>IF(B495="","",BOM!B495)</f>
        <v/>
      </c>
      <c r="D495" s="35" t="str">
        <f>IF(B495="","",IFERROR(INDEX(DM_NL!$B$5:$B$304,MATCH(C495,DM_NL!$A$5:$A$304,0)),""))</f>
        <v/>
      </c>
      <c r="E495" s="35" t="str">
        <f>IF(B495="","",IFERROR(INDEX(DM_NL!$C$5:$C$304,MATCH(C495,DM_NL!$A$5:$A$304,0)),""))</f>
        <v/>
      </c>
      <c r="F495" s="39" t="str">
        <f>IF(B495="","",SUMIFS(Mau15a!$F$11:$F$310,Mau15a!$B$11:$B$310,B495))</f>
        <v/>
      </c>
      <c r="G495" s="39" t="str">
        <f>IF(B495="","",IF(OR(M495="KXDDM",BOM!F495=""),0,BOM!F495))</f>
        <v/>
      </c>
      <c r="H495" s="39" t="str">
        <f t="shared" si="36"/>
        <v/>
      </c>
      <c r="I495" s="39" t="str">
        <f>IF(B495="","",SUMIFS(Mau15a!$H$11:$H$310,Mau15a!$B$11:$B$310,B495)+SUMIFS(Mau15a!$I$11:$I$310,Mau15a!$B$11:$B$310,B495)+SUMIFS(Mau15a!$J$11:$J$310,Mau15a!$B$11:$B$310,B495)-SUMIFS(Mau15a!$G$11:$G$310,Mau15a!$B$11:$B$310,B495))</f>
        <v/>
      </c>
      <c r="J495" s="39" t="str">
        <f t="shared" si="37"/>
        <v/>
      </c>
      <c r="K495" s="39" t="str">
        <f>IF(B495="","",(SUMIFS(Mau15a!$K$11:$K$310,Mau15a!$B$11:$B$310,B495)-SUMIFS(Mau15a!$E$11:$E$310,Mau15a!$B$11:$B$310,B495))*G495)</f>
        <v/>
      </c>
      <c r="L495" s="36" t="str">
        <f t="shared" si="38"/>
        <v/>
      </c>
      <c r="M495" s="36" t="str">
        <f>IF(B495="","",BOM!G495&amp;"")</f>
        <v/>
      </c>
      <c r="N495" s="36" t="str">
        <f t="shared" si="39"/>
        <v/>
      </c>
    </row>
    <row r="496" spans="1:14" x14ac:dyDescent="0.25">
      <c r="A496" s="35" t="str">
        <f t="shared" si="35"/>
        <v/>
      </c>
      <c r="B496" s="35" t="str">
        <f>IF(BOM!A496="","",BOM!A496)</f>
        <v/>
      </c>
      <c r="C496" s="35" t="str">
        <f>IF(B496="","",BOM!B496)</f>
        <v/>
      </c>
      <c r="D496" s="35" t="str">
        <f>IF(B496="","",IFERROR(INDEX(DM_NL!$B$5:$B$304,MATCH(C496,DM_NL!$A$5:$A$304,0)),""))</f>
        <v/>
      </c>
      <c r="E496" s="35" t="str">
        <f>IF(B496="","",IFERROR(INDEX(DM_NL!$C$5:$C$304,MATCH(C496,DM_NL!$A$5:$A$304,0)),""))</f>
        <v/>
      </c>
      <c r="F496" s="39" t="str">
        <f>IF(B496="","",SUMIFS(Mau15a!$F$11:$F$310,Mau15a!$B$11:$B$310,B496))</f>
        <v/>
      </c>
      <c r="G496" s="39" t="str">
        <f>IF(B496="","",IF(OR(M496="KXDDM",BOM!F496=""),0,BOM!F496))</f>
        <v/>
      </c>
      <c r="H496" s="39" t="str">
        <f t="shared" si="36"/>
        <v/>
      </c>
      <c r="I496" s="39" t="str">
        <f>IF(B496="","",SUMIFS(Mau15a!$H$11:$H$310,Mau15a!$B$11:$B$310,B496)+SUMIFS(Mau15a!$I$11:$I$310,Mau15a!$B$11:$B$310,B496)+SUMIFS(Mau15a!$J$11:$J$310,Mau15a!$B$11:$B$310,B496)-SUMIFS(Mau15a!$G$11:$G$310,Mau15a!$B$11:$B$310,B496))</f>
        <v/>
      </c>
      <c r="J496" s="39" t="str">
        <f t="shared" si="37"/>
        <v/>
      </c>
      <c r="K496" s="39" t="str">
        <f>IF(B496="","",(SUMIFS(Mau15a!$K$11:$K$310,Mau15a!$B$11:$B$310,B496)-SUMIFS(Mau15a!$E$11:$E$310,Mau15a!$B$11:$B$310,B496))*G496)</f>
        <v/>
      </c>
      <c r="L496" s="36" t="str">
        <f t="shared" si="38"/>
        <v/>
      </c>
      <c r="M496" s="36" t="str">
        <f>IF(B496="","",BOM!G496&amp;"")</f>
        <v/>
      </c>
      <c r="N496" s="36" t="str">
        <f t="shared" si="39"/>
        <v/>
      </c>
    </row>
    <row r="497" spans="1:14" x14ac:dyDescent="0.25">
      <c r="A497" s="35" t="str">
        <f t="shared" si="35"/>
        <v/>
      </c>
      <c r="B497" s="35" t="str">
        <f>IF(BOM!A497="","",BOM!A497)</f>
        <v/>
      </c>
      <c r="C497" s="35" t="str">
        <f>IF(B497="","",BOM!B497)</f>
        <v/>
      </c>
      <c r="D497" s="35" t="str">
        <f>IF(B497="","",IFERROR(INDEX(DM_NL!$B$5:$B$304,MATCH(C497,DM_NL!$A$5:$A$304,0)),""))</f>
        <v/>
      </c>
      <c r="E497" s="35" t="str">
        <f>IF(B497="","",IFERROR(INDEX(DM_NL!$C$5:$C$304,MATCH(C497,DM_NL!$A$5:$A$304,0)),""))</f>
        <v/>
      </c>
      <c r="F497" s="39" t="str">
        <f>IF(B497="","",SUMIFS(Mau15a!$F$11:$F$310,Mau15a!$B$11:$B$310,B497))</f>
        <v/>
      </c>
      <c r="G497" s="39" t="str">
        <f>IF(B497="","",IF(OR(M497="KXDDM",BOM!F497=""),0,BOM!F497))</f>
        <v/>
      </c>
      <c r="H497" s="39" t="str">
        <f t="shared" si="36"/>
        <v/>
      </c>
      <c r="I497" s="39" t="str">
        <f>IF(B497="","",SUMIFS(Mau15a!$H$11:$H$310,Mau15a!$B$11:$B$310,B497)+SUMIFS(Mau15a!$I$11:$I$310,Mau15a!$B$11:$B$310,B497)+SUMIFS(Mau15a!$J$11:$J$310,Mau15a!$B$11:$B$310,B497)-SUMIFS(Mau15a!$G$11:$G$310,Mau15a!$B$11:$B$310,B497))</f>
        <v/>
      </c>
      <c r="J497" s="39" t="str">
        <f t="shared" si="37"/>
        <v/>
      </c>
      <c r="K497" s="39" t="str">
        <f>IF(B497="","",(SUMIFS(Mau15a!$K$11:$K$310,Mau15a!$B$11:$B$310,B497)-SUMIFS(Mau15a!$E$11:$E$310,Mau15a!$B$11:$B$310,B497))*G497)</f>
        <v/>
      </c>
      <c r="L497" s="36" t="str">
        <f t="shared" si="38"/>
        <v/>
      </c>
      <c r="M497" s="36" t="str">
        <f>IF(B497="","",BOM!G497&amp;"")</f>
        <v/>
      </c>
      <c r="N497" s="36" t="str">
        <f t="shared" si="39"/>
        <v/>
      </c>
    </row>
    <row r="498" spans="1:14" x14ac:dyDescent="0.25">
      <c r="A498" s="35" t="str">
        <f t="shared" si="35"/>
        <v/>
      </c>
      <c r="B498" s="35" t="str">
        <f>IF(BOM!A498="","",BOM!A498)</f>
        <v/>
      </c>
      <c r="C498" s="35" t="str">
        <f>IF(B498="","",BOM!B498)</f>
        <v/>
      </c>
      <c r="D498" s="35" t="str">
        <f>IF(B498="","",IFERROR(INDEX(DM_NL!$B$5:$B$304,MATCH(C498,DM_NL!$A$5:$A$304,0)),""))</f>
        <v/>
      </c>
      <c r="E498" s="35" t="str">
        <f>IF(B498="","",IFERROR(INDEX(DM_NL!$C$5:$C$304,MATCH(C498,DM_NL!$A$5:$A$304,0)),""))</f>
        <v/>
      </c>
      <c r="F498" s="39" t="str">
        <f>IF(B498="","",SUMIFS(Mau15a!$F$11:$F$310,Mau15a!$B$11:$B$310,B498))</f>
        <v/>
      </c>
      <c r="G498" s="39" t="str">
        <f>IF(B498="","",IF(OR(M498="KXDDM",BOM!F498=""),0,BOM!F498))</f>
        <v/>
      </c>
      <c r="H498" s="39" t="str">
        <f t="shared" si="36"/>
        <v/>
      </c>
      <c r="I498" s="39" t="str">
        <f>IF(B498="","",SUMIFS(Mau15a!$H$11:$H$310,Mau15a!$B$11:$B$310,B498)+SUMIFS(Mau15a!$I$11:$I$310,Mau15a!$B$11:$B$310,B498)+SUMIFS(Mau15a!$J$11:$J$310,Mau15a!$B$11:$B$310,B498)-SUMIFS(Mau15a!$G$11:$G$310,Mau15a!$B$11:$B$310,B498))</f>
        <v/>
      </c>
      <c r="J498" s="39" t="str">
        <f t="shared" si="37"/>
        <v/>
      </c>
      <c r="K498" s="39" t="str">
        <f>IF(B498="","",(SUMIFS(Mau15a!$K$11:$K$310,Mau15a!$B$11:$B$310,B498)-SUMIFS(Mau15a!$E$11:$E$310,Mau15a!$B$11:$B$310,B498))*G498)</f>
        <v/>
      </c>
      <c r="L498" s="36" t="str">
        <f t="shared" si="38"/>
        <v/>
      </c>
      <c r="M498" s="36" t="str">
        <f>IF(B498="","",BOM!G498&amp;"")</f>
        <v/>
      </c>
      <c r="N498" s="36" t="str">
        <f t="shared" si="39"/>
        <v/>
      </c>
    </row>
    <row r="499" spans="1:14" x14ac:dyDescent="0.25">
      <c r="A499" s="35" t="str">
        <f t="shared" si="35"/>
        <v/>
      </c>
      <c r="B499" s="35" t="str">
        <f>IF(BOM!A499="","",BOM!A499)</f>
        <v/>
      </c>
      <c r="C499" s="35" t="str">
        <f>IF(B499="","",BOM!B499)</f>
        <v/>
      </c>
      <c r="D499" s="35" t="str">
        <f>IF(B499="","",IFERROR(INDEX(DM_NL!$B$5:$B$304,MATCH(C499,DM_NL!$A$5:$A$304,0)),""))</f>
        <v/>
      </c>
      <c r="E499" s="35" t="str">
        <f>IF(B499="","",IFERROR(INDEX(DM_NL!$C$5:$C$304,MATCH(C499,DM_NL!$A$5:$A$304,0)),""))</f>
        <v/>
      </c>
      <c r="F499" s="39" t="str">
        <f>IF(B499="","",SUMIFS(Mau15a!$F$11:$F$310,Mau15a!$B$11:$B$310,B499))</f>
        <v/>
      </c>
      <c r="G499" s="39" t="str">
        <f>IF(B499="","",IF(OR(M499="KXDDM",BOM!F499=""),0,BOM!F499))</f>
        <v/>
      </c>
      <c r="H499" s="39" t="str">
        <f t="shared" si="36"/>
        <v/>
      </c>
      <c r="I499" s="39" t="str">
        <f>IF(B499="","",SUMIFS(Mau15a!$H$11:$H$310,Mau15a!$B$11:$B$310,B499)+SUMIFS(Mau15a!$I$11:$I$310,Mau15a!$B$11:$B$310,B499)+SUMIFS(Mau15a!$J$11:$J$310,Mau15a!$B$11:$B$310,B499)-SUMIFS(Mau15a!$G$11:$G$310,Mau15a!$B$11:$B$310,B499))</f>
        <v/>
      </c>
      <c r="J499" s="39" t="str">
        <f t="shared" si="37"/>
        <v/>
      </c>
      <c r="K499" s="39" t="str">
        <f>IF(B499="","",(SUMIFS(Mau15a!$K$11:$K$310,Mau15a!$B$11:$B$310,B499)-SUMIFS(Mau15a!$E$11:$E$310,Mau15a!$B$11:$B$310,B499))*G499)</f>
        <v/>
      </c>
      <c r="L499" s="36" t="str">
        <f t="shared" si="38"/>
        <v/>
      </c>
      <c r="M499" s="36" t="str">
        <f>IF(B499="","",BOM!G499&amp;"")</f>
        <v/>
      </c>
      <c r="N499" s="36" t="str">
        <f t="shared" si="39"/>
        <v/>
      </c>
    </row>
    <row r="500" spans="1:14" x14ac:dyDescent="0.25">
      <c r="A500" s="35" t="str">
        <f t="shared" si="35"/>
        <v/>
      </c>
      <c r="B500" s="35" t="str">
        <f>IF(BOM!A500="","",BOM!A500)</f>
        <v/>
      </c>
      <c r="C500" s="35" t="str">
        <f>IF(B500="","",BOM!B500)</f>
        <v/>
      </c>
      <c r="D500" s="35" t="str">
        <f>IF(B500="","",IFERROR(INDEX(DM_NL!$B$5:$B$304,MATCH(C500,DM_NL!$A$5:$A$304,0)),""))</f>
        <v/>
      </c>
      <c r="E500" s="35" t="str">
        <f>IF(B500="","",IFERROR(INDEX(DM_NL!$C$5:$C$304,MATCH(C500,DM_NL!$A$5:$A$304,0)),""))</f>
        <v/>
      </c>
      <c r="F500" s="39" t="str">
        <f>IF(B500="","",SUMIFS(Mau15a!$F$11:$F$310,Mau15a!$B$11:$B$310,B500))</f>
        <v/>
      </c>
      <c r="G500" s="39" t="str">
        <f>IF(B500="","",IF(OR(M500="KXDDM",BOM!F500=""),0,BOM!F500))</f>
        <v/>
      </c>
      <c r="H500" s="39" t="str">
        <f t="shared" si="36"/>
        <v/>
      </c>
      <c r="I500" s="39" t="str">
        <f>IF(B500="","",SUMIFS(Mau15a!$H$11:$H$310,Mau15a!$B$11:$B$310,B500)+SUMIFS(Mau15a!$I$11:$I$310,Mau15a!$B$11:$B$310,B500)+SUMIFS(Mau15a!$J$11:$J$310,Mau15a!$B$11:$B$310,B500)-SUMIFS(Mau15a!$G$11:$G$310,Mau15a!$B$11:$B$310,B500))</f>
        <v/>
      </c>
      <c r="J500" s="39" t="str">
        <f t="shared" si="37"/>
        <v/>
      </c>
      <c r="K500" s="39" t="str">
        <f>IF(B500="","",(SUMIFS(Mau15a!$K$11:$K$310,Mau15a!$B$11:$B$310,B500)-SUMIFS(Mau15a!$E$11:$E$310,Mau15a!$B$11:$B$310,B500))*G500)</f>
        <v/>
      </c>
      <c r="L500" s="36" t="str">
        <f t="shared" si="38"/>
        <v/>
      </c>
      <c r="M500" s="36" t="str">
        <f>IF(B500="","",BOM!G500&amp;"")</f>
        <v/>
      </c>
      <c r="N500" s="36" t="str">
        <f t="shared" si="39"/>
        <v/>
      </c>
    </row>
    <row r="501" spans="1:14" x14ac:dyDescent="0.25">
      <c r="A501" s="35" t="str">
        <f t="shared" si="35"/>
        <v/>
      </c>
      <c r="B501" s="35" t="str">
        <f>IF(BOM!A501="","",BOM!A501)</f>
        <v/>
      </c>
      <c r="C501" s="35" t="str">
        <f>IF(B501="","",BOM!B501)</f>
        <v/>
      </c>
      <c r="D501" s="35" t="str">
        <f>IF(B501="","",IFERROR(INDEX(DM_NL!$B$5:$B$304,MATCH(C501,DM_NL!$A$5:$A$304,0)),""))</f>
        <v/>
      </c>
      <c r="E501" s="35" t="str">
        <f>IF(B501="","",IFERROR(INDEX(DM_NL!$C$5:$C$304,MATCH(C501,DM_NL!$A$5:$A$304,0)),""))</f>
        <v/>
      </c>
      <c r="F501" s="39" t="str">
        <f>IF(B501="","",SUMIFS(Mau15a!$F$11:$F$310,Mau15a!$B$11:$B$310,B501))</f>
        <v/>
      </c>
      <c r="G501" s="39" t="str">
        <f>IF(B501="","",IF(OR(M501="KXDDM",BOM!F501=""),0,BOM!F501))</f>
        <v/>
      </c>
      <c r="H501" s="39" t="str">
        <f t="shared" si="36"/>
        <v/>
      </c>
      <c r="I501" s="39" t="str">
        <f>IF(B501="","",SUMIFS(Mau15a!$H$11:$H$310,Mau15a!$B$11:$B$310,B501)+SUMIFS(Mau15a!$I$11:$I$310,Mau15a!$B$11:$B$310,B501)+SUMIFS(Mau15a!$J$11:$J$310,Mau15a!$B$11:$B$310,B501)-SUMIFS(Mau15a!$G$11:$G$310,Mau15a!$B$11:$B$310,B501))</f>
        <v/>
      </c>
      <c r="J501" s="39" t="str">
        <f t="shared" si="37"/>
        <v/>
      </c>
      <c r="K501" s="39" t="str">
        <f>IF(B501="","",(SUMIFS(Mau15a!$K$11:$K$310,Mau15a!$B$11:$B$310,B501)-SUMIFS(Mau15a!$E$11:$E$310,Mau15a!$B$11:$B$310,B501))*G501)</f>
        <v/>
      </c>
      <c r="L501" s="36" t="str">
        <f t="shared" si="38"/>
        <v/>
      </c>
      <c r="M501" s="36" t="str">
        <f>IF(B501="","",BOM!G501&amp;"")</f>
        <v/>
      </c>
      <c r="N501" s="36" t="str">
        <f t="shared" si="39"/>
        <v/>
      </c>
    </row>
    <row r="502" spans="1:14" x14ac:dyDescent="0.25">
      <c r="A502" s="35" t="str">
        <f t="shared" si="35"/>
        <v/>
      </c>
      <c r="B502" s="35" t="str">
        <f>IF(BOM!A502="","",BOM!A502)</f>
        <v/>
      </c>
      <c r="C502" s="35" t="str">
        <f>IF(B502="","",BOM!B502)</f>
        <v/>
      </c>
      <c r="D502" s="35" t="str">
        <f>IF(B502="","",IFERROR(INDEX(DM_NL!$B$5:$B$304,MATCH(C502,DM_NL!$A$5:$A$304,0)),""))</f>
        <v/>
      </c>
      <c r="E502" s="35" t="str">
        <f>IF(B502="","",IFERROR(INDEX(DM_NL!$C$5:$C$304,MATCH(C502,DM_NL!$A$5:$A$304,0)),""))</f>
        <v/>
      </c>
      <c r="F502" s="39" t="str">
        <f>IF(B502="","",SUMIFS(Mau15a!$F$11:$F$310,Mau15a!$B$11:$B$310,B502))</f>
        <v/>
      </c>
      <c r="G502" s="39" t="str">
        <f>IF(B502="","",IF(OR(M502="KXDDM",BOM!F502=""),0,BOM!F502))</f>
        <v/>
      </c>
      <c r="H502" s="39" t="str">
        <f t="shared" si="36"/>
        <v/>
      </c>
      <c r="I502" s="39" t="str">
        <f>IF(B502="","",SUMIFS(Mau15a!$H$11:$H$310,Mau15a!$B$11:$B$310,B502)+SUMIFS(Mau15a!$I$11:$I$310,Mau15a!$B$11:$B$310,B502)+SUMIFS(Mau15a!$J$11:$J$310,Mau15a!$B$11:$B$310,B502)-SUMIFS(Mau15a!$G$11:$G$310,Mau15a!$B$11:$B$310,B502))</f>
        <v/>
      </c>
      <c r="J502" s="39" t="str">
        <f t="shared" si="37"/>
        <v/>
      </c>
      <c r="K502" s="39" t="str">
        <f>IF(B502="","",(SUMIFS(Mau15a!$K$11:$K$310,Mau15a!$B$11:$B$310,B502)-SUMIFS(Mau15a!$E$11:$E$310,Mau15a!$B$11:$B$310,B502))*G502)</f>
        <v/>
      </c>
      <c r="L502" s="36" t="str">
        <f t="shared" si="38"/>
        <v/>
      </c>
      <c r="M502" s="36" t="str">
        <f>IF(B502="","",BOM!G502&amp;"")</f>
        <v/>
      </c>
      <c r="N502" s="36" t="str">
        <f t="shared" si="39"/>
        <v/>
      </c>
    </row>
    <row r="503" spans="1:14" x14ac:dyDescent="0.25">
      <c r="A503" s="35" t="str">
        <f t="shared" si="35"/>
        <v/>
      </c>
      <c r="B503" s="35" t="str">
        <f>IF(BOM!A503="","",BOM!A503)</f>
        <v/>
      </c>
      <c r="C503" s="35" t="str">
        <f>IF(B503="","",BOM!B503)</f>
        <v/>
      </c>
      <c r="D503" s="35" t="str">
        <f>IF(B503="","",IFERROR(INDEX(DM_NL!$B$5:$B$304,MATCH(C503,DM_NL!$A$5:$A$304,0)),""))</f>
        <v/>
      </c>
      <c r="E503" s="35" t="str">
        <f>IF(B503="","",IFERROR(INDEX(DM_NL!$C$5:$C$304,MATCH(C503,DM_NL!$A$5:$A$304,0)),""))</f>
        <v/>
      </c>
      <c r="F503" s="39" t="str">
        <f>IF(B503="","",SUMIFS(Mau15a!$F$11:$F$310,Mau15a!$B$11:$B$310,B503))</f>
        <v/>
      </c>
      <c r="G503" s="39" t="str">
        <f>IF(B503="","",IF(OR(M503="KXDDM",BOM!F503=""),0,BOM!F503))</f>
        <v/>
      </c>
      <c r="H503" s="39" t="str">
        <f t="shared" si="36"/>
        <v/>
      </c>
      <c r="I503" s="39" t="str">
        <f>IF(B503="","",SUMIFS(Mau15a!$H$11:$H$310,Mau15a!$B$11:$B$310,B503)+SUMIFS(Mau15a!$I$11:$I$310,Mau15a!$B$11:$B$310,B503)+SUMIFS(Mau15a!$J$11:$J$310,Mau15a!$B$11:$B$310,B503)-SUMIFS(Mau15a!$G$11:$G$310,Mau15a!$B$11:$B$310,B503))</f>
        <v/>
      </c>
      <c r="J503" s="39" t="str">
        <f t="shared" si="37"/>
        <v/>
      </c>
      <c r="K503" s="39" t="str">
        <f>IF(B503="","",(SUMIFS(Mau15a!$K$11:$K$310,Mau15a!$B$11:$B$310,B503)-SUMIFS(Mau15a!$E$11:$E$310,Mau15a!$B$11:$B$310,B503))*G503)</f>
        <v/>
      </c>
      <c r="L503" s="36" t="str">
        <f t="shared" si="38"/>
        <v/>
      </c>
      <c r="M503" s="36" t="str">
        <f>IF(B503="","",BOM!G503&amp;"")</f>
        <v/>
      </c>
      <c r="N503" s="36" t="str">
        <f t="shared" si="39"/>
        <v/>
      </c>
    </row>
    <row r="504" spans="1:14" x14ac:dyDescent="0.25">
      <c r="A504" s="35" t="str">
        <f t="shared" si="35"/>
        <v/>
      </c>
      <c r="B504" s="35" t="str">
        <f>IF(BOM!A504="","",BOM!A504)</f>
        <v/>
      </c>
      <c r="C504" s="35" t="str">
        <f>IF(B504="","",BOM!B504)</f>
        <v/>
      </c>
      <c r="D504" s="35" t="str">
        <f>IF(B504="","",IFERROR(INDEX(DM_NL!$B$5:$B$304,MATCH(C504,DM_NL!$A$5:$A$304,0)),""))</f>
        <v/>
      </c>
      <c r="E504" s="35" t="str">
        <f>IF(B504="","",IFERROR(INDEX(DM_NL!$C$5:$C$304,MATCH(C504,DM_NL!$A$5:$A$304,0)),""))</f>
        <v/>
      </c>
      <c r="F504" s="39" t="str">
        <f>IF(B504="","",SUMIFS(Mau15a!$F$11:$F$310,Mau15a!$B$11:$B$310,B504))</f>
        <v/>
      </c>
      <c r="G504" s="39" t="str">
        <f>IF(B504="","",IF(OR(M504="KXDDM",BOM!F504=""),0,BOM!F504))</f>
        <v/>
      </c>
      <c r="H504" s="39" t="str">
        <f t="shared" si="36"/>
        <v/>
      </c>
      <c r="I504" s="39" t="str">
        <f>IF(B504="","",SUMIFS(Mau15a!$H$11:$H$310,Mau15a!$B$11:$B$310,B504)+SUMIFS(Mau15a!$I$11:$I$310,Mau15a!$B$11:$B$310,B504)+SUMIFS(Mau15a!$J$11:$J$310,Mau15a!$B$11:$B$310,B504)-SUMIFS(Mau15a!$G$11:$G$310,Mau15a!$B$11:$B$310,B504))</f>
        <v/>
      </c>
      <c r="J504" s="39" t="str">
        <f t="shared" si="37"/>
        <v/>
      </c>
      <c r="K504" s="39" t="str">
        <f>IF(B504="","",(SUMIFS(Mau15a!$K$11:$K$310,Mau15a!$B$11:$B$310,B504)-SUMIFS(Mau15a!$E$11:$E$310,Mau15a!$B$11:$B$310,B504))*G504)</f>
        <v/>
      </c>
      <c r="L504" s="36" t="str">
        <f t="shared" si="38"/>
        <v/>
      </c>
      <c r="M504" s="36" t="str">
        <f>IF(B504="","",BOM!G504&amp;"")</f>
        <v/>
      </c>
      <c r="N504" s="36" t="str">
        <f t="shared" si="39"/>
        <v/>
      </c>
    </row>
    <row r="505" spans="1:14" x14ac:dyDescent="0.25">
      <c r="A505" s="35" t="str">
        <f t="shared" si="35"/>
        <v/>
      </c>
      <c r="B505" s="35" t="str">
        <f>IF(BOM!A505="","",BOM!A505)</f>
        <v/>
      </c>
      <c r="C505" s="35" t="str">
        <f>IF(B505="","",BOM!B505)</f>
        <v/>
      </c>
      <c r="D505" s="35" t="str">
        <f>IF(B505="","",IFERROR(INDEX(DM_NL!$B$5:$B$304,MATCH(C505,DM_NL!$A$5:$A$304,0)),""))</f>
        <v/>
      </c>
      <c r="E505" s="35" t="str">
        <f>IF(B505="","",IFERROR(INDEX(DM_NL!$C$5:$C$304,MATCH(C505,DM_NL!$A$5:$A$304,0)),""))</f>
        <v/>
      </c>
      <c r="F505" s="39" t="str">
        <f>IF(B505="","",SUMIFS(Mau15a!$F$11:$F$310,Mau15a!$B$11:$B$310,B505))</f>
        <v/>
      </c>
      <c r="G505" s="39" t="str">
        <f>IF(B505="","",IF(OR(M505="KXDDM",BOM!F505=""),0,BOM!F505))</f>
        <v/>
      </c>
      <c r="H505" s="39" t="str">
        <f t="shared" si="36"/>
        <v/>
      </c>
      <c r="I505" s="39" t="str">
        <f>IF(B505="","",SUMIFS(Mau15a!$H$11:$H$310,Mau15a!$B$11:$B$310,B505)+SUMIFS(Mau15a!$I$11:$I$310,Mau15a!$B$11:$B$310,B505)+SUMIFS(Mau15a!$J$11:$J$310,Mau15a!$B$11:$B$310,B505)-SUMIFS(Mau15a!$G$11:$G$310,Mau15a!$B$11:$B$310,B505))</f>
        <v/>
      </c>
      <c r="J505" s="39" t="str">
        <f t="shared" si="37"/>
        <v/>
      </c>
      <c r="K505" s="39" t="str">
        <f>IF(B505="","",(SUMIFS(Mau15a!$K$11:$K$310,Mau15a!$B$11:$B$310,B505)-SUMIFS(Mau15a!$E$11:$E$310,Mau15a!$B$11:$B$310,B505))*G505)</f>
        <v/>
      </c>
      <c r="L505" s="36" t="str">
        <f t="shared" si="38"/>
        <v/>
      </c>
      <c r="M505" s="36" t="str">
        <f>IF(B505="","",BOM!G505&amp;"")</f>
        <v/>
      </c>
      <c r="N505" s="36" t="str">
        <f t="shared" si="39"/>
        <v/>
      </c>
    </row>
    <row r="506" spans="1:14" x14ac:dyDescent="0.25">
      <c r="A506" s="35" t="str">
        <f t="shared" si="35"/>
        <v/>
      </c>
      <c r="B506" s="35" t="str">
        <f>IF(BOM!A506="","",BOM!A506)</f>
        <v/>
      </c>
      <c r="C506" s="35" t="str">
        <f>IF(B506="","",BOM!B506)</f>
        <v/>
      </c>
      <c r="D506" s="35" t="str">
        <f>IF(B506="","",IFERROR(INDEX(DM_NL!$B$5:$B$304,MATCH(C506,DM_NL!$A$5:$A$304,0)),""))</f>
        <v/>
      </c>
      <c r="E506" s="35" t="str">
        <f>IF(B506="","",IFERROR(INDEX(DM_NL!$C$5:$C$304,MATCH(C506,DM_NL!$A$5:$A$304,0)),""))</f>
        <v/>
      </c>
      <c r="F506" s="39" t="str">
        <f>IF(B506="","",SUMIFS(Mau15a!$F$11:$F$310,Mau15a!$B$11:$B$310,B506))</f>
        <v/>
      </c>
      <c r="G506" s="39" t="str">
        <f>IF(B506="","",IF(OR(M506="KXDDM",BOM!F506=""),0,BOM!F506))</f>
        <v/>
      </c>
      <c r="H506" s="39" t="str">
        <f t="shared" si="36"/>
        <v/>
      </c>
      <c r="I506" s="39" t="str">
        <f>IF(B506="","",SUMIFS(Mau15a!$H$11:$H$310,Mau15a!$B$11:$B$310,B506)+SUMIFS(Mau15a!$I$11:$I$310,Mau15a!$B$11:$B$310,B506)+SUMIFS(Mau15a!$J$11:$J$310,Mau15a!$B$11:$B$310,B506)-SUMIFS(Mau15a!$G$11:$G$310,Mau15a!$B$11:$B$310,B506))</f>
        <v/>
      </c>
      <c r="J506" s="39" t="str">
        <f t="shared" si="37"/>
        <v/>
      </c>
      <c r="K506" s="39" t="str">
        <f>IF(B506="","",(SUMIFS(Mau15a!$K$11:$K$310,Mau15a!$B$11:$B$310,B506)-SUMIFS(Mau15a!$E$11:$E$310,Mau15a!$B$11:$B$310,B506))*G506)</f>
        <v/>
      </c>
      <c r="L506" s="36" t="str">
        <f t="shared" si="38"/>
        <v/>
      </c>
      <c r="M506" s="36" t="str">
        <f>IF(B506="","",BOM!G506&amp;"")</f>
        <v/>
      </c>
      <c r="N506" s="36" t="str">
        <f t="shared" si="39"/>
        <v/>
      </c>
    </row>
    <row r="507" spans="1:14" x14ac:dyDescent="0.25">
      <c r="A507" s="35" t="str">
        <f t="shared" si="35"/>
        <v/>
      </c>
      <c r="B507" s="35" t="str">
        <f>IF(BOM!A507="","",BOM!A507)</f>
        <v/>
      </c>
      <c r="C507" s="35" t="str">
        <f>IF(B507="","",BOM!B507)</f>
        <v/>
      </c>
      <c r="D507" s="35" t="str">
        <f>IF(B507="","",IFERROR(INDEX(DM_NL!$B$5:$B$304,MATCH(C507,DM_NL!$A$5:$A$304,0)),""))</f>
        <v/>
      </c>
      <c r="E507" s="35" t="str">
        <f>IF(B507="","",IFERROR(INDEX(DM_NL!$C$5:$C$304,MATCH(C507,DM_NL!$A$5:$A$304,0)),""))</f>
        <v/>
      </c>
      <c r="F507" s="39" t="str">
        <f>IF(B507="","",SUMIFS(Mau15a!$F$11:$F$310,Mau15a!$B$11:$B$310,B507))</f>
        <v/>
      </c>
      <c r="G507" s="39" t="str">
        <f>IF(B507="","",IF(OR(M507="KXDDM",BOM!F507=""),0,BOM!F507))</f>
        <v/>
      </c>
      <c r="H507" s="39" t="str">
        <f t="shared" si="36"/>
        <v/>
      </c>
      <c r="I507" s="39" t="str">
        <f>IF(B507="","",SUMIFS(Mau15a!$H$11:$H$310,Mau15a!$B$11:$B$310,B507)+SUMIFS(Mau15a!$I$11:$I$310,Mau15a!$B$11:$B$310,B507)+SUMIFS(Mau15a!$J$11:$J$310,Mau15a!$B$11:$B$310,B507)-SUMIFS(Mau15a!$G$11:$G$310,Mau15a!$B$11:$B$310,B507))</f>
        <v/>
      </c>
      <c r="J507" s="39" t="str">
        <f t="shared" si="37"/>
        <v/>
      </c>
      <c r="K507" s="39" t="str">
        <f>IF(B507="","",(SUMIFS(Mau15a!$K$11:$K$310,Mau15a!$B$11:$B$310,B507)-SUMIFS(Mau15a!$E$11:$E$310,Mau15a!$B$11:$B$310,B507))*G507)</f>
        <v/>
      </c>
      <c r="L507" s="36" t="str">
        <f t="shared" si="38"/>
        <v/>
      </c>
      <c r="M507" s="36" t="str">
        <f>IF(B507="","",BOM!G507&amp;"")</f>
        <v/>
      </c>
      <c r="N507" s="36" t="str">
        <f t="shared" si="39"/>
        <v/>
      </c>
    </row>
    <row r="508" spans="1:14" x14ac:dyDescent="0.25">
      <c r="A508" s="35" t="str">
        <f t="shared" si="35"/>
        <v/>
      </c>
      <c r="B508" s="35" t="str">
        <f>IF(BOM!A508="","",BOM!A508)</f>
        <v/>
      </c>
      <c r="C508" s="35" t="str">
        <f>IF(B508="","",BOM!B508)</f>
        <v/>
      </c>
      <c r="D508" s="35" t="str">
        <f>IF(B508="","",IFERROR(INDEX(DM_NL!$B$5:$B$304,MATCH(C508,DM_NL!$A$5:$A$304,0)),""))</f>
        <v/>
      </c>
      <c r="E508" s="35" t="str">
        <f>IF(B508="","",IFERROR(INDEX(DM_NL!$C$5:$C$304,MATCH(C508,DM_NL!$A$5:$A$304,0)),""))</f>
        <v/>
      </c>
      <c r="F508" s="39" t="str">
        <f>IF(B508="","",SUMIFS(Mau15a!$F$11:$F$310,Mau15a!$B$11:$B$310,B508))</f>
        <v/>
      </c>
      <c r="G508" s="39" t="str">
        <f>IF(B508="","",IF(OR(M508="KXDDM",BOM!F508=""),0,BOM!F508))</f>
        <v/>
      </c>
      <c r="H508" s="39" t="str">
        <f t="shared" si="36"/>
        <v/>
      </c>
      <c r="I508" s="39" t="str">
        <f>IF(B508="","",SUMIFS(Mau15a!$H$11:$H$310,Mau15a!$B$11:$B$310,B508)+SUMIFS(Mau15a!$I$11:$I$310,Mau15a!$B$11:$B$310,B508)+SUMIFS(Mau15a!$J$11:$J$310,Mau15a!$B$11:$B$310,B508)-SUMIFS(Mau15a!$G$11:$G$310,Mau15a!$B$11:$B$310,B508))</f>
        <v/>
      </c>
      <c r="J508" s="39" t="str">
        <f t="shared" si="37"/>
        <v/>
      </c>
      <c r="K508" s="39" t="str">
        <f>IF(B508="","",(SUMIFS(Mau15a!$K$11:$K$310,Mau15a!$B$11:$B$310,B508)-SUMIFS(Mau15a!$E$11:$E$310,Mau15a!$B$11:$B$310,B508))*G508)</f>
        <v/>
      </c>
      <c r="L508" s="36" t="str">
        <f t="shared" si="38"/>
        <v/>
      </c>
      <c r="M508" s="36" t="str">
        <f>IF(B508="","",BOM!G508&amp;"")</f>
        <v/>
      </c>
      <c r="N508" s="36" t="str">
        <f t="shared" si="39"/>
        <v/>
      </c>
    </row>
    <row r="509" spans="1:14" x14ac:dyDescent="0.25">
      <c r="A509" s="35" t="str">
        <f t="shared" si="35"/>
        <v/>
      </c>
      <c r="B509" s="35" t="str">
        <f>IF(BOM!A509="","",BOM!A509)</f>
        <v/>
      </c>
      <c r="C509" s="35" t="str">
        <f>IF(B509="","",BOM!B509)</f>
        <v/>
      </c>
      <c r="D509" s="35" t="str">
        <f>IF(B509="","",IFERROR(INDEX(DM_NL!$B$5:$B$304,MATCH(C509,DM_NL!$A$5:$A$304,0)),""))</f>
        <v/>
      </c>
      <c r="E509" s="35" t="str">
        <f>IF(B509="","",IFERROR(INDEX(DM_NL!$C$5:$C$304,MATCH(C509,DM_NL!$A$5:$A$304,0)),""))</f>
        <v/>
      </c>
      <c r="F509" s="39" t="str">
        <f>IF(B509="","",SUMIFS(Mau15a!$F$11:$F$310,Mau15a!$B$11:$B$310,B509))</f>
        <v/>
      </c>
      <c r="G509" s="39" t="str">
        <f>IF(B509="","",IF(OR(M509="KXDDM",BOM!F509=""),0,BOM!F509))</f>
        <v/>
      </c>
      <c r="H509" s="39" t="str">
        <f t="shared" si="36"/>
        <v/>
      </c>
      <c r="I509" s="39" t="str">
        <f>IF(B509="","",SUMIFS(Mau15a!$H$11:$H$310,Mau15a!$B$11:$B$310,B509)+SUMIFS(Mau15a!$I$11:$I$310,Mau15a!$B$11:$B$310,B509)+SUMIFS(Mau15a!$J$11:$J$310,Mau15a!$B$11:$B$310,B509)-SUMIFS(Mau15a!$G$11:$G$310,Mau15a!$B$11:$B$310,B509))</f>
        <v/>
      </c>
      <c r="J509" s="39" t="str">
        <f t="shared" si="37"/>
        <v/>
      </c>
      <c r="K509" s="39" t="str">
        <f>IF(B509="","",(SUMIFS(Mau15a!$K$11:$K$310,Mau15a!$B$11:$B$310,B509)-SUMIFS(Mau15a!$E$11:$E$310,Mau15a!$B$11:$B$310,B509))*G509)</f>
        <v/>
      </c>
      <c r="L509" s="36" t="str">
        <f t="shared" si="38"/>
        <v/>
      </c>
      <c r="M509" s="36" t="str">
        <f>IF(B509="","",BOM!G509&amp;"")</f>
        <v/>
      </c>
      <c r="N509" s="36" t="str">
        <f t="shared" si="39"/>
        <v/>
      </c>
    </row>
    <row r="510" spans="1:14" x14ac:dyDescent="0.25">
      <c r="A510" s="35" t="str">
        <f t="shared" si="35"/>
        <v/>
      </c>
      <c r="B510" s="35" t="str">
        <f>IF(BOM!A510="","",BOM!A510)</f>
        <v/>
      </c>
      <c r="C510" s="35" t="str">
        <f>IF(B510="","",BOM!B510)</f>
        <v/>
      </c>
      <c r="D510" s="35" t="str">
        <f>IF(B510="","",IFERROR(INDEX(DM_NL!$B$5:$B$304,MATCH(C510,DM_NL!$A$5:$A$304,0)),""))</f>
        <v/>
      </c>
      <c r="E510" s="35" t="str">
        <f>IF(B510="","",IFERROR(INDEX(DM_NL!$C$5:$C$304,MATCH(C510,DM_NL!$A$5:$A$304,0)),""))</f>
        <v/>
      </c>
      <c r="F510" s="39" t="str">
        <f>IF(B510="","",SUMIFS(Mau15a!$F$11:$F$310,Mau15a!$B$11:$B$310,B510))</f>
        <v/>
      </c>
      <c r="G510" s="39" t="str">
        <f>IF(B510="","",IF(OR(M510="KXDDM",BOM!F510=""),0,BOM!F510))</f>
        <v/>
      </c>
      <c r="H510" s="39" t="str">
        <f t="shared" si="36"/>
        <v/>
      </c>
      <c r="I510" s="39" t="str">
        <f>IF(B510="","",SUMIFS(Mau15a!$H$11:$H$310,Mau15a!$B$11:$B$310,B510)+SUMIFS(Mau15a!$I$11:$I$310,Mau15a!$B$11:$B$310,B510)+SUMIFS(Mau15a!$J$11:$J$310,Mau15a!$B$11:$B$310,B510)-SUMIFS(Mau15a!$G$11:$G$310,Mau15a!$B$11:$B$310,B510))</f>
        <v/>
      </c>
      <c r="J510" s="39" t="str">
        <f t="shared" si="37"/>
        <v/>
      </c>
      <c r="K510" s="39" t="str">
        <f>IF(B510="","",(SUMIFS(Mau15a!$K$11:$K$310,Mau15a!$B$11:$B$310,B510)-SUMIFS(Mau15a!$E$11:$E$310,Mau15a!$B$11:$B$310,B510))*G510)</f>
        <v/>
      </c>
      <c r="L510" s="36" t="str">
        <f t="shared" si="38"/>
        <v/>
      </c>
      <c r="M510" s="36" t="str">
        <f>IF(B510="","",BOM!G510&amp;"")</f>
        <v/>
      </c>
      <c r="N510" s="36" t="str">
        <f t="shared" si="39"/>
        <v/>
      </c>
    </row>
    <row r="511" spans="1:14" x14ac:dyDescent="0.25">
      <c r="A511" s="35" t="str">
        <f t="shared" si="35"/>
        <v/>
      </c>
      <c r="B511" s="35" t="str">
        <f>IF(BOM!A511="","",BOM!A511)</f>
        <v/>
      </c>
      <c r="C511" s="35" t="str">
        <f>IF(B511="","",BOM!B511)</f>
        <v/>
      </c>
      <c r="D511" s="35" t="str">
        <f>IF(B511="","",IFERROR(INDEX(DM_NL!$B$5:$B$304,MATCH(C511,DM_NL!$A$5:$A$304,0)),""))</f>
        <v/>
      </c>
      <c r="E511" s="35" t="str">
        <f>IF(B511="","",IFERROR(INDEX(DM_NL!$C$5:$C$304,MATCH(C511,DM_NL!$A$5:$A$304,0)),""))</f>
        <v/>
      </c>
      <c r="F511" s="39" t="str">
        <f>IF(B511="","",SUMIFS(Mau15a!$F$11:$F$310,Mau15a!$B$11:$B$310,B511))</f>
        <v/>
      </c>
      <c r="G511" s="39" t="str">
        <f>IF(B511="","",IF(OR(M511="KXDDM",BOM!F511=""),0,BOM!F511))</f>
        <v/>
      </c>
      <c r="H511" s="39" t="str">
        <f t="shared" si="36"/>
        <v/>
      </c>
      <c r="I511" s="39" t="str">
        <f>IF(B511="","",SUMIFS(Mau15a!$H$11:$H$310,Mau15a!$B$11:$B$310,B511)+SUMIFS(Mau15a!$I$11:$I$310,Mau15a!$B$11:$B$310,B511)+SUMIFS(Mau15a!$J$11:$J$310,Mau15a!$B$11:$B$310,B511)-SUMIFS(Mau15a!$G$11:$G$310,Mau15a!$B$11:$B$310,B511))</f>
        <v/>
      </c>
      <c r="J511" s="39" t="str">
        <f t="shared" si="37"/>
        <v/>
      </c>
      <c r="K511" s="39" t="str">
        <f>IF(B511="","",(SUMIFS(Mau15a!$K$11:$K$310,Mau15a!$B$11:$B$310,B511)-SUMIFS(Mau15a!$E$11:$E$310,Mau15a!$B$11:$B$310,B511))*G511)</f>
        <v/>
      </c>
      <c r="L511" s="36" t="str">
        <f t="shared" si="38"/>
        <v/>
      </c>
      <c r="M511" s="36" t="str">
        <f>IF(B511="","",BOM!G511&amp;"")</f>
        <v/>
      </c>
      <c r="N511" s="36" t="str">
        <f t="shared" si="39"/>
        <v/>
      </c>
    </row>
    <row r="512" spans="1:14" x14ac:dyDescent="0.25">
      <c r="A512" s="35" t="str">
        <f t="shared" si="35"/>
        <v/>
      </c>
      <c r="B512" s="35" t="str">
        <f>IF(BOM!A512="","",BOM!A512)</f>
        <v/>
      </c>
      <c r="C512" s="35" t="str">
        <f>IF(B512="","",BOM!B512)</f>
        <v/>
      </c>
      <c r="D512" s="35" t="str">
        <f>IF(B512="","",IFERROR(INDEX(DM_NL!$B$5:$B$304,MATCH(C512,DM_NL!$A$5:$A$304,0)),""))</f>
        <v/>
      </c>
      <c r="E512" s="35" t="str">
        <f>IF(B512="","",IFERROR(INDEX(DM_NL!$C$5:$C$304,MATCH(C512,DM_NL!$A$5:$A$304,0)),""))</f>
        <v/>
      </c>
      <c r="F512" s="39" t="str">
        <f>IF(B512="","",SUMIFS(Mau15a!$F$11:$F$310,Mau15a!$B$11:$B$310,B512))</f>
        <v/>
      </c>
      <c r="G512" s="39" t="str">
        <f>IF(B512="","",IF(OR(M512="KXDDM",BOM!F512=""),0,BOM!F512))</f>
        <v/>
      </c>
      <c r="H512" s="39" t="str">
        <f t="shared" si="36"/>
        <v/>
      </c>
      <c r="I512" s="39" t="str">
        <f>IF(B512="","",SUMIFS(Mau15a!$H$11:$H$310,Mau15a!$B$11:$B$310,B512)+SUMIFS(Mau15a!$I$11:$I$310,Mau15a!$B$11:$B$310,B512)+SUMIFS(Mau15a!$J$11:$J$310,Mau15a!$B$11:$B$310,B512)-SUMIFS(Mau15a!$G$11:$G$310,Mau15a!$B$11:$B$310,B512))</f>
        <v/>
      </c>
      <c r="J512" s="39" t="str">
        <f t="shared" si="37"/>
        <v/>
      </c>
      <c r="K512" s="39" t="str">
        <f>IF(B512="","",(SUMIFS(Mau15a!$K$11:$K$310,Mau15a!$B$11:$B$310,B512)-SUMIFS(Mau15a!$E$11:$E$310,Mau15a!$B$11:$B$310,B512))*G512)</f>
        <v/>
      </c>
      <c r="L512" s="36" t="str">
        <f t="shared" si="38"/>
        <v/>
      </c>
      <c r="M512" s="36" t="str">
        <f>IF(B512="","",BOM!G512&amp;"")</f>
        <v/>
      </c>
      <c r="N512" s="36" t="str">
        <f t="shared" si="39"/>
        <v/>
      </c>
    </row>
    <row r="513" spans="1:14" x14ac:dyDescent="0.25">
      <c r="A513" s="35" t="str">
        <f t="shared" si="35"/>
        <v/>
      </c>
      <c r="B513" s="35" t="str">
        <f>IF(BOM!A513="","",BOM!A513)</f>
        <v/>
      </c>
      <c r="C513" s="35" t="str">
        <f>IF(B513="","",BOM!B513)</f>
        <v/>
      </c>
      <c r="D513" s="35" t="str">
        <f>IF(B513="","",IFERROR(INDEX(DM_NL!$B$5:$B$304,MATCH(C513,DM_NL!$A$5:$A$304,0)),""))</f>
        <v/>
      </c>
      <c r="E513" s="35" t="str">
        <f>IF(B513="","",IFERROR(INDEX(DM_NL!$C$5:$C$304,MATCH(C513,DM_NL!$A$5:$A$304,0)),""))</f>
        <v/>
      </c>
      <c r="F513" s="39" t="str">
        <f>IF(B513="","",SUMIFS(Mau15a!$F$11:$F$310,Mau15a!$B$11:$B$310,B513))</f>
        <v/>
      </c>
      <c r="G513" s="39" t="str">
        <f>IF(B513="","",IF(OR(M513="KXDDM",BOM!F513=""),0,BOM!F513))</f>
        <v/>
      </c>
      <c r="H513" s="39" t="str">
        <f t="shared" si="36"/>
        <v/>
      </c>
      <c r="I513" s="39" t="str">
        <f>IF(B513="","",SUMIFS(Mau15a!$H$11:$H$310,Mau15a!$B$11:$B$310,B513)+SUMIFS(Mau15a!$I$11:$I$310,Mau15a!$B$11:$B$310,B513)+SUMIFS(Mau15a!$J$11:$J$310,Mau15a!$B$11:$B$310,B513)-SUMIFS(Mau15a!$G$11:$G$310,Mau15a!$B$11:$B$310,B513))</f>
        <v/>
      </c>
      <c r="J513" s="39" t="str">
        <f t="shared" si="37"/>
        <v/>
      </c>
      <c r="K513" s="39" t="str">
        <f>IF(B513="","",(SUMIFS(Mau15a!$K$11:$K$310,Mau15a!$B$11:$B$310,B513)-SUMIFS(Mau15a!$E$11:$E$310,Mau15a!$B$11:$B$310,B513))*G513)</f>
        <v/>
      </c>
      <c r="L513" s="36" t="str">
        <f t="shared" si="38"/>
        <v/>
      </c>
      <c r="M513" s="36" t="str">
        <f>IF(B513="","",BOM!G513&amp;"")</f>
        <v/>
      </c>
      <c r="N513" s="36" t="str">
        <f t="shared" si="39"/>
        <v/>
      </c>
    </row>
    <row r="514" spans="1:14" x14ac:dyDescent="0.25">
      <c r="A514" s="35" t="str">
        <f t="shared" si="35"/>
        <v/>
      </c>
      <c r="B514" s="35" t="str">
        <f>IF(BOM!A514="","",BOM!A514)</f>
        <v/>
      </c>
      <c r="C514" s="35" t="str">
        <f>IF(B514="","",BOM!B514)</f>
        <v/>
      </c>
      <c r="D514" s="35" t="str">
        <f>IF(B514="","",IFERROR(INDEX(DM_NL!$B$5:$B$304,MATCH(C514,DM_NL!$A$5:$A$304,0)),""))</f>
        <v/>
      </c>
      <c r="E514" s="35" t="str">
        <f>IF(B514="","",IFERROR(INDEX(DM_NL!$C$5:$C$304,MATCH(C514,DM_NL!$A$5:$A$304,0)),""))</f>
        <v/>
      </c>
      <c r="F514" s="39" t="str">
        <f>IF(B514="","",SUMIFS(Mau15a!$F$11:$F$310,Mau15a!$B$11:$B$310,B514))</f>
        <v/>
      </c>
      <c r="G514" s="39" t="str">
        <f>IF(B514="","",IF(OR(M514="KXDDM",BOM!F514=""),0,BOM!F514))</f>
        <v/>
      </c>
      <c r="H514" s="39" t="str">
        <f t="shared" si="36"/>
        <v/>
      </c>
      <c r="I514" s="39" t="str">
        <f>IF(B514="","",SUMIFS(Mau15a!$H$11:$H$310,Mau15a!$B$11:$B$310,B514)+SUMIFS(Mau15a!$I$11:$I$310,Mau15a!$B$11:$B$310,B514)+SUMIFS(Mau15a!$J$11:$J$310,Mau15a!$B$11:$B$310,B514)-SUMIFS(Mau15a!$G$11:$G$310,Mau15a!$B$11:$B$310,B514))</f>
        <v/>
      </c>
      <c r="J514" s="39" t="str">
        <f t="shared" si="37"/>
        <v/>
      </c>
      <c r="K514" s="39" t="str">
        <f>IF(B514="","",(SUMIFS(Mau15a!$K$11:$K$310,Mau15a!$B$11:$B$310,B514)-SUMIFS(Mau15a!$E$11:$E$310,Mau15a!$B$11:$B$310,B514))*G514)</f>
        <v/>
      </c>
      <c r="L514" s="36" t="str">
        <f t="shared" si="38"/>
        <v/>
      </c>
      <c r="M514" s="36" t="str">
        <f>IF(B514="","",BOM!G514&amp;"")</f>
        <v/>
      </c>
      <c r="N514" s="36" t="str">
        <f t="shared" si="39"/>
        <v/>
      </c>
    </row>
    <row r="515" spans="1:14" x14ac:dyDescent="0.25">
      <c r="A515" s="35" t="str">
        <f t="shared" si="35"/>
        <v/>
      </c>
      <c r="B515" s="35" t="str">
        <f>IF(BOM!A515="","",BOM!A515)</f>
        <v/>
      </c>
      <c r="C515" s="35" t="str">
        <f>IF(B515="","",BOM!B515)</f>
        <v/>
      </c>
      <c r="D515" s="35" t="str">
        <f>IF(B515="","",IFERROR(INDEX(DM_NL!$B$5:$B$304,MATCH(C515,DM_NL!$A$5:$A$304,0)),""))</f>
        <v/>
      </c>
      <c r="E515" s="35" t="str">
        <f>IF(B515="","",IFERROR(INDEX(DM_NL!$C$5:$C$304,MATCH(C515,DM_NL!$A$5:$A$304,0)),""))</f>
        <v/>
      </c>
      <c r="F515" s="39" t="str">
        <f>IF(B515="","",SUMIFS(Mau15a!$F$11:$F$310,Mau15a!$B$11:$B$310,B515))</f>
        <v/>
      </c>
      <c r="G515" s="39" t="str">
        <f>IF(B515="","",IF(OR(M515="KXDDM",BOM!F515=""),0,BOM!F515))</f>
        <v/>
      </c>
      <c r="H515" s="39" t="str">
        <f t="shared" si="36"/>
        <v/>
      </c>
      <c r="I515" s="39" t="str">
        <f>IF(B515="","",SUMIFS(Mau15a!$H$11:$H$310,Mau15a!$B$11:$B$310,B515)+SUMIFS(Mau15a!$I$11:$I$310,Mau15a!$B$11:$B$310,B515)+SUMIFS(Mau15a!$J$11:$J$310,Mau15a!$B$11:$B$310,B515)-SUMIFS(Mau15a!$G$11:$G$310,Mau15a!$B$11:$B$310,B515))</f>
        <v/>
      </c>
      <c r="J515" s="39" t="str">
        <f t="shared" si="37"/>
        <v/>
      </c>
      <c r="K515" s="39" t="str">
        <f>IF(B515="","",(SUMIFS(Mau15a!$K$11:$K$310,Mau15a!$B$11:$B$310,B515)-SUMIFS(Mau15a!$E$11:$E$310,Mau15a!$B$11:$B$310,B515))*G515)</f>
        <v/>
      </c>
      <c r="L515" s="36" t="str">
        <f t="shared" si="38"/>
        <v/>
      </c>
      <c r="M515" s="36" t="str">
        <f>IF(B515="","",BOM!G515&amp;"")</f>
        <v/>
      </c>
      <c r="N515" s="36" t="str">
        <f t="shared" si="39"/>
        <v/>
      </c>
    </row>
    <row r="516" spans="1:14" x14ac:dyDescent="0.25">
      <c r="A516" s="35" t="str">
        <f t="shared" si="35"/>
        <v/>
      </c>
      <c r="B516" s="35" t="str">
        <f>IF(BOM!A516="","",BOM!A516)</f>
        <v/>
      </c>
      <c r="C516" s="35" t="str">
        <f>IF(B516="","",BOM!B516)</f>
        <v/>
      </c>
      <c r="D516" s="35" t="str">
        <f>IF(B516="","",IFERROR(INDEX(DM_NL!$B$5:$B$304,MATCH(C516,DM_NL!$A$5:$A$304,0)),""))</f>
        <v/>
      </c>
      <c r="E516" s="35" t="str">
        <f>IF(B516="","",IFERROR(INDEX(DM_NL!$C$5:$C$304,MATCH(C516,DM_NL!$A$5:$A$304,0)),""))</f>
        <v/>
      </c>
      <c r="F516" s="39" t="str">
        <f>IF(B516="","",SUMIFS(Mau15a!$F$11:$F$310,Mau15a!$B$11:$B$310,B516))</f>
        <v/>
      </c>
      <c r="G516" s="39" t="str">
        <f>IF(B516="","",IF(OR(M516="KXDDM",BOM!F516=""),0,BOM!F516))</f>
        <v/>
      </c>
      <c r="H516" s="39" t="str">
        <f t="shared" si="36"/>
        <v/>
      </c>
      <c r="I516" s="39" t="str">
        <f>IF(B516="","",SUMIFS(Mau15a!$H$11:$H$310,Mau15a!$B$11:$B$310,B516)+SUMIFS(Mau15a!$I$11:$I$310,Mau15a!$B$11:$B$310,B516)+SUMIFS(Mau15a!$J$11:$J$310,Mau15a!$B$11:$B$310,B516)-SUMIFS(Mau15a!$G$11:$G$310,Mau15a!$B$11:$B$310,B516))</f>
        <v/>
      </c>
      <c r="J516" s="39" t="str">
        <f t="shared" si="37"/>
        <v/>
      </c>
      <c r="K516" s="39" t="str">
        <f>IF(B516="","",(SUMIFS(Mau15a!$K$11:$K$310,Mau15a!$B$11:$B$310,B516)-SUMIFS(Mau15a!$E$11:$E$310,Mau15a!$B$11:$B$310,B516))*G516)</f>
        <v/>
      </c>
      <c r="L516" s="36" t="str">
        <f t="shared" si="38"/>
        <v/>
      </c>
      <c r="M516" s="36" t="str">
        <f>IF(B516="","",BOM!G516&amp;"")</f>
        <v/>
      </c>
      <c r="N516" s="36" t="str">
        <f t="shared" si="39"/>
        <v/>
      </c>
    </row>
    <row r="517" spans="1:14" x14ac:dyDescent="0.25">
      <c r="A517" s="35" t="str">
        <f t="shared" ref="A517:A580" si="40">IF(B517="","",ROW()-4)</f>
        <v/>
      </c>
      <c r="B517" s="35" t="str">
        <f>IF(BOM!A517="","",BOM!A517)</f>
        <v/>
      </c>
      <c r="C517" s="35" t="str">
        <f>IF(B517="","",BOM!B517)</f>
        <v/>
      </c>
      <c r="D517" s="35" t="str">
        <f>IF(B517="","",IFERROR(INDEX(DM_NL!$B$5:$B$304,MATCH(C517,DM_NL!$A$5:$A$304,0)),""))</f>
        <v/>
      </c>
      <c r="E517" s="35" t="str">
        <f>IF(B517="","",IFERROR(INDEX(DM_NL!$C$5:$C$304,MATCH(C517,DM_NL!$A$5:$A$304,0)),""))</f>
        <v/>
      </c>
      <c r="F517" s="39" t="str">
        <f>IF(B517="","",SUMIFS(Mau15a!$F$11:$F$310,Mau15a!$B$11:$B$310,B517))</f>
        <v/>
      </c>
      <c r="G517" s="39" t="str">
        <f>IF(B517="","",IF(OR(M517="KXDDM",BOM!F517=""),0,BOM!F517))</f>
        <v/>
      </c>
      <c r="H517" s="39" t="str">
        <f t="shared" ref="H517:H580" si="41">IF(B517="","",F517*G517)</f>
        <v/>
      </c>
      <c r="I517" s="39" t="str">
        <f>IF(B517="","",SUMIFS(Mau15a!$H$11:$H$310,Mau15a!$B$11:$B$310,B517)+SUMIFS(Mau15a!$I$11:$I$310,Mau15a!$B$11:$B$310,B517)+SUMIFS(Mau15a!$J$11:$J$310,Mau15a!$B$11:$B$310,B517)-SUMIFS(Mau15a!$G$11:$G$310,Mau15a!$B$11:$B$310,B517))</f>
        <v/>
      </c>
      <c r="J517" s="39" t="str">
        <f t="shared" ref="J517:J580" si="42">IF(B517="","",I517*G517)</f>
        <v/>
      </c>
      <c r="K517" s="39" t="str">
        <f>IF(B517="","",(SUMIFS(Mau15a!$K$11:$K$310,Mau15a!$B$11:$B$310,B517)-SUMIFS(Mau15a!$E$11:$E$310,Mau15a!$B$11:$B$310,B517))*G517)</f>
        <v/>
      </c>
      <c r="L517" s="36" t="str">
        <f t="shared" ref="L517:L580" si="43">IF(B517="","",IF(ABS(H517-J517-K517)&lt;0.000001,"Khớp","Lệch"))</f>
        <v/>
      </c>
      <c r="M517" s="36" t="str">
        <f>IF(B517="","",BOM!G517&amp;"")</f>
        <v/>
      </c>
      <c r="N517" s="36" t="str">
        <f t="shared" ref="N517:N580" si="44">IF(B517="","",IF(M517="",1,0))</f>
        <v/>
      </c>
    </row>
    <row r="518" spans="1:14" x14ac:dyDescent="0.25">
      <c r="A518" s="35" t="str">
        <f t="shared" si="40"/>
        <v/>
      </c>
      <c r="B518" s="35" t="str">
        <f>IF(BOM!A518="","",BOM!A518)</f>
        <v/>
      </c>
      <c r="C518" s="35" t="str">
        <f>IF(B518="","",BOM!B518)</f>
        <v/>
      </c>
      <c r="D518" s="35" t="str">
        <f>IF(B518="","",IFERROR(INDEX(DM_NL!$B$5:$B$304,MATCH(C518,DM_NL!$A$5:$A$304,0)),""))</f>
        <v/>
      </c>
      <c r="E518" s="35" t="str">
        <f>IF(B518="","",IFERROR(INDEX(DM_NL!$C$5:$C$304,MATCH(C518,DM_NL!$A$5:$A$304,0)),""))</f>
        <v/>
      </c>
      <c r="F518" s="39" t="str">
        <f>IF(B518="","",SUMIFS(Mau15a!$F$11:$F$310,Mau15a!$B$11:$B$310,B518))</f>
        <v/>
      </c>
      <c r="G518" s="39" t="str">
        <f>IF(B518="","",IF(OR(M518="KXDDM",BOM!F518=""),0,BOM!F518))</f>
        <v/>
      </c>
      <c r="H518" s="39" t="str">
        <f t="shared" si="41"/>
        <v/>
      </c>
      <c r="I518" s="39" t="str">
        <f>IF(B518="","",SUMIFS(Mau15a!$H$11:$H$310,Mau15a!$B$11:$B$310,B518)+SUMIFS(Mau15a!$I$11:$I$310,Mau15a!$B$11:$B$310,B518)+SUMIFS(Mau15a!$J$11:$J$310,Mau15a!$B$11:$B$310,B518)-SUMIFS(Mau15a!$G$11:$G$310,Mau15a!$B$11:$B$310,B518))</f>
        <v/>
      </c>
      <c r="J518" s="39" t="str">
        <f t="shared" si="42"/>
        <v/>
      </c>
      <c r="K518" s="39" t="str">
        <f>IF(B518="","",(SUMIFS(Mau15a!$K$11:$K$310,Mau15a!$B$11:$B$310,B518)-SUMIFS(Mau15a!$E$11:$E$310,Mau15a!$B$11:$B$310,B518))*G518)</f>
        <v/>
      </c>
      <c r="L518" s="36" t="str">
        <f t="shared" si="43"/>
        <v/>
      </c>
      <c r="M518" s="36" t="str">
        <f>IF(B518="","",BOM!G518&amp;"")</f>
        <v/>
      </c>
      <c r="N518" s="36" t="str">
        <f t="shared" si="44"/>
        <v/>
      </c>
    </row>
    <row r="519" spans="1:14" x14ac:dyDescent="0.25">
      <c r="A519" s="35" t="str">
        <f t="shared" si="40"/>
        <v/>
      </c>
      <c r="B519" s="35" t="str">
        <f>IF(BOM!A519="","",BOM!A519)</f>
        <v/>
      </c>
      <c r="C519" s="35" t="str">
        <f>IF(B519="","",BOM!B519)</f>
        <v/>
      </c>
      <c r="D519" s="35" t="str">
        <f>IF(B519="","",IFERROR(INDEX(DM_NL!$B$5:$B$304,MATCH(C519,DM_NL!$A$5:$A$304,0)),""))</f>
        <v/>
      </c>
      <c r="E519" s="35" t="str">
        <f>IF(B519="","",IFERROR(INDEX(DM_NL!$C$5:$C$304,MATCH(C519,DM_NL!$A$5:$A$304,0)),""))</f>
        <v/>
      </c>
      <c r="F519" s="39" t="str">
        <f>IF(B519="","",SUMIFS(Mau15a!$F$11:$F$310,Mau15a!$B$11:$B$310,B519))</f>
        <v/>
      </c>
      <c r="G519" s="39" t="str">
        <f>IF(B519="","",IF(OR(M519="KXDDM",BOM!F519=""),0,BOM!F519))</f>
        <v/>
      </c>
      <c r="H519" s="39" t="str">
        <f t="shared" si="41"/>
        <v/>
      </c>
      <c r="I519" s="39" t="str">
        <f>IF(B519="","",SUMIFS(Mau15a!$H$11:$H$310,Mau15a!$B$11:$B$310,B519)+SUMIFS(Mau15a!$I$11:$I$310,Mau15a!$B$11:$B$310,B519)+SUMIFS(Mau15a!$J$11:$J$310,Mau15a!$B$11:$B$310,B519)-SUMIFS(Mau15a!$G$11:$G$310,Mau15a!$B$11:$B$310,B519))</f>
        <v/>
      </c>
      <c r="J519" s="39" t="str">
        <f t="shared" si="42"/>
        <v/>
      </c>
      <c r="K519" s="39" t="str">
        <f>IF(B519="","",(SUMIFS(Mau15a!$K$11:$K$310,Mau15a!$B$11:$B$310,B519)-SUMIFS(Mau15a!$E$11:$E$310,Mau15a!$B$11:$B$310,B519))*G519)</f>
        <v/>
      </c>
      <c r="L519" s="36" t="str">
        <f t="shared" si="43"/>
        <v/>
      </c>
      <c r="M519" s="36" t="str">
        <f>IF(B519="","",BOM!G519&amp;"")</f>
        <v/>
      </c>
      <c r="N519" s="36" t="str">
        <f t="shared" si="44"/>
        <v/>
      </c>
    </row>
    <row r="520" spans="1:14" x14ac:dyDescent="0.25">
      <c r="A520" s="35" t="str">
        <f t="shared" si="40"/>
        <v/>
      </c>
      <c r="B520" s="35" t="str">
        <f>IF(BOM!A520="","",BOM!A520)</f>
        <v/>
      </c>
      <c r="C520" s="35" t="str">
        <f>IF(B520="","",BOM!B520)</f>
        <v/>
      </c>
      <c r="D520" s="35" t="str">
        <f>IF(B520="","",IFERROR(INDEX(DM_NL!$B$5:$B$304,MATCH(C520,DM_NL!$A$5:$A$304,0)),""))</f>
        <v/>
      </c>
      <c r="E520" s="35" t="str">
        <f>IF(B520="","",IFERROR(INDEX(DM_NL!$C$5:$C$304,MATCH(C520,DM_NL!$A$5:$A$304,0)),""))</f>
        <v/>
      </c>
      <c r="F520" s="39" t="str">
        <f>IF(B520="","",SUMIFS(Mau15a!$F$11:$F$310,Mau15a!$B$11:$B$310,B520))</f>
        <v/>
      </c>
      <c r="G520" s="39" t="str">
        <f>IF(B520="","",IF(OR(M520="KXDDM",BOM!F520=""),0,BOM!F520))</f>
        <v/>
      </c>
      <c r="H520" s="39" t="str">
        <f t="shared" si="41"/>
        <v/>
      </c>
      <c r="I520" s="39" t="str">
        <f>IF(B520="","",SUMIFS(Mau15a!$H$11:$H$310,Mau15a!$B$11:$B$310,B520)+SUMIFS(Mau15a!$I$11:$I$310,Mau15a!$B$11:$B$310,B520)+SUMIFS(Mau15a!$J$11:$J$310,Mau15a!$B$11:$B$310,B520)-SUMIFS(Mau15a!$G$11:$G$310,Mau15a!$B$11:$B$310,B520))</f>
        <v/>
      </c>
      <c r="J520" s="39" t="str">
        <f t="shared" si="42"/>
        <v/>
      </c>
      <c r="K520" s="39" t="str">
        <f>IF(B520="","",(SUMIFS(Mau15a!$K$11:$K$310,Mau15a!$B$11:$B$310,B520)-SUMIFS(Mau15a!$E$11:$E$310,Mau15a!$B$11:$B$310,B520))*G520)</f>
        <v/>
      </c>
      <c r="L520" s="36" t="str">
        <f t="shared" si="43"/>
        <v/>
      </c>
      <c r="M520" s="36" t="str">
        <f>IF(B520="","",BOM!G520&amp;"")</f>
        <v/>
      </c>
      <c r="N520" s="36" t="str">
        <f t="shared" si="44"/>
        <v/>
      </c>
    </row>
    <row r="521" spans="1:14" x14ac:dyDescent="0.25">
      <c r="A521" s="35" t="str">
        <f t="shared" si="40"/>
        <v/>
      </c>
      <c r="B521" s="35" t="str">
        <f>IF(BOM!A521="","",BOM!A521)</f>
        <v/>
      </c>
      <c r="C521" s="35" t="str">
        <f>IF(B521="","",BOM!B521)</f>
        <v/>
      </c>
      <c r="D521" s="35" t="str">
        <f>IF(B521="","",IFERROR(INDEX(DM_NL!$B$5:$B$304,MATCH(C521,DM_NL!$A$5:$A$304,0)),""))</f>
        <v/>
      </c>
      <c r="E521" s="35" t="str">
        <f>IF(B521="","",IFERROR(INDEX(DM_NL!$C$5:$C$304,MATCH(C521,DM_NL!$A$5:$A$304,0)),""))</f>
        <v/>
      </c>
      <c r="F521" s="39" t="str">
        <f>IF(B521="","",SUMIFS(Mau15a!$F$11:$F$310,Mau15a!$B$11:$B$310,B521))</f>
        <v/>
      </c>
      <c r="G521" s="39" t="str">
        <f>IF(B521="","",IF(OR(M521="KXDDM",BOM!F521=""),0,BOM!F521))</f>
        <v/>
      </c>
      <c r="H521" s="39" t="str">
        <f t="shared" si="41"/>
        <v/>
      </c>
      <c r="I521" s="39" t="str">
        <f>IF(B521="","",SUMIFS(Mau15a!$H$11:$H$310,Mau15a!$B$11:$B$310,B521)+SUMIFS(Mau15a!$I$11:$I$310,Mau15a!$B$11:$B$310,B521)+SUMIFS(Mau15a!$J$11:$J$310,Mau15a!$B$11:$B$310,B521)-SUMIFS(Mau15a!$G$11:$G$310,Mau15a!$B$11:$B$310,B521))</f>
        <v/>
      </c>
      <c r="J521" s="39" t="str">
        <f t="shared" si="42"/>
        <v/>
      </c>
      <c r="K521" s="39" t="str">
        <f>IF(B521="","",(SUMIFS(Mau15a!$K$11:$K$310,Mau15a!$B$11:$B$310,B521)-SUMIFS(Mau15a!$E$11:$E$310,Mau15a!$B$11:$B$310,B521))*G521)</f>
        <v/>
      </c>
      <c r="L521" s="36" t="str">
        <f t="shared" si="43"/>
        <v/>
      </c>
      <c r="M521" s="36" t="str">
        <f>IF(B521="","",BOM!G521&amp;"")</f>
        <v/>
      </c>
      <c r="N521" s="36" t="str">
        <f t="shared" si="44"/>
        <v/>
      </c>
    </row>
    <row r="522" spans="1:14" x14ac:dyDescent="0.25">
      <c r="A522" s="35" t="str">
        <f t="shared" si="40"/>
        <v/>
      </c>
      <c r="B522" s="35" t="str">
        <f>IF(BOM!A522="","",BOM!A522)</f>
        <v/>
      </c>
      <c r="C522" s="35" t="str">
        <f>IF(B522="","",BOM!B522)</f>
        <v/>
      </c>
      <c r="D522" s="35" t="str">
        <f>IF(B522="","",IFERROR(INDEX(DM_NL!$B$5:$B$304,MATCH(C522,DM_NL!$A$5:$A$304,0)),""))</f>
        <v/>
      </c>
      <c r="E522" s="35" t="str">
        <f>IF(B522="","",IFERROR(INDEX(DM_NL!$C$5:$C$304,MATCH(C522,DM_NL!$A$5:$A$304,0)),""))</f>
        <v/>
      </c>
      <c r="F522" s="39" t="str">
        <f>IF(B522="","",SUMIFS(Mau15a!$F$11:$F$310,Mau15a!$B$11:$B$310,B522))</f>
        <v/>
      </c>
      <c r="G522" s="39" t="str">
        <f>IF(B522="","",IF(OR(M522="KXDDM",BOM!F522=""),0,BOM!F522))</f>
        <v/>
      </c>
      <c r="H522" s="39" t="str">
        <f t="shared" si="41"/>
        <v/>
      </c>
      <c r="I522" s="39" t="str">
        <f>IF(B522="","",SUMIFS(Mau15a!$H$11:$H$310,Mau15a!$B$11:$B$310,B522)+SUMIFS(Mau15a!$I$11:$I$310,Mau15a!$B$11:$B$310,B522)+SUMIFS(Mau15a!$J$11:$J$310,Mau15a!$B$11:$B$310,B522)-SUMIFS(Mau15a!$G$11:$G$310,Mau15a!$B$11:$B$310,B522))</f>
        <v/>
      </c>
      <c r="J522" s="39" t="str">
        <f t="shared" si="42"/>
        <v/>
      </c>
      <c r="K522" s="39" t="str">
        <f>IF(B522="","",(SUMIFS(Mau15a!$K$11:$K$310,Mau15a!$B$11:$B$310,B522)-SUMIFS(Mau15a!$E$11:$E$310,Mau15a!$B$11:$B$310,B522))*G522)</f>
        <v/>
      </c>
      <c r="L522" s="36" t="str">
        <f t="shared" si="43"/>
        <v/>
      </c>
      <c r="M522" s="36" t="str">
        <f>IF(B522="","",BOM!G522&amp;"")</f>
        <v/>
      </c>
      <c r="N522" s="36" t="str">
        <f t="shared" si="44"/>
        <v/>
      </c>
    </row>
    <row r="523" spans="1:14" x14ac:dyDescent="0.25">
      <c r="A523" s="35" t="str">
        <f t="shared" si="40"/>
        <v/>
      </c>
      <c r="B523" s="35" t="str">
        <f>IF(BOM!A523="","",BOM!A523)</f>
        <v/>
      </c>
      <c r="C523" s="35" t="str">
        <f>IF(B523="","",BOM!B523)</f>
        <v/>
      </c>
      <c r="D523" s="35" t="str">
        <f>IF(B523="","",IFERROR(INDEX(DM_NL!$B$5:$B$304,MATCH(C523,DM_NL!$A$5:$A$304,0)),""))</f>
        <v/>
      </c>
      <c r="E523" s="35" t="str">
        <f>IF(B523="","",IFERROR(INDEX(DM_NL!$C$5:$C$304,MATCH(C523,DM_NL!$A$5:$A$304,0)),""))</f>
        <v/>
      </c>
      <c r="F523" s="39" t="str">
        <f>IF(B523="","",SUMIFS(Mau15a!$F$11:$F$310,Mau15a!$B$11:$B$310,B523))</f>
        <v/>
      </c>
      <c r="G523" s="39" t="str">
        <f>IF(B523="","",IF(OR(M523="KXDDM",BOM!F523=""),0,BOM!F523))</f>
        <v/>
      </c>
      <c r="H523" s="39" t="str">
        <f t="shared" si="41"/>
        <v/>
      </c>
      <c r="I523" s="39" t="str">
        <f>IF(B523="","",SUMIFS(Mau15a!$H$11:$H$310,Mau15a!$B$11:$B$310,B523)+SUMIFS(Mau15a!$I$11:$I$310,Mau15a!$B$11:$B$310,B523)+SUMIFS(Mau15a!$J$11:$J$310,Mau15a!$B$11:$B$310,B523)-SUMIFS(Mau15a!$G$11:$G$310,Mau15a!$B$11:$B$310,B523))</f>
        <v/>
      </c>
      <c r="J523" s="39" t="str">
        <f t="shared" si="42"/>
        <v/>
      </c>
      <c r="K523" s="39" t="str">
        <f>IF(B523="","",(SUMIFS(Mau15a!$K$11:$K$310,Mau15a!$B$11:$B$310,B523)-SUMIFS(Mau15a!$E$11:$E$310,Mau15a!$B$11:$B$310,B523))*G523)</f>
        <v/>
      </c>
      <c r="L523" s="36" t="str">
        <f t="shared" si="43"/>
        <v/>
      </c>
      <c r="M523" s="36" t="str">
        <f>IF(B523="","",BOM!G523&amp;"")</f>
        <v/>
      </c>
      <c r="N523" s="36" t="str">
        <f t="shared" si="44"/>
        <v/>
      </c>
    </row>
    <row r="524" spans="1:14" x14ac:dyDescent="0.25">
      <c r="A524" s="35" t="str">
        <f t="shared" si="40"/>
        <v/>
      </c>
      <c r="B524" s="35" t="str">
        <f>IF(BOM!A524="","",BOM!A524)</f>
        <v/>
      </c>
      <c r="C524" s="35" t="str">
        <f>IF(B524="","",BOM!B524)</f>
        <v/>
      </c>
      <c r="D524" s="35" t="str">
        <f>IF(B524="","",IFERROR(INDEX(DM_NL!$B$5:$B$304,MATCH(C524,DM_NL!$A$5:$A$304,0)),""))</f>
        <v/>
      </c>
      <c r="E524" s="35" t="str">
        <f>IF(B524="","",IFERROR(INDEX(DM_NL!$C$5:$C$304,MATCH(C524,DM_NL!$A$5:$A$304,0)),""))</f>
        <v/>
      </c>
      <c r="F524" s="39" t="str">
        <f>IF(B524="","",SUMIFS(Mau15a!$F$11:$F$310,Mau15a!$B$11:$B$310,B524))</f>
        <v/>
      </c>
      <c r="G524" s="39" t="str">
        <f>IF(B524="","",IF(OR(M524="KXDDM",BOM!F524=""),0,BOM!F524))</f>
        <v/>
      </c>
      <c r="H524" s="39" t="str">
        <f t="shared" si="41"/>
        <v/>
      </c>
      <c r="I524" s="39" t="str">
        <f>IF(B524="","",SUMIFS(Mau15a!$H$11:$H$310,Mau15a!$B$11:$B$310,B524)+SUMIFS(Mau15a!$I$11:$I$310,Mau15a!$B$11:$B$310,B524)+SUMIFS(Mau15a!$J$11:$J$310,Mau15a!$B$11:$B$310,B524)-SUMIFS(Mau15a!$G$11:$G$310,Mau15a!$B$11:$B$310,B524))</f>
        <v/>
      </c>
      <c r="J524" s="39" t="str">
        <f t="shared" si="42"/>
        <v/>
      </c>
      <c r="K524" s="39" t="str">
        <f>IF(B524="","",(SUMIFS(Mau15a!$K$11:$K$310,Mau15a!$B$11:$B$310,B524)-SUMIFS(Mau15a!$E$11:$E$310,Mau15a!$B$11:$B$310,B524))*G524)</f>
        <v/>
      </c>
      <c r="L524" s="36" t="str">
        <f t="shared" si="43"/>
        <v/>
      </c>
      <c r="M524" s="36" t="str">
        <f>IF(B524="","",BOM!G524&amp;"")</f>
        <v/>
      </c>
      <c r="N524" s="36" t="str">
        <f t="shared" si="44"/>
        <v/>
      </c>
    </row>
    <row r="525" spans="1:14" x14ac:dyDescent="0.25">
      <c r="A525" s="35" t="str">
        <f t="shared" si="40"/>
        <v/>
      </c>
      <c r="B525" s="35" t="str">
        <f>IF(BOM!A525="","",BOM!A525)</f>
        <v/>
      </c>
      <c r="C525" s="35" t="str">
        <f>IF(B525="","",BOM!B525)</f>
        <v/>
      </c>
      <c r="D525" s="35" t="str">
        <f>IF(B525="","",IFERROR(INDEX(DM_NL!$B$5:$B$304,MATCH(C525,DM_NL!$A$5:$A$304,0)),""))</f>
        <v/>
      </c>
      <c r="E525" s="35" t="str">
        <f>IF(B525="","",IFERROR(INDEX(DM_NL!$C$5:$C$304,MATCH(C525,DM_NL!$A$5:$A$304,0)),""))</f>
        <v/>
      </c>
      <c r="F525" s="39" t="str">
        <f>IF(B525="","",SUMIFS(Mau15a!$F$11:$F$310,Mau15a!$B$11:$B$310,B525))</f>
        <v/>
      </c>
      <c r="G525" s="39" t="str">
        <f>IF(B525="","",IF(OR(M525="KXDDM",BOM!F525=""),0,BOM!F525))</f>
        <v/>
      </c>
      <c r="H525" s="39" t="str">
        <f t="shared" si="41"/>
        <v/>
      </c>
      <c r="I525" s="39" t="str">
        <f>IF(B525="","",SUMIFS(Mau15a!$H$11:$H$310,Mau15a!$B$11:$B$310,B525)+SUMIFS(Mau15a!$I$11:$I$310,Mau15a!$B$11:$B$310,B525)+SUMIFS(Mau15a!$J$11:$J$310,Mau15a!$B$11:$B$310,B525)-SUMIFS(Mau15a!$G$11:$G$310,Mau15a!$B$11:$B$310,B525))</f>
        <v/>
      </c>
      <c r="J525" s="39" t="str">
        <f t="shared" si="42"/>
        <v/>
      </c>
      <c r="K525" s="39" t="str">
        <f>IF(B525="","",(SUMIFS(Mau15a!$K$11:$K$310,Mau15a!$B$11:$B$310,B525)-SUMIFS(Mau15a!$E$11:$E$310,Mau15a!$B$11:$B$310,B525))*G525)</f>
        <v/>
      </c>
      <c r="L525" s="36" t="str">
        <f t="shared" si="43"/>
        <v/>
      </c>
      <c r="M525" s="36" t="str">
        <f>IF(B525="","",BOM!G525&amp;"")</f>
        <v/>
      </c>
      <c r="N525" s="36" t="str">
        <f t="shared" si="44"/>
        <v/>
      </c>
    </row>
    <row r="526" spans="1:14" x14ac:dyDescent="0.25">
      <c r="A526" s="35" t="str">
        <f t="shared" si="40"/>
        <v/>
      </c>
      <c r="B526" s="35" t="str">
        <f>IF(BOM!A526="","",BOM!A526)</f>
        <v/>
      </c>
      <c r="C526" s="35" t="str">
        <f>IF(B526="","",BOM!B526)</f>
        <v/>
      </c>
      <c r="D526" s="35" t="str">
        <f>IF(B526="","",IFERROR(INDEX(DM_NL!$B$5:$B$304,MATCH(C526,DM_NL!$A$5:$A$304,0)),""))</f>
        <v/>
      </c>
      <c r="E526" s="35" t="str">
        <f>IF(B526="","",IFERROR(INDEX(DM_NL!$C$5:$C$304,MATCH(C526,DM_NL!$A$5:$A$304,0)),""))</f>
        <v/>
      </c>
      <c r="F526" s="39" t="str">
        <f>IF(B526="","",SUMIFS(Mau15a!$F$11:$F$310,Mau15a!$B$11:$B$310,B526))</f>
        <v/>
      </c>
      <c r="G526" s="39" t="str">
        <f>IF(B526="","",IF(OR(M526="KXDDM",BOM!F526=""),0,BOM!F526))</f>
        <v/>
      </c>
      <c r="H526" s="39" t="str">
        <f t="shared" si="41"/>
        <v/>
      </c>
      <c r="I526" s="39" t="str">
        <f>IF(B526="","",SUMIFS(Mau15a!$H$11:$H$310,Mau15a!$B$11:$B$310,B526)+SUMIFS(Mau15a!$I$11:$I$310,Mau15a!$B$11:$B$310,B526)+SUMIFS(Mau15a!$J$11:$J$310,Mau15a!$B$11:$B$310,B526)-SUMIFS(Mau15a!$G$11:$G$310,Mau15a!$B$11:$B$310,B526))</f>
        <v/>
      </c>
      <c r="J526" s="39" t="str">
        <f t="shared" si="42"/>
        <v/>
      </c>
      <c r="K526" s="39" t="str">
        <f>IF(B526="","",(SUMIFS(Mau15a!$K$11:$K$310,Mau15a!$B$11:$B$310,B526)-SUMIFS(Mau15a!$E$11:$E$310,Mau15a!$B$11:$B$310,B526))*G526)</f>
        <v/>
      </c>
      <c r="L526" s="36" t="str">
        <f t="shared" si="43"/>
        <v/>
      </c>
      <c r="M526" s="36" t="str">
        <f>IF(B526="","",BOM!G526&amp;"")</f>
        <v/>
      </c>
      <c r="N526" s="36" t="str">
        <f t="shared" si="44"/>
        <v/>
      </c>
    </row>
    <row r="527" spans="1:14" x14ac:dyDescent="0.25">
      <c r="A527" s="35" t="str">
        <f t="shared" si="40"/>
        <v/>
      </c>
      <c r="B527" s="35" t="str">
        <f>IF(BOM!A527="","",BOM!A527)</f>
        <v/>
      </c>
      <c r="C527" s="35" t="str">
        <f>IF(B527="","",BOM!B527)</f>
        <v/>
      </c>
      <c r="D527" s="35" t="str">
        <f>IF(B527="","",IFERROR(INDEX(DM_NL!$B$5:$B$304,MATCH(C527,DM_NL!$A$5:$A$304,0)),""))</f>
        <v/>
      </c>
      <c r="E527" s="35" t="str">
        <f>IF(B527="","",IFERROR(INDEX(DM_NL!$C$5:$C$304,MATCH(C527,DM_NL!$A$5:$A$304,0)),""))</f>
        <v/>
      </c>
      <c r="F527" s="39" t="str">
        <f>IF(B527="","",SUMIFS(Mau15a!$F$11:$F$310,Mau15a!$B$11:$B$310,B527))</f>
        <v/>
      </c>
      <c r="G527" s="39" t="str">
        <f>IF(B527="","",IF(OR(M527="KXDDM",BOM!F527=""),0,BOM!F527))</f>
        <v/>
      </c>
      <c r="H527" s="39" t="str">
        <f t="shared" si="41"/>
        <v/>
      </c>
      <c r="I527" s="39" t="str">
        <f>IF(B527="","",SUMIFS(Mau15a!$H$11:$H$310,Mau15a!$B$11:$B$310,B527)+SUMIFS(Mau15a!$I$11:$I$310,Mau15a!$B$11:$B$310,B527)+SUMIFS(Mau15a!$J$11:$J$310,Mau15a!$B$11:$B$310,B527)-SUMIFS(Mau15a!$G$11:$G$310,Mau15a!$B$11:$B$310,B527))</f>
        <v/>
      </c>
      <c r="J527" s="39" t="str">
        <f t="shared" si="42"/>
        <v/>
      </c>
      <c r="K527" s="39" t="str">
        <f>IF(B527="","",(SUMIFS(Mau15a!$K$11:$K$310,Mau15a!$B$11:$B$310,B527)-SUMIFS(Mau15a!$E$11:$E$310,Mau15a!$B$11:$B$310,B527))*G527)</f>
        <v/>
      </c>
      <c r="L527" s="36" t="str">
        <f t="shared" si="43"/>
        <v/>
      </c>
      <c r="M527" s="36" t="str">
        <f>IF(B527="","",BOM!G527&amp;"")</f>
        <v/>
      </c>
      <c r="N527" s="36" t="str">
        <f t="shared" si="44"/>
        <v/>
      </c>
    </row>
    <row r="528" spans="1:14" x14ac:dyDescent="0.25">
      <c r="A528" s="35" t="str">
        <f t="shared" si="40"/>
        <v/>
      </c>
      <c r="B528" s="35" t="str">
        <f>IF(BOM!A528="","",BOM!A528)</f>
        <v/>
      </c>
      <c r="C528" s="35" t="str">
        <f>IF(B528="","",BOM!B528)</f>
        <v/>
      </c>
      <c r="D528" s="35" t="str">
        <f>IF(B528="","",IFERROR(INDEX(DM_NL!$B$5:$B$304,MATCH(C528,DM_NL!$A$5:$A$304,0)),""))</f>
        <v/>
      </c>
      <c r="E528" s="35" t="str">
        <f>IF(B528="","",IFERROR(INDEX(DM_NL!$C$5:$C$304,MATCH(C528,DM_NL!$A$5:$A$304,0)),""))</f>
        <v/>
      </c>
      <c r="F528" s="39" t="str">
        <f>IF(B528="","",SUMIFS(Mau15a!$F$11:$F$310,Mau15a!$B$11:$B$310,B528))</f>
        <v/>
      </c>
      <c r="G528" s="39" t="str">
        <f>IF(B528="","",IF(OR(M528="KXDDM",BOM!F528=""),0,BOM!F528))</f>
        <v/>
      </c>
      <c r="H528" s="39" t="str">
        <f t="shared" si="41"/>
        <v/>
      </c>
      <c r="I528" s="39" t="str">
        <f>IF(B528="","",SUMIFS(Mau15a!$H$11:$H$310,Mau15a!$B$11:$B$310,B528)+SUMIFS(Mau15a!$I$11:$I$310,Mau15a!$B$11:$B$310,B528)+SUMIFS(Mau15a!$J$11:$J$310,Mau15a!$B$11:$B$310,B528)-SUMIFS(Mau15a!$G$11:$G$310,Mau15a!$B$11:$B$310,B528))</f>
        <v/>
      </c>
      <c r="J528" s="39" t="str">
        <f t="shared" si="42"/>
        <v/>
      </c>
      <c r="K528" s="39" t="str">
        <f>IF(B528="","",(SUMIFS(Mau15a!$K$11:$K$310,Mau15a!$B$11:$B$310,B528)-SUMIFS(Mau15a!$E$11:$E$310,Mau15a!$B$11:$B$310,B528))*G528)</f>
        <v/>
      </c>
      <c r="L528" s="36" t="str">
        <f t="shared" si="43"/>
        <v/>
      </c>
      <c r="M528" s="36" t="str">
        <f>IF(B528="","",BOM!G528&amp;"")</f>
        <v/>
      </c>
      <c r="N528" s="36" t="str">
        <f t="shared" si="44"/>
        <v/>
      </c>
    </row>
    <row r="529" spans="1:14" x14ac:dyDescent="0.25">
      <c r="A529" s="35" t="str">
        <f t="shared" si="40"/>
        <v/>
      </c>
      <c r="B529" s="35" t="str">
        <f>IF(BOM!A529="","",BOM!A529)</f>
        <v/>
      </c>
      <c r="C529" s="35" t="str">
        <f>IF(B529="","",BOM!B529)</f>
        <v/>
      </c>
      <c r="D529" s="35" t="str">
        <f>IF(B529="","",IFERROR(INDEX(DM_NL!$B$5:$B$304,MATCH(C529,DM_NL!$A$5:$A$304,0)),""))</f>
        <v/>
      </c>
      <c r="E529" s="35" t="str">
        <f>IF(B529="","",IFERROR(INDEX(DM_NL!$C$5:$C$304,MATCH(C529,DM_NL!$A$5:$A$304,0)),""))</f>
        <v/>
      </c>
      <c r="F529" s="39" t="str">
        <f>IF(B529="","",SUMIFS(Mau15a!$F$11:$F$310,Mau15a!$B$11:$B$310,B529))</f>
        <v/>
      </c>
      <c r="G529" s="39" t="str">
        <f>IF(B529="","",IF(OR(M529="KXDDM",BOM!F529=""),0,BOM!F529))</f>
        <v/>
      </c>
      <c r="H529" s="39" t="str">
        <f t="shared" si="41"/>
        <v/>
      </c>
      <c r="I529" s="39" t="str">
        <f>IF(B529="","",SUMIFS(Mau15a!$H$11:$H$310,Mau15a!$B$11:$B$310,B529)+SUMIFS(Mau15a!$I$11:$I$310,Mau15a!$B$11:$B$310,B529)+SUMIFS(Mau15a!$J$11:$J$310,Mau15a!$B$11:$B$310,B529)-SUMIFS(Mau15a!$G$11:$G$310,Mau15a!$B$11:$B$310,B529))</f>
        <v/>
      </c>
      <c r="J529" s="39" t="str">
        <f t="shared" si="42"/>
        <v/>
      </c>
      <c r="K529" s="39" t="str">
        <f>IF(B529="","",(SUMIFS(Mau15a!$K$11:$K$310,Mau15a!$B$11:$B$310,B529)-SUMIFS(Mau15a!$E$11:$E$310,Mau15a!$B$11:$B$310,B529))*G529)</f>
        <v/>
      </c>
      <c r="L529" s="36" t="str">
        <f t="shared" si="43"/>
        <v/>
      </c>
      <c r="M529" s="36" t="str">
        <f>IF(B529="","",BOM!G529&amp;"")</f>
        <v/>
      </c>
      <c r="N529" s="36" t="str">
        <f t="shared" si="44"/>
        <v/>
      </c>
    </row>
    <row r="530" spans="1:14" x14ac:dyDescent="0.25">
      <c r="A530" s="35" t="str">
        <f t="shared" si="40"/>
        <v/>
      </c>
      <c r="B530" s="35" t="str">
        <f>IF(BOM!A530="","",BOM!A530)</f>
        <v/>
      </c>
      <c r="C530" s="35" t="str">
        <f>IF(B530="","",BOM!B530)</f>
        <v/>
      </c>
      <c r="D530" s="35" t="str">
        <f>IF(B530="","",IFERROR(INDEX(DM_NL!$B$5:$B$304,MATCH(C530,DM_NL!$A$5:$A$304,0)),""))</f>
        <v/>
      </c>
      <c r="E530" s="35" t="str">
        <f>IF(B530="","",IFERROR(INDEX(DM_NL!$C$5:$C$304,MATCH(C530,DM_NL!$A$5:$A$304,0)),""))</f>
        <v/>
      </c>
      <c r="F530" s="39" t="str">
        <f>IF(B530="","",SUMIFS(Mau15a!$F$11:$F$310,Mau15a!$B$11:$B$310,B530))</f>
        <v/>
      </c>
      <c r="G530" s="39" t="str">
        <f>IF(B530="","",IF(OR(M530="KXDDM",BOM!F530=""),0,BOM!F530))</f>
        <v/>
      </c>
      <c r="H530" s="39" t="str">
        <f t="shared" si="41"/>
        <v/>
      </c>
      <c r="I530" s="39" t="str">
        <f>IF(B530="","",SUMIFS(Mau15a!$H$11:$H$310,Mau15a!$B$11:$B$310,B530)+SUMIFS(Mau15a!$I$11:$I$310,Mau15a!$B$11:$B$310,B530)+SUMIFS(Mau15a!$J$11:$J$310,Mau15a!$B$11:$B$310,B530)-SUMIFS(Mau15a!$G$11:$G$310,Mau15a!$B$11:$B$310,B530))</f>
        <v/>
      </c>
      <c r="J530" s="39" t="str">
        <f t="shared" si="42"/>
        <v/>
      </c>
      <c r="K530" s="39" t="str">
        <f>IF(B530="","",(SUMIFS(Mau15a!$K$11:$K$310,Mau15a!$B$11:$B$310,B530)-SUMIFS(Mau15a!$E$11:$E$310,Mau15a!$B$11:$B$310,B530))*G530)</f>
        <v/>
      </c>
      <c r="L530" s="36" t="str">
        <f t="shared" si="43"/>
        <v/>
      </c>
      <c r="M530" s="36" t="str">
        <f>IF(B530="","",BOM!G530&amp;"")</f>
        <v/>
      </c>
      <c r="N530" s="36" t="str">
        <f t="shared" si="44"/>
        <v/>
      </c>
    </row>
    <row r="531" spans="1:14" x14ac:dyDescent="0.25">
      <c r="A531" s="35" t="str">
        <f t="shared" si="40"/>
        <v/>
      </c>
      <c r="B531" s="35" t="str">
        <f>IF(BOM!A531="","",BOM!A531)</f>
        <v/>
      </c>
      <c r="C531" s="35" t="str">
        <f>IF(B531="","",BOM!B531)</f>
        <v/>
      </c>
      <c r="D531" s="35" t="str">
        <f>IF(B531="","",IFERROR(INDEX(DM_NL!$B$5:$B$304,MATCH(C531,DM_NL!$A$5:$A$304,0)),""))</f>
        <v/>
      </c>
      <c r="E531" s="35" t="str">
        <f>IF(B531="","",IFERROR(INDEX(DM_NL!$C$5:$C$304,MATCH(C531,DM_NL!$A$5:$A$304,0)),""))</f>
        <v/>
      </c>
      <c r="F531" s="39" t="str">
        <f>IF(B531="","",SUMIFS(Mau15a!$F$11:$F$310,Mau15a!$B$11:$B$310,B531))</f>
        <v/>
      </c>
      <c r="G531" s="39" t="str">
        <f>IF(B531="","",IF(OR(M531="KXDDM",BOM!F531=""),0,BOM!F531))</f>
        <v/>
      </c>
      <c r="H531" s="39" t="str">
        <f t="shared" si="41"/>
        <v/>
      </c>
      <c r="I531" s="39" t="str">
        <f>IF(B531="","",SUMIFS(Mau15a!$H$11:$H$310,Mau15a!$B$11:$B$310,B531)+SUMIFS(Mau15a!$I$11:$I$310,Mau15a!$B$11:$B$310,B531)+SUMIFS(Mau15a!$J$11:$J$310,Mau15a!$B$11:$B$310,B531)-SUMIFS(Mau15a!$G$11:$G$310,Mau15a!$B$11:$B$310,B531))</f>
        <v/>
      </c>
      <c r="J531" s="39" t="str">
        <f t="shared" si="42"/>
        <v/>
      </c>
      <c r="K531" s="39" t="str">
        <f>IF(B531="","",(SUMIFS(Mau15a!$K$11:$K$310,Mau15a!$B$11:$B$310,B531)-SUMIFS(Mau15a!$E$11:$E$310,Mau15a!$B$11:$B$310,B531))*G531)</f>
        <v/>
      </c>
      <c r="L531" s="36" t="str">
        <f t="shared" si="43"/>
        <v/>
      </c>
      <c r="M531" s="36" t="str">
        <f>IF(B531="","",BOM!G531&amp;"")</f>
        <v/>
      </c>
      <c r="N531" s="36" t="str">
        <f t="shared" si="44"/>
        <v/>
      </c>
    </row>
    <row r="532" spans="1:14" x14ac:dyDescent="0.25">
      <c r="A532" s="35" t="str">
        <f t="shared" si="40"/>
        <v/>
      </c>
      <c r="B532" s="35" t="str">
        <f>IF(BOM!A532="","",BOM!A532)</f>
        <v/>
      </c>
      <c r="C532" s="35" t="str">
        <f>IF(B532="","",BOM!B532)</f>
        <v/>
      </c>
      <c r="D532" s="35" t="str">
        <f>IF(B532="","",IFERROR(INDEX(DM_NL!$B$5:$B$304,MATCH(C532,DM_NL!$A$5:$A$304,0)),""))</f>
        <v/>
      </c>
      <c r="E532" s="35" t="str">
        <f>IF(B532="","",IFERROR(INDEX(DM_NL!$C$5:$C$304,MATCH(C532,DM_NL!$A$5:$A$304,0)),""))</f>
        <v/>
      </c>
      <c r="F532" s="39" t="str">
        <f>IF(B532="","",SUMIFS(Mau15a!$F$11:$F$310,Mau15a!$B$11:$B$310,B532))</f>
        <v/>
      </c>
      <c r="G532" s="39" t="str">
        <f>IF(B532="","",IF(OR(M532="KXDDM",BOM!F532=""),0,BOM!F532))</f>
        <v/>
      </c>
      <c r="H532" s="39" t="str">
        <f t="shared" si="41"/>
        <v/>
      </c>
      <c r="I532" s="39" t="str">
        <f>IF(B532="","",SUMIFS(Mau15a!$H$11:$H$310,Mau15a!$B$11:$B$310,B532)+SUMIFS(Mau15a!$I$11:$I$310,Mau15a!$B$11:$B$310,B532)+SUMIFS(Mau15a!$J$11:$J$310,Mau15a!$B$11:$B$310,B532)-SUMIFS(Mau15a!$G$11:$G$310,Mau15a!$B$11:$B$310,B532))</f>
        <v/>
      </c>
      <c r="J532" s="39" t="str">
        <f t="shared" si="42"/>
        <v/>
      </c>
      <c r="K532" s="39" t="str">
        <f>IF(B532="","",(SUMIFS(Mau15a!$K$11:$K$310,Mau15a!$B$11:$B$310,B532)-SUMIFS(Mau15a!$E$11:$E$310,Mau15a!$B$11:$B$310,B532))*G532)</f>
        <v/>
      </c>
      <c r="L532" s="36" t="str">
        <f t="shared" si="43"/>
        <v/>
      </c>
      <c r="M532" s="36" t="str">
        <f>IF(B532="","",BOM!G532&amp;"")</f>
        <v/>
      </c>
      <c r="N532" s="36" t="str">
        <f t="shared" si="44"/>
        <v/>
      </c>
    </row>
    <row r="533" spans="1:14" x14ac:dyDescent="0.25">
      <c r="A533" s="35" t="str">
        <f t="shared" si="40"/>
        <v/>
      </c>
      <c r="B533" s="35" t="str">
        <f>IF(BOM!A533="","",BOM!A533)</f>
        <v/>
      </c>
      <c r="C533" s="35" t="str">
        <f>IF(B533="","",BOM!B533)</f>
        <v/>
      </c>
      <c r="D533" s="35" t="str">
        <f>IF(B533="","",IFERROR(INDEX(DM_NL!$B$5:$B$304,MATCH(C533,DM_NL!$A$5:$A$304,0)),""))</f>
        <v/>
      </c>
      <c r="E533" s="35" t="str">
        <f>IF(B533="","",IFERROR(INDEX(DM_NL!$C$5:$C$304,MATCH(C533,DM_NL!$A$5:$A$304,0)),""))</f>
        <v/>
      </c>
      <c r="F533" s="39" t="str">
        <f>IF(B533="","",SUMIFS(Mau15a!$F$11:$F$310,Mau15a!$B$11:$B$310,B533))</f>
        <v/>
      </c>
      <c r="G533" s="39" t="str">
        <f>IF(B533="","",IF(OR(M533="KXDDM",BOM!F533=""),0,BOM!F533))</f>
        <v/>
      </c>
      <c r="H533" s="39" t="str">
        <f t="shared" si="41"/>
        <v/>
      </c>
      <c r="I533" s="39" t="str">
        <f>IF(B533="","",SUMIFS(Mau15a!$H$11:$H$310,Mau15a!$B$11:$B$310,B533)+SUMIFS(Mau15a!$I$11:$I$310,Mau15a!$B$11:$B$310,B533)+SUMIFS(Mau15a!$J$11:$J$310,Mau15a!$B$11:$B$310,B533)-SUMIFS(Mau15a!$G$11:$G$310,Mau15a!$B$11:$B$310,B533))</f>
        <v/>
      </c>
      <c r="J533" s="39" t="str">
        <f t="shared" si="42"/>
        <v/>
      </c>
      <c r="K533" s="39" t="str">
        <f>IF(B533="","",(SUMIFS(Mau15a!$K$11:$K$310,Mau15a!$B$11:$B$310,B533)-SUMIFS(Mau15a!$E$11:$E$310,Mau15a!$B$11:$B$310,B533))*G533)</f>
        <v/>
      </c>
      <c r="L533" s="36" t="str">
        <f t="shared" si="43"/>
        <v/>
      </c>
      <c r="M533" s="36" t="str">
        <f>IF(B533="","",BOM!G533&amp;"")</f>
        <v/>
      </c>
      <c r="N533" s="36" t="str">
        <f t="shared" si="44"/>
        <v/>
      </c>
    </row>
    <row r="534" spans="1:14" x14ac:dyDescent="0.25">
      <c r="A534" s="35" t="str">
        <f t="shared" si="40"/>
        <v/>
      </c>
      <c r="B534" s="35" t="str">
        <f>IF(BOM!A534="","",BOM!A534)</f>
        <v/>
      </c>
      <c r="C534" s="35" t="str">
        <f>IF(B534="","",BOM!B534)</f>
        <v/>
      </c>
      <c r="D534" s="35" t="str">
        <f>IF(B534="","",IFERROR(INDEX(DM_NL!$B$5:$B$304,MATCH(C534,DM_NL!$A$5:$A$304,0)),""))</f>
        <v/>
      </c>
      <c r="E534" s="35" t="str">
        <f>IF(B534="","",IFERROR(INDEX(DM_NL!$C$5:$C$304,MATCH(C534,DM_NL!$A$5:$A$304,0)),""))</f>
        <v/>
      </c>
      <c r="F534" s="39" t="str">
        <f>IF(B534="","",SUMIFS(Mau15a!$F$11:$F$310,Mau15a!$B$11:$B$310,B534))</f>
        <v/>
      </c>
      <c r="G534" s="39" t="str">
        <f>IF(B534="","",IF(OR(M534="KXDDM",BOM!F534=""),0,BOM!F534))</f>
        <v/>
      </c>
      <c r="H534" s="39" t="str">
        <f t="shared" si="41"/>
        <v/>
      </c>
      <c r="I534" s="39" t="str">
        <f>IF(B534="","",SUMIFS(Mau15a!$H$11:$H$310,Mau15a!$B$11:$B$310,B534)+SUMIFS(Mau15a!$I$11:$I$310,Mau15a!$B$11:$B$310,B534)+SUMIFS(Mau15a!$J$11:$J$310,Mau15a!$B$11:$B$310,B534)-SUMIFS(Mau15a!$G$11:$G$310,Mau15a!$B$11:$B$310,B534))</f>
        <v/>
      </c>
      <c r="J534" s="39" t="str">
        <f t="shared" si="42"/>
        <v/>
      </c>
      <c r="K534" s="39" t="str">
        <f>IF(B534="","",(SUMIFS(Mau15a!$K$11:$K$310,Mau15a!$B$11:$B$310,B534)-SUMIFS(Mau15a!$E$11:$E$310,Mau15a!$B$11:$B$310,B534))*G534)</f>
        <v/>
      </c>
      <c r="L534" s="36" t="str">
        <f t="shared" si="43"/>
        <v/>
      </c>
      <c r="M534" s="36" t="str">
        <f>IF(B534="","",BOM!G534&amp;"")</f>
        <v/>
      </c>
      <c r="N534" s="36" t="str">
        <f t="shared" si="44"/>
        <v/>
      </c>
    </row>
    <row r="535" spans="1:14" x14ac:dyDescent="0.25">
      <c r="A535" s="35" t="str">
        <f t="shared" si="40"/>
        <v/>
      </c>
      <c r="B535" s="35" t="str">
        <f>IF(BOM!A535="","",BOM!A535)</f>
        <v/>
      </c>
      <c r="C535" s="35" t="str">
        <f>IF(B535="","",BOM!B535)</f>
        <v/>
      </c>
      <c r="D535" s="35" t="str">
        <f>IF(B535="","",IFERROR(INDEX(DM_NL!$B$5:$B$304,MATCH(C535,DM_NL!$A$5:$A$304,0)),""))</f>
        <v/>
      </c>
      <c r="E535" s="35" t="str">
        <f>IF(B535="","",IFERROR(INDEX(DM_NL!$C$5:$C$304,MATCH(C535,DM_NL!$A$5:$A$304,0)),""))</f>
        <v/>
      </c>
      <c r="F535" s="39" t="str">
        <f>IF(B535="","",SUMIFS(Mau15a!$F$11:$F$310,Mau15a!$B$11:$B$310,B535))</f>
        <v/>
      </c>
      <c r="G535" s="39" t="str">
        <f>IF(B535="","",IF(OR(M535="KXDDM",BOM!F535=""),0,BOM!F535))</f>
        <v/>
      </c>
      <c r="H535" s="39" t="str">
        <f t="shared" si="41"/>
        <v/>
      </c>
      <c r="I535" s="39" t="str">
        <f>IF(B535="","",SUMIFS(Mau15a!$H$11:$H$310,Mau15a!$B$11:$B$310,B535)+SUMIFS(Mau15a!$I$11:$I$310,Mau15a!$B$11:$B$310,B535)+SUMIFS(Mau15a!$J$11:$J$310,Mau15a!$B$11:$B$310,B535)-SUMIFS(Mau15a!$G$11:$G$310,Mau15a!$B$11:$B$310,B535))</f>
        <v/>
      </c>
      <c r="J535" s="39" t="str">
        <f t="shared" si="42"/>
        <v/>
      </c>
      <c r="K535" s="39" t="str">
        <f>IF(B535="","",(SUMIFS(Mau15a!$K$11:$K$310,Mau15a!$B$11:$B$310,B535)-SUMIFS(Mau15a!$E$11:$E$310,Mau15a!$B$11:$B$310,B535))*G535)</f>
        <v/>
      </c>
      <c r="L535" s="36" t="str">
        <f t="shared" si="43"/>
        <v/>
      </c>
      <c r="M535" s="36" t="str">
        <f>IF(B535="","",BOM!G535&amp;"")</f>
        <v/>
      </c>
      <c r="N535" s="36" t="str">
        <f t="shared" si="44"/>
        <v/>
      </c>
    </row>
    <row r="536" spans="1:14" x14ac:dyDescent="0.25">
      <c r="A536" s="35" t="str">
        <f t="shared" si="40"/>
        <v/>
      </c>
      <c r="B536" s="35" t="str">
        <f>IF(BOM!A536="","",BOM!A536)</f>
        <v/>
      </c>
      <c r="C536" s="35" t="str">
        <f>IF(B536="","",BOM!B536)</f>
        <v/>
      </c>
      <c r="D536" s="35" t="str">
        <f>IF(B536="","",IFERROR(INDEX(DM_NL!$B$5:$B$304,MATCH(C536,DM_NL!$A$5:$A$304,0)),""))</f>
        <v/>
      </c>
      <c r="E536" s="35" t="str">
        <f>IF(B536="","",IFERROR(INDEX(DM_NL!$C$5:$C$304,MATCH(C536,DM_NL!$A$5:$A$304,0)),""))</f>
        <v/>
      </c>
      <c r="F536" s="39" t="str">
        <f>IF(B536="","",SUMIFS(Mau15a!$F$11:$F$310,Mau15a!$B$11:$B$310,B536))</f>
        <v/>
      </c>
      <c r="G536" s="39" t="str">
        <f>IF(B536="","",IF(OR(M536="KXDDM",BOM!F536=""),0,BOM!F536))</f>
        <v/>
      </c>
      <c r="H536" s="39" t="str">
        <f t="shared" si="41"/>
        <v/>
      </c>
      <c r="I536" s="39" t="str">
        <f>IF(B536="","",SUMIFS(Mau15a!$H$11:$H$310,Mau15a!$B$11:$B$310,B536)+SUMIFS(Mau15a!$I$11:$I$310,Mau15a!$B$11:$B$310,B536)+SUMIFS(Mau15a!$J$11:$J$310,Mau15a!$B$11:$B$310,B536)-SUMIFS(Mau15a!$G$11:$G$310,Mau15a!$B$11:$B$310,B536))</f>
        <v/>
      </c>
      <c r="J536" s="39" t="str">
        <f t="shared" si="42"/>
        <v/>
      </c>
      <c r="K536" s="39" t="str">
        <f>IF(B536="","",(SUMIFS(Mau15a!$K$11:$K$310,Mau15a!$B$11:$B$310,B536)-SUMIFS(Mau15a!$E$11:$E$310,Mau15a!$B$11:$B$310,B536))*G536)</f>
        <v/>
      </c>
      <c r="L536" s="36" t="str">
        <f t="shared" si="43"/>
        <v/>
      </c>
      <c r="M536" s="36" t="str">
        <f>IF(B536="","",BOM!G536&amp;"")</f>
        <v/>
      </c>
      <c r="N536" s="36" t="str">
        <f t="shared" si="44"/>
        <v/>
      </c>
    </row>
    <row r="537" spans="1:14" x14ac:dyDescent="0.25">
      <c r="A537" s="35" t="str">
        <f t="shared" si="40"/>
        <v/>
      </c>
      <c r="B537" s="35" t="str">
        <f>IF(BOM!A537="","",BOM!A537)</f>
        <v/>
      </c>
      <c r="C537" s="35" t="str">
        <f>IF(B537="","",BOM!B537)</f>
        <v/>
      </c>
      <c r="D537" s="35" t="str">
        <f>IF(B537="","",IFERROR(INDEX(DM_NL!$B$5:$B$304,MATCH(C537,DM_NL!$A$5:$A$304,0)),""))</f>
        <v/>
      </c>
      <c r="E537" s="35" t="str">
        <f>IF(B537="","",IFERROR(INDEX(DM_NL!$C$5:$C$304,MATCH(C537,DM_NL!$A$5:$A$304,0)),""))</f>
        <v/>
      </c>
      <c r="F537" s="39" t="str">
        <f>IF(B537="","",SUMIFS(Mau15a!$F$11:$F$310,Mau15a!$B$11:$B$310,B537))</f>
        <v/>
      </c>
      <c r="G537" s="39" t="str">
        <f>IF(B537="","",IF(OR(M537="KXDDM",BOM!F537=""),0,BOM!F537))</f>
        <v/>
      </c>
      <c r="H537" s="39" t="str">
        <f t="shared" si="41"/>
        <v/>
      </c>
      <c r="I537" s="39" t="str">
        <f>IF(B537="","",SUMIFS(Mau15a!$H$11:$H$310,Mau15a!$B$11:$B$310,B537)+SUMIFS(Mau15a!$I$11:$I$310,Mau15a!$B$11:$B$310,B537)+SUMIFS(Mau15a!$J$11:$J$310,Mau15a!$B$11:$B$310,B537)-SUMIFS(Mau15a!$G$11:$G$310,Mau15a!$B$11:$B$310,B537))</f>
        <v/>
      </c>
      <c r="J537" s="39" t="str">
        <f t="shared" si="42"/>
        <v/>
      </c>
      <c r="K537" s="39" t="str">
        <f>IF(B537="","",(SUMIFS(Mau15a!$K$11:$K$310,Mau15a!$B$11:$B$310,B537)-SUMIFS(Mau15a!$E$11:$E$310,Mau15a!$B$11:$B$310,B537))*G537)</f>
        <v/>
      </c>
      <c r="L537" s="36" t="str">
        <f t="shared" si="43"/>
        <v/>
      </c>
      <c r="M537" s="36" t="str">
        <f>IF(B537="","",BOM!G537&amp;"")</f>
        <v/>
      </c>
      <c r="N537" s="36" t="str">
        <f t="shared" si="44"/>
        <v/>
      </c>
    </row>
    <row r="538" spans="1:14" x14ac:dyDescent="0.25">
      <c r="A538" s="35" t="str">
        <f t="shared" si="40"/>
        <v/>
      </c>
      <c r="B538" s="35" t="str">
        <f>IF(BOM!A538="","",BOM!A538)</f>
        <v/>
      </c>
      <c r="C538" s="35" t="str">
        <f>IF(B538="","",BOM!B538)</f>
        <v/>
      </c>
      <c r="D538" s="35" t="str">
        <f>IF(B538="","",IFERROR(INDEX(DM_NL!$B$5:$B$304,MATCH(C538,DM_NL!$A$5:$A$304,0)),""))</f>
        <v/>
      </c>
      <c r="E538" s="35" t="str">
        <f>IF(B538="","",IFERROR(INDEX(DM_NL!$C$5:$C$304,MATCH(C538,DM_NL!$A$5:$A$304,0)),""))</f>
        <v/>
      </c>
      <c r="F538" s="39" t="str">
        <f>IF(B538="","",SUMIFS(Mau15a!$F$11:$F$310,Mau15a!$B$11:$B$310,B538))</f>
        <v/>
      </c>
      <c r="G538" s="39" t="str">
        <f>IF(B538="","",IF(OR(M538="KXDDM",BOM!F538=""),0,BOM!F538))</f>
        <v/>
      </c>
      <c r="H538" s="39" t="str">
        <f t="shared" si="41"/>
        <v/>
      </c>
      <c r="I538" s="39" t="str">
        <f>IF(B538="","",SUMIFS(Mau15a!$H$11:$H$310,Mau15a!$B$11:$B$310,B538)+SUMIFS(Mau15a!$I$11:$I$310,Mau15a!$B$11:$B$310,B538)+SUMIFS(Mau15a!$J$11:$J$310,Mau15a!$B$11:$B$310,B538)-SUMIFS(Mau15a!$G$11:$G$310,Mau15a!$B$11:$B$310,B538))</f>
        <v/>
      </c>
      <c r="J538" s="39" t="str">
        <f t="shared" si="42"/>
        <v/>
      </c>
      <c r="K538" s="39" t="str">
        <f>IF(B538="","",(SUMIFS(Mau15a!$K$11:$K$310,Mau15a!$B$11:$B$310,B538)-SUMIFS(Mau15a!$E$11:$E$310,Mau15a!$B$11:$B$310,B538))*G538)</f>
        <v/>
      </c>
      <c r="L538" s="36" t="str">
        <f t="shared" si="43"/>
        <v/>
      </c>
      <c r="M538" s="36" t="str">
        <f>IF(B538="","",BOM!G538&amp;"")</f>
        <v/>
      </c>
      <c r="N538" s="36" t="str">
        <f t="shared" si="44"/>
        <v/>
      </c>
    </row>
    <row r="539" spans="1:14" x14ac:dyDescent="0.25">
      <c r="A539" s="35" t="str">
        <f t="shared" si="40"/>
        <v/>
      </c>
      <c r="B539" s="35" t="str">
        <f>IF(BOM!A539="","",BOM!A539)</f>
        <v/>
      </c>
      <c r="C539" s="35" t="str">
        <f>IF(B539="","",BOM!B539)</f>
        <v/>
      </c>
      <c r="D539" s="35" t="str">
        <f>IF(B539="","",IFERROR(INDEX(DM_NL!$B$5:$B$304,MATCH(C539,DM_NL!$A$5:$A$304,0)),""))</f>
        <v/>
      </c>
      <c r="E539" s="35" t="str">
        <f>IF(B539="","",IFERROR(INDEX(DM_NL!$C$5:$C$304,MATCH(C539,DM_NL!$A$5:$A$304,0)),""))</f>
        <v/>
      </c>
      <c r="F539" s="39" t="str">
        <f>IF(B539="","",SUMIFS(Mau15a!$F$11:$F$310,Mau15a!$B$11:$B$310,B539))</f>
        <v/>
      </c>
      <c r="G539" s="39" t="str">
        <f>IF(B539="","",IF(OR(M539="KXDDM",BOM!F539=""),0,BOM!F539))</f>
        <v/>
      </c>
      <c r="H539" s="39" t="str">
        <f t="shared" si="41"/>
        <v/>
      </c>
      <c r="I539" s="39" t="str">
        <f>IF(B539="","",SUMIFS(Mau15a!$H$11:$H$310,Mau15a!$B$11:$B$310,B539)+SUMIFS(Mau15a!$I$11:$I$310,Mau15a!$B$11:$B$310,B539)+SUMIFS(Mau15a!$J$11:$J$310,Mau15a!$B$11:$B$310,B539)-SUMIFS(Mau15a!$G$11:$G$310,Mau15a!$B$11:$B$310,B539))</f>
        <v/>
      </c>
      <c r="J539" s="39" t="str">
        <f t="shared" si="42"/>
        <v/>
      </c>
      <c r="K539" s="39" t="str">
        <f>IF(B539="","",(SUMIFS(Mau15a!$K$11:$K$310,Mau15a!$B$11:$B$310,B539)-SUMIFS(Mau15a!$E$11:$E$310,Mau15a!$B$11:$B$310,B539))*G539)</f>
        <v/>
      </c>
      <c r="L539" s="36" t="str">
        <f t="shared" si="43"/>
        <v/>
      </c>
      <c r="M539" s="36" t="str">
        <f>IF(B539="","",BOM!G539&amp;"")</f>
        <v/>
      </c>
      <c r="N539" s="36" t="str">
        <f t="shared" si="44"/>
        <v/>
      </c>
    </row>
    <row r="540" spans="1:14" x14ac:dyDescent="0.25">
      <c r="A540" s="35" t="str">
        <f t="shared" si="40"/>
        <v/>
      </c>
      <c r="B540" s="35" t="str">
        <f>IF(BOM!A540="","",BOM!A540)</f>
        <v/>
      </c>
      <c r="C540" s="35" t="str">
        <f>IF(B540="","",BOM!B540)</f>
        <v/>
      </c>
      <c r="D540" s="35" t="str">
        <f>IF(B540="","",IFERROR(INDEX(DM_NL!$B$5:$B$304,MATCH(C540,DM_NL!$A$5:$A$304,0)),""))</f>
        <v/>
      </c>
      <c r="E540" s="35" t="str">
        <f>IF(B540="","",IFERROR(INDEX(DM_NL!$C$5:$C$304,MATCH(C540,DM_NL!$A$5:$A$304,0)),""))</f>
        <v/>
      </c>
      <c r="F540" s="39" t="str">
        <f>IF(B540="","",SUMIFS(Mau15a!$F$11:$F$310,Mau15a!$B$11:$B$310,B540))</f>
        <v/>
      </c>
      <c r="G540" s="39" t="str">
        <f>IF(B540="","",IF(OR(M540="KXDDM",BOM!F540=""),0,BOM!F540))</f>
        <v/>
      </c>
      <c r="H540" s="39" t="str">
        <f t="shared" si="41"/>
        <v/>
      </c>
      <c r="I540" s="39" t="str">
        <f>IF(B540="","",SUMIFS(Mau15a!$H$11:$H$310,Mau15a!$B$11:$B$310,B540)+SUMIFS(Mau15a!$I$11:$I$310,Mau15a!$B$11:$B$310,B540)+SUMIFS(Mau15a!$J$11:$J$310,Mau15a!$B$11:$B$310,B540)-SUMIFS(Mau15a!$G$11:$G$310,Mau15a!$B$11:$B$310,B540))</f>
        <v/>
      </c>
      <c r="J540" s="39" t="str">
        <f t="shared" si="42"/>
        <v/>
      </c>
      <c r="K540" s="39" t="str">
        <f>IF(B540="","",(SUMIFS(Mau15a!$K$11:$K$310,Mau15a!$B$11:$B$310,B540)-SUMIFS(Mau15a!$E$11:$E$310,Mau15a!$B$11:$B$310,B540))*G540)</f>
        <v/>
      </c>
      <c r="L540" s="36" t="str">
        <f t="shared" si="43"/>
        <v/>
      </c>
      <c r="M540" s="36" t="str">
        <f>IF(B540="","",BOM!G540&amp;"")</f>
        <v/>
      </c>
      <c r="N540" s="36" t="str">
        <f t="shared" si="44"/>
        <v/>
      </c>
    </row>
    <row r="541" spans="1:14" x14ac:dyDescent="0.25">
      <c r="A541" s="35" t="str">
        <f t="shared" si="40"/>
        <v/>
      </c>
      <c r="B541" s="35" t="str">
        <f>IF(BOM!A541="","",BOM!A541)</f>
        <v/>
      </c>
      <c r="C541" s="35" t="str">
        <f>IF(B541="","",BOM!B541)</f>
        <v/>
      </c>
      <c r="D541" s="35" t="str">
        <f>IF(B541="","",IFERROR(INDEX(DM_NL!$B$5:$B$304,MATCH(C541,DM_NL!$A$5:$A$304,0)),""))</f>
        <v/>
      </c>
      <c r="E541" s="35" t="str">
        <f>IF(B541="","",IFERROR(INDEX(DM_NL!$C$5:$C$304,MATCH(C541,DM_NL!$A$5:$A$304,0)),""))</f>
        <v/>
      </c>
      <c r="F541" s="39" t="str">
        <f>IF(B541="","",SUMIFS(Mau15a!$F$11:$F$310,Mau15a!$B$11:$B$310,B541))</f>
        <v/>
      </c>
      <c r="G541" s="39" t="str">
        <f>IF(B541="","",IF(OR(M541="KXDDM",BOM!F541=""),0,BOM!F541))</f>
        <v/>
      </c>
      <c r="H541" s="39" t="str">
        <f t="shared" si="41"/>
        <v/>
      </c>
      <c r="I541" s="39" t="str">
        <f>IF(B541="","",SUMIFS(Mau15a!$H$11:$H$310,Mau15a!$B$11:$B$310,B541)+SUMIFS(Mau15a!$I$11:$I$310,Mau15a!$B$11:$B$310,B541)+SUMIFS(Mau15a!$J$11:$J$310,Mau15a!$B$11:$B$310,B541)-SUMIFS(Mau15a!$G$11:$G$310,Mau15a!$B$11:$B$310,B541))</f>
        <v/>
      </c>
      <c r="J541" s="39" t="str">
        <f t="shared" si="42"/>
        <v/>
      </c>
      <c r="K541" s="39" t="str">
        <f>IF(B541="","",(SUMIFS(Mau15a!$K$11:$K$310,Mau15a!$B$11:$B$310,B541)-SUMIFS(Mau15a!$E$11:$E$310,Mau15a!$B$11:$B$310,B541))*G541)</f>
        <v/>
      </c>
      <c r="L541" s="36" t="str">
        <f t="shared" si="43"/>
        <v/>
      </c>
      <c r="M541" s="36" t="str">
        <f>IF(B541="","",BOM!G541&amp;"")</f>
        <v/>
      </c>
      <c r="N541" s="36" t="str">
        <f t="shared" si="44"/>
        <v/>
      </c>
    </row>
    <row r="542" spans="1:14" x14ac:dyDescent="0.25">
      <c r="A542" s="35" t="str">
        <f t="shared" si="40"/>
        <v/>
      </c>
      <c r="B542" s="35" t="str">
        <f>IF(BOM!A542="","",BOM!A542)</f>
        <v/>
      </c>
      <c r="C542" s="35" t="str">
        <f>IF(B542="","",BOM!B542)</f>
        <v/>
      </c>
      <c r="D542" s="35" t="str">
        <f>IF(B542="","",IFERROR(INDEX(DM_NL!$B$5:$B$304,MATCH(C542,DM_NL!$A$5:$A$304,0)),""))</f>
        <v/>
      </c>
      <c r="E542" s="35" t="str">
        <f>IF(B542="","",IFERROR(INDEX(DM_NL!$C$5:$C$304,MATCH(C542,DM_NL!$A$5:$A$304,0)),""))</f>
        <v/>
      </c>
      <c r="F542" s="39" t="str">
        <f>IF(B542="","",SUMIFS(Mau15a!$F$11:$F$310,Mau15a!$B$11:$B$310,B542))</f>
        <v/>
      </c>
      <c r="G542" s="39" t="str">
        <f>IF(B542="","",IF(OR(M542="KXDDM",BOM!F542=""),0,BOM!F542))</f>
        <v/>
      </c>
      <c r="H542" s="39" t="str">
        <f t="shared" si="41"/>
        <v/>
      </c>
      <c r="I542" s="39" t="str">
        <f>IF(B542="","",SUMIFS(Mau15a!$H$11:$H$310,Mau15a!$B$11:$B$310,B542)+SUMIFS(Mau15a!$I$11:$I$310,Mau15a!$B$11:$B$310,B542)+SUMIFS(Mau15a!$J$11:$J$310,Mau15a!$B$11:$B$310,B542)-SUMIFS(Mau15a!$G$11:$G$310,Mau15a!$B$11:$B$310,B542))</f>
        <v/>
      </c>
      <c r="J542" s="39" t="str">
        <f t="shared" si="42"/>
        <v/>
      </c>
      <c r="K542" s="39" t="str">
        <f>IF(B542="","",(SUMIFS(Mau15a!$K$11:$K$310,Mau15a!$B$11:$B$310,B542)-SUMIFS(Mau15a!$E$11:$E$310,Mau15a!$B$11:$B$310,B542))*G542)</f>
        <v/>
      </c>
      <c r="L542" s="36" t="str">
        <f t="shared" si="43"/>
        <v/>
      </c>
      <c r="M542" s="36" t="str">
        <f>IF(B542="","",BOM!G542&amp;"")</f>
        <v/>
      </c>
      <c r="N542" s="36" t="str">
        <f t="shared" si="44"/>
        <v/>
      </c>
    </row>
    <row r="543" spans="1:14" x14ac:dyDescent="0.25">
      <c r="A543" s="35" t="str">
        <f t="shared" si="40"/>
        <v/>
      </c>
      <c r="B543" s="35" t="str">
        <f>IF(BOM!A543="","",BOM!A543)</f>
        <v/>
      </c>
      <c r="C543" s="35" t="str">
        <f>IF(B543="","",BOM!B543)</f>
        <v/>
      </c>
      <c r="D543" s="35" t="str">
        <f>IF(B543="","",IFERROR(INDEX(DM_NL!$B$5:$B$304,MATCH(C543,DM_NL!$A$5:$A$304,0)),""))</f>
        <v/>
      </c>
      <c r="E543" s="35" t="str">
        <f>IF(B543="","",IFERROR(INDEX(DM_NL!$C$5:$C$304,MATCH(C543,DM_NL!$A$5:$A$304,0)),""))</f>
        <v/>
      </c>
      <c r="F543" s="39" t="str">
        <f>IF(B543="","",SUMIFS(Mau15a!$F$11:$F$310,Mau15a!$B$11:$B$310,B543))</f>
        <v/>
      </c>
      <c r="G543" s="39" t="str">
        <f>IF(B543="","",IF(OR(M543="KXDDM",BOM!F543=""),0,BOM!F543))</f>
        <v/>
      </c>
      <c r="H543" s="39" t="str">
        <f t="shared" si="41"/>
        <v/>
      </c>
      <c r="I543" s="39" t="str">
        <f>IF(B543="","",SUMIFS(Mau15a!$H$11:$H$310,Mau15a!$B$11:$B$310,B543)+SUMIFS(Mau15a!$I$11:$I$310,Mau15a!$B$11:$B$310,B543)+SUMIFS(Mau15a!$J$11:$J$310,Mau15a!$B$11:$B$310,B543)-SUMIFS(Mau15a!$G$11:$G$310,Mau15a!$B$11:$B$310,B543))</f>
        <v/>
      </c>
      <c r="J543" s="39" t="str">
        <f t="shared" si="42"/>
        <v/>
      </c>
      <c r="K543" s="39" t="str">
        <f>IF(B543="","",(SUMIFS(Mau15a!$K$11:$K$310,Mau15a!$B$11:$B$310,B543)-SUMIFS(Mau15a!$E$11:$E$310,Mau15a!$B$11:$B$310,B543))*G543)</f>
        <v/>
      </c>
      <c r="L543" s="36" t="str">
        <f t="shared" si="43"/>
        <v/>
      </c>
      <c r="M543" s="36" t="str">
        <f>IF(B543="","",BOM!G543&amp;"")</f>
        <v/>
      </c>
      <c r="N543" s="36" t="str">
        <f t="shared" si="44"/>
        <v/>
      </c>
    </row>
    <row r="544" spans="1:14" x14ac:dyDescent="0.25">
      <c r="A544" s="35" t="str">
        <f t="shared" si="40"/>
        <v/>
      </c>
      <c r="B544" s="35" t="str">
        <f>IF(BOM!A544="","",BOM!A544)</f>
        <v/>
      </c>
      <c r="C544" s="35" t="str">
        <f>IF(B544="","",BOM!B544)</f>
        <v/>
      </c>
      <c r="D544" s="35" t="str">
        <f>IF(B544="","",IFERROR(INDEX(DM_NL!$B$5:$B$304,MATCH(C544,DM_NL!$A$5:$A$304,0)),""))</f>
        <v/>
      </c>
      <c r="E544" s="35" t="str">
        <f>IF(B544="","",IFERROR(INDEX(DM_NL!$C$5:$C$304,MATCH(C544,DM_NL!$A$5:$A$304,0)),""))</f>
        <v/>
      </c>
      <c r="F544" s="39" t="str">
        <f>IF(B544="","",SUMIFS(Mau15a!$F$11:$F$310,Mau15a!$B$11:$B$310,B544))</f>
        <v/>
      </c>
      <c r="G544" s="39" t="str">
        <f>IF(B544="","",IF(OR(M544="KXDDM",BOM!F544=""),0,BOM!F544))</f>
        <v/>
      </c>
      <c r="H544" s="39" t="str">
        <f t="shared" si="41"/>
        <v/>
      </c>
      <c r="I544" s="39" t="str">
        <f>IF(B544="","",SUMIFS(Mau15a!$H$11:$H$310,Mau15a!$B$11:$B$310,B544)+SUMIFS(Mau15a!$I$11:$I$310,Mau15a!$B$11:$B$310,B544)+SUMIFS(Mau15a!$J$11:$J$310,Mau15a!$B$11:$B$310,B544)-SUMIFS(Mau15a!$G$11:$G$310,Mau15a!$B$11:$B$310,B544))</f>
        <v/>
      </c>
      <c r="J544" s="39" t="str">
        <f t="shared" si="42"/>
        <v/>
      </c>
      <c r="K544" s="39" t="str">
        <f>IF(B544="","",(SUMIFS(Mau15a!$K$11:$K$310,Mau15a!$B$11:$B$310,B544)-SUMIFS(Mau15a!$E$11:$E$310,Mau15a!$B$11:$B$310,B544))*G544)</f>
        <v/>
      </c>
      <c r="L544" s="36" t="str">
        <f t="shared" si="43"/>
        <v/>
      </c>
      <c r="M544" s="36" t="str">
        <f>IF(B544="","",BOM!G544&amp;"")</f>
        <v/>
      </c>
      <c r="N544" s="36" t="str">
        <f t="shared" si="44"/>
        <v/>
      </c>
    </row>
    <row r="545" spans="1:14" x14ac:dyDescent="0.25">
      <c r="A545" s="35" t="str">
        <f t="shared" si="40"/>
        <v/>
      </c>
      <c r="B545" s="35" t="str">
        <f>IF(BOM!A545="","",BOM!A545)</f>
        <v/>
      </c>
      <c r="C545" s="35" t="str">
        <f>IF(B545="","",BOM!B545)</f>
        <v/>
      </c>
      <c r="D545" s="35" t="str">
        <f>IF(B545="","",IFERROR(INDEX(DM_NL!$B$5:$B$304,MATCH(C545,DM_NL!$A$5:$A$304,0)),""))</f>
        <v/>
      </c>
      <c r="E545" s="35" t="str">
        <f>IF(B545="","",IFERROR(INDEX(DM_NL!$C$5:$C$304,MATCH(C545,DM_NL!$A$5:$A$304,0)),""))</f>
        <v/>
      </c>
      <c r="F545" s="39" t="str">
        <f>IF(B545="","",SUMIFS(Mau15a!$F$11:$F$310,Mau15a!$B$11:$B$310,B545))</f>
        <v/>
      </c>
      <c r="G545" s="39" t="str">
        <f>IF(B545="","",IF(OR(M545="KXDDM",BOM!F545=""),0,BOM!F545))</f>
        <v/>
      </c>
      <c r="H545" s="39" t="str">
        <f t="shared" si="41"/>
        <v/>
      </c>
      <c r="I545" s="39" t="str">
        <f>IF(B545="","",SUMIFS(Mau15a!$H$11:$H$310,Mau15a!$B$11:$B$310,B545)+SUMIFS(Mau15a!$I$11:$I$310,Mau15a!$B$11:$B$310,B545)+SUMIFS(Mau15a!$J$11:$J$310,Mau15a!$B$11:$B$310,B545)-SUMIFS(Mau15a!$G$11:$G$310,Mau15a!$B$11:$B$310,B545))</f>
        <v/>
      </c>
      <c r="J545" s="39" t="str">
        <f t="shared" si="42"/>
        <v/>
      </c>
      <c r="K545" s="39" t="str">
        <f>IF(B545="","",(SUMIFS(Mau15a!$K$11:$K$310,Mau15a!$B$11:$B$310,B545)-SUMIFS(Mau15a!$E$11:$E$310,Mau15a!$B$11:$B$310,B545))*G545)</f>
        <v/>
      </c>
      <c r="L545" s="36" t="str">
        <f t="shared" si="43"/>
        <v/>
      </c>
      <c r="M545" s="36" t="str">
        <f>IF(B545="","",BOM!G545&amp;"")</f>
        <v/>
      </c>
      <c r="N545" s="36" t="str">
        <f t="shared" si="44"/>
        <v/>
      </c>
    </row>
    <row r="546" spans="1:14" x14ac:dyDescent="0.25">
      <c r="A546" s="35" t="str">
        <f t="shared" si="40"/>
        <v/>
      </c>
      <c r="B546" s="35" t="str">
        <f>IF(BOM!A546="","",BOM!A546)</f>
        <v/>
      </c>
      <c r="C546" s="35" t="str">
        <f>IF(B546="","",BOM!B546)</f>
        <v/>
      </c>
      <c r="D546" s="35" t="str">
        <f>IF(B546="","",IFERROR(INDEX(DM_NL!$B$5:$B$304,MATCH(C546,DM_NL!$A$5:$A$304,0)),""))</f>
        <v/>
      </c>
      <c r="E546" s="35" t="str">
        <f>IF(B546="","",IFERROR(INDEX(DM_NL!$C$5:$C$304,MATCH(C546,DM_NL!$A$5:$A$304,0)),""))</f>
        <v/>
      </c>
      <c r="F546" s="39" t="str">
        <f>IF(B546="","",SUMIFS(Mau15a!$F$11:$F$310,Mau15a!$B$11:$B$310,B546))</f>
        <v/>
      </c>
      <c r="G546" s="39" t="str">
        <f>IF(B546="","",IF(OR(M546="KXDDM",BOM!F546=""),0,BOM!F546))</f>
        <v/>
      </c>
      <c r="H546" s="39" t="str">
        <f t="shared" si="41"/>
        <v/>
      </c>
      <c r="I546" s="39" t="str">
        <f>IF(B546="","",SUMIFS(Mau15a!$H$11:$H$310,Mau15a!$B$11:$B$310,B546)+SUMIFS(Mau15a!$I$11:$I$310,Mau15a!$B$11:$B$310,B546)+SUMIFS(Mau15a!$J$11:$J$310,Mau15a!$B$11:$B$310,B546)-SUMIFS(Mau15a!$G$11:$G$310,Mau15a!$B$11:$B$310,B546))</f>
        <v/>
      </c>
      <c r="J546" s="39" t="str">
        <f t="shared" si="42"/>
        <v/>
      </c>
      <c r="K546" s="39" t="str">
        <f>IF(B546="","",(SUMIFS(Mau15a!$K$11:$K$310,Mau15a!$B$11:$B$310,B546)-SUMIFS(Mau15a!$E$11:$E$310,Mau15a!$B$11:$B$310,B546))*G546)</f>
        <v/>
      </c>
      <c r="L546" s="36" t="str">
        <f t="shared" si="43"/>
        <v/>
      </c>
      <c r="M546" s="36" t="str">
        <f>IF(B546="","",BOM!G546&amp;"")</f>
        <v/>
      </c>
      <c r="N546" s="36" t="str">
        <f t="shared" si="44"/>
        <v/>
      </c>
    </row>
    <row r="547" spans="1:14" x14ac:dyDescent="0.25">
      <c r="A547" s="35" t="str">
        <f t="shared" si="40"/>
        <v/>
      </c>
      <c r="B547" s="35" t="str">
        <f>IF(BOM!A547="","",BOM!A547)</f>
        <v/>
      </c>
      <c r="C547" s="35" t="str">
        <f>IF(B547="","",BOM!B547)</f>
        <v/>
      </c>
      <c r="D547" s="35" t="str">
        <f>IF(B547="","",IFERROR(INDEX(DM_NL!$B$5:$B$304,MATCH(C547,DM_NL!$A$5:$A$304,0)),""))</f>
        <v/>
      </c>
      <c r="E547" s="35" t="str">
        <f>IF(B547="","",IFERROR(INDEX(DM_NL!$C$5:$C$304,MATCH(C547,DM_NL!$A$5:$A$304,0)),""))</f>
        <v/>
      </c>
      <c r="F547" s="39" t="str">
        <f>IF(B547="","",SUMIFS(Mau15a!$F$11:$F$310,Mau15a!$B$11:$B$310,B547))</f>
        <v/>
      </c>
      <c r="G547" s="39" t="str">
        <f>IF(B547="","",IF(OR(M547="KXDDM",BOM!F547=""),0,BOM!F547))</f>
        <v/>
      </c>
      <c r="H547" s="39" t="str">
        <f t="shared" si="41"/>
        <v/>
      </c>
      <c r="I547" s="39" t="str">
        <f>IF(B547="","",SUMIFS(Mau15a!$H$11:$H$310,Mau15a!$B$11:$B$310,B547)+SUMIFS(Mau15a!$I$11:$I$310,Mau15a!$B$11:$B$310,B547)+SUMIFS(Mau15a!$J$11:$J$310,Mau15a!$B$11:$B$310,B547)-SUMIFS(Mau15a!$G$11:$G$310,Mau15a!$B$11:$B$310,B547))</f>
        <v/>
      </c>
      <c r="J547" s="39" t="str">
        <f t="shared" si="42"/>
        <v/>
      </c>
      <c r="K547" s="39" t="str">
        <f>IF(B547="","",(SUMIFS(Mau15a!$K$11:$K$310,Mau15a!$B$11:$B$310,B547)-SUMIFS(Mau15a!$E$11:$E$310,Mau15a!$B$11:$B$310,B547))*G547)</f>
        <v/>
      </c>
      <c r="L547" s="36" t="str">
        <f t="shared" si="43"/>
        <v/>
      </c>
      <c r="M547" s="36" t="str">
        <f>IF(B547="","",BOM!G547&amp;"")</f>
        <v/>
      </c>
      <c r="N547" s="36" t="str">
        <f t="shared" si="44"/>
        <v/>
      </c>
    </row>
    <row r="548" spans="1:14" x14ac:dyDescent="0.25">
      <c r="A548" s="35" t="str">
        <f t="shared" si="40"/>
        <v/>
      </c>
      <c r="B548" s="35" t="str">
        <f>IF(BOM!A548="","",BOM!A548)</f>
        <v/>
      </c>
      <c r="C548" s="35" t="str">
        <f>IF(B548="","",BOM!B548)</f>
        <v/>
      </c>
      <c r="D548" s="35" t="str">
        <f>IF(B548="","",IFERROR(INDEX(DM_NL!$B$5:$B$304,MATCH(C548,DM_NL!$A$5:$A$304,0)),""))</f>
        <v/>
      </c>
      <c r="E548" s="35" t="str">
        <f>IF(B548="","",IFERROR(INDEX(DM_NL!$C$5:$C$304,MATCH(C548,DM_NL!$A$5:$A$304,0)),""))</f>
        <v/>
      </c>
      <c r="F548" s="39" t="str">
        <f>IF(B548="","",SUMIFS(Mau15a!$F$11:$F$310,Mau15a!$B$11:$B$310,B548))</f>
        <v/>
      </c>
      <c r="G548" s="39" t="str">
        <f>IF(B548="","",IF(OR(M548="KXDDM",BOM!F548=""),0,BOM!F548))</f>
        <v/>
      </c>
      <c r="H548" s="39" t="str">
        <f t="shared" si="41"/>
        <v/>
      </c>
      <c r="I548" s="39" t="str">
        <f>IF(B548="","",SUMIFS(Mau15a!$H$11:$H$310,Mau15a!$B$11:$B$310,B548)+SUMIFS(Mau15a!$I$11:$I$310,Mau15a!$B$11:$B$310,B548)+SUMIFS(Mau15a!$J$11:$J$310,Mau15a!$B$11:$B$310,B548)-SUMIFS(Mau15a!$G$11:$G$310,Mau15a!$B$11:$B$310,B548))</f>
        <v/>
      </c>
      <c r="J548" s="39" t="str">
        <f t="shared" si="42"/>
        <v/>
      </c>
      <c r="K548" s="39" t="str">
        <f>IF(B548="","",(SUMIFS(Mau15a!$K$11:$K$310,Mau15a!$B$11:$B$310,B548)-SUMIFS(Mau15a!$E$11:$E$310,Mau15a!$B$11:$B$310,B548))*G548)</f>
        <v/>
      </c>
      <c r="L548" s="36" t="str">
        <f t="shared" si="43"/>
        <v/>
      </c>
      <c r="M548" s="36" t="str">
        <f>IF(B548="","",BOM!G548&amp;"")</f>
        <v/>
      </c>
      <c r="N548" s="36" t="str">
        <f t="shared" si="44"/>
        <v/>
      </c>
    </row>
    <row r="549" spans="1:14" x14ac:dyDescent="0.25">
      <c r="A549" s="35" t="str">
        <f t="shared" si="40"/>
        <v/>
      </c>
      <c r="B549" s="35" t="str">
        <f>IF(BOM!A549="","",BOM!A549)</f>
        <v/>
      </c>
      <c r="C549" s="35" t="str">
        <f>IF(B549="","",BOM!B549)</f>
        <v/>
      </c>
      <c r="D549" s="35" t="str">
        <f>IF(B549="","",IFERROR(INDEX(DM_NL!$B$5:$B$304,MATCH(C549,DM_NL!$A$5:$A$304,0)),""))</f>
        <v/>
      </c>
      <c r="E549" s="35" t="str">
        <f>IF(B549="","",IFERROR(INDEX(DM_NL!$C$5:$C$304,MATCH(C549,DM_NL!$A$5:$A$304,0)),""))</f>
        <v/>
      </c>
      <c r="F549" s="39" t="str">
        <f>IF(B549="","",SUMIFS(Mau15a!$F$11:$F$310,Mau15a!$B$11:$B$310,B549))</f>
        <v/>
      </c>
      <c r="G549" s="39" t="str">
        <f>IF(B549="","",IF(OR(M549="KXDDM",BOM!F549=""),0,BOM!F549))</f>
        <v/>
      </c>
      <c r="H549" s="39" t="str">
        <f t="shared" si="41"/>
        <v/>
      </c>
      <c r="I549" s="39" t="str">
        <f>IF(B549="","",SUMIFS(Mau15a!$H$11:$H$310,Mau15a!$B$11:$B$310,B549)+SUMIFS(Mau15a!$I$11:$I$310,Mau15a!$B$11:$B$310,B549)+SUMIFS(Mau15a!$J$11:$J$310,Mau15a!$B$11:$B$310,B549)-SUMIFS(Mau15a!$G$11:$G$310,Mau15a!$B$11:$B$310,B549))</f>
        <v/>
      </c>
      <c r="J549" s="39" t="str">
        <f t="shared" si="42"/>
        <v/>
      </c>
      <c r="K549" s="39" t="str">
        <f>IF(B549="","",(SUMIFS(Mau15a!$K$11:$K$310,Mau15a!$B$11:$B$310,B549)-SUMIFS(Mau15a!$E$11:$E$310,Mau15a!$B$11:$B$310,B549))*G549)</f>
        <v/>
      </c>
      <c r="L549" s="36" t="str">
        <f t="shared" si="43"/>
        <v/>
      </c>
      <c r="M549" s="36" t="str">
        <f>IF(B549="","",BOM!G549&amp;"")</f>
        <v/>
      </c>
      <c r="N549" s="36" t="str">
        <f t="shared" si="44"/>
        <v/>
      </c>
    </row>
    <row r="550" spans="1:14" x14ac:dyDescent="0.25">
      <c r="A550" s="35" t="str">
        <f t="shared" si="40"/>
        <v/>
      </c>
      <c r="B550" s="35" t="str">
        <f>IF(BOM!A550="","",BOM!A550)</f>
        <v/>
      </c>
      <c r="C550" s="35" t="str">
        <f>IF(B550="","",BOM!B550)</f>
        <v/>
      </c>
      <c r="D550" s="35" t="str">
        <f>IF(B550="","",IFERROR(INDEX(DM_NL!$B$5:$B$304,MATCH(C550,DM_NL!$A$5:$A$304,0)),""))</f>
        <v/>
      </c>
      <c r="E550" s="35" t="str">
        <f>IF(B550="","",IFERROR(INDEX(DM_NL!$C$5:$C$304,MATCH(C550,DM_NL!$A$5:$A$304,0)),""))</f>
        <v/>
      </c>
      <c r="F550" s="39" t="str">
        <f>IF(B550="","",SUMIFS(Mau15a!$F$11:$F$310,Mau15a!$B$11:$B$310,B550))</f>
        <v/>
      </c>
      <c r="G550" s="39" t="str">
        <f>IF(B550="","",IF(OR(M550="KXDDM",BOM!F550=""),0,BOM!F550))</f>
        <v/>
      </c>
      <c r="H550" s="39" t="str">
        <f t="shared" si="41"/>
        <v/>
      </c>
      <c r="I550" s="39" t="str">
        <f>IF(B550="","",SUMIFS(Mau15a!$H$11:$H$310,Mau15a!$B$11:$B$310,B550)+SUMIFS(Mau15a!$I$11:$I$310,Mau15a!$B$11:$B$310,B550)+SUMIFS(Mau15a!$J$11:$J$310,Mau15a!$B$11:$B$310,B550)-SUMIFS(Mau15a!$G$11:$G$310,Mau15a!$B$11:$B$310,B550))</f>
        <v/>
      </c>
      <c r="J550" s="39" t="str">
        <f t="shared" si="42"/>
        <v/>
      </c>
      <c r="K550" s="39" t="str">
        <f>IF(B550="","",(SUMIFS(Mau15a!$K$11:$K$310,Mau15a!$B$11:$B$310,B550)-SUMIFS(Mau15a!$E$11:$E$310,Mau15a!$B$11:$B$310,B550))*G550)</f>
        <v/>
      </c>
      <c r="L550" s="36" t="str">
        <f t="shared" si="43"/>
        <v/>
      </c>
      <c r="M550" s="36" t="str">
        <f>IF(B550="","",BOM!G550&amp;"")</f>
        <v/>
      </c>
      <c r="N550" s="36" t="str">
        <f t="shared" si="44"/>
        <v/>
      </c>
    </row>
    <row r="551" spans="1:14" x14ac:dyDescent="0.25">
      <c r="A551" s="35" t="str">
        <f t="shared" si="40"/>
        <v/>
      </c>
      <c r="B551" s="35" t="str">
        <f>IF(BOM!A551="","",BOM!A551)</f>
        <v/>
      </c>
      <c r="C551" s="35" t="str">
        <f>IF(B551="","",BOM!B551)</f>
        <v/>
      </c>
      <c r="D551" s="35" t="str">
        <f>IF(B551="","",IFERROR(INDEX(DM_NL!$B$5:$B$304,MATCH(C551,DM_NL!$A$5:$A$304,0)),""))</f>
        <v/>
      </c>
      <c r="E551" s="35" t="str">
        <f>IF(B551="","",IFERROR(INDEX(DM_NL!$C$5:$C$304,MATCH(C551,DM_NL!$A$5:$A$304,0)),""))</f>
        <v/>
      </c>
      <c r="F551" s="39" t="str">
        <f>IF(B551="","",SUMIFS(Mau15a!$F$11:$F$310,Mau15a!$B$11:$B$310,B551))</f>
        <v/>
      </c>
      <c r="G551" s="39" t="str">
        <f>IF(B551="","",IF(OR(M551="KXDDM",BOM!F551=""),0,BOM!F551))</f>
        <v/>
      </c>
      <c r="H551" s="39" t="str">
        <f t="shared" si="41"/>
        <v/>
      </c>
      <c r="I551" s="39" t="str">
        <f>IF(B551="","",SUMIFS(Mau15a!$H$11:$H$310,Mau15a!$B$11:$B$310,B551)+SUMIFS(Mau15a!$I$11:$I$310,Mau15a!$B$11:$B$310,B551)+SUMIFS(Mau15a!$J$11:$J$310,Mau15a!$B$11:$B$310,B551)-SUMIFS(Mau15a!$G$11:$G$310,Mau15a!$B$11:$B$310,B551))</f>
        <v/>
      </c>
      <c r="J551" s="39" t="str">
        <f t="shared" si="42"/>
        <v/>
      </c>
      <c r="K551" s="39" t="str">
        <f>IF(B551="","",(SUMIFS(Mau15a!$K$11:$K$310,Mau15a!$B$11:$B$310,B551)-SUMIFS(Mau15a!$E$11:$E$310,Mau15a!$B$11:$B$310,B551))*G551)</f>
        <v/>
      </c>
      <c r="L551" s="36" t="str">
        <f t="shared" si="43"/>
        <v/>
      </c>
      <c r="M551" s="36" t="str">
        <f>IF(B551="","",BOM!G551&amp;"")</f>
        <v/>
      </c>
      <c r="N551" s="36" t="str">
        <f t="shared" si="44"/>
        <v/>
      </c>
    </row>
    <row r="552" spans="1:14" x14ac:dyDescent="0.25">
      <c r="A552" s="35" t="str">
        <f t="shared" si="40"/>
        <v/>
      </c>
      <c r="B552" s="35" t="str">
        <f>IF(BOM!A552="","",BOM!A552)</f>
        <v/>
      </c>
      <c r="C552" s="35" t="str">
        <f>IF(B552="","",BOM!B552)</f>
        <v/>
      </c>
      <c r="D552" s="35" t="str">
        <f>IF(B552="","",IFERROR(INDEX(DM_NL!$B$5:$B$304,MATCH(C552,DM_NL!$A$5:$A$304,0)),""))</f>
        <v/>
      </c>
      <c r="E552" s="35" t="str">
        <f>IF(B552="","",IFERROR(INDEX(DM_NL!$C$5:$C$304,MATCH(C552,DM_NL!$A$5:$A$304,0)),""))</f>
        <v/>
      </c>
      <c r="F552" s="39" t="str">
        <f>IF(B552="","",SUMIFS(Mau15a!$F$11:$F$310,Mau15a!$B$11:$B$310,B552))</f>
        <v/>
      </c>
      <c r="G552" s="39" t="str">
        <f>IF(B552="","",IF(OR(M552="KXDDM",BOM!F552=""),0,BOM!F552))</f>
        <v/>
      </c>
      <c r="H552" s="39" t="str">
        <f t="shared" si="41"/>
        <v/>
      </c>
      <c r="I552" s="39" t="str">
        <f>IF(B552="","",SUMIFS(Mau15a!$H$11:$H$310,Mau15a!$B$11:$B$310,B552)+SUMIFS(Mau15a!$I$11:$I$310,Mau15a!$B$11:$B$310,B552)+SUMIFS(Mau15a!$J$11:$J$310,Mau15a!$B$11:$B$310,B552)-SUMIFS(Mau15a!$G$11:$G$310,Mau15a!$B$11:$B$310,B552))</f>
        <v/>
      </c>
      <c r="J552" s="39" t="str">
        <f t="shared" si="42"/>
        <v/>
      </c>
      <c r="K552" s="39" t="str">
        <f>IF(B552="","",(SUMIFS(Mau15a!$K$11:$K$310,Mau15a!$B$11:$B$310,B552)-SUMIFS(Mau15a!$E$11:$E$310,Mau15a!$B$11:$B$310,B552))*G552)</f>
        <v/>
      </c>
      <c r="L552" s="36" t="str">
        <f t="shared" si="43"/>
        <v/>
      </c>
      <c r="M552" s="36" t="str">
        <f>IF(B552="","",BOM!G552&amp;"")</f>
        <v/>
      </c>
      <c r="N552" s="36" t="str">
        <f t="shared" si="44"/>
        <v/>
      </c>
    </row>
    <row r="553" spans="1:14" x14ac:dyDescent="0.25">
      <c r="A553" s="35" t="str">
        <f t="shared" si="40"/>
        <v/>
      </c>
      <c r="B553" s="35" t="str">
        <f>IF(BOM!A553="","",BOM!A553)</f>
        <v/>
      </c>
      <c r="C553" s="35" t="str">
        <f>IF(B553="","",BOM!B553)</f>
        <v/>
      </c>
      <c r="D553" s="35" t="str">
        <f>IF(B553="","",IFERROR(INDEX(DM_NL!$B$5:$B$304,MATCH(C553,DM_NL!$A$5:$A$304,0)),""))</f>
        <v/>
      </c>
      <c r="E553" s="35" t="str">
        <f>IF(B553="","",IFERROR(INDEX(DM_NL!$C$5:$C$304,MATCH(C553,DM_NL!$A$5:$A$304,0)),""))</f>
        <v/>
      </c>
      <c r="F553" s="39" t="str">
        <f>IF(B553="","",SUMIFS(Mau15a!$F$11:$F$310,Mau15a!$B$11:$B$310,B553))</f>
        <v/>
      </c>
      <c r="G553" s="39" t="str">
        <f>IF(B553="","",IF(OR(M553="KXDDM",BOM!F553=""),0,BOM!F553))</f>
        <v/>
      </c>
      <c r="H553" s="39" t="str">
        <f t="shared" si="41"/>
        <v/>
      </c>
      <c r="I553" s="39" t="str">
        <f>IF(B553="","",SUMIFS(Mau15a!$H$11:$H$310,Mau15a!$B$11:$B$310,B553)+SUMIFS(Mau15a!$I$11:$I$310,Mau15a!$B$11:$B$310,B553)+SUMIFS(Mau15a!$J$11:$J$310,Mau15a!$B$11:$B$310,B553)-SUMIFS(Mau15a!$G$11:$G$310,Mau15a!$B$11:$B$310,B553))</f>
        <v/>
      </c>
      <c r="J553" s="39" t="str">
        <f t="shared" si="42"/>
        <v/>
      </c>
      <c r="K553" s="39" t="str">
        <f>IF(B553="","",(SUMIFS(Mau15a!$K$11:$K$310,Mau15a!$B$11:$B$310,B553)-SUMIFS(Mau15a!$E$11:$E$310,Mau15a!$B$11:$B$310,B553))*G553)</f>
        <v/>
      </c>
      <c r="L553" s="36" t="str">
        <f t="shared" si="43"/>
        <v/>
      </c>
      <c r="M553" s="36" t="str">
        <f>IF(B553="","",BOM!G553&amp;"")</f>
        <v/>
      </c>
      <c r="N553" s="36" t="str">
        <f t="shared" si="44"/>
        <v/>
      </c>
    </row>
    <row r="554" spans="1:14" x14ac:dyDescent="0.25">
      <c r="A554" s="35" t="str">
        <f t="shared" si="40"/>
        <v/>
      </c>
      <c r="B554" s="35" t="str">
        <f>IF(BOM!A554="","",BOM!A554)</f>
        <v/>
      </c>
      <c r="C554" s="35" t="str">
        <f>IF(B554="","",BOM!B554)</f>
        <v/>
      </c>
      <c r="D554" s="35" t="str">
        <f>IF(B554="","",IFERROR(INDEX(DM_NL!$B$5:$B$304,MATCH(C554,DM_NL!$A$5:$A$304,0)),""))</f>
        <v/>
      </c>
      <c r="E554" s="35" t="str">
        <f>IF(B554="","",IFERROR(INDEX(DM_NL!$C$5:$C$304,MATCH(C554,DM_NL!$A$5:$A$304,0)),""))</f>
        <v/>
      </c>
      <c r="F554" s="39" t="str">
        <f>IF(B554="","",SUMIFS(Mau15a!$F$11:$F$310,Mau15a!$B$11:$B$310,B554))</f>
        <v/>
      </c>
      <c r="G554" s="39" t="str">
        <f>IF(B554="","",IF(OR(M554="KXDDM",BOM!F554=""),0,BOM!F554))</f>
        <v/>
      </c>
      <c r="H554" s="39" t="str">
        <f t="shared" si="41"/>
        <v/>
      </c>
      <c r="I554" s="39" t="str">
        <f>IF(B554="","",SUMIFS(Mau15a!$H$11:$H$310,Mau15a!$B$11:$B$310,B554)+SUMIFS(Mau15a!$I$11:$I$310,Mau15a!$B$11:$B$310,B554)+SUMIFS(Mau15a!$J$11:$J$310,Mau15a!$B$11:$B$310,B554)-SUMIFS(Mau15a!$G$11:$G$310,Mau15a!$B$11:$B$310,B554))</f>
        <v/>
      </c>
      <c r="J554" s="39" t="str">
        <f t="shared" si="42"/>
        <v/>
      </c>
      <c r="K554" s="39" t="str">
        <f>IF(B554="","",(SUMIFS(Mau15a!$K$11:$K$310,Mau15a!$B$11:$B$310,B554)-SUMIFS(Mau15a!$E$11:$E$310,Mau15a!$B$11:$B$310,B554))*G554)</f>
        <v/>
      </c>
      <c r="L554" s="36" t="str">
        <f t="shared" si="43"/>
        <v/>
      </c>
      <c r="M554" s="36" t="str">
        <f>IF(B554="","",BOM!G554&amp;"")</f>
        <v/>
      </c>
      <c r="N554" s="36" t="str">
        <f t="shared" si="44"/>
        <v/>
      </c>
    </row>
    <row r="555" spans="1:14" x14ac:dyDescent="0.25">
      <c r="A555" s="35" t="str">
        <f t="shared" si="40"/>
        <v/>
      </c>
      <c r="B555" s="35" t="str">
        <f>IF(BOM!A555="","",BOM!A555)</f>
        <v/>
      </c>
      <c r="C555" s="35" t="str">
        <f>IF(B555="","",BOM!B555)</f>
        <v/>
      </c>
      <c r="D555" s="35" t="str">
        <f>IF(B555="","",IFERROR(INDEX(DM_NL!$B$5:$B$304,MATCH(C555,DM_NL!$A$5:$A$304,0)),""))</f>
        <v/>
      </c>
      <c r="E555" s="35" t="str">
        <f>IF(B555="","",IFERROR(INDEX(DM_NL!$C$5:$C$304,MATCH(C555,DM_NL!$A$5:$A$304,0)),""))</f>
        <v/>
      </c>
      <c r="F555" s="39" t="str">
        <f>IF(B555="","",SUMIFS(Mau15a!$F$11:$F$310,Mau15a!$B$11:$B$310,B555))</f>
        <v/>
      </c>
      <c r="G555" s="39" t="str">
        <f>IF(B555="","",IF(OR(M555="KXDDM",BOM!F555=""),0,BOM!F555))</f>
        <v/>
      </c>
      <c r="H555" s="39" t="str">
        <f t="shared" si="41"/>
        <v/>
      </c>
      <c r="I555" s="39" t="str">
        <f>IF(B555="","",SUMIFS(Mau15a!$H$11:$H$310,Mau15a!$B$11:$B$310,B555)+SUMIFS(Mau15a!$I$11:$I$310,Mau15a!$B$11:$B$310,B555)+SUMIFS(Mau15a!$J$11:$J$310,Mau15a!$B$11:$B$310,B555)-SUMIFS(Mau15a!$G$11:$G$310,Mau15a!$B$11:$B$310,B555))</f>
        <v/>
      </c>
      <c r="J555" s="39" t="str">
        <f t="shared" si="42"/>
        <v/>
      </c>
      <c r="K555" s="39" t="str">
        <f>IF(B555="","",(SUMIFS(Mau15a!$K$11:$K$310,Mau15a!$B$11:$B$310,B555)-SUMIFS(Mau15a!$E$11:$E$310,Mau15a!$B$11:$B$310,B555))*G555)</f>
        <v/>
      </c>
      <c r="L555" s="36" t="str">
        <f t="shared" si="43"/>
        <v/>
      </c>
      <c r="M555" s="36" t="str">
        <f>IF(B555="","",BOM!G555&amp;"")</f>
        <v/>
      </c>
      <c r="N555" s="36" t="str">
        <f t="shared" si="44"/>
        <v/>
      </c>
    </row>
    <row r="556" spans="1:14" x14ac:dyDescent="0.25">
      <c r="A556" s="35" t="str">
        <f t="shared" si="40"/>
        <v/>
      </c>
      <c r="B556" s="35" t="str">
        <f>IF(BOM!A556="","",BOM!A556)</f>
        <v/>
      </c>
      <c r="C556" s="35" t="str">
        <f>IF(B556="","",BOM!B556)</f>
        <v/>
      </c>
      <c r="D556" s="35" t="str">
        <f>IF(B556="","",IFERROR(INDEX(DM_NL!$B$5:$B$304,MATCH(C556,DM_NL!$A$5:$A$304,0)),""))</f>
        <v/>
      </c>
      <c r="E556" s="35" t="str">
        <f>IF(B556="","",IFERROR(INDEX(DM_NL!$C$5:$C$304,MATCH(C556,DM_NL!$A$5:$A$304,0)),""))</f>
        <v/>
      </c>
      <c r="F556" s="39" t="str">
        <f>IF(B556="","",SUMIFS(Mau15a!$F$11:$F$310,Mau15a!$B$11:$B$310,B556))</f>
        <v/>
      </c>
      <c r="G556" s="39" t="str">
        <f>IF(B556="","",IF(OR(M556="KXDDM",BOM!F556=""),0,BOM!F556))</f>
        <v/>
      </c>
      <c r="H556" s="39" t="str">
        <f t="shared" si="41"/>
        <v/>
      </c>
      <c r="I556" s="39" t="str">
        <f>IF(B556="","",SUMIFS(Mau15a!$H$11:$H$310,Mau15a!$B$11:$B$310,B556)+SUMIFS(Mau15a!$I$11:$I$310,Mau15a!$B$11:$B$310,B556)+SUMIFS(Mau15a!$J$11:$J$310,Mau15a!$B$11:$B$310,B556)-SUMIFS(Mau15a!$G$11:$G$310,Mau15a!$B$11:$B$310,B556))</f>
        <v/>
      </c>
      <c r="J556" s="39" t="str">
        <f t="shared" si="42"/>
        <v/>
      </c>
      <c r="K556" s="39" t="str">
        <f>IF(B556="","",(SUMIFS(Mau15a!$K$11:$K$310,Mau15a!$B$11:$B$310,B556)-SUMIFS(Mau15a!$E$11:$E$310,Mau15a!$B$11:$B$310,B556))*G556)</f>
        <v/>
      </c>
      <c r="L556" s="36" t="str">
        <f t="shared" si="43"/>
        <v/>
      </c>
      <c r="M556" s="36" t="str">
        <f>IF(B556="","",BOM!G556&amp;"")</f>
        <v/>
      </c>
      <c r="N556" s="36" t="str">
        <f t="shared" si="44"/>
        <v/>
      </c>
    </row>
    <row r="557" spans="1:14" x14ac:dyDescent="0.25">
      <c r="A557" s="35" t="str">
        <f t="shared" si="40"/>
        <v/>
      </c>
      <c r="B557" s="35" t="str">
        <f>IF(BOM!A557="","",BOM!A557)</f>
        <v/>
      </c>
      <c r="C557" s="35" t="str">
        <f>IF(B557="","",BOM!B557)</f>
        <v/>
      </c>
      <c r="D557" s="35" t="str">
        <f>IF(B557="","",IFERROR(INDEX(DM_NL!$B$5:$B$304,MATCH(C557,DM_NL!$A$5:$A$304,0)),""))</f>
        <v/>
      </c>
      <c r="E557" s="35" t="str">
        <f>IF(B557="","",IFERROR(INDEX(DM_NL!$C$5:$C$304,MATCH(C557,DM_NL!$A$5:$A$304,0)),""))</f>
        <v/>
      </c>
      <c r="F557" s="39" t="str">
        <f>IF(B557="","",SUMIFS(Mau15a!$F$11:$F$310,Mau15a!$B$11:$B$310,B557))</f>
        <v/>
      </c>
      <c r="G557" s="39" t="str">
        <f>IF(B557="","",IF(OR(M557="KXDDM",BOM!F557=""),0,BOM!F557))</f>
        <v/>
      </c>
      <c r="H557" s="39" t="str">
        <f t="shared" si="41"/>
        <v/>
      </c>
      <c r="I557" s="39" t="str">
        <f>IF(B557="","",SUMIFS(Mau15a!$H$11:$H$310,Mau15a!$B$11:$B$310,B557)+SUMIFS(Mau15a!$I$11:$I$310,Mau15a!$B$11:$B$310,B557)+SUMIFS(Mau15a!$J$11:$J$310,Mau15a!$B$11:$B$310,B557)-SUMIFS(Mau15a!$G$11:$G$310,Mau15a!$B$11:$B$310,B557))</f>
        <v/>
      </c>
      <c r="J557" s="39" t="str">
        <f t="shared" si="42"/>
        <v/>
      </c>
      <c r="K557" s="39" t="str">
        <f>IF(B557="","",(SUMIFS(Mau15a!$K$11:$K$310,Mau15a!$B$11:$B$310,B557)-SUMIFS(Mau15a!$E$11:$E$310,Mau15a!$B$11:$B$310,B557))*G557)</f>
        <v/>
      </c>
      <c r="L557" s="36" t="str">
        <f t="shared" si="43"/>
        <v/>
      </c>
      <c r="M557" s="36" t="str">
        <f>IF(B557="","",BOM!G557&amp;"")</f>
        <v/>
      </c>
      <c r="N557" s="36" t="str">
        <f t="shared" si="44"/>
        <v/>
      </c>
    </row>
    <row r="558" spans="1:14" x14ac:dyDescent="0.25">
      <c r="A558" s="35" t="str">
        <f t="shared" si="40"/>
        <v/>
      </c>
      <c r="B558" s="35" t="str">
        <f>IF(BOM!A558="","",BOM!A558)</f>
        <v/>
      </c>
      <c r="C558" s="35" t="str">
        <f>IF(B558="","",BOM!B558)</f>
        <v/>
      </c>
      <c r="D558" s="35" t="str">
        <f>IF(B558="","",IFERROR(INDEX(DM_NL!$B$5:$B$304,MATCH(C558,DM_NL!$A$5:$A$304,0)),""))</f>
        <v/>
      </c>
      <c r="E558" s="35" t="str">
        <f>IF(B558="","",IFERROR(INDEX(DM_NL!$C$5:$C$304,MATCH(C558,DM_NL!$A$5:$A$304,0)),""))</f>
        <v/>
      </c>
      <c r="F558" s="39" t="str">
        <f>IF(B558="","",SUMIFS(Mau15a!$F$11:$F$310,Mau15a!$B$11:$B$310,B558))</f>
        <v/>
      </c>
      <c r="G558" s="39" t="str">
        <f>IF(B558="","",IF(OR(M558="KXDDM",BOM!F558=""),0,BOM!F558))</f>
        <v/>
      </c>
      <c r="H558" s="39" t="str">
        <f t="shared" si="41"/>
        <v/>
      </c>
      <c r="I558" s="39" t="str">
        <f>IF(B558="","",SUMIFS(Mau15a!$H$11:$H$310,Mau15a!$B$11:$B$310,B558)+SUMIFS(Mau15a!$I$11:$I$310,Mau15a!$B$11:$B$310,B558)+SUMIFS(Mau15a!$J$11:$J$310,Mau15a!$B$11:$B$310,B558)-SUMIFS(Mau15a!$G$11:$G$310,Mau15a!$B$11:$B$310,B558))</f>
        <v/>
      </c>
      <c r="J558" s="39" t="str">
        <f t="shared" si="42"/>
        <v/>
      </c>
      <c r="K558" s="39" t="str">
        <f>IF(B558="","",(SUMIFS(Mau15a!$K$11:$K$310,Mau15a!$B$11:$B$310,B558)-SUMIFS(Mau15a!$E$11:$E$310,Mau15a!$B$11:$B$310,B558))*G558)</f>
        <v/>
      </c>
      <c r="L558" s="36" t="str">
        <f t="shared" si="43"/>
        <v/>
      </c>
      <c r="M558" s="36" t="str">
        <f>IF(B558="","",BOM!G558&amp;"")</f>
        <v/>
      </c>
      <c r="N558" s="36" t="str">
        <f t="shared" si="44"/>
        <v/>
      </c>
    </row>
    <row r="559" spans="1:14" x14ac:dyDescent="0.25">
      <c r="A559" s="35" t="str">
        <f t="shared" si="40"/>
        <v/>
      </c>
      <c r="B559" s="35" t="str">
        <f>IF(BOM!A559="","",BOM!A559)</f>
        <v/>
      </c>
      <c r="C559" s="35" t="str">
        <f>IF(B559="","",BOM!B559)</f>
        <v/>
      </c>
      <c r="D559" s="35" t="str">
        <f>IF(B559="","",IFERROR(INDEX(DM_NL!$B$5:$B$304,MATCH(C559,DM_NL!$A$5:$A$304,0)),""))</f>
        <v/>
      </c>
      <c r="E559" s="35" t="str">
        <f>IF(B559="","",IFERROR(INDEX(DM_NL!$C$5:$C$304,MATCH(C559,DM_NL!$A$5:$A$304,0)),""))</f>
        <v/>
      </c>
      <c r="F559" s="39" t="str">
        <f>IF(B559="","",SUMIFS(Mau15a!$F$11:$F$310,Mau15a!$B$11:$B$310,B559))</f>
        <v/>
      </c>
      <c r="G559" s="39" t="str">
        <f>IF(B559="","",IF(OR(M559="KXDDM",BOM!F559=""),0,BOM!F559))</f>
        <v/>
      </c>
      <c r="H559" s="39" t="str">
        <f t="shared" si="41"/>
        <v/>
      </c>
      <c r="I559" s="39" t="str">
        <f>IF(B559="","",SUMIFS(Mau15a!$H$11:$H$310,Mau15a!$B$11:$B$310,B559)+SUMIFS(Mau15a!$I$11:$I$310,Mau15a!$B$11:$B$310,B559)+SUMIFS(Mau15a!$J$11:$J$310,Mau15a!$B$11:$B$310,B559)-SUMIFS(Mau15a!$G$11:$G$310,Mau15a!$B$11:$B$310,B559))</f>
        <v/>
      </c>
      <c r="J559" s="39" t="str">
        <f t="shared" si="42"/>
        <v/>
      </c>
      <c r="K559" s="39" t="str">
        <f>IF(B559="","",(SUMIFS(Mau15a!$K$11:$K$310,Mau15a!$B$11:$B$310,B559)-SUMIFS(Mau15a!$E$11:$E$310,Mau15a!$B$11:$B$310,B559))*G559)</f>
        <v/>
      </c>
      <c r="L559" s="36" t="str">
        <f t="shared" si="43"/>
        <v/>
      </c>
      <c r="M559" s="36" t="str">
        <f>IF(B559="","",BOM!G559&amp;"")</f>
        <v/>
      </c>
      <c r="N559" s="36" t="str">
        <f t="shared" si="44"/>
        <v/>
      </c>
    </row>
    <row r="560" spans="1:14" x14ac:dyDescent="0.25">
      <c r="A560" s="35" t="str">
        <f t="shared" si="40"/>
        <v/>
      </c>
      <c r="B560" s="35" t="str">
        <f>IF(BOM!A560="","",BOM!A560)</f>
        <v/>
      </c>
      <c r="C560" s="35" t="str">
        <f>IF(B560="","",BOM!B560)</f>
        <v/>
      </c>
      <c r="D560" s="35" t="str">
        <f>IF(B560="","",IFERROR(INDEX(DM_NL!$B$5:$B$304,MATCH(C560,DM_NL!$A$5:$A$304,0)),""))</f>
        <v/>
      </c>
      <c r="E560" s="35" t="str">
        <f>IF(B560="","",IFERROR(INDEX(DM_NL!$C$5:$C$304,MATCH(C560,DM_NL!$A$5:$A$304,0)),""))</f>
        <v/>
      </c>
      <c r="F560" s="39" t="str">
        <f>IF(B560="","",SUMIFS(Mau15a!$F$11:$F$310,Mau15a!$B$11:$B$310,B560))</f>
        <v/>
      </c>
      <c r="G560" s="39" t="str">
        <f>IF(B560="","",IF(OR(M560="KXDDM",BOM!F560=""),0,BOM!F560))</f>
        <v/>
      </c>
      <c r="H560" s="39" t="str">
        <f t="shared" si="41"/>
        <v/>
      </c>
      <c r="I560" s="39" t="str">
        <f>IF(B560="","",SUMIFS(Mau15a!$H$11:$H$310,Mau15a!$B$11:$B$310,B560)+SUMIFS(Mau15a!$I$11:$I$310,Mau15a!$B$11:$B$310,B560)+SUMIFS(Mau15a!$J$11:$J$310,Mau15a!$B$11:$B$310,B560)-SUMIFS(Mau15a!$G$11:$G$310,Mau15a!$B$11:$B$310,B560))</f>
        <v/>
      </c>
      <c r="J560" s="39" t="str">
        <f t="shared" si="42"/>
        <v/>
      </c>
      <c r="K560" s="39" t="str">
        <f>IF(B560="","",(SUMIFS(Mau15a!$K$11:$K$310,Mau15a!$B$11:$B$310,B560)-SUMIFS(Mau15a!$E$11:$E$310,Mau15a!$B$11:$B$310,B560))*G560)</f>
        <v/>
      </c>
      <c r="L560" s="36" t="str">
        <f t="shared" si="43"/>
        <v/>
      </c>
      <c r="M560" s="36" t="str">
        <f>IF(B560="","",BOM!G560&amp;"")</f>
        <v/>
      </c>
      <c r="N560" s="36" t="str">
        <f t="shared" si="44"/>
        <v/>
      </c>
    </row>
    <row r="561" spans="1:14" x14ac:dyDescent="0.25">
      <c r="A561" s="35" t="str">
        <f t="shared" si="40"/>
        <v/>
      </c>
      <c r="B561" s="35" t="str">
        <f>IF(BOM!A561="","",BOM!A561)</f>
        <v/>
      </c>
      <c r="C561" s="35" t="str">
        <f>IF(B561="","",BOM!B561)</f>
        <v/>
      </c>
      <c r="D561" s="35" t="str">
        <f>IF(B561="","",IFERROR(INDEX(DM_NL!$B$5:$B$304,MATCH(C561,DM_NL!$A$5:$A$304,0)),""))</f>
        <v/>
      </c>
      <c r="E561" s="35" t="str">
        <f>IF(B561="","",IFERROR(INDEX(DM_NL!$C$5:$C$304,MATCH(C561,DM_NL!$A$5:$A$304,0)),""))</f>
        <v/>
      </c>
      <c r="F561" s="39" t="str">
        <f>IF(B561="","",SUMIFS(Mau15a!$F$11:$F$310,Mau15a!$B$11:$B$310,B561))</f>
        <v/>
      </c>
      <c r="G561" s="39" t="str">
        <f>IF(B561="","",IF(OR(M561="KXDDM",BOM!F561=""),0,BOM!F561))</f>
        <v/>
      </c>
      <c r="H561" s="39" t="str">
        <f t="shared" si="41"/>
        <v/>
      </c>
      <c r="I561" s="39" t="str">
        <f>IF(B561="","",SUMIFS(Mau15a!$H$11:$H$310,Mau15a!$B$11:$B$310,B561)+SUMIFS(Mau15a!$I$11:$I$310,Mau15a!$B$11:$B$310,B561)+SUMIFS(Mau15a!$J$11:$J$310,Mau15a!$B$11:$B$310,B561)-SUMIFS(Mau15a!$G$11:$G$310,Mau15a!$B$11:$B$310,B561))</f>
        <v/>
      </c>
      <c r="J561" s="39" t="str">
        <f t="shared" si="42"/>
        <v/>
      </c>
      <c r="K561" s="39" t="str">
        <f>IF(B561="","",(SUMIFS(Mau15a!$K$11:$K$310,Mau15a!$B$11:$B$310,B561)-SUMIFS(Mau15a!$E$11:$E$310,Mau15a!$B$11:$B$310,B561))*G561)</f>
        <v/>
      </c>
      <c r="L561" s="36" t="str">
        <f t="shared" si="43"/>
        <v/>
      </c>
      <c r="M561" s="36" t="str">
        <f>IF(B561="","",BOM!G561&amp;"")</f>
        <v/>
      </c>
      <c r="N561" s="36" t="str">
        <f t="shared" si="44"/>
        <v/>
      </c>
    </row>
    <row r="562" spans="1:14" x14ac:dyDescent="0.25">
      <c r="A562" s="35" t="str">
        <f t="shared" si="40"/>
        <v/>
      </c>
      <c r="B562" s="35" t="str">
        <f>IF(BOM!A562="","",BOM!A562)</f>
        <v/>
      </c>
      <c r="C562" s="35" t="str">
        <f>IF(B562="","",BOM!B562)</f>
        <v/>
      </c>
      <c r="D562" s="35" t="str">
        <f>IF(B562="","",IFERROR(INDEX(DM_NL!$B$5:$B$304,MATCH(C562,DM_NL!$A$5:$A$304,0)),""))</f>
        <v/>
      </c>
      <c r="E562" s="35" t="str">
        <f>IF(B562="","",IFERROR(INDEX(DM_NL!$C$5:$C$304,MATCH(C562,DM_NL!$A$5:$A$304,0)),""))</f>
        <v/>
      </c>
      <c r="F562" s="39" t="str">
        <f>IF(B562="","",SUMIFS(Mau15a!$F$11:$F$310,Mau15a!$B$11:$B$310,B562))</f>
        <v/>
      </c>
      <c r="G562" s="39" t="str">
        <f>IF(B562="","",IF(OR(M562="KXDDM",BOM!F562=""),0,BOM!F562))</f>
        <v/>
      </c>
      <c r="H562" s="39" t="str">
        <f t="shared" si="41"/>
        <v/>
      </c>
      <c r="I562" s="39" t="str">
        <f>IF(B562="","",SUMIFS(Mau15a!$H$11:$H$310,Mau15a!$B$11:$B$310,B562)+SUMIFS(Mau15a!$I$11:$I$310,Mau15a!$B$11:$B$310,B562)+SUMIFS(Mau15a!$J$11:$J$310,Mau15a!$B$11:$B$310,B562)-SUMIFS(Mau15a!$G$11:$G$310,Mau15a!$B$11:$B$310,B562))</f>
        <v/>
      </c>
      <c r="J562" s="39" t="str">
        <f t="shared" si="42"/>
        <v/>
      </c>
      <c r="K562" s="39" t="str">
        <f>IF(B562="","",(SUMIFS(Mau15a!$K$11:$K$310,Mau15a!$B$11:$B$310,B562)-SUMIFS(Mau15a!$E$11:$E$310,Mau15a!$B$11:$B$310,B562))*G562)</f>
        <v/>
      </c>
      <c r="L562" s="36" t="str">
        <f t="shared" si="43"/>
        <v/>
      </c>
      <c r="M562" s="36" t="str">
        <f>IF(B562="","",BOM!G562&amp;"")</f>
        <v/>
      </c>
      <c r="N562" s="36" t="str">
        <f t="shared" si="44"/>
        <v/>
      </c>
    </row>
    <row r="563" spans="1:14" x14ac:dyDescent="0.25">
      <c r="A563" s="35" t="str">
        <f t="shared" si="40"/>
        <v/>
      </c>
      <c r="B563" s="35" t="str">
        <f>IF(BOM!A563="","",BOM!A563)</f>
        <v/>
      </c>
      <c r="C563" s="35" t="str">
        <f>IF(B563="","",BOM!B563)</f>
        <v/>
      </c>
      <c r="D563" s="35" t="str">
        <f>IF(B563="","",IFERROR(INDEX(DM_NL!$B$5:$B$304,MATCH(C563,DM_NL!$A$5:$A$304,0)),""))</f>
        <v/>
      </c>
      <c r="E563" s="35" t="str">
        <f>IF(B563="","",IFERROR(INDEX(DM_NL!$C$5:$C$304,MATCH(C563,DM_NL!$A$5:$A$304,0)),""))</f>
        <v/>
      </c>
      <c r="F563" s="39" t="str">
        <f>IF(B563="","",SUMIFS(Mau15a!$F$11:$F$310,Mau15a!$B$11:$B$310,B563))</f>
        <v/>
      </c>
      <c r="G563" s="39" t="str">
        <f>IF(B563="","",IF(OR(M563="KXDDM",BOM!F563=""),0,BOM!F563))</f>
        <v/>
      </c>
      <c r="H563" s="39" t="str">
        <f t="shared" si="41"/>
        <v/>
      </c>
      <c r="I563" s="39" t="str">
        <f>IF(B563="","",SUMIFS(Mau15a!$H$11:$H$310,Mau15a!$B$11:$B$310,B563)+SUMIFS(Mau15a!$I$11:$I$310,Mau15a!$B$11:$B$310,B563)+SUMIFS(Mau15a!$J$11:$J$310,Mau15a!$B$11:$B$310,B563)-SUMIFS(Mau15a!$G$11:$G$310,Mau15a!$B$11:$B$310,B563))</f>
        <v/>
      </c>
      <c r="J563" s="39" t="str">
        <f t="shared" si="42"/>
        <v/>
      </c>
      <c r="K563" s="39" t="str">
        <f>IF(B563="","",(SUMIFS(Mau15a!$K$11:$K$310,Mau15a!$B$11:$B$310,B563)-SUMIFS(Mau15a!$E$11:$E$310,Mau15a!$B$11:$B$310,B563))*G563)</f>
        <v/>
      </c>
      <c r="L563" s="36" t="str">
        <f t="shared" si="43"/>
        <v/>
      </c>
      <c r="M563" s="36" t="str">
        <f>IF(B563="","",BOM!G563&amp;"")</f>
        <v/>
      </c>
      <c r="N563" s="36" t="str">
        <f t="shared" si="44"/>
        <v/>
      </c>
    </row>
    <row r="564" spans="1:14" x14ac:dyDescent="0.25">
      <c r="A564" s="35" t="str">
        <f t="shared" si="40"/>
        <v/>
      </c>
      <c r="B564" s="35" t="str">
        <f>IF(BOM!A564="","",BOM!A564)</f>
        <v/>
      </c>
      <c r="C564" s="35" t="str">
        <f>IF(B564="","",BOM!B564)</f>
        <v/>
      </c>
      <c r="D564" s="35" t="str">
        <f>IF(B564="","",IFERROR(INDEX(DM_NL!$B$5:$B$304,MATCH(C564,DM_NL!$A$5:$A$304,0)),""))</f>
        <v/>
      </c>
      <c r="E564" s="35" t="str">
        <f>IF(B564="","",IFERROR(INDEX(DM_NL!$C$5:$C$304,MATCH(C564,DM_NL!$A$5:$A$304,0)),""))</f>
        <v/>
      </c>
      <c r="F564" s="39" t="str">
        <f>IF(B564="","",SUMIFS(Mau15a!$F$11:$F$310,Mau15a!$B$11:$B$310,B564))</f>
        <v/>
      </c>
      <c r="G564" s="39" t="str">
        <f>IF(B564="","",IF(OR(M564="KXDDM",BOM!F564=""),0,BOM!F564))</f>
        <v/>
      </c>
      <c r="H564" s="39" t="str">
        <f t="shared" si="41"/>
        <v/>
      </c>
      <c r="I564" s="39" t="str">
        <f>IF(B564="","",SUMIFS(Mau15a!$H$11:$H$310,Mau15a!$B$11:$B$310,B564)+SUMIFS(Mau15a!$I$11:$I$310,Mau15a!$B$11:$B$310,B564)+SUMIFS(Mau15a!$J$11:$J$310,Mau15a!$B$11:$B$310,B564)-SUMIFS(Mau15a!$G$11:$G$310,Mau15a!$B$11:$B$310,B564))</f>
        <v/>
      </c>
      <c r="J564" s="39" t="str">
        <f t="shared" si="42"/>
        <v/>
      </c>
      <c r="K564" s="39" t="str">
        <f>IF(B564="","",(SUMIFS(Mau15a!$K$11:$K$310,Mau15a!$B$11:$B$310,B564)-SUMIFS(Mau15a!$E$11:$E$310,Mau15a!$B$11:$B$310,B564))*G564)</f>
        <v/>
      </c>
      <c r="L564" s="36" t="str">
        <f t="shared" si="43"/>
        <v/>
      </c>
      <c r="M564" s="36" t="str">
        <f>IF(B564="","",BOM!G564&amp;"")</f>
        <v/>
      </c>
      <c r="N564" s="36" t="str">
        <f t="shared" si="44"/>
        <v/>
      </c>
    </row>
    <row r="565" spans="1:14" x14ac:dyDescent="0.25">
      <c r="A565" s="35" t="str">
        <f t="shared" si="40"/>
        <v/>
      </c>
      <c r="B565" s="35" t="str">
        <f>IF(BOM!A565="","",BOM!A565)</f>
        <v/>
      </c>
      <c r="C565" s="35" t="str">
        <f>IF(B565="","",BOM!B565)</f>
        <v/>
      </c>
      <c r="D565" s="35" t="str">
        <f>IF(B565="","",IFERROR(INDEX(DM_NL!$B$5:$B$304,MATCH(C565,DM_NL!$A$5:$A$304,0)),""))</f>
        <v/>
      </c>
      <c r="E565" s="35" t="str">
        <f>IF(B565="","",IFERROR(INDEX(DM_NL!$C$5:$C$304,MATCH(C565,DM_NL!$A$5:$A$304,0)),""))</f>
        <v/>
      </c>
      <c r="F565" s="39" t="str">
        <f>IF(B565="","",SUMIFS(Mau15a!$F$11:$F$310,Mau15a!$B$11:$B$310,B565))</f>
        <v/>
      </c>
      <c r="G565" s="39" t="str">
        <f>IF(B565="","",IF(OR(M565="KXDDM",BOM!F565=""),0,BOM!F565))</f>
        <v/>
      </c>
      <c r="H565" s="39" t="str">
        <f t="shared" si="41"/>
        <v/>
      </c>
      <c r="I565" s="39" t="str">
        <f>IF(B565="","",SUMIFS(Mau15a!$H$11:$H$310,Mau15a!$B$11:$B$310,B565)+SUMIFS(Mau15a!$I$11:$I$310,Mau15a!$B$11:$B$310,B565)+SUMIFS(Mau15a!$J$11:$J$310,Mau15a!$B$11:$B$310,B565)-SUMIFS(Mau15a!$G$11:$G$310,Mau15a!$B$11:$B$310,B565))</f>
        <v/>
      </c>
      <c r="J565" s="39" t="str">
        <f t="shared" si="42"/>
        <v/>
      </c>
      <c r="K565" s="39" t="str">
        <f>IF(B565="","",(SUMIFS(Mau15a!$K$11:$K$310,Mau15a!$B$11:$B$310,B565)-SUMIFS(Mau15a!$E$11:$E$310,Mau15a!$B$11:$B$310,B565))*G565)</f>
        <v/>
      </c>
      <c r="L565" s="36" t="str">
        <f t="shared" si="43"/>
        <v/>
      </c>
      <c r="M565" s="36" t="str">
        <f>IF(B565="","",BOM!G565&amp;"")</f>
        <v/>
      </c>
      <c r="N565" s="36" t="str">
        <f t="shared" si="44"/>
        <v/>
      </c>
    </row>
    <row r="566" spans="1:14" x14ac:dyDescent="0.25">
      <c r="A566" s="35" t="str">
        <f t="shared" si="40"/>
        <v/>
      </c>
      <c r="B566" s="35" t="str">
        <f>IF(BOM!A566="","",BOM!A566)</f>
        <v/>
      </c>
      <c r="C566" s="35" t="str">
        <f>IF(B566="","",BOM!B566)</f>
        <v/>
      </c>
      <c r="D566" s="35" t="str">
        <f>IF(B566="","",IFERROR(INDEX(DM_NL!$B$5:$B$304,MATCH(C566,DM_NL!$A$5:$A$304,0)),""))</f>
        <v/>
      </c>
      <c r="E566" s="35" t="str">
        <f>IF(B566="","",IFERROR(INDEX(DM_NL!$C$5:$C$304,MATCH(C566,DM_NL!$A$5:$A$304,0)),""))</f>
        <v/>
      </c>
      <c r="F566" s="39" t="str">
        <f>IF(B566="","",SUMIFS(Mau15a!$F$11:$F$310,Mau15a!$B$11:$B$310,B566))</f>
        <v/>
      </c>
      <c r="G566" s="39" t="str">
        <f>IF(B566="","",IF(OR(M566="KXDDM",BOM!F566=""),0,BOM!F566))</f>
        <v/>
      </c>
      <c r="H566" s="39" t="str">
        <f t="shared" si="41"/>
        <v/>
      </c>
      <c r="I566" s="39" t="str">
        <f>IF(B566="","",SUMIFS(Mau15a!$H$11:$H$310,Mau15a!$B$11:$B$310,B566)+SUMIFS(Mau15a!$I$11:$I$310,Mau15a!$B$11:$B$310,B566)+SUMIFS(Mau15a!$J$11:$J$310,Mau15a!$B$11:$B$310,B566)-SUMIFS(Mau15a!$G$11:$G$310,Mau15a!$B$11:$B$310,B566))</f>
        <v/>
      </c>
      <c r="J566" s="39" t="str">
        <f t="shared" si="42"/>
        <v/>
      </c>
      <c r="K566" s="39" t="str">
        <f>IF(B566="","",(SUMIFS(Mau15a!$K$11:$K$310,Mau15a!$B$11:$B$310,B566)-SUMIFS(Mau15a!$E$11:$E$310,Mau15a!$B$11:$B$310,B566))*G566)</f>
        <v/>
      </c>
      <c r="L566" s="36" t="str">
        <f t="shared" si="43"/>
        <v/>
      </c>
      <c r="M566" s="36" t="str">
        <f>IF(B566="","",BOM!G566&amp;"")</f>
        <v/>
      </c>
      <c r="N566" s="36" t="str">
        <f t="shared" si="44"/>
        <v/>
      </c>
    </row>
    <row r="567" spans="1:14" x14ac:dyDescent="0.25">
      <c r="A567" s="35" t="str">
        <f t="shared" si="40"/>
        <v/>
      </c>
      <c r="B567" s="35" t="str">
        <f>IF(BOM!A567="","",BOM!A567)</f>
        <v/>
      </c>
      <c r="C567" s="35" t="str">
        <f>IF(B567="","",BOM!B567)</f>
        <v/>
      </c>
      <c r="D567" s="35" t="str">
        <f>IF(B567="","",IFERROR(INDEX(DM_NL!$B$5:$B$304,MATCH(C567,DM_NL!$A$5:$A$304,0)),""))</f>
        <v/>
      </c>
      <c r="E567" s="35" t="str">
        <f>IF(B567="","",IFERROR(INDEX(DM_NL!$C$5:$C$304,MATCH(C567,DM_NL!$A$5:$A$304,0)),""))</f>
        <v/>
      </c>
      <c r="F567" s="39" t="str">
        <f>IF(B567="","",SUMIFS(Mau15a!$F$11:$F$310,Mau15a!$B$11:$B$310,B567))</f>
        <v/>
      </c>
      <c r="G567" s="39" t="str">
        <f>IF(B567="","",IF(OR(M567="KXDDM",BOM!F567=""),0,BOM!F567))</f>
        <v/>
      </c>
      <c r="H567" s="39" t="str">
        <f t="shared" si="41"/>
        <v/>
      </c>
      <c r="I567" s="39" t="str">
        <f>IF(B567="","",SUMIFS(Mau15a!$H$11:$H$310,Mau15a!$B$11:$B$310,B567)+SUMIFS(Mau15a!$I$11:$I$310,Mau15a!$B$11:$B$310,B567)+SUMIFS(Mau15a!$J$11:$J$310,Mau15a!$B$11:$B$310,B567)-SUMIFS(Mau15a!$G$11:$G$310,Mau15a!$B$11:$B$310,B567))</f>
        <v/>
      </c>
      <c r="J567" s="39" t="str">
        <f t="shared" si="42"/>
        <v/>
      </c>
      <c r="K567" s="39" t="str">
        <f>IF(B567="","",(SUMIFS(Mau15a!$K$11:$K$310,Mau15a!$B$11:$B$310,B567)-SUMIFS(Mau15a!$E$11:$E$310,Mau15a!$B$11:$B$310,B567))*G567)</f>
        <v/>
      </c>
      <c r="L567" s="36" t="str">
        <f t="shared" si="43"/>
        <v/>
      </c>
      <c r="M567" s="36" t="str">
        <f>IF(B567="","",BOM!G567&amp;"")</f>
        <v/>
      </c>
      <c r="N567" s="36" t="str">
        <f t="shared" si="44"/>
        <v/>
      </c>
    </row>
    <row r="568" spans="1:14" x14ac:dyDescent="0.25">
      <c r="A568" s="35" t="str">
        <f t="shared" si="40"/>
        <v/>
      </c>
      <c r="B568" s="35" t="str">
        <f>IF(BOM!A568="","",BOM!A568)</f>
        <v/>
      </c>
      <c r="C568" s="35" t="str">
        <f>IF(B568="","",BOM!B568)</f>
        <v/>
      </c>
      <c r="D568" s="35" t="str">
        <f>IF(B568="","",IFERROR(INDEX(DM_NL!$B$5:$B$304,MATCH(C568,DM_NL!$A$5:$A$304,0)),""))</f>
        <v/>
      </c>
      <c r="E568" s="35" t="str">
        <f>IF(B568="","",IFERROR(INDEX(DM_NL!$C$5:$C$304,MATCH(C568,DM_NL!$A$5:$A$304,0)),""))</f>
        <v/>
      </c>
      <c r="F568" s="39" t="str">
        <f>IF(B568="","",SUMIFS(Mau15a!$F$11:$F$310,Mau15a!$B$11:$B$310,B568))</f>
        <v/>
      </c>
      <c r="G568" s="39" t="str">
        <f>IF(B568="","",IF(OR(M568="KXDDM",BOM!F568=""),0,BOM!F568))</f>
        <v/>
      </c>
      <c r="H568" s="39" t="str">
        <f t="shared" si="41"/>
        <v/>
      </c>
      <c r="I568" s="39" t="str">
        <f>IF(B568="","",SUMIFS(Mau15a!$H$11:$H$310,Mau15a!$B$11:$B$310,B568)+SUMIFS(Mau15a!$I$11:$I$310,Mau15a!$B$11:$B$310,B568)+SUMIFS(Mau15a!$J$11:$J$310,Mau15a!$B$11:$B$310,B568)-SUMIFS(Mau15a!$G$11:$G$310,Mau15a!$B$11:$B$310,B568))</f>
        <v/>
      </c>
      <c r="J568" s="39" t="str">
        <f t="shared" si="42"/>
        <v/>
      </c>
      <c r="K568" s="39" t="str">
        <f>IF(B568="","",(SUMIFS(Mau15a!$K$11:$K$310,Mau15a!$B$11:$B$310,B568)-SUMIFS(Mau15a!$E$11:$E$310,Mau15a!$B$11:$B$310,B568))*G568)</f>
        <v/>
      </c>
      <c r="L568" s="36" t="str">
        <f t="shared" si="43"/>
        <v/>
      </c>
      <c r="M568" s="36" t="str">
        <f>IF(B568="","",BOM!G568&amp;"")</f>
        <v/>
      </c>
      <c r="N568" s="36" t="str">
        <f t="shared" si="44"/>
        <v/>
      </c>
    </row>
    <row r="569" spans="1:14" x14ac:dyDescent="0.25">
      <c r="A569" s="35" t="str">
        <f t="shared" si="40"/>
        <v/>
      </c>
      <c r="B569" s="35" t="str">
        <f>IF(BOM!A569="","",BOM!A569)</f>
        <v/>
      </c>
      <c r="C569" s="35" t="str">
        <f>IF(B569="","",BOM!B569)</f>
        <v/>
      </c>
      <c r="D569" s="35" t="str">
        <f>IF(B569="","",IFERROR(INDEX(DM_NL!$B$5:$B$304,MATCH(C569,DM_NL!$A$5:$A$304,0)),""))</f>
        <v/>
      </c>
      <c r="E569" s="35" t="str">
        <f>IF(B569="","",IFERROR(INDEX(DM_NL!$C$5:$C$304,MATCH(C569,DM_NL!$A$5:$A$304,0)),""))</f>
        <v/>
      </c>
      <c r="F569" s="39" t="str">
        <f>IF(B569="","",SUMIFS(Mau15a!$F$11:$F$310,Mau15a!$B$11:$B$310,B569))</f>
        <v/>
      </c>
      <c r="G569" s="39" t="str">
        <f>IF(B569="","",IF(OR(M569="KXDDM",BOM!F569=""),0,BOM!F569))</f>
        <v/>
      </c>
      <c r="H569" s="39" t="str">
        <f t="shared" si="41"/>
        <v/>
      </c>
      <c r="I569" s="39" t="str">
        <f>IF(B569="","",SUMIFS(Mau15a!$H$11:$H$310,Mau15a!$B$11:$B$310,B569)+SUMIFS(Mau15a!$I$11:$I$310,Mau15a!$B$11:$B$310,B569)+SUMIFS(Mau15a!$J$11:$J$310,Mau15a!$B$11:$B$310,B569)-SUMIFS(Mau15a!$G$11:$G$310,Mau15a!$B$11:$B$310,B569))</f>
        <v/>
      </c>
      <c r="J569" s="39" t="str">
        <f t="shared" si="42"/>
        <v/>
      </c>
      <c r="K569" s="39" t="str">
        <f>IF(B569="","",(SUMIFS(Mau15a!$K$11:$K$310,Mau15a!$B$11:$B$310,B569)-SUMIFS(Mau15a!$E$11:$E$310,Mau15a!$B$11:$B$310,B569))*G569)</f>
        <v/>
      </c>
      <c r="L569" s="36" t="str">
        <f t="shared" si="43"/>
        <v/>
      </c>
      <c r="M569" s="36" t="str">
        <f>IF(B569="","",BOM!G569&amp;"")</f>
        <v/>
      </c>
      <c r="N569" s="36" t="str">
        <f t="shared" si="44"/>
        <v/>
      </c>
    </row>
    <row r="570" spans="1:14" x14ac:dyDescent="0.25">
      <c r="A570" s="35" t="str">
        <f t="shared" si="40"/>
        <v/>
      </c>
      <c r="B570" s="35" t="str">
        <f>IF(BOM!A570="","",BOM!A570)</f>
        <v/>
      </c>
      <c r="C570" s="35" t="str">
        <f>IF(B570="","",BOM!B570)</f>
        <v/>
      </c>
      <c r="D570" s="35" t="str">
        <f>IF(B570="","",IFERROR(INDEX(DM_NL!$B$5:$B$304,MATCH(C570,DM_NL!$A$5:$A$304,0)),""))</f>
        <v/>
      </c>
      <c r="E570" s="35" t="str">
        <f>IF(B570="","",IFERROR(INDEX(DM_NL!$C$5:$C$304,MATCH(C570,DM_NL!$A$5:$A$304,0)),""))</f>
        <v/>
      </c>
      <c r="F570" s="39" t="str">
        <f>IF(B570="","",SUMIFS(Mau15a!$F$11:$F$310,Mau15a!$B$11:$B$310,B570))</f>
        <v/>
      </c>
      <c r="G570" s="39" t="str">
        <f>IF(B570="","",IF(OR(M570="KXDDM",BOM!F570=""),0,BOM!F570))</f>
        <v/>
      </c>
      <c r="H570" s="39" t="str">
        <f t="shared" si="41"/>
        <v/>
      </c>
      <c r="I570" s="39" t="str">
        <f>IF(B570="","",SUMIFS(Mau15a!$H$11:$H$310,Mau15a!$B$11:$B$310,B570)+SUMIFS(Mau15a!$I$11:$I$310,Mau15a!$B$11:$B$310,B570)+SUMIFS(Mau15a!$J$11:$J$310,Mau15a!$B$11:$B$310,B570)-SUMIFS(Mau15a!$G$11:$G$310,Mau15a!$B$11:$B$310,B570))</f>
        <v/>
      </c>
      <c r="J570" s="39" t="str">
        <f t="shared" si="42"/>
        <v/>
      </c>
      <c r="K570" s="39" t="str">
        <f>IF(B570="","",(SUMIFS(Mau15a!$K$11:$K$310,Mau15a!$B$11:$B$310,B570)-SUMIFS(Mau15a!$E$11:$E$310,Mau15a!$B$11:$B$310,B570))*G570)</f>
        <v/>
      </c>
      <c r="L570" s="36" t="str">
        <f t="shared" si="43"/>
        <v/>
      </c>
      <c r="M570" s="36" t="str">
        <f>IF(B570="","",BOM!G570&amp;"")</f>
        <v/>
      </c>
      <c r="N570" s="36" t="str">
        <f t="shared" si="44"/>
        <v/>
      </c>
    </row>
    <row r="571" spans="1:14" x14ac:dyDescent="0.25">
      <c r="A571" s="35" t="str">
        <f t="shared" si="40"/>
        <v/>
      </c>
      <c r="B571" s="35" t="str">
        <f>IF(BOM!A571="","",BOM!A571)</f>
        <v/>
      </c>
      <c r="C571" s="35" t="str">
        <f>IF(B571="","",BOM!B571)</f>
        <v/>
      </c>
      <c r="D571" s="35" t="str">
        <f>IF(B571="","",IFERROR(INDEX(DM_NL!$B$5:$B$304,MATCH(C571,DM_NL!$A$5:$A$304,0)),""))</f>
        <v/>
      </c>
      <c r="E571" s="35" t="str">
        <f>IF(B571="","",IFERROR(INDEX(DM_NL!$C$5:$C$304,MATCH(C571,DM_NL!$A$5:$A$304,0)),""))</f>
        <v/>
      </c>
      <c r="F571" s="39" t="str">
        <f>IF(B571="","",SUMIFS(Mau15a!$F$11:$F$310,Mau15a!$B$11:$B$310,B571))</f>
        <v/>
      </c>
      <c r="G571" s="39" t="str">
        <f>IF(B571="","",IF(OR(M571="KXDDM",BOM!F571=""),0,BOM!F571))</f>
        <v/>
      </c>
      <c r="H571" s="39" t="str">
        <f t="shared" si="41"/>
        <v/>
      </c>
      <c r="I571" s="39" t="str">
        <f>IF(B571="","",SUMIFS(Mau15a!$H$11:$H$310,Mau15a!$B$11:$B$310,B571)+SUMIFS(Mau15a!$I$11:$I$310,Mau15a!$B$11:$B$310,B571)+SUMIFS(Mau15a!$J$11:$J$310,Mau15a!$B$11:$B$310,B571)-SUMIFS(Mau15a!$G$11:$G$310,Mau15a!$B$11:$B$310,B571))</f>
        <v/>
      </c>
      <c r="J571" s="39" t="str">
        <f t="shared" si="42"/>
        <v/>
      </c>
      <c r="K571" s="39" t="str">
        <f>IF(B571="","",(SUMIFS(Mau15a!$K$11:$K$310,Mau15a!$B$11:$B$310,B571)-SUMIFS(Mau15a!$E$11:$E$310,Mau15a!$B$11:$B$310,B571))*G571)</f>
        <v/>
      </c>
      <c r="L571" s="36" t="str">
        <f t="shared" si="43"/>
        <v/>
      </c>
      <c r="M571" s="36" t="str">
        <f>IF(B571="","",BOM!G571&amp;"")</f>
        <v/>
      </c>
      <c r="N571" s="36" t="str">
        <f t="shared" si="44"/>
        <v/>
      </c>
    </row>
    <row r="572" spans="1:14" x14ac:dyDescent="0.25">
      <c r="A572" s="35" t="str">
        <f t="shared" si="40"/>
        <v/>
      </c>
      <c r="B572" s="35" t="str">
        <f>IF(BOM!A572="","",BOM!A572)</f>
        <v/>
      </c>
      <c r="C572" s="35" t="str">
        <f>IF(B572="","",BOM!B572)</f>
        <v/>
      </c>
      <c r="D572" s="35" t="str">
        <f>IF(B572="","",IFERROR(INDEX(DM_NL!$B$5:$B$304,MATCH(C572,DM_NL!$A$5:$A$304,0)),""))</f>
        <v/>
      </c>
      <c r="E572" s="35" t="str">
        <f>IF(B572="","",IFERROR(INDEX(DM_NL!$C$5:$C$304,MATCH(C572,DM_NL!$A$5:$A$304,0)),""))</f>
        <v/>
      </c>
      <c r="F572" s="39" t="str">
        <f>IF(B572="","",SUMIFS(Mau15a!$F$11:$F$310,Mau15a!$B$11:$B$310,B572))</f>
        <v/>
      </c>
      <c r="G572" s="39" t="str">
        <f>IF(B572="","",IF(OR(M572="KXDDM",BOM!F572=""),0,BOM!F572))</f>
        <v/>
      </c>
      <c r="H572" s="39" t="str">
        <f t="shared" si="41"/>
        <v/>
      </c>
      <c r="I572" s="39" t="str">
        <f>IF(B572="","",SUMIFS(Mau15a!$H$11:$H$310,Mau15a!$B$11:$B$310,B572)+SUMIFS(Mau15a!$I$11:$I$310,Mau15a!$B$11:$B$310,B572)+SUMIFS(Mau15a!$J$11:$J$310,Mau15a!$B$11:$B$310,B572)-SUMIFS(Mau15a!$G$11:$G$310,Mau15a!$B$11:$B$310,B572))</f>
        <v/>
      </c>
      <c r="J572" s="39" t="str">
        <f t="shared" si="42"/>
        <v/>
      </c>
      <c r="K572" s="39" t="str">
        <f>IF(B572="","",(SUMIFS(Mau15a!$K$11:$K$310,Mau15a!$B$11:$B$310,B572)-SUMIFS(Mau15a!$E$11:$E$310,Mau15a!$B$11:$B$310,B572))*G572)</f>
        <v/>
      </c>
      <c r="L572" s="36" t="str">
        <f t="shared" si="43"/>
        <v/>
      </c>
      <c r="M572" s="36" t="str">
        <f>IF(B572="","",BOM!G572&amp;"")</f>
        <v/>
      </c>
      <c r="N572" s="36" t="str">
        <f t="shared" si="44"/>
        <v/>
      </c>
    </row>
    <row r="573" spans="1:14" x14ac:dyDescent="0.25">
      <c r="A573" s="35" t="str">
        <f t="shared" si="40"/>
        <v/>
      </c>
      <c r="B573" s="35" t="str">
        <f>IF(BOM!A573="","",BOM!A573)</f>
        <v/>
      </c>
      <c r="C573" s="35" t="str">
        <f>IF(B573="","",BOM!B573)</f>
        <v/>
      </c>
      <c r="D573" s="35" t="str">
        <f>IF(B573="","",IFERROR(INDEX(DM_NL!$B$5:$B$304,MATCH(C573,DM_NL!$A$5:$A$304,0)),""))</f>
        <v/>
      </c>
      <c r="E573" s="35" t="str">
        <f>IF(B573="","",IFERROR(INDEX(DM_NL!$C$5:$C$304,MATCH(C573,DM_NL!$A$5:$A$304,0)),""))</f>
        <v/>
      </c>
      <c r="F573" s="39" t="str">
        <f>IF(B573="","",SUMIFS(Mau15a!$F$11:$F$310,Mau15a!$B$11:$B$310,B573))</f>
        <v/>
      </c>
      <c r="G573" s="39" t="str">
        <f>IF(B573="","",IF(OR(M573="KXDDM",BOM!F573=""),0,BOM!F573))</f>
        <v/>
      </c>
      <c r="H573" s="39" t="str">
        <f t="shared" si="41"/>
        <v/>
      </c>
      <c r="I573" s="39" t="str">
        <f>IF(B573="","",SUMIFS(Mau15a!$H$11:$H$310,Mau15a!$B$11:$B$310,B573)+SUMIFS(Mau15a!$I$11:$I$310,Mau15a!$B$11:$B$310,B573)+SUMIFS(Mau15a!$J$11:$J$310,Mau15a!$B$11:$B$310,B573)-SUMIFS(Mau15a!$G$11:$G$310,Mau15a!$B$11:$B$310,B573))</f>
        <v/>
      </c>
      <c r="J573" s="39" t="str">
        <f t="shared" si="42"/>
        <v/>
      </c>
      <c r="K573" s="39" t="str">
        <f>IF(B573="","",(SUMIFS(Mau15a!$K$11:$K$310,Mau15a!$B$11:$B$310,B573)-SUMIFS(Mau15a!$E$11:$E$310,Mau15a!$B$11:$B$310,B573))*G573)</f>
        <v/>
      </c>
      <c r="L573" s="36" t="str">
        <f t="shared" si="43"/>
        <v/>
      </c>
      <c r="M573" s="36" t="str">
        <f>IF(B573="","",BOM!G573&amp;"")</f>
        <v/>
      </c>
      <c r="N573" s="36" t="str">
        <f t="shared" si="44"/>
        <v/>
      </c>
    </row>
    <row r="574" spans="1:14" x14ac:dyDescent="0.25">
      <c r="A574" s="35" t="str">
        <f t="shared" si="40"/>
        <v/>
      </c>
      <c r="B574" s="35" t="str">
        <f>IF(BOM!A574="","",BOM!A574)</f>
        <v/>
      </c>
      <c r="C574" s="35" t="str">
        <f>IF(B574="","",BOM!B574)</f>
        <v/>
      </c>
      <c r="D574" s="35" t="str">
        <f>IF(B574="","",IFERROR(INDEX(DM_NL!$B$5:$B$304,MATCH(C574,DM_NL!$A$5:$A$304,0)),""))</f>
        <v/>
      </c>
      <c r="E574" s="35" t="str">
        <f>IF(B574="","",IFERROR(INDEX(DM_NL!$C$5:$C$304,MATCH(C574,DM_NL!$A$5:$A$304,0)),""))</f>
        <v/>
      </c>
      <c r="F574" s="39" t="str">
        <f>IF(B574="","",SUMIFS(Mau15a!$F$11:$F$310,Mau15a!$B$11:$B$310,B574))</f>
        <v/>
      </c>
      <c r="G574" s="39" t="str">
        <f>IF(B574="","",IF(OR(M574="KXDDM",BOM!F574=""),0,BOM!F574))</f>
        <v/>
      </c>
      <c r="H574" s="39" t="str">
        <f t="shared" si="41"/>
        <v/>
      </c>
      <c r="I574" s="39" t="str">
        <f>IF(B574="","",SUMIFS(Mau15a!$H$11:$H$310,Mau15a!$B$11:$B$310,B574)+SUMIFS(Mau15a!$I$11:$I$310,Mau15a!$B$11:$B$310,B574)+SUMIFS(Mau15a!$J$11:$J$310,Mau15a!$B$11:$B$310,B574)-SUMIFS(Mau15a!$G$11:$G$310,Mau15a!$B$11:$B$310,B574))</f>
        <v/>
      </c>
      <c r="J574" s="39" t="str">
        <f t="shared" si="42"/>
        <v/>
      </c>
      <c r="K574" s="39" t="str">
        <f>IF(B574="","",(SUMIFS(Mau15a!$K$11:$K$310,Mau15a!$B$11:$B$310,B574)-SUMIFS(Mau15a!$E$11:$E$310,Mau15a!$B$11:$B$310,B574))*G574)</f>
        <v/>
      </c>
      <c r="L574" s="36" t="str">
        <f t="shared" si="43"/>
        <v/>
      </c>
      <c r="M574" s="36" t="str">
        <f>IF(B574="","",BOM!G574&amp;"")</f>
        <v/>
      </c>
      <c r="N574" s="36" t="str">
        <f t="shared" si="44"/>
        <v/>
      </c>
    </row>
    <row r="575" spans="1:14" x14ac:dyDescent="0.25">
      <c r="A575" s="35" t="str">
        <f t="shared" si="40"/>
        <v/>
      </c>
      <c r="B575" s="35" t="str">
        <f>IF(BOM!A575="","",BOM!A575)</f>
        <v/>
      </c>
      <c r="C575" s="35" t="str">
        <f>IF(B575="","",BOM!B575)</f>
        <v/>
      </c>
      <c r="D575" s="35" t="str">
        <f>IF(B575="","",IFERROR(INDEX(DM_NL!$B$5:$B$304,MATCH(C575,DM_NL!$A$5:$A$304,0)),""))</f>
        <v/>
      </c>
      <c r="E575" s="35" t="str">
        <f>IF(B575="","",IFERROR(INDEX(DM_NL!$C$5:$C$304,MATCH(C575,DM_NL!$A$5:$A$304,0)),""))</f>
        <v/>
      </c>
      <c r="F575" s="39" t="str">
        <f>IF(B575="","",SUMIFS(Mau15a!$F$11:$F$310,Mau15a!$B$11:$B$310,B575))</f>
        <v/>
      </c>
      <c r="G575" s="39" t="str">
        <f>IF(B575="","",IF(OR(M575="KXDDM",BOM!F575=""),0,BOM!F575))</f>
        <v/>
      </c>
      <c r="H575" s="39" t="str">
        <f t="shared" si="41"/>
        <v/>
      </c>
      <c r="I575" s="39" t="str">
        <f>IF(B575="","",SUMIFS(Mau15a!$H$11:$H$310,Mau15a!$B$11:$B$310,B575)+SUMIFS(Mau15a!$I$11:$I$310,Mau15a!$B$11:$B$310,B575)+SUMIFS(Mau15a!$J$11:$J$310,Mau15a!$B$11:$B$310,B575)-SUMIFS(Mau15a!$G$11:$G$310,Mau15a!$B$11:$B$310,B575))</f>
        <v/>
      </c>
      <c r="J575" s="39" t="str">
        <f t="shared" si="42"/>
        <v/>
      </c>
      <c r="K575" s="39" t="str">
        <f>IF(B575="","",(SUMIFS(Mau15a!$K$11:$K$310,Mau15a!$B$11:$B$310,B575)-SUMIFS(Mau15a!$E$11:$E$310,Mau15a!$B$11:$B$310,B575))*G575)</f>
        <v/>
      </c>
      <c r="L575" s="36" t="str">
        <f t="shared" si="43"/>
        <v/>
      </c>
      <c r="M575" s="36" t="str">
        <f>IF(B575="","",BOM!G575&amp;"")</f>
        <v/>
      </c>
      <c r="N575" s="36" t="str">
        <f t="shared" si="44"/>
        <v/>
      </c>
    </row>
    <row r="576" spans="1:14" x14ac:dyDescent="0.25">
      <c r="A576" s="35" t="str">
        <f t="shared" si="40"/>
        <v/>
      </c>
      <c r="B576" s="35" t="str">
        <f>IF(BOM!A576="","",BOM!A576)</f>
        <v/>
      </c>
      <c r="C576" s="35" t="str">
        <f>IF(B576="","",BOM!B576)</f>
        <v/>
      </c>
      <c r="D576" s="35" t="str">
        <f>IF(B576="","",IFERROR(INDEX(DM_NL!$B$5:$B$304,MATCH(C576,DM_NL!$A$5:$A$304,0)),""))</f>
        <v/>
      </c>
      <c r="E576" s="35" t="str">
        <f>IF(B576="","",IFERROR(INDEX(DM_NL!$C$5:$C$304,MATCH(C576,DM_NL!$A$5:$A$304,0)),""))</f>
        <v/>
      </c>
      <c r="F576" s="39" t="str">
        <f>IF(B576="","",SUMIFS(Mau15a!$F$11:$F$310,Mau15a!$B$11:$B$310,B576))</f>
        <v/>
      </c>
      <c r="G576" s="39" t="str">
        <f>IF(B576="","",IF(OR(M576="KXDDM",BOM!F576=""),0,BOM!F576))</f>
        <v/>
      </c>
      <c r="H576" s="39" t="str">
        <f t="shared" si="41"/>
        <v/>
      </c>
      <c r="I576" s="39" t="str">
        <f>IF(B576="","",SUMIFS(Mau15a!$H$11:$H$310,Mau15a!$B$11:$B$310,B576)+SUMIFS(Mau15a!$I$11:$I$310,Mau15a!$B$11:$B$310,B576)+SUMIFS(Mau15a!$J$11:$J$310,Mau15a!$B$11:$B$310,B576)-SUMIFS(Mau15a!$G$11:$G$310,Mau15a!$B$11:$B$310,B576))</f>
        <v/>
      </c>
      <c r="J576" s="39" t="str">
        <f t="shared" si="42"/>
        <v/>
      </c>
      <c r="K576" s="39" t="str">
        <f>IF(B576="","",(SUMIFS(Mau15a!$K$11:$K$310,Mau15a!$B$11:$B$310,B576)-SUMIFS(Mau15a!$E$11:$E$310,Mau15a!$B$11:$B$310,B576))*G576)</f>
        <v/>
      </c>
      <c r="L576" s="36" t="str">
        <f t="shared" si="43"/>
        <v/>
      </c>
      <c r="M576" s="36" t="str">
        <f>IF(B576="","",BOM!G576&amp;"")</f>
        <v/>
      </c>
      <c r="N576" s="36" t="str">
        <f t="shared" si="44"/>
        <v/>
      </c>
    </row>
    <row r="577" spans="1:14" x14ac:dyDescent="0.25">
      <c r="A577" s="35" t="str">
        <f t="shared" si="40"/>
        <v/>
      </c>
      <c r="B577" s="35" t="str">
        <f>IF(BOM!A577="","",BOM!A577)</f>
        <v/>
      </c>
      <c r="C577" s="35" t="str">
        <f>IF(B577="","",BOM!B577)</f>
        <v/>
      </c>
      <c r="D577" s="35" t="str">
        <f>IF(B577="","",IFERROR(INDEX(DM_NL!$B$5:$B$304,MATCH(C577,DM_NL!$A$5:$A$304,0)),""))</f>
        <v/>
      </c>
      <c r="E577" s="35" t="str">
        <f>IF(B577="","",IFERROR(INDEX(DM_NL!$C$5:$C$304,MATCH(C577,DM_NL!$A$5:$A$304,0)),""))</f>
        <v/>
      </c>
      <c r="F577" s="39" t="str">
        <f>IF(B577="","",SUMIFS(Mau15a!$F$11:$F$310,Mau15a!$B$11:$B$310,B577))</f>
        <v/>
      </c>
      <c r="G577" s="39" t="str">
        <f>IF(B577="","",IF(OR(M577="KXDDM",BOM!F577=""),0,BOM!F577))</f>
        <v/>
      </c>
      <c r="H577" s="39" t="str">
        <f t="shared" si="41"/>
        <v/>
      </c>
      <c r="I577" s="39" t="str">
        <f>IF(B577="","",SUMIFS(Mau15a!$H$11:$H$310,Mau15a!$B$11:$B$310,B577)+SUMIFS(Mau15a!$I$11:$I$310,Mau15a!$B$11:$B$310,B577)+SUMIFS(Mau15a!$J$11:$J$310,Mau15a!$B$11:$B$310,B577)-SUMIFS(Mau15a!$G$11:$G$310,Mau15a!$B$11:$B$310,B577))</f>
        <v/>
      </c>
      <c r="J577" s="39" t="str">
        <f t="shared" si="42"/>
        <v/>
      </c>
      <c r="K577" s="39" t="str">
        <f>IF(B577="","",(SUMIFS(Mau15a!$K$11:$K$310,Mau15a!$B$11:$B$310,B577)-SUMIFS(Mau15a!$E$11:$E$310,Mau15a!$B$11:$B$310,B577))*G577)</f>
        <v/>
      </c>
      <c r="L577" s="36" t="str">
        <f t="shared" si="43"/>
        <v/>
      </c>
      <c r="M577" s="36" t="str">
        <f>IF(B577="","",BOM!G577&amp;"")</f>
        <v/>
      </c>
      <c r="N577" s="36" t="str">
        <f t="shared" si="44"/>
        <v/>
      </c>
    </row>
    <row r="578" spans="1:14" x14ac:dyDescent="0.25">
      <c r="A578" s="35" t="str">
        <f t="shared" si="40"/>
        <v/>
      </c>
      <c r="B578" s="35" t="str">
        <f>IF(BOM!A578="","",BOM!A578)</f>
        <v/>
      </c>
      <c r="C578" s="35" t="str">
        <f>IF(B578="","",BOM!B578)</f>
        <v/>
      </c>
      <c r="D578" s="35" t="str">
        <f>IF(B578="","",IFERROR(INDEX(DM_NL!$B$5:$B$304,MATCH(C578,DM_NL!$A$5:$A$304,0)),""))</f>
        <v/>
      </c>
      <c r="E578" s="35" t="str">
        <f>IF(B578="","",IFERROR(INDEX(DM_NL!$C$5:$C$304,MATCH(C578,DM_NL!$A$5:$A$304,0)),""))</f>
        <v/>
      </c>
      <c r="F578" s="39" t="str">
        <f>IF(B578="","",SUMIFS(Mau15a!$F$11:$F$310,Mau15a!$B$11:$B$310,B578))</f>
        <v/>
      </c>
      <c r="G578" s="39" t="str">
        <f>IF(B578="","",IF(OR(M578="KXDDM",BOM!F578=""),0,BOM!F578))</f>
        <v/>
      </c>
      <c r="H578" s="39" t="str">
        <f t="shared" si="41"/>
        <v/>
      </c>
      <c r="I578" s="39" t="str">
        <f>IF(B578="","",SUMIFS(Mau15a!$H$11:$H$310,Mau15a!$B$11:$B$310,B578)+SUMIFS(Mau15a!$I$11:$I$310,Mau15a!$B$11:$B$310,B578)+SUMIFS(Mau15a!$J$11:$J$310,Mau15a!$B$11:$B$310,B578)-SUMIFS(Mau15a!$G$11:$G$310,Mau15a!$B$11:$B$310,B578))</f>
        <v/>
      </c>
      <c r="J578" s="39" t="str">
        <f t="shared" si="42"/>
        <v/>
      </c>
      <c r="K578" s="39" t="str">
        <f>IF(B578="","",(SUMIFS(Mau15a!$K$11:$K$310,Mau15a!$B$11:$B$310,B578)-SUMIFS(Mau15a!$E$11:$E$310,Mau15a!$B$11:$B$310,B578))*G578)</f>
        <v/>
      </c>
      <c r="L578" s="36" t="str">
        <f t="shared" si="43"/>
        <v/>
      </c>
      <c r="M578" s="36" t="str">
        <f>IF(B578="","",BOM!G578&amp;"")</f>
        <v/>
      </c>
      <c r="N578" s="36" t="str">
        <f t="shared" si="44"/>
        <v/>
      </c>
    </row>
    <row r="579" spans="1:14" x14ac:dyDescent="0.25">
      <c r="A579" s="35" t="str">
        <f t="shared" si="40"/>
        <v/>
      </c>
      <c r="B579" s="35" t="str">
        <f>IF(BOM!A579="","",BOM!A579)</f>
        <v/>
      </c>
      <c r="C579" s="35" t="str">
        <f>IF(B579="","",BOM!B579)</f>
        <v/>
      </c>
      <c r="D579" s="35" t="str">
        <f>IF(B579="","",IFERROR(INDEX(DM_NL!$B$5:$B$304,MATCH(C579,DM_NL!$A$5:$A$304,0)),""))</f>
        <v/>
      </c>
      <c r="E579" s="35" t="str">
        <f>IF(B579="","",IFERROR(INDEX(DM_NL!$C$5:$C$304,MATCH(C579,DM_NL!$A$5:$A$304,0)),""))</f>
        <v/>
      </c>
      <c r="F579" s="39" t="str">
        <f>IF(B579="","",SUMIFS(Mau15a!$F$11:$F$310,Mau15a!$B$11:$B$310,B579))</f>
        <v/>
      </c>
      <c r="G579" s="39" t="str">
        <f>IF(B579="","",IF(OR(M579="KXDDM",BOM!F579=""),0,BOM!F579))</f>
        <v/>
      </c>
      <c r="H579" s="39" t="str">
        <f t="shared" si="41"/>
        <v/>
      </c>
      <c r="I579" s="39" t="str">
        <f>IF(B579="","",SUMIFS(Mau15a!$H$11:$H$310,Mau15a!$B$11:$B$310,B579)+SUMIFS(Mau15a!$I$11:$I$310,Mau15a!$B$11:$B$310,B579)+SUMIFS(Mau15a!$J$11:$J$310,Mau15a!$B$11:$B$310,B579)-SUMIFS(Mau15a!$G$11:$G$310,Mau15a!$B$11:$B$310,B579))</f>
        <v/>
      </c>
      <c r="J579" s="39" t="str">
        <f t="shared" si="42"/>
        <v/>
      </c>
      <c r="K579" s="39" t="str">
        <f>IF(B579="","",(SUMIFS(Mau15a!$K$11:$K$310,Mau15a!$B$11:$B$310,B579)-SUMIFS(Mau15a!$E$11:$E$310,Mau15a!$B$11:$B$310,B579))*G579)</f>
        <v/>
      </c>
      <c r="L579" s="36" t="str">
        <f t="shared" si="43"/>
        <v/>
      </c>
      <c r="M579" s="36" t="str">
        <f>IF(B579="","",BOM!G579&amp;"")</f>
        <v/>
      </c>
      <c r="N579" s="36" t="str">
        <f t="shared" si="44"/>
        <v/>
      </c>
    </row>
    <row r="580" spans="1:14" x14ac:dyDescent="0.25">
      <c r="A580" s="35" t="str">
        <f t="shared" si="40"/>
        <v/>
      </c>
      <c r="B580" s="35" t="str">
        <f>IF(BOM!A580="","",BOM!A580)</f>
        <v/>
      </c>
      <c r="C580" s="35" t="str">
        <f>IF(B580="","",BOM!B580)</f>
        <v/>
      </c>
      <c r="D580" s="35" t="str">
        <f>IF(B580="","",IFERROR(INDEX(DM_NL!$B$5:$B$304,MATCH(C580,DM_NL!$A$5:$A$304,0)),""))</f>
        <v/>
      </c>
      <c r="E580" s="35" t="str">
        <f>IF(B580="","",IFERROR(INDEX(DM_NL!$C$5:$C$304,MATCH(C580,DM_NL!$A$5:$A$304,0)),""))</f>
        <v/>
      </c>
      <c r="F580" s="39" t="str">
        <f>IF(B580="","",SUMIFS(Mau15a!$F$11:$F$310,Mau15a!$B$11:$B$310,B580))</f>
        <v/>
      </c>
      <c r="G580" s="39" t="str">
        <f>IF(B580="","",IF(OR(M580="KXDDM",BOM!F580=""),0,BOM!F580))</f>
        <v/>
      </c>
      <c r="H580" s="39" t="str">
        <f t="shared" si="41"/>
        <v/>
      </c>
      <c r="I580" s="39" t="str">
        <f>IF(B580="","",SUMIFS(Mau15a!$H$11:$H$310,Mau15a!$B$11:$B$310,B580)+SUMIFS(Mau15a!$I$11:$I$310,Mau15a!$B$11:$B$310,B580)+SUMIFS(Mau15a!$J$11:$J$310,Mau15a!$B$11:$B$310,B580)-SUMIFS(Mau15a!$G$11:$G$310,Mau15a!$B$11:$B$310,B580))</f>
        <v/>
      </c>
      <c r="J580" s="39" t="str">
        <f t="shared" si="42"/>
        <v/>
      </c>
      <c r="K580" s="39" t="str">
        <f>IF(B580="","",(SUMIFS(Mau15a!$K$11:$K$310,Mau15a!$B$11:$B$310,B580)-SUMIFS(Mau15a!$E$11:$E$310,Mau15a!$B$11:$B$310,B580))*G580)</f>
        <v/>
      </c>
      <c r="L580" s="36" t="str">
        <f t="shared" si="43"/>
        <v/>
      </c>
      <c r="M580" s="36" t="str">
        <f>IF(B580="","",BOM!G580&amp;"")</f>
        <v/>
      </c>
      <c r="N580" s="36" t="str">
        <f t="shared" si="44"/>
        <v/>
      </c>
    </row>
    <row r="581" spans="1:14" x14ac:dyDescent="0.25">
      <c r="A581" s="35" t="str">
        <f t="shared" ref="A581:A644" si="45">IF(B581="","",ROW()-4)</f>
        <v/>
      </c>
      <c r="B581" s="35" t="str">
        <f>IF(BOM!A581="","",BOM!A581)</f>
        <v/>
      </c>
      <c r="C581" s="35" t="str">
        <f>IF(B581="","",BOM!B581)</f>
        <v/>
      </c>
      <c r="D581" s="35" t="str">
        <f>IF(B581="","",IFERROR(INDEX(DM_NL!$B$5:$B$304,MATCH(C581,DM_NL!$A$5:$A$304,0)),""))</f>
        <v/>
      </c>
      <c r="E581" s="35" t="str">
        <f>IF(B581="","",IFERROR(INDEX(DM_NL!$C$5:$C$304,MATCH(C581,DM_NL!$A$5:$A$304,0)),""))</f>
        <v/>
      </c>
      <c r="F581" s="39" t="str">
        <f>IF(B581="","",SUMIFS(Mau15a!$F$11:$F$310,Mau15a!$B$11:$B$310,B581))</f>
        <v/>
      </c>
      <c r="G581" s="39" t="str">
        <f>IF(B581="","",IF(OR(M581="KXDDM",BOM!F581=""),0,BOM!F581))</f>
        <v/>
      </c>
      <c r="H581" s="39" t="str">
        <f t="shared" ref="H581:H644" si="46">IF(B581="","",F581*G581)</f>
        <v/>
      </c>
      <c r="I581" s="39" t="str">
        <f>IF(B581="","",SUMIFS(Mau15a!$H$11:$H$310,Mau15a!$B$11:$B$310,B581)+SUMIFS(Mau15a!$I$11:$I$310,Mau15a!$B$11:$B$310,B581)+SUMIFS(Mau15a!$J$11:$J$310,Mau15a!$B$11:$B$310,B581)-SUMIFS(Mau15a!$G$11:$G$310,Mau15a!$B$11:$B$310,B581))</f>
        <v/>
      </c>
      <c r="J581" s="39" t="str">
        <f t="shared" ref="J581:J644" si="47">IF(B581="","",I581*G581)</f>
        <v/>
      </c>
      <c r="K581" s="39" t="str">
        <f>IF(B581="","",(SUMIFS(Mau15a!$K$11:$K$310,Mau15a!$B$11:$B$310,B581)-SUMIFS(Mau15a!$E$11:$E$310,Mau15a!$B$11:$B$310,B581))*G581)</f>
        <v/>
      </c>
      <c r="L581" s="36" t="str">
        <f t="shared" ref="L581:L644" si="48">IF(B581="","",IF(ABS(H581-J581-K581)&lt;0.000001,"Khớp","Lệch"))</f>
        <v/>
      </c>
      <c r="M581" s="36" t="str">
        <f>IF(B581="","",BOM!G581&amp;"")</f>
        <v/>
      </c>
      <c r="N581" s="36" t="str">
        <f t="shared" ref="N581:N644" si="49">IF(B581="","",IF(M581="",1,0))</f>
        <v/>
      </c>
    </row>
    <row r="582" spans="1:14" x14ac:dyDescent="0.25">
      <c r="A582" s="35" t="str">
        <f t="shared" si="45"/>
        <v/>
      </c>
      <c r="B582" s="35" t="str">
        <f>IF(BOM!A582="","",BOM!A582)</f>
        <v/>
      </c>
      <c r="C582" s="35" t="str">
        <f>IF(B582="","",BOM!B582)</f>
        <v/>
      </c>
      <c r="D582" s="35" t="str">
        <f>IF(B582="","",IFERROR(INDEX(DM_NL!$B$5:$B$304,MATCH(C582,DM_NL!$A$5:$A$304,0)),""))</f>
        <v/>
      </c>
      <c r="E582" s="35" t="str">
        <f>IF(B582="","",IFERROR(INDEX(DM_NL!$C$5:$C$304,MATCH(C582,DM_NL!$A$5:$A$304,0)),""))</f>
        <v/>
      </c>
      <c r="F582" s="39" t="str">
        <f>IF(B582="","",SUMIFS(Mau15a!$F$11:$F$310,Mau15a!$B$11:$B$310,B582))</f>
        <v/>
      </c>
      <c r="G582" s="39" t="str">
        <f>IF(B582="","",IF(OR(M582="KXDDM",BOM!F582=""),0,BOM!F582))</f>
        <v/>
      </c>
      <c r="H582" s="39" t="str">
        <f t="shared" si="46"/>
        <v/>
      </c>
      <c r="I582" s="39" t="str">
        <f>IF(B582="","",SUMIFS(Mau15a!$H$11:$H$310,Mau15a!$B$11:$B$310,B582)+SUMIFS(Mau15a!$I$11:$I$310,Mau15a!$B$11:$B$310,B582)+SUMIFS(Mau15a!$J$11:$J$310,Mau15a!$B$11:$B$310,B582)-SUMIFS(Mau15a!$G$11:$G$310,Mau15a!$B$11:$B$310,B582))</f>
        <v/>
      </c>
      <c r="J582" s="39" t="str">
        <f t="shared" si="47"/>
        <v/>
      </c>
      <c r="K582" s="39" t="str">
        <f>IF(B582="","",(SUMIFS(Mau15a!$K$11:$K$310,Mau15a!$B$11:$B$310,B582)-SUMIFS(Mau15a!$E$11:$E$310,Mau15a!$B$11:$B$310,B582))*G582)</f>
        <v/>
      </c>
      <c r="L582" s="36" t="str">
        <f t="shared" si="48"/>
        <v/>
      </c>
      <c r="M582" s="36" t="str">
        <f>IF(B582="","",BOM!G582&amp;"")</f>
        <v/>
      </c>
      <c r="N582" s="36" t="str">
        <f t="shared" si="49"/>
        <v/>
      </c>
    </row>
    <row r="583" spans="1:14" x14ac:dyDescent="0.25">
      <c r="A583" s="35" t="str">
        <f t="shared" si="45"/>
        <v/>
      </c>
      <c r="B583" s="35" t="str">
        <f>IF(BOM!A583="","",BOM!A583)</f>
        <v/>
      </c>
      <c r="C583" s="35" t="str">
        <f>IF(B583="","",BOM!B583)</f>
        <v/>
      </c>
      <c r="D583" s="35" t="str">
        <f>IF(B583="","",IFERROR(INDEX(DM_NL!$B$5:$B$304,MATCH(C583,DM_NL!$A$5:$A$304,0)),""))</f>
        <v/>
      </c>
      <c r="E583" s="35" t="str">
        <f>IF(B583="","",IFERROR(INDEX(DM_NL!$C$5:$C$304,MATCH(C583,DM_NL!$A$5:$A$304,0)),""))</f>
        <v/>
      </c>
      <c r="F583" s="39" t="str">
        <f>IF(B583="","",SUMIFS(Mau15a!$F$11:$F$310,Mau15a!$B$11:$B$310,B583))</f>
        <v/>
      </c>
      <c r="G583" s="39" t="str">
        <f>IF(B583="","",IF(OR(M583="KXDDM",BOM!F583=""),0,BOM!F583))</f>
        <v/>
      </c>
      <c r="H583" s="39" t="str">
        <f t="shared" si="46"/>
        <v/>
      </c>
      <c r="I583" s="39" t="str">
        <f>IF(B583="","",SUMIFS(Mau15a!$H$11:$H$310,Mau15a!$B$11:$B$310,B583)+SUMIFS(Mau15a!$I$11:$I$310,Mau15a!$B$11:$B$310,B583)+SUMIFS(Mau15a!$J$11:$J$310,Mau15a!$B$11:$B$310,B583)-SUMIFS(Mau15a!$G$11:$G$310,Mau15a!$B$11:$B$310,B583))</f>
        <v/>
      </c>
      <c r="J583" s="39" t="str">
        <f t="shared" si="47"/>
        <v/>
      </c>
      <c r="K583" s="39" t="str">
        <f>IF(B583="","",(SUMIFS(Mau15a!$K$11:$K$310,Mau15a!$B$11:$B$310,B583)-SUMIFS(Mau15a!$E$11:$E$310,Mau15a!$B$11:$B$310,B583))*G583)</f>
        <v/>
      </c>
      <c r="L583" s="36" t="str">
        <f t="shared" si="48"/>
        <v/>
      </c>
      <c r="M583" s="36" t="str">
        <f>IF(B583="","",BOM!G583&amp;"")</f>
        <v/>
      </c>
      <c r="N583" s="36" t="str">
        <f t="shared" si="49"/>
        <v/>
      </c>
    </row>
    <row r="584" spans="1:14" x14ac:dyDescent="0.25">
      <c r="A584" s="35" t="str">
        <f t="shared" si="45"/>
        <v/>
      </c>
      <c r="B584" s="35" t="str">
        <f>IF(BOM!A584="","",BOM!A584)</f>
        <v/>
      </c>
      <c r="C584" s="35" t="str">
        <f>IF(B584="","",BOM!B584)</f>
        <v/>
      </c>
      <c r="D584" s="35" t="str">
        <f>IF(B584="","",IFERROR(INDEX(DM_NL!$B$5:$B$304,MATCH(C584,DM_NL!$A$5:$A$304,0)),""))</f>
        <v/>
      </c>
      <c r="E584" s="35" t="str">
        <f>IF(B584="","",IFERROR(INDEX(DM_NL!$C$5:$C$304,MATCH(C584,DM_NL!$A$5:$A$304,0)),""))</f>
        <v/>
      </c>
      <c r="F584" s="39" t="str">
        <f>IF(B584="","",SUMIFS(Mau15a!$F$11:$F$310,Mau15a!$B$11:$B$310,B584))</f>
        <v/>
      </c>
      <c r="G584" s="39" t="str">
        <f>IF(B584="","",IF(OR(M584="KXDDM",BOM!F584=""),0,BOM!F584))</f>
        <v/>
      </c>
      <c r="H584" s="39" t="str">
        <f t="shared" si="46"/>
        <v/>
      </c>
      <c r="I584" s="39" t="str">
        <f>IF(B584="","",SUMIFS(Mau15a!$H$11:$H$310,Mau15a!$B$11:$B$310,B584)+SUMIFS(Mau15a!$I$11:$I$310,Mau15a!$B$11:$B$310,B584)+SUMIFS(Mau15a!$J$11:$J$310,Mau15a!$B$11:$B$310,B584)-SUMIFS(Mau15a!$G$11:$G$310,Mau15a!$B$11:$B$310,B584))</f>
        <v/>
      </c>
      <c r="J584" s="39" t="str">
        <f t="shared" si="47"/>
        <v/>
      </c>
      <c r="K584" s="39" t="str">
        <f>IF(B584="","",(SUMIFS(Mau15a!$K$11:$K$310,Mau15a!$B$11:$B$310,B584)-SUMIFS(Mau15a!$E$11:$E$310,Mau15a!$B$11:$B$310,B584))*G584)</f>
        <v/>
      </c>
      <c r="L584" s="36" t="str">
        <f t="shared" si="48"/>
        <v/>
      </c>
      <c r="M584" s="36" t="str">
        <f>IF(B584="","",BOM!G584&amp;"")</f>
        <v/>
      </c>
      <c r="N584" s="36" t="str">
        <f t="shared" si="49"/>
        <v/>
      </c>
    </row>
    <row r="585" spans="1:14" x14ac:dyDescent="0.25">
      <c r="A585" s="35" t="str">
        <f t="shared" si="45"/>
        <v/>
      </c>
      <c r="B585" s="35" t="str">
        <f>IF(BOM!A585="","",BOM!A585)</f>
        <v/>
      </c>
      <c r="C585" s="35" t="str">
        <f>IF(B585="","",BOM!B585)</f>
        <v/>
      </c>
      <c r="D585" s="35" t="str">
        <f>IF(B585="","",IFERROR(INDEX(DM_NL!$B$5:$B$304,MATCH(C585,DM_NL!$A$5:$A$304,0)),""))</f>
        <v/>
      </c>
      <c r="E585" s="35" t="str">
        <f>IF(B585="","",IFERROR(INDEX(DM_NL!$C$5:$C$304,MATCH(C585,DM_NL!$A$5:$A$304,0)),""))</f>
        <v/>
      </c>
      <c r="F585" s="39" t="str">
        <f>IF(B585="","",SUMIFS(Mau15a!$F$11:$F$310,Mau15a!$B$11:$B$310,B585))</f>
        <v/>
      </c>
      <c r="G585" s="39" t="str">
        <f>IF(B585="","",IF(OR(M585="KXDDM",BOM!F585=""),0,BOM!F585))</f>
        <v/>
      </c>
      <c r="H585" s="39" t="str">
        <f t="shared" si="46"/>
        <v/>
      </c>
      <c r="I585" s="39" t="str">
        <f>IF(B585="","",SUMIFS(Mau15a!$H$11:$H$310,Mau15a!$B$11:$B$310,B585)+SUMIFS(Mau15a!$I$11:$I$310,Mau15a!$B$11:$B$310,B585)+SUMIFS(Mau15a!$J$11:$J$310,Mau15a!$B$11:$B$310,B585)-SUMIFS(Mau15a!$G$11:$G$310,Mau15a!$B$11:$B$310,B585))</f>
        <v/>
      </c>
      <c r="J585" s="39" t="str">
        <f t="shared" si="47"/>
        <v/>
      </c>
      <c r="K585" s="39" t="str">
        <f>IF(B585="","",(SUMIFS(Mau15a!$K$11:$K$310,Mau15a!$B$11:$B$310,B585)-SUMIFS(Mau15a!$E$11:$E$310,Mau15a!$B$11:$B$310,B585))*G585)</f>
        <v/>
      </c>
      <c r="L585" s="36" t="str">
        <f t="shared" si="48"/>
        <v/>
      </c>
      <c r="M585" s="36" t="str">
        <f>IF(B585="","",BOM!G585&amp;"")</f>
        <v/>
      </c>
      <c r="N585" s="36" t="str">
        <f t="shared" si="49"/>
        <v/>
      </c>
    </row>
    <row r="586" spans="1:14" x14ac:dyDescent="0.25">
      <c r="A586" s="35" t="str">
        <f t="shared" si="45"/>
        <v/>
      </c>
      <c r="B586" s="35" t="str">
        <f>IF(BOM!A586="","",BOM!A586)</f>
        <v/>
      </c>
      <c r="C586" s="35" t="str">
        <f>IF(B586="","",BOM!B586)</f>
        <v/>
      </c>
      <c r="D586" s="35" t="str">
        <f>IF(B586="","",IFERROR(INDEX(DM_NL!$B$5:$B$304,MATCH(C586,DM_NL!$A$5:$A$304,0)),""))</f>
        <v/>
      </c>
      <c r="E586" s="35" t="str">
        <f>IF(B586="","",IFERROR(INDEX(DM_NL!$C$5:$C$304,MATCH(C586,DM_NL!$A$5:$A$304,0)),""))</f>
        <v/>
      </c>
      <c r="F586" s="39" t="str">
        <f>IF(B586="","",SUMIFS(Mau15a!$F$11:$F$310,Mau15a!$B$11:$B$310,B586))</f>
        <v/>
      </c>
      <c r="G586" s="39" t="str">
        <f>IF(B586="","",IF(OR(M586="KXDDM",BOM!F586=""),0,BOM!F586))</f>
        <v/>
      </c>
      <c r="H586" s="39" t="str">
        <f t="shared" si="46"/>
        <v/>
      </c>
      <c r="I586" s="39" t="str">
        <f>IF(B586="","",SUMIFS(Mau15a!$H$11:$H$310,Mau15a!$B$11:$B$310,B586)+SUMIFS(Mau15a!$I$11:$I$310,Mau15a!$B$11:$B$310,B586)+SUMIFS(Mau15a!$J$11:$J$310,Mau15a!$B$11:$B$310,B586)-SUMIFS(Mau15a!$G$11:$G$310,Mau15a!$B$11:$B$310,B586))</f>
        <v/>
      </c>
      <c r="J586" s="39" t="str">
        <f t="shared" si="47"/>
        <v/>
      </c>
      <c r="K586" s="39" t="str">
        <f>IF(B586="","",(SUMIFS(Mau15a!$K$11:$K$310,Mau15a!$B$11:$B$310,B586)-SUMIFS(Mau15a!$E$11:$E$310,Mau15a!$B$11:$B$310,B586))*G586)</f>
        <v/>
      </c>
      <c r="L586" s="36" t="str">
        <f t="shared" si="48"/>
        <v/>
      </c>
      <c r="M586" s="36" t="str">
        <f>IF(B586="","",BOM!G586&amp;"")</f>
        <v/>
      </c>
      <c r="N586" s="36" t="str">
        <f t="shared" si="49"/>
        <v/>
      </c>
    </row>
    <row r="587" spans="1:14" x14ac:dyDescent="0.25">
      <c r="A587" s="35" t="str">
        <f t="shared" si="45"/>
        <v/>
      </c>
      <c r="B587" s="35" t="str">
        <f>IF(BOM!A587="","",BOM!A587)</f>
        <v/>
      </c>
      <c r="C587" s="35" t="str">
        <f>IF(B587="","",BOM!B587)</f>
        <v/>
      </c>
      <c r="D587" s="35" t="str">
        <f>IF(B587="","",IFERROR(INDEX(DM_NL!$B$5:$B$304,MATCH(C587,DM_NL!$A$5:$A$304,0)),""))</f>
        <v/>
      </c>
      <c r="E587" s="35" t="str">
        <f>IF(B587="","",IFERROR(INDEX(DM_NL!$C$5:$C$304,MATCH(C587,DM_NL!$A$5:$A$304,0)),""))</f>
        <v/>
      </c>
      <c r="F587" s="39" t="str">
        <f>IF(B587="","",SUMIFS(Mau15a!$F$11:$F$310,Mau15a!$B$11:$B$310,B587))</f>
        <v/>
      </c>
      <c r="G587" s="39" t="str">
        <f>IF(B587="","",IF(OR(M587="KXDDM",BOM!F587=""),0,BOM!F587))</f>
        <v/>
      </c>
      <c r="H587" s="39" t="str">
        <f t="shared" si="46"/>
        <v/>
      </c>
      <c r="I587" s="39" t="str">
        <f>IF(B587="","",SUMIFS(Mau15a!$H$11:$H$310,Mau15a!$B$11:$B$310,B587)+SUMIFS(Mau15a!$I$11:$I$310,Mau15a!$B$11:$B$310,B587)+SUMIFS(Mau15a!$J$11:$J$310,Mau15a!$B$11:$B$310,B587)-SUMIFS(Mau15a!$G$11:$G$310,Mau15a!$B$11:$B$310,B587))</f>
        <v/>
      </c>
      <c r="J587" s="39" t="str">
        <f t="shared" si="47"/>
        <v/>
      </c>
      <c r="K587" s="39" t="str">
        <f>IF(B587="","",(SUMIFS(Mau15a!$K$11:$K$310,Mau15a!$B$11:$B$310,B587)-SUMIFS(Mau15a!$E$11:$E$310,Mau15a!$B$11:$B$310,B587))*G587)</f>
        <v/>
      </c>
      <c r="L587" s="36" t="str">
        <f t="shared" si="48"/>
        <v/>
      </c>
      <c r="M587" s="36" t="str">
        <f>IF(B587="","",BOM!G587&amp;"")</f>
        <v/>
      </c>
      <c r="N587" s="36" t="str">
        <f t="shared" si="49"/>
        <v/>
      </c>
    </row>
    <row r="588" spans="1:14" x14ac:dyDescent="0.25">
      <c r="A588" s="35" t="str">
        <f t="shared" si="45"/>
        <v/>
      </c>
      <c r="B588" s="35" t="str">
        <f>IF(BOM!A588="","",BOM!A588)</f>
        <v/>
      </c>
      <c r="C588" s="35" t="str">
        <f>IF(B588="","",BOM!B588)</f>
        <v/>
      </c>
      <c r="D588" s="35" t="str">
        <f>IF(B588="","",IFERROR(INDEX(DM_NL!$B$5:$B$304,MATCH(C588,DM_NL!$A$5:$A$304,0)),""))</f>
        <v/>
      </c>
      <c r="E588" s="35" t="str">
        <f>IF(B588="","",IFERROR(INDEX(DM_NL!$C$5:$C$304,MATCH(C588,DM_NL!$A$5:$A$304,0)),""))</f>
        <v/>
      </c>
      <c r="F588" s="39" t="str">
        <f>IF(B588="","",SUMIFS(Mau15a!$F$11:$F$310,Mau15a!$B$11:$B$310,B588))</f>
        <v/>
      </c>
      <c r="G588" s="39" t="str">
        <f>IF(B588="","",IF(OR(M588="KXDDM",BOM!F588=""),0,BOM!F588))</f>
        <v/>
      </c>
      <c r="H588" s="39" t="str">
        <f t="shared" si="46"/>
        <v/>
      </c>
      <c r="I588" s="39" t="str">
        <f>IF(B588="","",SUMIFS(Mau15a!$H$11:$H$310,Mau15a!$B$11:$B$310,B588)+SUMIFS(Mau15a!$I$11:$I$310,Mau15a!$B$11:$B$310,B588)+SUMIFS(Mau15a!$J$11:$J$310,Mau15a!$B$11:$B$310,B588)-SUMIFS(Mau15a!$G$11:$G$310,Mau15a!$B$11:$B$310,B588))</f>
        <v/>
      </c>
      <c r="J588" s="39" t="str">
        <f t="shared" si="47"/>
        <v/>
      </c>
      <c r="K588" s="39" t="str">
        <f>IF(B588="","",(SUMIFS(Mau15a!$K$11:$K$310,Mau15a!$B$11:$B$310,B588)-SUMIFS(Mau15a!$E$11:$E$310,Mau15a!$B$11:$B$310,B588))*G588)</f>
        <v/>
      </c>
      <c r="L588" s="36" t="str">
        <f t="shared" si="48"/>
        <v/>
      </c>
      <c r="M588" s="36" t="str">
        <f>IF(B588="","",BOM!G588&amp;"")</f>
        <v/>
      </c>
      <c r="N588" s="36" t="str">
        <f t="shared" si="49"/>
        <v/>
      </c>
    </row>
    <row r="589" spans="1:14" x14ac:dyDescent="0.25">
      <c r="A589" s="35" t="str">
        <f t="shared" si="45"/>
        <v/>
      </c>
      <c r="B589" s="35" t="str">
        <f>IF(BOM!A589="","",BOM!A589)</f>
        <v/>
      </c>
      <c r="C589" s="35" t="str">
        <f>IF(B589="","",BOM!B589)</f>
        <v/>
      </c>
      <c r="D589" s="35" t="str">
        <f>IF(B589="","",IFERROR(INDEX(DM_NL!$B$5:$B$304,MATCH(C589,DM_NL!$A$5:$A$304,0)),""))</f>
        <v/>
      </c>
      <c r="E589" s="35" t="str">
        <f>IF(B589="","",IFERROR(INDEX(DM_NL!$C$5:$C$304,MATCH(C589,DM_NL!$A$5:$A$304,0)),""))</f>
        <v/>
      </c>
      <c r="F589" s="39" t="str">
        <f>IF(B589="","",SUMIFS(Mau15a!$F$11:$F$310,Mau15a!$B$11:$B$310,B589))</f>
        <v/>
      </c>
      <c r="G589" s="39" t="str">
        <f>IF(B589="","",IF(OR(M589="KXDDM",BOM!F589=""),0,BOM!F589))</f>
        <v/>
      </c>
      <c r="H589" s="39" t="str">
        <f t="shared" si="46"/>
        <v/>
      </c>
      <c r="I589" s="39" t="str">
        <f>IF(B589="","",SUMIFS(Mau15a!$H$11:$H$310,Mau15a!$B$11:$B$310,B589)+SUMIFS(Mau15a!$I$11:$I$310,Mau15a!$B$11:$B$310,B589)+SUMIFS(Mau15a!$J$11:$J$310,Mau15a!$B$11:$B$310,B589)-SUMIFS(Mau15a!$G$11:$G$310,Mau15a!$B$11:$B$310,B589))</f>
        <v/>
      </c>
      <c r="J589" s="39" t="str">
        <f t="shared" si="47"/>
        <v/>
      </c>
      <c r="K589" s="39" t="str">
        <f>IF(B589="","",(SUMIFS(Mau15a!$K$11:$K$310,Mau15a!$B$11:$B$310,B589)-SUMIFS(Mau15a!$E$11:$E$310,Mau15a!$B$11:$B$310,B589))*G589)</f>
        <v/>
      </c>
      <c r="L589" s="36" t="str">
        <f t="shared" si="48"/>
        <v/>
      </c>
      <c r="M589" s="36" t="str">
        <f>IF(B589="","",BOM!G589&amp;"")</f>
        <v/>
      </c>
      <c r="N589" s="36" t="str">
        <f t="shared" si="49"/>
        <v/>
      </c>
    </row>
    <row r="590" spans="1:14" x14ac:dyDescent="0.25">
      <c r="A590" s="35" t="str">
        <f t="shared" si="45"/>
        <v/>
      </c>
      <c r="B590" s="35" t="str">
        <f>IF(BOM!A590="","",BOM!A590)</f>
        <v/>
      </c>
      <c r="C590" s="35" t="str">
        <f>IF(B590="","",BOM!B590)</f>
        <v/>
      </c>
      <c r="D590" s="35" t="str">
        <f>IF(B590="","",IFERROR(INDEX(DM_NL!$B$5:$B$304,MATCH(C590,DM_NL!$A$5:$A$304,0)),""))</f>
        <v/>
      </c>
      <c r="E590" s="35" t="str">
        <f>IF(B590="","",IFERROR(INDEX(DM_NL!$C$5:$C$304,MATCH(C590,DM_NL!$A$5:$A$304,0)),""))</f>
        <v/>
      </c>
      <c r="F590" s="39" t="str">
        <f>IF(B590="","",SUMIFS(Mau15a!$F$11:$F$310,Mau15a!$B$11:$B$310,B590))</f>
        <v/>
      </c>
      <c r="G590" s="39" t="str">
        <f>IF(B590="","",IF(OR(M590="KXDDM",BOM!F590=""),0,BOM!F590))</f>
        <v/>
      </c>
      <c r="H590" s="39" t="str">
        <f t="shared" si="46"/>
        <v/>
      </c>
      <c r="I590" s="39" t="str">
        <f>IF(B590="","",SUMIFS(Mau15a!$H$11:$H$310,Mau15a!$B$11:$B$310,B590)+SUMIFS(Mau15a!$I$11:$I$310,Mau15a!$B$11:$B$310,B590)+SUMIFS(Mau15a!$J$11:$J$310,Mau15a!$B$11:$B$310,B590)-SUMIFS(Mau15a!$G$11:$G$310,Mau15a!$B$11:$B$310,B590))</f>
        <v/>
      </c>
      <c r="J590" s="39" t="str">
        <f t="shared" si="47"/>
        <v/>
      </c>
      <c r="K590" s="39" t="str">
        <f>IF(B590="","",(SUMIFS(Mau15a!$K$11:$K$310,Mau15a!$B$11:$B$310,B590)-SUMIFS(Mau15a!$E$11:$E$310,Mau15a!$B$11:$B$310,B590))*G590)</f>
        <v/>
      </c>
      <c r="L590" s="36" t="str">
        <f t="shared" si="48"/>
        <v/>
      </c>
      <c r="M590" s="36" t="str">
        <f>IF(B590="","",BOM!G590&amp;"")</f>
        <v/>
      </c>
      <c r="N590" s="36" t="str">
        <f t="shared" si="49"/>
        <v/>
      </c>
    </row>
    <row r="591" spans="1:14" x14ac:dyDescent="0.25">
      <c r="A591" s="35" t="str">
        <f t="shared" si="45"/>
        <v/>
      </c>
      <c r="B591" s="35" t="str">
        <f>IF(BOM!A591="","",BOM!A591)</f>
        <v/>
      </c>
      <c r="C591" s="35" t="str">
        <f>IF(B591="","",BOM!B591)</f>
        <v/>
      </c>
      <c r="D591" s="35" t="str">
        <f>IF(B591="","",IFERROR(INDEX(DM_NL!$B$5:$B$304,MATCH(C591,DM_NL!$A$5:$A$304,0)),""))</f>
        <v/>
      </c>
      <c r="E591" s="35" t="str">
        <f>IF(B591="","",IFERROR(INDEX(DM_NL!$C$5:$C$304,MATCH(C591,DM_NL!$A$5:$A$304,0)),""))</f>
        <v/>
      </c>
      <c r="F591" s="39" t="str">
        <f>IF(B591="","",SUMIFS(Mau15a!$F$11:$F$310,Mau15a!$B$11:$B$310,B591))</f>
        <v/>
      </c>
      <c r="G591" s="39" t="str">
        <f>IF(B591="","",IF(OR(M591="KXDDM",BOM!F591=""),0,BOM!F591))</f>
        <v/>
      </c>
      <c r="H591" s="39" t="str">
        <f t="shared" si="46"/>
        <v/>
      </c>
      <c r="I591" s="39" t="str">
        <f>IF(B591="","",SUMIFS(Mau15a!$H$11:$H$310,Mau15a!$B$11:$B$310,B591)+SUMIFS(Mau15a!$I$11:$I$310,Mau15a!$B$11:$B$310,B591)+SUMIFS(Mau15a!$J$11:$J$310,Mau15a!$B$11:$B$310,B591)-SUMIFS(Mau15a!$G$11:$G$310,Mau15a!$B$11:$B$310,B591))</f>
        <v/>
      </c>
      <c r="J591" s="39" t="str">
        <f t="shared" si="47"/>
        <v/>
      </c>
      <c r="K591" s="39" t="str">
        <f>IF(B591="","",(SUMIFS(Mau15a!$K$11:$K$310,Mau15a!$B$11:$B$310,B591)-SUMIFS(Mau15a!$E$11:$E$310,Mau15a!$B$11:$B$310,B591))*G591)</f>
        <v/>
      </c>
      <c r="L591" s="36" t="str">
        <f t="shared" si="48"/>
        <v/>
      </c>
      <c r="M591" s="36" t="str">
        <f>IF(B591="","",BOM!G591&amp;"")</f>
        <v/>
      </c>
      <c r="N591" s="36" t="str">
        <f t="shared" si="49"/>
        <v/>
      </c>
    </row>
    <row r="592" spans="1:14" x14ac:dyDescent="0.25">
      <c r="A592" s="35" t="str">
        <f t="shared" si="45"/>
        <v/>
      </c>
      <c r="B592" s="35" t="str">
        <f>IF(BOM!A592="","",BOM!A592)</f>
        <v/>
      </c>
      <c r="C592" s="35" t="str">
        <f>IF(B592="","",BOM!B592)</f>
        <v/>
      </c>
      <c r="D592" s="35" t="str">
        <f>IF(B592="","",IFERROR(INDEX(DM_NL!$B$5:$B$304,MATCH(C592,DM_NL!$A$5:$A$304,0)),""))</f>
        <v/>
      </c>
      <c r="E592" s="35" t="str">
        <f>IF(B592="","",IFERROR(INDEX(DM_NL!$C$5:$C$304,MATCH(C592,DM_NL!$A$5:$A$304,0)),""))</f>
        <v/>
      </c>
      <c r="F592" s="39" t="str">
        <f>IF(B592="","",SUMIFS(Mau15a!$F$11:$F$310,Mau15a!$B$11:$B$310,B592))</f>
        <v/>
      </c>
      <c r="G592" s="39" t="str">
        <f>IF(B592="","",IF(OR(M592="KXDDM",BOM!F592=""),0,BOM!F592))</f>
        <v/>
      </c>
      <c r="H592" s="39" t="str">
        <f t="shared" si="46"/>
        <v/>
      </c>
      <c r="I592" s="39" t="str">
        <f>IF(B592="","",SUMIFS(Mau15a!$H$11:$H$310,Mau15a!$B$11:$B$310,B592)+SUMIFS(Mau15a!$I$11:$I$310,Mau15a!$B$11:$B$310,B592)+SUMIFS(Mau15a!$J$11:$J$310,Mau15a!$B$11:$B$310,B592)-SUMIFS(Mau15a!$G$11:$G$310,Mau15a!$B$11:$B$310,B592))</f>
        <v/>
      </c>
      <c r="J592" s="39" t="str">
        <f t="shared" si="47"/>
        <v/>
      </c>
      <c r="K592" s="39" t="str">
        <f>IF(B592="","",(SUMIFS(Mau15a!$K$11:$K$310,Mau15a!$B$11:$B$310,B592)-SUMIFS(Mau15a!$E$11:$E$310,Mau15a!$B$11:$B$310,B592))*G592)</f>
        <v/>
      </c>
      <c r="L592" s="36" t="str">
        <f t="shared" si="48"/>
        <v/>
      </c>
      <c r="M592" s="36" t="str">
        <f>IF(B592="","",BOM!G592&amp;"")</f>
        <v/>
      </c>
      <c r="N592" s="36" t="str">
        <f t="shared" si="49"/>
        <v/>
      </c>
    </row>
    <row r="593" spans="1:14" x14ac:dyDescent="0.25">
      <c r="A593" s="35" t="str">
        <f t="shared" si="45"/>
        <v/>
      </c>
      <c r="B593" s="35" t="str">
        <f>IF(BOM!A593="","",BOM!A593)</f>
        <v/>
      </c>
      <c r="C593" s="35" t="str">
        <f>IF(B593="","",BOM!B593)</f>
        <v/>
      </c>
      <c r="D593" s="35" t="str">
        <f>IF(B593="","",IFERROR(INDEX(DM_NL!$B$5:$B$304,MATCH(C593,DM_NL!$A$5:$A$304,0)),""))</f>
        <v/>
      </c>
      <c r="E593" s="35" t="str">
        <f>IF(B593="","",IFERROR(INDEX(DM_NL!$C$5:$C$304,MATCH(C593,DM_NL!$A$5:$A$304,0)),""))</f>
        <v/>
      </c>
      <c r="F593" s="39" t="str">
        <f>IF(B593="","",SUMIFS(Mau15a!$F$11:$F$310,Mau15a!$B$11:$B$310,B593))</f>
        <v/>
      </c>
      <c r="G593" s="39" t="str">
        <f>IF(B593="","",IF(OR(M593="KXDDM",BOM!F593=""),0,BOM!F593))</f>
        <v/>
      </c>
      <c r="H593" s="39" t="str">
        <f t="shared" si="46"/>
        <v/>
      </c>
      <c r="I593" s="39" t="str">
        <f>IF(B593="","",SUMIFS(Mau15a!$H$11:$H$310,Mau15a!$B$11:$B$310,B593)+SUMIFS(Mau15a!$I$11:$I$310,Mau15a!$B$11:$B$310,B593)+SUMIFS(Mau15a!$J$11:$J$310,Mau15a!$B$11:$B$310,B593)-SUMIFS(Mau15a!$G$11:$G$310,Mau15a!$B$11:$B$310,B593))</f>
        <v/>
      </c>
      <c r="J593" s="39" t="str">
        <f t="shared" si="47"/>
        <v/>
      </c>
      <c r="K593" s="39" t="str">
        <f>IF(B593="","",(SUMIFS(Mau15a!$K$11:$K$310,Mau15a!$B$11:$B$310,B593)-SUMIFS(Mau15a!$E$11:$E$310,Mau15a!$B$11:$B$310,B593))*G593)</f>
        <v/>
      </c>
      <c r="L593" s="36" t="str">
        <f t="shared" si="48"/>
        <v/>
      </c>
      <c r="M593" s="36" t="str">
        <f>IF(B593="","",BOM!G593&amp;"")</f>
        <v/>
      </c>
      <c r="N593" s="36" t="str">
        <f t="shared" si="49"/>
        <v/>
      </c>
    </row>
    <row r="594" spans="1:14" x14ac:dyDescent="0.25">
      <c r="A594" s="35" t="str">
        <f t="shared" si="45"/>
        <v/>
      </c>
      <c r="B594" s="35" t="str">
        <f>IF(BOM!A594="","",BOM!A594)</f>
        <v/>
      </c>
      <c r="C594" s="35" t="str">
        <f>IF(B594="","",BOM!B594)</f>
        <v/>
      </c>
      <c r="D594" s="35" t="str">
        <f>IF(B594="","",IFERROR(INDEX(DM_NL!$B$5:$B$304,MATCH(C594,DM_NL!$A$5:$A$304,0)),""))</f>
        <v/>
      </c>
      <c r="E594" s="35" t="str">
        <f>IF(B594="","",IFERROR(INDEX(DM_NL!$C$5:$C$304,MATCH(C594,DM_NL!$A$5:$A$304,0)),""))</f>
        <v/>
      </c>
      <c r="F594" s="39" t="str">
        <f>IF(B594="","",SUMIFS(Mau15a!$F$11:$F$310,Mau15a!$B$11:$B$310,B594))</f>
        <v/>
      </c>
      <c r="G594" s="39" t="str">
        <f>IF(B594="","",IF(OR(M594="KXDDM",BOM!F594=""),0,BOM!F594))</f>
        <v/>
      </c>
      <c r="H594" s="39" t="str">
        <f t="shared" si="46"/>
        <v/>
      </c>
      <c r="I594" s="39" t="str">
        <f>IF(B594="","",SUMIFS(Mau15a!$H$11:$H$310,Mau15a!$B$11:$B$310,B594)+SUMIFS(Mau15a!$I$11:$I$310,Mau15a!$B$11:$B$310,B594)+SUMIFS(Mau15a!$J$11:$J$310,Mau15a!$B$11:$B$310,B594)-SUMIFS(Mau15a!$G$11:$G$310,Mau15a!$B$11:$B$310,B594))</f>
        <v/>
      </c>
      <c r="J594" s="39" t="str">
        <f t="shared" si="47"/>
        <v/>
      </c>
      <c r="K594" s="39" t="str">
        <f>IF(B594="","",(SUMIFS(Mau15a!$K$11:$K$310,Mau15a!$B$11:$B$310,B594)-SUMIFS(Mau15a!$E$11:$E$310,Mau15a!$B$11:$B$310,B594))*G594)</f>
        <v/>
      </c>
      <c r="L594" s="36" t="str">
        <f t="shared" si="48"/>
        <v/>
      </c>
      <c r="M594" s="36" t="str">
        <f>IF(B594="","",BOM!G594&amp;"")</f>
        <v/>
      </c>
      <c r="N594" s="36" t="str">
        <f t="shared" si="49"/>
        <v/>
      </c>
    </row>
    <row r="595" spans="1:14" x14ac:dyDescent="0.25">
      <c r="A595" s="35" t="str">
        <f t="shared" si="45"/>
        <v/>
      </c>
      <c r="B595" s="35" t="str">
        <f>IF(BOM!A595="","",BOM!A595)</f>
        <v/>
      </c>
      <c r="C595" s="35" t="str">
        <f>IF(B595="","",BOM!B595)</f>
        <v/>
      </c>
      <c r="D595" s="35" t="str">
        <f>IF(B595="","",IFERROR(INDEX(DM_NL!$B$5:$B$304,MATCH(C595,DM_NL!$A$5:$A$304,0)),""))</f>
        <v/>
      </c>
      <c r="E595" s="35" t="str">
        <f>IF(B595="","",IFERROR(INDEX(DM_NL!$C$5:$C$304,MATCH(C595,DM_NL!$A$5:$A$304,0)),""))</f>
        <v/>
      </c>
      <c r="F595" s="39" t="str">
        <f>IF(B595="","",SUMIFS(Mau15a!$F$11:$F$310,Mau15a!$B$11:$B$310,B595))</f>
        <v/>
      </c>
      <c r="G595" s="39" t="str">
        <f>IF(B595="","",IF(OR(M595="KXDDM",BOM!F595=""),0,BOM!F595))</f>
        <v/>
      </c>
      <c r="H595" s="39" t="str">
        <f t="shared" si="46"/>
        <v/>
      </c>
      <c r="I595" s="39" t="str">
        <f>IF(B595="","",SUMIFS(Mau15a!$H$11:$H$310,Mau15a!$B$11:$B$310,B595)+SUMIFS(Mau15a!$I$11:$I$310,Mau15a!$B$11:$B$310,B595)+SUMIFS(Mau15a!$J$11:$J$310,Mau15a!$B$11:$B$310,B595)-SUMIFS(Mau15a!$G$11:$G$310,Mau15a!$B$11:$B$310,B595))</f>
        <v/>
      </c>
      <c r="J595" s="39" t="str">
        <f t="shared" si="47"/>
        <v/>
      </c>
      <c r="K595" s="39" t="str">
        <f>IF(B595="","",(SUMIFS(Mau15a!$K$11:$K$310,Mau15a!$B$11:$B$310,B595)-SUMIFS(Mau15a!$E$11:$E$310,Mau15a!$B$11:$B$310,B595))*G595)</f>
        <v/>
      </c>
      <c r="L595" s="36" t="str">
        <f t="shared" si="48"/>
        <v/>
      </c>
      <c r="M595" s="36" t="str">
        <f>IF(B595="","",BOM!G595&amp;"")</f>
        <v/>
      </c>
      <c r="N595" s="36" t="str">
        <f t="shared" si="49"/>
        <v/>
      </c>
    </row>
    <row r="596" spans="1:14" x14ac:dyDescent="0.25">
      <c r="A596" s="35" t="str">
        <f t="shared" si="45"/>
        <v/>
      </c>
      <c r="B596" s="35" t="str">
        <f>IF(BOM!A596="","",BOM!A596)</f>
        <v/>
      </c>
      <c r="C596" s="35" t="str">
        <f>IF(B596="","",BOM!B596)</f>
        <v/>
      </c>
      <c r="D596" s="35" t="str">
        <f>IF(B596="","",IFERROR(INDEX(DM_NL!$B$5:$B$304,MATCH(C596,DM_NL!$A$5:$A$304,0)),""))</f>
        <v/>
      </c>
      <c r="E596" s="35" t="str">
        <f>IF(B596="","",IFERROR(INDEX(DM_NL!$C$5:$C$304,MATCH(C596,DM_NL!$A$5:$A$304,0)),""))</f>
        <v/>
      </c>
      <c r="F596" s="39" t="str">
        <f>IF(B596="","",SUMIFS(Mau15a!$F$11:$F$310,Mau15a!$B$11:$B$310,B596))</f>
        <v/>
      </c>
      <c r="G596" s="39" t="str">
        <f>IF(B596="","",IF(OR(M596="KXDDM",BOM!F596=""),0,BOM!F596))</f>
        <v/>
      </c>
      <c r="H596" s="39" t="str">
        <f t="shared" si="46"/>
        <v/>
      </c>
      <c r="I596" s="39" t="str">
        <f>IF(B596="","",SUMIFS(Mau15a!$H$11:$H$310,Mau15a!$B$11:$B$310,B596)+SUMIFS(Mau15a!$I$11:$I$310,Mau15a!$B$11:$B$310,B596)+SUMIFS(Mau15a!$J$11:$J$310,Mau15a!$B$11:$B$310,B596)-SUMIFS(Mau15a!$G$11:$G$310,Mau15a!$B$11:$B$310,B596))</f>
        <v/>
      </c>
      <c r="J596" s="39" t="str">
        <f t="shared" si="47"/>
        <v/>
      </c>
      <c r="K596" s="39" t="str">
        <f>IF(B596="","",(SUMIFS(Mau15a!$K$11:$K$310,Mau15a!$B$11:$B$310,B596)-SUMIFS(Mau15a!$E$11:$E$310,Mau15a!$B$11:$B$310,B596))*G596)</f>
        <v/>
      </c>
      <c r="L596" s="36" t="str">
        <f t="shared" si="48"/>
        <v/>
      </c>
      <c r="M596" s="36" t="str">
        <f>IF(B596="","",BOM!G596&amp;"")</f>
        <v/>
      </c>
      <c r="N596" s="36" t="str">
        <f t="shared" si="49"/>
        <v/>
      </c>
    </row>
    <row r="597" spans="1:14" x14ac:dyDescent="0.25">
      <c r="A597" s="35" t="str">
        <f t="shared" si="45"/>
        <v/>
      </c>
      <c r="B597" s="35" t="str">
        <f>IF(BOM!A597="","",BOM!A597)</f>
        <v/>
      </c>
      <c r="C597" s="35" t="str">
        <f>IF(B597="","",BOM!B597)</f>
        <v/>
      </c>
      <c r="D597" s="35" t="str">
        <f>IF(B597="","",IFERROR(INDEX(DM_NL!$B$5:$B$304,MATCH(C597,DM_NL!$A$5:$A$304,0)),""))</f>
        <v/>
      </c>
      <c r="E597" s="35" t="str">
        <f>IF(B597="","",IFERROR(INDEX(DM_NL!$C$5:$C$304,MATCH(C597,DM_NL!$A$5:$A$304,0)),""))</f>
        <v/>
      </c>
      <c r="F597" s="39" t="str">
        <f>IF(B597="","",SUMIFS(Mau15a!$F$11:$F$310,Mau15a!$B$11:$B$310,B597))</f>
        <v/>
      </c>
      <c r="G597" s="39" t="str">
        <f>IF(B597="","",IF(OR(M597="KXDDM",BOM!F597=""),0,BOM!F597))</f>
        <v/>
      </c>
      <c r="H597" s="39" t="str">
        <f t="shared" si="46"/>
        <v/>
      </c>
      <c r="I597" s="39" t="str">
        <f>IF(B597="","",SUMIFS(Mau15a!$H$11:$H$310,Mau15a!$B$11:$B$310,B597)+SUMIFS(Mau15a!$I$11:$I$310,Mau15a!$B$11:$B$310,B597)+SUMIFS(Mau15a!$J$11:$J$310,Mau15a!$B$11:$B$310,B597)-SUMIFS(Mau15a!$G$11:$G$310,Mau15a!$B$11:$B$310,B597))</f>
        <v/>
      </c>
      <c r="J597" s="39" t="str">
        <f t="shared" si="47"/>
        <v/>
      </c>
      <c r="K597" s="39" t="str">
        <f>IF(B597="","",(SUMIFS(Mau15a!$K$11:$K$310,Mau15a!$B$11:$B$310,B597)-SUMIFS(Mau15a!$E$11:$E$310,Mau15a!$B$11:$B$310,B597))*G597)</f>
        <v/>
      </c>
      <c r="L597" s="36" t="str">
        <f t="shared" si="48"/>
        <v/>
      </c>
      <c r="M597" s="36" t="str">
        <f>IF(B597="","",BOM!G597&amp;"")</f>
        <v/>
      </c>
      <c r="N597" s="36" t="str">
        <f t="shared" si="49"/>
        <v/>
      </c>
    </row>
    <row r="598" spans="1:14" x14ac:dyDescent="0.25">
      <c r="A598" s="35" t="str">
        <f t="shared" si="45"/>
        <v/>
      </c>
      <c r="B598" s="35" t="str">
        <f>IF(BOM!A598="","",BOM!A598)</f>
        <v/>
      </c>
      <c r="C598" s="35" t="str">
        <f>IF(B598="","",BOM!B598)</f>
        <v/>
      </c>
      <c r="D598" s="35" t="str">
        <f>IF(B598="","",IFERROR(INDEX(DM_NL!$B$5:$B$304,MATCH(C598,DM_NL!$A$5:$A$304,0)),""))</f>
        <v/>
      </c>
      <c r="E598" s="35" t="str">
        <f>IF(B598="","",IFERROR(INDEX(DM_NL!$C$5:$C$304,MATCH(C598,DM_NL!$A$5:$A$304,0)),""))</f>
        <v/>
      </c>
      <c r="F598" s="39" t="str">
        <f>IF(B598="","",SUMIFS(Mau15a!$F$11:$F$310,Mau15a!$B$11:$B$310,B598))</f>
        <v/>
      </c>
      <c r="G598" s="39" t="str">
        <f>IF(B598="","",IF(OR(M598="KXDDM",BOM!F598=""),0,BOM!F598))</f>
        <v/>
      </c>
      <c r="H598" s="39" t="str">
        <f t="shared" si="46"/>
        <v/>
      </c>
      <c r="I598" s="39" t="str">
        <f>IF(B598="","",SUMIFS(Mau15a!$H$11:$H$310,Mau15a!$B$11:$B$310,B598)+SUMIFS(Mau15a!$I$11:$I$310,Mau15a!$B$11:$B$310,B598)+SUMIFS(Mau15a!$J$11:$J$310,Mau15a!$B$11:$B$310,B598)-SUMIFS(Mau15a!$G$11:$G$310,Mau15a!$B$11:$B$310,B598))</f>
        <v/>
      </c>
      <c r="J598" s="39" t="str">
        <f t="shared" si="47"/>
        <v/>
      </c>
      <c r="K598" s="39" t="str">
        <f>IF(B598="","",(SUMIFS(Mau15a!$K$11:$K$310,Mau15a!$B$11:$B$310,B598)-SUMIFS(Mau15a!$E$11:$E$310,Mau15a!$B$11:$B$310,B598))*G598)</f>
        <v/>
      </c>
      <c r="L598" s="36" t="str">
        <f t="shared" si="48"/>
        <v/>
      </c>
      <c r="M598" s="36" t="str">
        <f>IF(B598="","",BOM!G598&amp;"")</f>
        <v/>
      </c>
      <c r="N598" s="36" t="str">
        <f t="shared" si="49"/>
        <v/>
      </c>
    </row>
    <row r="599" spans="1:14" x14ac:dyDescent="0.25">
      <c r="A599" s="35" t="str">
        <f t="shared" si="45"/>
        <v/>
      </c>
      <c r="B599" s="35" t="str">
        <f>IF(BOM!A599="","",BOM!A599)</f>
        <v/>
      </c>
      <c r="C599" s="35" t="str">
        <f>IF(B599="","",BOM!B599)</f>
        <v/>
      </c>
      <c r="D599" s="35" t="str">
        <f>IF(B599="","",IFERROR(INDEX(DM_NL!$B$5:$B$304,MATCH(C599,DM_NL!$A$5:$A$304,0)),""))</f>
        <v/>
      </c>
      <c r="E599" s="35" t="str">
        <f>IF(B599="","",IFERROR(INDEX(DM_NL!$C$5:$C$304,MATCH(C599,DM_NL!$A$5:$A$304,0)),""))</f>
        <v/>
      </c>
      <c r="F599" s="39" t="str">
        <f>IF(B599="","",SUMIFS(Mau15a!$F$11:$F$310,Mau15a!$B$11:$B$310,B599))</f>
        <v/>
      </c>
      <c r="G599" s="39" t="str">
        <f>IF(B599="","",IF(OR(M599="KXDDM",BOM!F599=""),0,BOM!F599))</f>
        <v/>
      </c>
      <c r="H599" s="39" t="str">
        <f t="shared" si="46"/>
        <v/>
      </c>
      <c r="I599" s="39" t="str">
        <f>IF(B599="","",SUMIFS(Mau15a!$H$11:$H$310,Mau15a!$B$11:$B$310,B599)+SUMIFS(Mau15a!$I$11:$I$310,Mau15a!$B$11:$B$310,B599)+SUMIFS(Mau15a!$J$11:$J$310,Mau15a!$B$11:$B$310,B599)-SUMIFS(Mau15a!$G$11:$G$310,Mau15a!$B$11:$B$310,B599))</f>
        <v/>
      </c>
      <c r="J599" s="39" t="str">
        <f t="shared" si="47"/>
        <v/>
      </c>
      <c r="K599" s="39" t="str">
        <f>IF(B599="","",(SUMIFS(Mau15a!$K$11:$K$310,Mau15a!$B$11:$B$310,B599)-SUMIFS(Mau15a!$E$11:$E$310,Mau15a!$B$11:$B$310,B599))*G599)</f>
        <v/>
      </c>
      <c r="L599" s="36" t="str">
        <f t="shared" si="48"/>
        <v/>
      </c>
      <c r="M599" s="36" t="str">
        <f>IF(B599="","",BOM!G599&amp;"")</f>
        <v/>
      </c>
      <c r="N599" s="36" t="str">
        <f t="shared" si="49"/>
        <v/>
      </c>
    </row>
    <row r="600" spans="1:14" x14ac:dyDescent="0.25">
      <c r="A600" s="35" t="str">
        <f t="shared" si="45"/>
        <v/>
      </c>
      <c r="B600" s="35" t="str">
        <f>IF(BOM!A600="","",BOM!A600)</f>
        <v/>
      </c>
      <c r="C600" s="35" t="str">
        <f>IF(B600="","",BOM!B600)</f>
        <v/>
      </c>
      <c r="D600" s="35" t="str">
        <f>IF(B600="","",IFERROR(INDEX(DM_NL!$B$5:$B$304,MATCH(C600,DM_NL!$A$5:$A$304,0)),""))</f>
        <v/>
      </c>
      <c r="E600" s="35" t="str">
        <f>IF(B600="","",IFERROR(INDEX(DM_NL!$C$5:$C$304,MATCH(C600,DM_NL!$A$5:$A$304,0)),""))</f>
        <v/>
      </c>
      <c r="F600" s="39" t="str">
        <f>IF(B600="","",SUMIFS(Mau15a!$F$11:$F$310,Mau15a!$B$11:$B$310,B600))</f>
        <v/>
      </c>
      <c r="G600" s="39" t="str">
        <f>IF(B600="","",IF(OR(M600="KXDDM",BOM!F600=""),0,BOM!F600))</f>
        <v/>
      </c>
      <c r="H600" s="39" t="str">
        <f t="shared" si="46"/>
        <v/>
      </c>
      <c r="I600" s="39" t="str">
        <f>IF(B600="","",SUMIFS(Mau15a!$H$11:$H$310,Mau15a!$B$11:$B$310,B600)+SUMIFS(Mau15a!$I$11:$I$310,Mau15a!$B$11:$B$310,B600)+SUMIFS(Mau15a!$J$11:$J$310,Mau15a!$B$11:$B$310,B600)-SUMIFS(Mau15a!$G$11:$G$310,Mau15a!$B$11:$B$310,B600))</f>
        <v/>
      </c>
      <c r="J600" s="39" t="str">
        <f t="shared" si="47"/>
        <v/>
      </c>
      <c r="K600" s="39" t="str">
        <f>IF(B600="","",(SUMIFS(Mau15a!$K$11:$K$310,Mau15a!$B$11:$B$310,B600)-SUMIFS(Mau15a!$E$11:$E$310,Mau15a!$B$11:$B$310,B600))*G600)</f>
        <v/>
      </c>
      <c r="L600" s="36" t="str">
        <f t="shared" si="48"/>
        <v/>
      </c>
      <c r="M600" s="36" t="str">
        <f>IF(B600="","",BOM!G600&amp;"")</f>
        <v/>
      </c>
      <c r="N600" s="36" t="str">
        <f t="shared" si="49"/>
        <v/>
      </c>
    </row>
    <row r="601" spans="1:14" x14ac:dyDescent="0.25">
      <c r="A601" s="35" t="str">
        <f t="shared" si="45"/>
        <v/>
      </c>
      <c r="B601" s="35" t="str">
        <f>IF(BOM!A601="","",BOM!A601)</f>
        <v/>
      </c>
      <c r="C601" s="35" t="str">
        <f>IF(B601="","",BOM!B601)</f>
        <v/>
      </c>
      <c r="D601" s="35" t="str">
        <f>IF(B601="","",IFERROR(INDEX(DM_NL!$B$5:$B$304,MATCH(C601,DM_NL!$A$5:$A$304,0)),""))</f>
        <v/>
      </c>
      <c r="E601" s="35" t="str">
        <f>IF(B601="","",IFERROR(INDEX(DM_NL!$C$5:$C$304,MATCH(C601,DM_NL!$A$5:$A$304,0)),""))</f>
        <v/>
      </c>
      <c r="F601" s="39" t="str">
        <f>IF(B601="","",SUMIFS(Mau15a!$F$11:$F$310,Mau15a!$B$11:$B$310,B601))</f>
        <v/>
      </c>
      <c r="G601" s="39" t="str">
        <f>IF(B601="","",IF(OR(M601="KXDDM",BOM!F601=""),0,BOM!F601))</f>
        <v/>
      </c>
      <c r="H601" s="39" t="str">
        <f t="shared" si="46"/>
        <v/>
      </c>
      <c r="I601" s="39" t="str">
        <f>IF(B601="","",SUMIFS(Mau15a!$H$11:$H$310,Mau15a!$B$11:$B$310,B601)+SUMIFS(Mau15a!$I$11:$I$310,Mau15a!$B$11:$B$310,B601)+SUMIFS(Mau15a!$J$11:$J$310,Mau15a!$B$11:$B$310,B601)-SUMIFS(Mau15a!$G$11:$G$310,Mau15a!$B$11:$B$310,B601))</f>
        <v/>
      </c>
      <c r="J601" s="39" t="str">
        <f t="shared" si="47"/>
        <v/>
      </c>
      <c r="K601" s="39" t="str">
        <f>IF(B601="","",(SUMIFS(Mau15a!$K$11:$K$310,Mau15a!$B$11:$B$310,B601)-SUMIFS(Mau15a!$E$11:$E$310,Mau15a!$B$11:$B$310,B601))*G601)</f>
        <v/>
      </c>
      <c r="L601" s="36" t="str">
        <f t="shared" si="48"/>
        <v/>
      </c>
      <c r="M601" s="36" t="str">
        <f>IF(B601="","",BOM!G601&amp;"")</f>
        <v/>
      </c>
      <c r="N601" s="36" t="str">
        <f t="shared" si="49"/>
        <v/>
      </c>
    </row>
    <row r="602" spans="1:14" x14ac:dyDescent="0.25">
      <c r="A602" s="35" t="str">
        <f t="shared" si="45"/>
        <v/>
      </c>
      <c r="B602" s="35" t="str">
        <f>IF(BOM!A602="","",BOM!A602)</f>
        <v/>
      </c>
      <c r="C602" s="35" t="str">
        <f>IF(B602="","",BOM!B602)</f>
        <v/>
      </c>
      <c r="D602" s="35" t="str">
        <f>IF(B602="","",IFERROR(INDEX(DM_NL!$B$5:$B$304,MATCH(C602,DM_NL!$A$5:$A$304,0)),""))</f>
        <v/>
      </c>
      <c r="E602" s="35" t="str">
        <f>IF(B602="","",IFERROR(INDEX(DM_NL!$C$5:$C$304,MATCH(C602,DM_NL!$A$5:$A$304,0)),""))</f>
        <v/>
      </c>
      <c r="F602" s="39" t="str">
        <f>IF(B602="","",SUMIFS(Mau15a!$F$11:$F$310,Mau15a!$B$11:$B$310,B602))</f>
        <v/>
      </c>
      <c r="G602" s="39" t="str">
        <f>IF(B602="","",IF(OR(M602="KXDDM",BOM!F602=""),0,BOM!F602))</f>
        <v/>
      </c>
      <c r="H602" s="39" t="str">
        <f t="shared" si="46"/>
        <v/>
      </c>
      <c r="I602" s="39" t="str">
        <f>IF(B602="","",SUMIFS(Mau15a!$H$11:$H$310,Mau15a!$B$11:$B$310,B602)+SUMIFS(Mau15a!$I$11:$I$310,Mau15a!$B$11:$B$310,B602)+SUMIFS(Mau15a!$J$11:$J$310,Mau15a!$B$11:$B$310,B602)-SUMIFS(Mau15a!$G$11:$G$310,Mau15a!$B$11:$B$310,B602))</f>
        <v/>
      </c>
      <c r="J602" s="39" t="str">
        <f t="shared" si="47"/>
        <v/>
      </c>
      <c r="K602" s="39" t="str">
        <f>IF(B602="","",(SUMIFS(Mau15a!$K$11:$K$310,Mau15a!$B$11:$B$310,B602)-SUMIFS(Mau15a!$E$11:$E$310,Mau15a!$B$11:$B$310,B602))*G602)</f>
        <v/>
      </c>
      <c r="L602" s="36" t="str">
        <f t="shared" si="48"/>
        <v/>
      </c>
      <c r="M602" s="36" t="str">
        <f>IF(B602="","",BOM!G602&amp;"")</f>
        <v/>
      </c>
      <c r="N602" s="36" t="str">
        <f t="shared" si="49"/>
        <v/>
      </c>
    </row>
    <row r="603" spans="1:14" x14ac:dyDescent="0.25">
      <c r="A603" s="35" t="str">
        <f t="shared" si="45"/>
        <v/>
      </c>
      <c r="B603" s="35" t="str">
        <f>IF(BOM!A603="","",BOM!A603)</f>
        <v/>
      </c>
      <c r="C603" s="35" t="str">
        <f>IF(B603="","",BOM!B603)</f>
        <v/>
      </c>
      <c r="D603" s="35" t="str">
        <f>IF(B603="","",IFERROR(INDEX(DM_NL!$B$5:$B$304,MATCH(C603,DM_NL!$A$5:$A$304,0)),""))</f>
        <v/>
      </c>
      <c r="E603" s="35" t="str">
        <f>IF(B603="","",IFERROR(INDEX(DM_NL!$C$5:$C$304,MATCH(C603,DM_NL!$A$5:$A$304,0)),""))</f>
        <v/>
      </c>
      <c r="F603" s="39" t="str">
        <f>IF(B603="","",SUMIFS(Mau15a!$F$11:$F$310,Mau15a!$B$11:$B$310,B603))</f>
        <v/>
      </c>
      <c r="G603" s="39" t="str">
        <f>IF(B603="","",IF(OR(M603="KXDDM",BOM!F603=""),0,BOM!F603))</f>
        <v/>
      </c>
      <c r="H603" s="39" t="str">
        <f t="shared" si="46"/>
        <v/>
      </c>
      <c r="I603" s="39" t="str">
        <f>IF(B603="","",SUMIFS(Mau15a!$H$11:$H$310,Mau15a!$B$11:$B$310,B603)+SUMIFS(Mau15a!$I$11:$I$310,Mau15a!$B$11:$B$310,B603)+SUMIFS(Mau15a!$J$11:$J$310,Mau15a!$B$11:$B$310,B603)-SUMIFS(Mau15a!$G$11:$G$310,Mau15a!$B$11:$B$310,B603))</f>
        <v/>
      </c>
      <c r="J603" s="39" t="str">
        <f t="shared" si="47"/>
        <v/>
      </c>
      <c r="K603" s="39" t="str">
        <f>IF(B603="","",(SUMIFS(Mau15a!$K$11:$K$310,Mau15a!$B$11:$B$310,B603)-SUMIFS(Mau15a!$E$11:$E$310,Mau15a!$B$11:$B$310,B603))*G603)</f>
        <v/>
      </c>
      <c r="L603" s="36" t="str">
        <f t="shared" si="48"/>
        <v/>
      </c>
      <c r="M603" s="36" t="str">
        <f>IF(B603="","",BOM!G603&amp;"")</f>
        <v/>
      </c>
      <c r="N603" s="36" t="str">
        <f t="shared" si="49"/>
        <v/>
      </c>
    </row>
    <row r="604" spans="1:14" x14ac:dyDescent="0.25">
      <c r="A604" s="35" t="str">
        <f t="shared" si="45"/>
        <v/>
      </c>
      <c r="B604" s="35" t="str">
        <f>IF(BOM!A604="","",BOM!A604)</f>
        <v/>
      </c>
      <c r="C604" s="35" t="str">
        <f>IF(B604="","",BOM!B604)</f>
        <v/>
      </c>
      <c r="D604" s="35" t="str">
        <f>IF(B604="","",IFERROR(INDEX(DM_NL!$B$5:$B$304,MATCH(C604,DM_NL!$A$5:$A$304,0)),""))</f>
        <v/>
      </c>
      <c r="E604" s="35" t="str">
        <f>IF(B604="","",IFERROR(INDEX(DM_NL!$C$5:$C$304,MATCH(C604,DM_NL!$A$5:$A$304,0)),""))</f>
        <v/>
      </c>
      <c r="F604" s="39" t="str">
        <f>IF(B604="","",SUMIFS(Mau15a!$F$11:$F$310,Mau15a!$B$11:$B$310,B604))</f>
        <v/>
      </c>
      <c r="G604" s="39" t="str">
        <f>IF(B604="","",IF(OR(M604="KXDDM",BOM!F604=""),0,BOM!F604))</f>
        <v/>
      </c>
      <c r="H604" s="39" t="str">
        <f t="shared" si="46"/>
        <v/>
      </c>
      <c r="I604" s="39" t="str">
        <f>IF(B604="","",SUMIFS(Mau15a!$H$11:$H$310,Mau15a!$B$11:$B$310,B604)+SUMIFS(Mau15a!$I$11:$I$310,Mau15a!$B$11:$B$310,B604)+SUMIFS(Mau15a!$J$11:$J$310,Mau15a!$B$11:$B$310,B604)-SUMIFS(Mau15a!$G$11:$G$310,Mau15a!$B$11:$B$310,B604))</f>
        <v/>
      </c>
      <c r="J604" s="39" t="str">
        <f t="shared" si="47"/>
        <v/>
      </c>
      <c r="K604" s="39" t="str">
        <f>IF(B604="","",(SUMIFS(Mau15a!$K$11:$K$310,Mau15a!$B$11:$B$310,B604)-SUMIFS(Mau15a!$E$11:$E$310,Mau15a!$B$11:$B$310,B604))*G604)</f>
        <v/>
      </c>
      <c r="L604" s="36" t="str">
        <f t="shared" si="48"/>
        <v/>
      </c>
      <c r="M604" s="36" t="str">
        <f>IF(B604="","",BOM!G604&amp;"")</f>
        <v/>
      </c>
      <c r="N604" s="36" t="str">
        <f t="shared" si="49"/>
        <v/>
      </c>
    </row>
    <row r="605" spans="1:14" x14ac:dyDescent="0.25">
      <c r="A605" s="35" t="str">
        <f t="shared" si="45"/>
        <v/>
      </c>
      <c r="B605" s="35" t="str">
        <f>IF(BOM!A605="","",BOM!A605)</f>
        <v/>
      </c>
      <c r="C605" s="35" t="str">
        <f>IF(B605="","",BOM!B605)</f>
        <v/>
      </c>
      <c r="D605" s="35" t="str">
        <f>IF(B605="","",IFERROR(INDEX(DM_NL!$B$5:$B$304,MATCH(C605,DM_NL!$A$5:$A$304,0)),""))</f>
        <v/>
      </c>
      <c r="E605" s="35" t="str">
        <f>IF(B605="","",IFERROR(INDEX(DM_NL!$C$5:$C$304,MATCH(C605,DM_NL!$A$5:$A$304,0)),""))</f>
        <v/>
      </c>
      <c r="F605" s="39" t="str">
        <f>IF(B605="","",SUMIFS(Mau15a!$F$11:$F$310,Mau15a!$B$11:$B$310,B605))</f>
        <v/>
      </c>
      <c r="G605" s="39" t="str">
        <f>IF(B605="","",IF(OR(M605="KXDDM",BOM!F605=""),0,BOM!F605))</f>
        <v/>
      </c>
      <c r="H605" s="39" t="str">
        <f t="shared" si="46"/>
        <v/>
      </c>
      <c r="I605" s="39" t="str">
        <f>IF(B605="","",SUMIFS(Mau15a!$H$11:$H$310,Mau15a!$B$11:$B$310,B605)+SUMIFS(Mau15a!$I$11:$I$310,Mau15a!$B$11:$B$310,B605)+SUMIFS(Mau15a!$J$11:$J$310,Mau15a!$B$11:$B$310,B605)-SUMIFS(Mau15a!$G$11:$G$310,Mau15a!$B$11:$B$310,B605))</f>
        <v/>
      </c>
      <c r="J605" s="39" t="str">
        <f t="shared" si="47"/>
        <v/>
      </c>
      <c r="K605" s="39" t="str">
        <f>IF(B605="","",(SUMIFS(Mau15a!$K$11:$K$310,Mau15a!$B$11:$B$310,B605)-SUMIFS(Mau15a!$E$11:$E$310,Mau15a!$B$11:$B$310,B605))*G605)</f>
        <v/>
      </c>
      <c r="L605" s="36" t="str">
        <f t="shared" si="48"/>
        <v/>
      </c>
      <c r="M605" s="36" t="str">
        <f>IF(B605="","",BOM!G605&amp;"")</f>
        <v/>
      </c>
      <c r="N605" s="36" t="str">
        <f t="shared" si="49"/>
        <v/>
      </c>
    </row>
    <row r="606" spans="1:14" x14ac:dyDescent="0.25">
      <c r="A606" s="35" t="str">
        <f t="shared" si="45"/>
        <v/>
      </c>
      <c r="B606" s="35" t="str">
        <f>IF(BOM!A606="","",BOM!A606)</f>
        <v/>
      </c>
      <c r="C606" s="35" t="str">
        <f>IF(B606="","",BOM!B606)</f>
        <v/>
      </c>
      <c r="D606" s="35" t="str">
        <f>IF(B606="","",IFERROR(INDEX(DM_NL!$B$5:$B$304,MATCH(C606,DM_NL!$A$5:$A$304,0)),""))</f>
        <v/>
      </c>
      <c r="E606" s="35" t="str">
        <f>IF(B606="","",IFERROR(INDEX(DM_NL!$C$5:$C$304,MATCH(C606,DM_NL!$A$5:$A$304,0)),""))</f>
        <v/>
      </c>
      <c r="F606" s="39" t="str">
        <f>IF(B606="","",SUMIFS(Mau15a!$F$11:$F$310,Mau15a!$B$11:$B$310,B606))</f>
        <v/>
      </c>
      <c r="G606" s="39" t="str">
        <f>IF(B606="","",IF(OR(M606="KXDDM",BOM!F606=""),0,BOM!F606))</f>
        <v/>
      </c>
      <c r="H606" s="39" t="str">
        <f t="shared" si="46"/>
        <v/>
      </c>
      <c r="I606" s="39" t="str">
        <f>IF(B606="","",SUMIFS(Mau15a!$H$11:$H$310,Mau15a!$B$11:$B$310,B606)+SUMIFS(Mau15a!$I$11:$I$310,Mau15a!$B$11:$B$310,B606)+SUMIFS(Mau15a!$J$11:$J$310,Mau15a!$B$11:$B$310,B606)-SUMIFS(Mau15a!$G$11:$G$310,Mau15a!$B$11:$B$310,B606))</f>
        <v/>
      </c>
      <c r="J606" s="39" t="str">
        <f t="shared" si="47"/>
        <v/>
      </c>
      <c r="K606" s="39" t="str">
        <f>IF(B606="","",(SUMIFS(Mau15a!$K$11:$K$310,Mau15a!$B$11:$B$310,B606)-SUMIFS(Mau15a!$E$11:$E$310,Mau15a!$B$11:$B$310,B606))*G606)</f>
        <v/>
      </c>
      <c r="L606" s="36" t="str">
        <f t="shared" si="48"/>
        <v/>
      </c>
      <c r="M606" s="36" t="str">
        <f>IF(B606="","",BOM!G606&amp;"")</f>
        <v/>
      </c>
      <c r="N606" s="36" t="str">
        <f t="shared" si="49"/>
        <v/>
      </c>
    </row>
    <row r="607" spans="1:14" x14ac:dyDescent="0.25">
      <c r="A607" s="35" t="str">
        <f t="shared" si="45"/>
        <v/>
      </c>
      <c r="B607" s="35" t="str">
        <f>IF(BOM!A607="","",BOM!A607)</f>
        <v/>
      </c>
      <c r="C607" s="35" t="str">
        <f>IF(B607="","",BOM!B607)</f>
        <v/>
      </c>
      <c r="D607" s="35" t="str">
        <f>IF(B607="","",IFERROR(INDEX(DM_NL!$B$5:$B$304,MATCH(C607,DM_NL!$A$5:$A$304,0)),""))</f>
        <v/>
      </c>
      <c r="E607" s="35" t="str">
        <f>IF(B607="","",IFERROR(INDEX(DM_NL!$C$5:$C$304,MATCH(C607,DM_NL!$A$5:$A$304,0)),""))</f>
        <v/>
      </c>
      <c r="F607" s="39" t="str">
        <f>IF(B607="","",SUMIFS(Mau15a!$F$11:$F$310,Mau15a!$B$11:$B$310,B607))</f>
        <v/>
      </c>
      <c r="G607" s="39" t="str">
        <f>IF(B607="","",IF(OR(M607="KXDDM",BOM!F607=""),0,BOM!F607))</f>
        <v/>
      </c>
      <c r="H607" s="39" t="str">
        <f t="shared" si="46"/>
        <v/>
      </c>
      <c r="I607" s="39" t="str">
        <f>IF(B607="","",SUMIFS(Mau15a!$H$11:$H$310,Mau15a!$B$11:$B$310,B607)+SUMIFS(Mau15a!$I$11:$I$310,Mau15a!$B$11:$B$310,B607)+SUMIFS(Mau15a!$J$11:$J$310,Mau15a!$B$11:$B$310,B607)-SUMIFS(Mau15a!$G$11:$G$310,Mau15a!$B$11:$B$310,B607))</f>
        <v/>
      </c>
      <c r="J607" s="39" t="str">
        <f t="shared" si="47"/>
        <v/>
      </c>
      <c r="K607" s="39" t="str">
        <f>IF(B607="","",(SUMIFS(Mau15a!$K$11:$K$310,Mau15a!$B$11:$B$310,B607)-SUMIFS(Mau15a!$E$11:$E$310,Mau15a!$B$11:$B$310,B607))*G607)</f>
        <v/>
      </c>
      <c r="L607" s="36" t="str">
        <f t="shared" si="48"/>
        <v/>
      </c>
      <c r="M607" s="36" t="str">
        <f>IF(B607="","",BOM!G607&amp;"")</f>
        <v/>
      </c>
      <c r="N607" s="36" t="str">
        <f t="shared" si="49"/>
        <v/>
      </c>
    </row>
    <row r="608" spans="1:14" x14ac:dyDescent="0.25">
      <c r="A608" s="35" t="str">
        <f t="shared" si="45"/>
        <v/>
      </c>
      <c r="B608" s="35" t="str">
        <f>IF(BOM!A608="","",BOM!A608)</f>
        <v/>
      </c>
      <c r="C608" s="35" t="str">
        <f>IF(B608="","",BOM!B608)</f>
        <v/>
      </c>
      <c r="D608" s="35" t="str">
        <f>IF(B608="","",IFERROR(INDEX(DM_NL!$B$5:$B$304,MATCH(C608,DM_NL!$A$5:$A$304,0)),""))</f>
        <v/>
      </c>
      <c r="E608" s="35" t="str">
        <f>IF(B608="","",IFERROR(INDEX(DM_NL!$C$5:$C$304,MATCH(C608,DM_NL!$A$5:$A$304,0)),""))</f>
        <v/>
      </c>
      <c r="F608" s="39" t="str">
        <f>IF(B608="","",SUMIFS(Mau15a!$F$11:$F$310,Mau15a!$B$11:$B$310,B608))</f>
        <v/>
      </c>
      <c r="G608" s="39" t="str">
        <f>IF(B608="","",IF(OR(M608="KXDDM",BOM!F608=""),0,BOM!F608))</f>
        <v/>
      </c>
      <c r="H608" s="39" t="str">
        <f t="shared" si="46"/>
        <v/>
      </c>
      <c r="I608" s="39" t="str">
        <f>IF(B608="","",SUMIFS(Mau15a!$H$11:$H$310,Mau15a!$B$11:$B$310,B608)+SUMIFS(Mau15a!$I$11:$I$310,Mau15a!$B$11:$B$310,B608)+SUMIFS(Mau15a!$J$11:$J$310,Mau15a!$B$11:$B$310,B608)-SUMIFS(Mau15a!$G$11:$G$310,Mau15a!$B$11:$B$310,B608))</f>
        <v/>
      </c>
      <c r="J608" s="39" t="str">
        <f t="shared" si="47"/>
        <v/>
      </c>
      <c r="K608" s="39" t="str">
        <f>IF(B608="","",(SUMIFS(Mau15a!$K$11:$K$310,Mau15a!$B$11:$B$310,B608)-SUMIFS(Mau15a!$E$11:$E$310,Mau15a!$B$11:$B$310,B608))*G608)</f>
        <v/>
      </c>
      <c r="L608" s="36" t="str">
        <f t="shared" si="48"/>
        <v/>
      </c>
      <c r="M608" s="36" t="str">
        <f>IF(B608="","",BOM!G608&amp;"")</f>
        <v/>
      </c>
      <c r="N608" s="36" t="str">
        <f t="shared" si="49"/>
        <v/>
      </c>
    </row>
    <row r="609" spans="1:14" x14ac:dyDescent="0.25">
      <c r="A609" s="35" t="str">
        <f t="shared" si="45"/>
        <v/>
      </c>
      <c r="B609" s="35" t="str">
        <f>IF(BOM!A609="","",BOM!A609)</f>
        <v/>
      </c>
      <c r="C609" s="35" t="str">
        <f>IF(B609="","",BOM!B609)</f>
        <v/>
      </c>
      <c r="D609" s="35" t="str">
        <f>IF(B609="","",IFERROR(INDEX(DM_NL!$B$5:$B$304,MATCH(C609,DM_NL!$A$5:$A$304,0)),""))</f>
        <v/>
      </c>
      <c r="E609" s="35" t="str">
        <f>IF(B609="","",IFERROR(INDEX(DM_NL!$C$5:$C$304,MATCH(C609,DM_NL!$A$5:$A$304,0)),""))</f>
        <v/>
      </c>
      <c r="F609" s="39" t="str">
        <f>IF(B609="","",SUMIFS(Mau15a!$F$11:$F$310,Mau15a!$B$11:$B$310,B609))</f>
        <v/>
      </c>
      <c r="G609" s="39" t="str">
        <f>IF(B609="","",IF(OR(M609="KXDDM",BOM!F609=""),0,BOM!F609))</f>
        <v/>
      </c>
      <c r="H609" s="39" t="str">
        <f t="shared" si="46"/>
        <v/>
      </c>
      <c r="I609" s="39" t="str">
        <f>IF(B609="","",SUMIFS(Mau15a!$H$11:$H$310,Mau15a!$B$11:$B$310,B609)+SUMIFS(Mau15a!$I$11:$I$310,Mau15a!$B$11:$B$310,B609)+SUMIFS(Mau15a!$J$11:$J$310,Mau15a!$B$11:$B$310,B609)-SUMIFS(Mau15a!$G$11:$G$310,Mau15a!$B$11:$B$310,B609))</f>
        <v/>
      </c>
      <c r="J609" s="39" t="str">
        <f t="shared" si="47"/>
        <v/>
      </c>
      <c r="K609" s="39" t="str">
        <f>IF(B609="","",(SUMIFS(Mau15a!$K$11:$K$310,Mau15a!$B$11:$B$310,B609)-SUMIFS(Mau15a!$E$11:$E$310,Mau15a!$B$11:$B$310,B609))*G609)</f>
        <v/>
      </c>
      <c r="L609" s="36" t="str">
        <f t="shared" si="48"/>
        <v/>
      </c>
      <c r="M609" s="36" t="str">
        <f>IF(B609="","",BOM!G609&amp;"")</f>
        <v/>
      </c>
      <c r="N609" s="36" t="str">
        <f t="shared" si="49"/>
        <v/>
      </c>
    </row>
    <row r="610" spans="1:14" x14ac:dyDescent="0.25">
      <c r="A610" s="35" t="str">
        <f t="shared" si="45"/>
        <v/>
      </c>
      <c r="B610" s="35" t="str">
        <f>IF(BOM!A610="","",BOM!A610)</f>
        <v/>
      </c>
      <c r="C610" s="35" t="str">
        <f>IF(B610="","",BOM!B610)</f>
        <v/>
      </c>
      <c r="D610" s="35" t="str">
        <f>IF(B610="","",IFERROR(INDEX(DM_NL!$B$5:$B$304,MATCH(C610,DM_NL!$A$5:$A$304,0)),""))</f>
        <v/>
      </c>
      <c r="E610" s="35" t="str">
        <f>IF(B610="","",IFERROR(INDEX(DM_NL!$C$5:$C$304,MATCH(C610,DM_NL!$A$5:$A$304,0)),""))</f>
        <v/>
      </c>
      <c r="F610" s="39" t="str">
        <f>IF(B610="","",SUMIFS(Mau15a!$F$11:$F$310,Mau15a!$B$11:$B$310,B610))</f>
        <v/>
      </c>
      <c r="G610" s="39" t="str">
        <f>IF(B610="","",IF(OR(M610="KXDDM",BOM!F610=""),0,BOM!F610))</f>
        <v/>
      </c>
      <c r="H610" s="39" t="str">
        <f t="shared" si="46"/>
        <v/>
      </c>
      <c r="I610" s="39" t="str">
        <f>IF(B610="","",SUMIFS(Mau15a!$H$11:$H$310,Mau15a!$B$11:$B$310,B610)+SUMIFS(Mau15a!$I$11:$I$310,Mau15a!$B$11:$B$310,B610)+SUMIFS(Mau15a!$J$11:$J$310,Mau15a!$B$11:$B$310,B610)-SUMIFS(Mau15a!$G$11:$G$310,Mau15a!$B$11:$B$310,B610))</f>
        <v/>
      </c>
      <c r="J610" s="39" t="str">
        <f t="shared" si="47"/>
        <v/>
      </c>
      <c r="K610" s="39" t="str">
        <f>IF(B610="","",(SUMIFS(Mau15a!$K$11:$K$310,Mau15a!$B$11:$B$310,B610)-SUMIFS(Mau15a!$E$11:$E$310,Mau15a!$B$11:$B$310,B610))*G610)</f>
        <v/>
      </c>
      <c r="L610" s="36" t="str">
        <f t="shared" si="48"/>
        <v/>
      </c>
      <c r="M610" s="36" t="str">
        <f>IF(B610="","",BOM!G610&amp;"")</f>
        <v/>
      </c>
      <c r="N610" s="36" t="str">
        <f t="shared" si="49"/>
        <v/>
      </c>
    </row>
    <row r="611" spans="1:14" x14ac:dyDescent="0.25">
      <c r="A611" s="35" t="str">
        <f t="shared" si="45"/>
        <v/>
      </c>
      <c r="B611" s="35" t="str">
        <f>IF(BOM!A611="","",BOM!A611)</f>
        <v/>
      </c>
      <c r="C611" s="35" t="str">
        <f>IF(B611="","",BOM!B611)</f>
        <v/>
      </c>
      <c r="D611" s="35" t="str">
        <f>IF(B611="","",IFERROR(INDEX(DM_NL!$B$5:$B$304,MATCH(C611,DM_NL!$A$5:$A$304,0)),""))</f>
        <v/>
      </c>
      <c r="E611" s="35" t="str">
        <f>IF(B611="","",IFERROR(INDEX(DM_NL!$C$5:$C$304,MATCH(C611,DM_NL!$A$5:$A$304,0)),""))</f>
        <v/>
      </c>
      <c r="F611" s="39" t="str">
        <f>IF(B611="","",SUMIFS(Mau15a!$F$11:$F$310,Mau15a!$B$11:$B$310,B611))</f>
        <v/>
      </c>
      <c r="G611" s="39" t="str">
        <f>IF(B611="","",IF(OR(M611="KXDDM",BOM!F611=""),0,BOM!F611))</f>
        <v/>
      </c>
      <c r="H611" s="39" t="str">
        <f t="shared" si="46"/>
        <v/>
      </c>
      <c r="I611" s="39" t="str">
        <f>IF(B611="","",SUMIFS(Mau15a!$H$11:$H$310,Mau15a!$B$11:$B$310,B611)+SUMIFS(Mau15a!$I$11:$I$310,Mau15a!$B$11:$B$310,B611)+SUMIFS(Mau15a!$J$11:$J$310,Mau15a!$B$11:$B$310,B611)-SUMIFS(Mau15a!$G$11:$G$310,Mau15a!$B$11:$B$310,B611))</f>
        <v/>
      </c>
      <c r="J611" s="39" t="str">
        <f t="shared" si="47"/>
        <v/>
      </c>
      <c r="K611" s="39" t="str">
        <f>IF(B611="","",(SUMIFS(Mau15a!$K$11:$K$310,Mau15a!$B$11:$B$310,B611)-SUMIFS(Mau15a!$E$11:$E$310,Mau15a!$B$11:$B$310,B611))*G611)</f>
        <v/>
      </c>
      <c r="L611" s="36" t="str">
        <f t="shared" si="48"/>
        <v/>
      </c>
      <c r="M611" s="36" t="str">
        <f>IF(B611="","",BOM!G611&amp;"")</f>
        <v/>
      </c>
      <c r="N611" s="36" t="str">
        <f t="shared" si="49"/>
        <v/>
      </c>
    </row>
    <row r="612" spans="1:14" x14ac:dyDescent="0.25">
      <c r="A612" s="35" t="str">
        <f t="shared" si="45"/>
        <v/>
      </c>
      <c r="B612" s="35" t="str">
        <f>IF(BOM!A612="","",BOM!A612)</f>
        <v/>
      </c>
      <c r="C612" s="35" t="str">
        <f>IF(B612="","",BOM!B612)</f>
        <v/>
      </c>
      <c r="D612" s="35" t="str">
        <f>IF(B612="","",IFERROR(INDEX(DM_NL!$B$5:$B$304,MATCH(C612,DM_NL!$A$5:$A$304,0)),""))</f>
        <v/>
      </c>
      <c r="E612" s="35" t="str">
        <f>IF(B612="","",IFERROR(INDEX(DM_NL!$C$5:$C$304,MATCH(C612,DM_NL!$A$5:$A$304,0)),""))</f>
        <v/>
      </c>
      <c r="F612" s="39" t="str">
        <f>IF(B612="","",SUMIFS(Mau15a!$F$11:$F$310,Mau15a!$B$11:$B$310,B612))</f>
        <v/>
      </c>
      <c r="G612" s="39" t="str">
        <f>IF(B612="","",IF(OR(M612="KXDDM",BOM!F612=""),0,BOM!F612))</f>
        <v/>
      </c>
      <c r="H612" s="39" t="str">
        <f t="shared" si="46"/>
        <v/>
      </c>
      <c r="I612" s="39" t="str">
        <f>IF(B612="","",SUMIFS(Mau15a!$H$11:$H$310,Mau15a!$B$11:$B$310,B612)+SUMIFS(Mau15a!$I$11:$I$310,Mau15a!$B$11:$B$310,B612)+SUMIFS(Mau15a!$J$11:$J$310,Mau15a!$B$11:$B$310,B612)-SUMIFS(Mau15a!$G$11:$G$310,Mau15a!$B$11:$B$310,B612))</f>
        <v/>
      </c>
      <c r="J612" s="39" t="str">
        <f t="shared" si="47"/>
        <v/>
      </c>
      <c r="K612" s="39" t="str">
        <f>IF(B612="","",(SUMIFS(Mau15a!$K$11:$K$310,Mau15a!$B$11:$B$310,B612)-SUMIFS(Mau15a!$E$11:$E$310,Mau15a!$B$11:$B$310,B612))*G612)</f>
        <v/>
      </c>
      <c r="L612" s="36" t="str">
        <f t="shared" si="48"/>
        <v/>
      </c>
      <c r="M612" s="36" t="str">
        <f>IF(B612="","",BOM!G612&amp;"")</f>
        <v/>
      </c>
      <c r="N612" s="36" t="str">
        <f t="shared" si="49"/>
        <v/>
      </c>
    </row>
    <row r="613" spans="1:14" x14ac:dyDescent="0.25">
      <c r="A613" s="35" t="str">
        <f t="shared" si="45"/>
        <v/>
      </c>
      <c r="B613" s="35" t="str">
        <f>IF(BOM!A613="","",BOM!A613)</f>
        <v/>
      </c>
      <c r="C613" s="35" t="str">
        <f>IF(B613="","",BOM!B613)</f>
        <v/>
      </c>
      <c r="D613" s="35" t="str">
        <f>IF(B613="","",IFERROR(INDEX(DM_NL!$B$5:$B$304,MATCH(C613,DM_NL!$A$5:$A$304,0)),""))</f>
        <v/>
      </c>
      <c r="E613" s="35" t="str">
        <f>IF(B613="","",IFERROR(INDEX(DM_NL!$C$5:$C$304,MATCH(C613,DM_NL!$A$5:$A$304,0)),""))</f>
        <v/>
      </c>
      <c r="F613" s="39" t="str">
        <f>IF(B613="","",SUMIFS(Mau15a!$F$11:$F$310,Mau15a!$B$11:$B$310,B613))</f>
        <v/>
      </c>
      <c r="G613" s="39" t="str">
        <f>IF(B613="","",IF(OR(M613="KXDDM",BOM!F613=""),0,BOM!F613))</f>
        <v/>
      </c>
      <c r="H613" s="39" t="str">
        <f t="shared" si="46"/>
        <v/>
      </c>
      <c r="I613" s="39" t="str">
        <f>IF(B613="","",SUMIFS(Mau15a!$H$11:$H$310,Mau15a!$B$11:$B$310,B613)+SUMIFS(Mau15a!$I$11:$I$310,Mau15a!$B$11:$B$310,B613)+SUMIFS(Mau15a!$J$11:$J$310,Mau15a!$B$11:$B$310,B613)-SUMIFS(Mau15a!$G$11:$G$310,Mau15a!$B$11:$B$310,B613))</f>
        <v/>
      </c>
      <c r="J613" s="39" t="str">
        <f t="shared" si="47"/>
        <v/>
      </c>
      <c r="K613" s="39" t="str">
        <f>IF(B613="","",(SUMIFS(Mau15a!$K$11:$K$310,Mau15a!$B$11:$B$310,B613)-SUMIFS(Mau15a!$E$11:$E$310,Mau15a!$B$11:$B$310,B613))*G613)</f>
        <v/>
      </c>
      <c r="L613" s="36" t="str">
        <f t="shared" si="48"/>
        <v/>
      </c>
      <c r="M613" s="36" t="str">
        <f>IF(B613="","",BOM!G613&amp;"")</f>
        <v/>
      </c>
      <c r="N613" s="36" t="str">
        <f t="shared" si="49"/>
        <v/>
      </c>
    </row>
    <row r="614" spans="1:14" x14ac:dyDescent="0.25">
      <c r="A614" s="35" t="str">
        <f t="shared" si="45"/>
        <v/>
      </c>
      <c r="B614" s="35" t="str">
        <f>IF(BOM!A614="","",BOM!A614)</f>
        <v/>
      </c>
      <c r="C614" s="35" t="str">
        <f>IF(B614="","",BOM!B614)</f>
        <v/>
      </c>
      <c r="D614" s="35" t="str">
        <f>IF(B614="","",IFERROR(INDEX(DM_NL!$B$5:$B$304,MATCH(C614,DM_NL!$A$5:$A$304,0)),""))</f>
        <v/>
      </c>
      <c r="E614" s="35" t="str">
        <f>IF(B614="","",IFERROR(INDEX(DM_NL!$C$5:$C$304,MATCH(C614,DM_NL!$A$5:$A$304,0)),""))</f>
        <v/>
      </c>
      <c r="F614" s="39" t="str">
        <f>IF(B614="","",SUMIFS(Mau15a!$F$11:$F$310,Mau15a!$B$11:$B$310,B614))</f>
        <v/>
      </c>
      <c r="G614" s="39" t="str">
        <f>IF(B614="","",IF(OR(M614="KXDDM",BOM!F614=""),0,BOM!F614))</f>
        <v/>
      </c>
      <c r="H614" s="39" t="str">
        <f t="shared" si="46"/>
        <v/>
      </c>
      <c r="I614" s="39" t="str">
        <f>IF(B614="","",SUMIFS(Mau15a!$H$11:$H$310,Mau15a!$B$11:$B$310,B614)+SUMIFS(Mau15a!$I$11:$I$310,Mau15a!$B$11:$B$310,B614)+SUMIFS(Mau15a!$J$11:$J$310,Mau15a!$B$11:$B$310,B614)-SUMIFS(Mau15a!$G$11:$G$310,Mau15a!$B$11:$B$310,B614))</f>
        <v/>
      </c>
      <c r="J614" s="39" t="str">
        <f t="shared" si="47"/>
        <v/>
      </c>
      <c r="K614" s="39" t="str">
        <f>IF(B614="","",(SUMIFS(Mau15a!$K$11:$K$310,Mau15a!$B$11:$B$310,B614)-SUMIFS(Mau15a!$E$11:$E$310,Mau15a!$B$11:$B$310,B614))*G614)</f>
        <v/>
      </c>
      <c r="L614" s="36" t="str">
        <f t="shared" si="48"/>
        <v/>
      </c>
      <c r="M614" s="36" t="str">
        <f>IF(B614="","",BOM!G614&amp;"")</f>
        <v/>
      </c>
      <c r="N614" s="36" t="str">
        <f t="shared" si="49"/>
        <v/>
      </c>
    </row>
    <row r="615" spans="1:14" x14ac:dyDescent="0.25">
      <c r="A615" s="35" t="str">
        <f t="shared" si="45"/>
        <v/>
      </c>
      <c r="B615" s="35" t="str">
        <f>IF(BOM!A615="","",BOM!A615)</f>
        <v/>
      </c>
      <c r="C615" s="35" t="str">
        <f>IF(B615="","",BOM!B615)</f>
        <v/>
      </c>
      <c r="D615" s="35" t="str">
        <f>IF(B615="","",IFERROR(INDEX(DM_NL!$B$5:$B$304,MATCH(C615,DM_NL!$A$5:$A$304,0)),""))</f>
        <v/>
      </c>
      <c r="E615" s="35" t="str">
        <f>IF(B615="","",IFERROR(INDEX(DM_NL!$C$5:$C$304,MATCH(C615,DM_NL!$A$5:$A$304,0)),""))</f>
        <v/>
      </c>
      <c r="F615" s="39" t="str">
        <f>IF(B615="","",SUMIFS(Mau15a!$F$11:$F$310,Mau15a!$B$11:$B$310,B615))</f>
        <v/>
      </c>
      <c r="G615" s="39" t="str">
        <f>IF(B615="","",IF(OR(M615="KXDDM",BOM!F615=""),0,BOM!F615))</f>
        <v/>
      </c>
      <c r="H615" s="39" t="str">
        <f t="shared" si="46"/>
        <v/>
      </c>
      <c r="I615" s="39" t="str">
        <f>IF(B615="","",SUMIFS(Mau15a!$H$11:$H$310,Mau15a!$B$11:$B$310,B615)+SUMIFS(Mau15a!$I$11:$I$310,Mau15a!$B$11:$B$310,B615)+SUMIFS(Mau15a!$J$11:$J$310,Mau15a!$B$11:$B$310,B615)-SUMIFS(Mau15a!$G$11:$G$310,Mau15a!$B$11:$B$310,B615))</f>
        <v/>
      </c>
      <c r="J615" s="39" t="str">
        <f t="shared" si="47"/>
        <v/>
      </c>
      <c r="K615" s="39" t="str">
        <f>IF(B615="","",(SUMIFS(Mau15a!$K$11:$K$310,Mau15a!$B$11:$B$310,B615)-SUMIFS(Mau15a!$E$11:$E$310,Mau15a!$B$11:$B$310,B615))*G615)</f>
        <v/>
      </c>
      <c r="L615" s="36" t="str">
        <f t="shared" si="48"/>
        <v/>
      </c>
      <c r="M615" s="36" t="str">
        <f>IF(B615="","",BOM!G615&amp;"")</f>
        <v/>
      </c>
      <c r="N615" s="36" t="str">
        <f t="shared" si="49"/>
        <v/>
      </c>
    </row>
    <row r="616" spans="1:14" x14ac:dyDescent="0.25">
      <c r="A616" s="35" t="str">
        <f t="shared" si="45"/>
        <v/>
      </c>
      <c r="B616" s="35" t="str">
        <f>IF(BOM!A616="","",BOM!A616)</f>
        <v/>
      </c>
      <c r="C616" s="35" t="str">
        <f>IF(B616="","",BOM!B616)</f>
        <v/>
      </c>
      <c r="D616" s="35" t="str">
        <f>IF(B616="","",IFERROR(INDEX(DM_NL!$B$5:$B$304,MATCH(C616,DM_NL!$A$5:$A$304,0)),""))</f>
        <v/>
      </c>
      <c r="E616" s="35" t="str">
        <f>IF(B616="","",IFERROR(INDEX(DM_NL!$C$5:$C$304,MATCH(C616,DM_NL!$A$5:$A$304,0)),""))</f>
        <v/>
      </c>
      <c r="F616" s="39" t="str">
        <f>IF(B616="","",SUMIFS(Mau15a!$F$11:$F$310,Mau15a!$B$11:$B$310,B616))</f>
        <v/>
      </c>
      <c r="G616" s="39" t="str">
        <f>IF(B616="","",IF(OR(M616="KXDDM",BOM!F616=""),0,BOM!F616))</f>
        <v/>
      </c>
      <c r="H616" s="39" t="str">
        <f t="shared" si="46"/>
        <v/>
      </c>
      <c r="I616" s="39" t="str">
        <f>IF(B616="","",SUMIFS(Mau15a!$H$11:$H$310,Mau15a!$B$11:$B$310,B616)+SUMIFS(Mau15a!$I$11:$I$310,Mau15a!$B$11:$B$310,B616)+SUMIFS(Mau15a!$J$11:$J$310,Mau15a!$B$11:$B$310,B616)-SUMIFS(Mau15a!$G$11:$G$310,Mau15a!$B$11:$B$310,B616))</f>
        <v/>
      </c>
      <c r="J616" s="39" t="str">
        <f t="shared" si="47"/>
        <v/>
      </c>
      <c r="K616" s="39" t="str">
        <f>IF(B616="","",(SUMIFS(Mau15a!$K$11:$K$310,Mau15a!$B$11:$B$310,B616)-SUMIFS(Mau15a!$E$11:$E$310,Mau15a!$B$11:$B$310,B616))*G616)</f>
        <v/>
      </c>
      <c r="L616" s="36" t="str">
        <f t="shared" si="48"/>
        <v/>
      </c>
      <c r="M616" s="36" t="str">
        <f>IF(B616="","",BOM!G616&amp;"")</f>
        <v/>
      </c>
      <c r="N616" s="36" t="str">
        <f t="shared" si="49"/>
        <v/>
      </c>
    </row>
    <row r="617" spans="1:14" x14ac:dyDescent="0.25">
      <c r="A617" s="35" t="str">
        <f t="shared" si="45"/>
        <v/>
      </c>
      <c r="B617" s="35" t="str">
        <f>IF(BOM!A617="","",BOM!A617)</f>
        <v/>
      </c>
      <c r="C617" s="35" t="str">
        <f>IF(B617="","",BOM!B617)</f>
        <v/>
      </c>
      <c r="D617" s="35" t="str">
        <f>IF(B617="","",IFERROR(INDEX(DM_NL!$B$5:$B$304,MATCH(C617,DM_NL!$A$5:$A$304,0)),""))</f>
        <v/>
      </c>
      <c r="E617" s="35" t="str">
        <f>IF(B617="","",IFERROR(INDEX(DM_NL!$C$5:$C$304,MATCH(C617,DM_NL!$A$5:$A$304,0)),""))</f>
        <v/>
      </c>
      <c r="F617" s="39" t="str">
        <f>IF(B617="","",SUMIFS(Mau15a!$F$11:$F$310,Mau15a!$B$11:$B$310,B617))</f>
        <v/>
      </c>
      <c r="G617" s="39" t="str">
        <f>IF(B617="","",IF(OR(M617="KXDDM",BOM!F617=""),0,BOM!F617))</f>
        <v/>
      </c>
      <c r="H617" s="39" t="str">
        <f t="shared" si="46"/>
        <v/>
      </c>
      <c r="I617" s="39" t="str">
        <f>IF(B617="","",SUMIFS(Mau15a!$H$11:$H$310,Mau15a!$B$11:$B$310,B617)+SUMIFS(Mau15a!$I$11:$I$310,Mau15a!$B$11:$B$310,B617)+SUMIFS(Mau15a!$J$11:$J$310,Mau15a!$B$11:$B$310,B617)-SUMIFS(Mau15a!$G$11:$G$310,Mau15a!$B$11:$B$310,B617))</f>
        <v/>
      </c>
      <c r="J617" s="39" t="str">
        <f t="shared" si="47"/>
        <v/>
      </c>
      <c r="K617" s="39" t="str">
        <f>IF(B617="","",(SUMIFS(Mau15a!$K$11:$K$310,Mau15a!$B$11:$B$310,B617)-SUMIFS(Mau15a!$E$11:$E$310,Mau15a!$B$11:$B$310,B617))*G617)</f>
        <v/>
      </c>
      <c r="L617" s="36" t="str">
        <f t="shared" si="48"/>
        <v/>
      </c>
      <c r="M617" s="36" t="str">
        <f>IF(B617="","",BOM!G617&amp;"")</f>
        <v/>
      </c>
      <c r="N617" s="36" t="str">
        <f t="shared" si="49"/>
        <v/>
      </c>
    </row>
    <row r="618" spans="1:14" x14ac:dyDescent="0.25">
      <c r="A618" s="35" t="str">
        <f t="shared" si="45"/>
        <v/>
      </c>
      <c r="B618" s="35" t="str">
        <f>IF(BOM!A618="","",BOM!A618)</f>
        <v/>
      </c>
      <c r="C618" s="35" t="str">
        <f>IF(B618="","",BOM!B618)</f>
        <v/>
      </c>
      <c r="D618" s="35" t="str">
        <f>IF(B618="","",IFERROR(INDEX(DM_NL!$B$5:$B$304,MATCH(C618,DM_NL!$A$5:$A$304,0)),""))</f>
        <v/>
      </c>
      <c r="E618" s="35" t="str">
        <f>IF(B618="","",IFERROR(INDEX(DM_NL!$C$5:$C$304,MATCH(C618,DM_NL!$A$5:$A$304,0)),""))</f>
        <v/>
      </c>
      <c r="F618" s="39" t="str">
        <f>IF(B618="","",SUMIFS(Mau15a!$F$11:$F$310,Mau15a!$B$11:$B$310,B618))</f>
        <v/>
      </c>
      <c r="G618" s="39" t="str">
        <f>IF(B618="","",IF(OR(M618="KXDDM",BOM!F618=""),0,BOM!F618))</f>
        <v/>
      </c>
      <c r="H618" s="39" t="str">
        <f t="shared" si="46"/>
        <v/>
      </c>
      <c r="I618" s="39" t="str">
        <f>IF(B618="","",SUMIFS(Mau15a!$H$11:$H$310,Mau15a!$B$11:$B$310,B618)+SUMIFS(Mau15a!$I$11:$I$310,Mau15a!$B$11:$B$310,B618)+SUMIFS(Mau15a!$J$11:$J$310,Mau15a!$B$11:$B$310,B618)-SUMIFS(Mau15a!$G$11:$G$310,Mau15a!$B$11:$B$310,B618))</f>
        <v/>
      </c>
      <c r="J618" s="39" t="str">
        <f t="shared" si="47"/>
        <v/>
      </c>
      <c r="K618" s="39" t="str">
        <f>IF(B618="","",(SUMIFS(Mau15a!$K$11:$K$310,Mau15a!$B$11:$B$310,B618)-SUMIFS(Mau15a!$E$11:$E$310,Mau15a!$B$11:$B$310,B618))*G618)</f>
        <v/>
      </c>
      <c r="L618" s="36" t="str">
        <f t="shared" si="48"/>
        <v/>
      </c>
      <c r="M618" s="36" t="str">
        <f>IF(B618="","",BOM!G618&amp;"")</f>
        <v/>
      </c>
      <c r="N618" s="36" t="str">
        <f t="shared" si="49"/>
        <v/>
      </c>
    </row>
    <row r="619" spans="1:14" x14ac:dyDescent="0.25">
      <c r="A619" s="35" t="str">
        <f t="shared" si="45"/>
        <v/>
      </c>
      <c r="B619" s="35" t="str">
        <f>IF(BOM!A619="","",BOM!A619)</f>
        <v/>
      </c>
      <c r="C619" s="35" t="str">
        <f>IF(B619="","",BOM!B619)</f>
        <v/>
      </c>
      <c r="D619" s="35" t="str">
        <f>IF(B619="","",IFERROR(INDEX(DM_NL!$B$5:$B$304,MATCH(C619,DM_NL!$A$5:$A$304,0)),""))</f>
        <v/>
      </c>
      <c r="E619" s="35" t="str">
        <f>IF(B619="","",IFERROR(INDEX(DM_NL!$C$5:$C$304,MATCH(C619,DM_NL!$A$5:$A$304,0)),""))</f>
        <v/>
      </c>
      <c r="F619" s="39" t="str">
        <f>IF(B619="","",SUMIFS(Mau15a!$F$11:$F$310,Mau15a!$B$11:$B$310,B619))</f>
        <v/>
      </c>
      <c r="G619" s="39" t="str">
        <f>IF(B619="","",IF(OR(M619="KXDDM",BOM!F619=""),0,BOM!F619))</f>
        <v/>
      </c>
      <c r="H619" s="39" t="str">
        <f t="shared" si="46"/>
        <v/>
      </c>
      <c r="I619" s="39" t="str">
        <f>IF(B619="","",SUMIFS(Mau15a!$H$11:$H$310,Mau15a!$B$11:$B$310,B619)+SUMIFS(Mau15a!$I$11:$I$310,Mau15a!$B$11:$B$310,B619)+SUMIFS(Mau15a!$J$11:$J$310,Mau15a!$B$11:$B$310,B619)-SUMIFS(Mau15a!$G$11:$G$310,Mau15a!$B$11:$B$310,B619))</f>
        <v/>
      </c>
      <c r="J619" s="39" t="str">
        <f t="shared" si="47"/>
        <v/>
      </c>
      <c r="K619" s="39" t="str">
        <f>IF(B619="","",(SUMIFS(Mau15a!$K$11:$K$310,Mau15a!$B$11:$B$310,B619)-SUMIFS(Mau15a!$E$11:$E$310,Mau15a!$B$11:$B$310,B619))*G619)</f>
        <v/>
      </c>
      <c r="L619" s="36" t="str">
        <f t="shared" si="48"/>
        <v/>
      </c>
      <c r="M619" s="36" t="str">
        <f>IF(B619="","",BOM!G619&amp;"")</f>
        <v/>
      </c>
      <c r="N619" s="36" t="str">
        <f t="shared" si="49"/>
        <v/>
      </c>
    </row>
    <row r="620" spans="1:14" x14ac:dyDescent="0.25">
      <c r="A620" s="35" t="str">
        <f t="shared" si="45"/>
        <v/>
      </c>
      <c r="B620" s="35" t="str">
        <f>IF(BOM!A620="","",BOM!A620)</f>
        <v/>
      </c>
      <c r="C620" s="35" t="str">
        <f>IF(B620="","",BOM!B620)</f>
        <v/>
      </c>
      <c r="D620" s="35" t="str">
        <f>IF(B620="","",IFERROR(INDEX(DM_NL!$B$5:$B$304,MATCH(C620,DM_NL!$A$5:$A$304,0)),""))</f>
        <v/>
      </c>
      <c r="E620" s="35" t="str">
        <f>IF(B620="","",IFERROR(INDEX(DM_NL!$C$5:$C$304,MATCH(C620,DM_NL!$A$5:$A$304,0)),""))</f>
        <v/>
      </c>
      <c r="F620" s="39" t="str">
        <f>IF(B620="","",SUMIFS(Mau15a!$F$11:$F$310,Mau15a!$B$11:$B$310,B620))</f>
        <v/>
      </c>
      <c r="G620" s="39" t="str">
        <f>IF(B620="","",IF(OR(M620="KXDDM",BOM!F620=""),0,BOM!F620))</f>
        <v/>
      </c>
      <c r="H620" s="39" t="str">
        <f t="shared" si="46"/>
        <v/>
      </c>
      <c r="I620" s="39" t="str">
        <f>IF(B620="","",SUMIFS(Mau15a!$H$11:$H$310,Mau15a!$B$11:$B$310,B620)+SUMIFS(Mau15a!$I$11:$I$310,Mau15a!$B$11:$B$310,B620)+SUMIFS(Mau15a!$J$11:$J$310,Mau15a!$B$11:$B$310,B620)-SUMIFS(Mau15a!$G$11:$G$310,Mau15a!$B$11:$B$310,B620))</f>
        <v/>
      </c>
      <c r="J620" s="39" t="str">
        <f t="shared" si="47"/>
        <v/>
      </c>
      <c r="K620" s="39" t="str">
        <f>IF(B620="","",(SUMIFS(Mau15a!$K$11:$K$310,Mau15a!$B$11:$B$310,B620)-SUMIFS(Mau15a!$E$11:$E$310,Mau15a!$B$11:$B$310,B620))*G620)</f>
        <v/>
      </c>
      <c r="L620" s="36" t="str">
        <f t="shared" si="48"/>
        <v/>
      </c>
      <c r="M620" s="36" t="str">
        <f>IF(B620="","",BOM!G620&amp;"")</f>
        <v/>
      </c>
      <c r="N620" s="36" t="str">
        <f t="shared" si="49"/>
        <v/>
      </c>
    </row>
    <row r="621" spans="1:14" x14ac:dyDescent="0.25">
      <c r="A621" s="35" t="str">
        <f t="shared" si="45"/>
        <v/>
      </c>
      <c r="B621" s="35" t="str">
        <f>IF(BOM!A621="","",BOM!A621)</f>
        <v/>
      </c>
      <c r="C621" s="35" t="str">
        <f>IF(B621="","",BOM!B621)</f>
        <v/>
      </c>
      <c r="D621" s="35" t="str">
        <f>IF(B621="","",IFERROR(INDEX(DM_NL!$B$5:$B$304,MATCH(C621,DM_NL!$A$5:$A$304,0)),""))</f>
        <v/>
      </c>
      <c r="E621" s="35" t="str">
        <f>IF(B621="","",IFERROR(INDEX(DM_NL!$C$5:$C$304,MATCH(C621,DM_NL!$A$5:$A$304,0)),""))</f>
        <v/>
      </c>
      <c r="F621" s="39" t="str">
        <f>IF(B621="","",SUMIFS(Mau15a!$F$11:$F$310,Mau15a!$B$11:$B$310,B621))</f>
        <v/>
      </c>
      <c r="G621" s="39" t="str">
        <f>IF(B621="","",IF(OR(M621="KXDDM",BOM!F621=""),0,BOM!F621))</f>
        <v/>
      </c>
      <c r="H621" s="39" t="str">
        <f t="shared" si="46"/>
        <v/>
      </c>
      <c r="I621" s="39" t="str">
        <f>IF(B621="","",SUMIFS(Mau15a!$H$11:$H$310,Mau15a!$B$11:$B$310,B621)+SUMIFS(Mau15a!$I$11:$I$310,Mau15a!$B$11:$B$310,B621)+SUMIFS(Mau15a!$J$11:$J$310,Mau15a!$B$11:$B$310,B621)-SUMIFS(Mau15a!$G$11:$G$310,Mau15a!$B$11:$B$310,B621))</f>
        <v/>
      </c>
      <c r="J621" s="39" t="str">
        <f t="shared" si="47"/>
        <v/>
      </c>
      <c r="K621" s="39" t="str">
        <f>IF(B621="","",(SUMIFS(Mau15a!$K$11:$K$310,Mau15a!$B$11:$B$310,B621)-SUMIFS(Mau15a!$E$11:$E$310,Mau15a!$B$11:$B$310,B621))*G621)</f>
        <v/>
      </c>
      <c r="L621" s="36" t="str">
        <f t="shared" si="48"/>
        <v/>
      </c>
      <c r="M621" s="36" t="str">
        <f>IF(B621="","",BOM!G621&amp;"")</f>
        <v/>
      </c>
      <c r="N621" s="36" t="str">
        <f t="shared" si="49"/>
        <v/>
      </c>
    </row>
    <row r="622" spans="1:14" x14ac:dyDescent="0.25">
      <c r="A622" s="35" t="str">
        <f t="shared" si="45"/>
        <v/>
      </c>
      <c r="B622" s="35" t="str">
        <f>IF(BOM!A622="","",BOM!A622)</f>
        <v/>
      </c>
      <c r="C622" s="35" t="str">
        <f>IF(B622="","",BOM!B622)</f>
        <v/>
      </c>
      <c r="D622" s="35" t="str">
        <f>IF(B622="","",IFERROR(INDEX(DM_NL!$B$5:$B$304,MATCH(C622,DM_NL!$A$5:$A$304,0)),""))</f>
        <v/>
      </c>
      <c r="E622" s="35" t="str">
        <f>IF(B622="","",IFERROR(INDEX(DM_NL!$C$5:$C$304,MATCH(C622,DM_NL!$A$5:$A$304,0)),""))</f>
        <v/>
      </c>
      <c r="F622" s="39" t="str">
        <f>IF(B622="","",SUMIFS(Mau15a!$F$11:$F$310,Mau15a!$B$11:$B$310,B622))</f>
        <v/>
      </c>
      <c r="G622" s="39" t="str">
        <f>IF(B622="","",IF(OR(M622="KXDDM",BOM!F622=""),0,BOM!F622))</f>
        <v/>
      </c>
      <c r="H622" s="39" t="str">
        <f t="shared" si="46"/>
        <v/>
      </c>
      <c r="I622" s="39" t="str">
        <f>IF(B622="","",SUMIFS(Mau15a!$H$11:$H$310,Mau15a!$B$11:$B$310,B622)+SUMIFS(Mau15a!$I$11:$I$310,Mau15a!$B$11:$B$310,B622)+SUMIFS(Mau15a!$J$11:$J$310,Mau15a!$B$11:$B$310,B622)-SUMIFS(Mau15a!$G$11:$G$310,Mau15a!$B$11:$B$310,B622))</f>
        <v/>
      </c>
      <c r="J622" s="39" t="str">
        <f t="shared" si="47"/>
        <v/>
      </c>
      <c r="K622" s="39" t="str">
        <f>IF(B622="","",(SUMIFS(Mau15a!$K$11:$K$310,Mau15a!$B$11:$B$310,B622)-SUMIFS(Mau15a!$E$11:$E$310,Mau15a!$B$11:$B$310,B622))*G622)</f>
        <v/>
      </c>
      <c r="L622" s="36" t="str">
        <f t="shared" si="48"/>
        <v/>
      </c>
      <c r="M622" s="36" t="str">
        <f>IF(B622="","",BOM!G622&amp;"")</f>
        <v/>
      </c>
      <c r="N622" s="36" t="str">
        <f t="shared" si="49"/>
        <v/>
      </c>
    </row>
    <row r="623" spans="1:14" x14ac:dyDescent="0.25">
      <c r="A623" s="35" t="str">
        <f t="shared" si="45"/>
        <v/>
      </c>
      <c r="B623" s="35" t="str">
        <f>IF(BOM!A623="","",BOM!A623)</f>
        <v/>
      </c>
      <c r="C623" s="35" t="str">
        <f>IF(B623="","",BOM!B623)</f>
        <v/>
      </c>
      <c r="D623" s="35" t="str">
        <f>IF(B623="","",IFERROR(INDEX(DM_NL!$B$5:$B$304,MATCH(C623,DM_NL!$A$5:$A$304,0)),""))</f>
        <v/>
      </c>
      <c r="E623" s="35" t="str">
        <f>IF(B623="","",IFERROR(INDEX(DM_NL!$C$5:$C$304,MATCH(C623,DM_NL!$A$5:$A$304,0)),""))</f>
        <v/>
      </c>
      <c r="F623" s="39" t="str">
        <f>IF(B623="","",SUMIFS(Mau15a!$F$11:$F$310,Mau15a!$B$11:$B$310,B623))</f>
        <v/>
      </c>
      <c r="G623" s="39" t="str">
        <f>IF(B623="","",IF(OR(M623="KXDDM",BOM!F623=""),0,BOM!F623))</f>
        <v/>
      </c>
      <c r="H623" s="39" t="str">
        <f t="shared" si="46"/>
        <v/>
      </c>
      <c r="I623" s="39" t="str">
        <f>IF(B623="","",SUMIFS(Mau15a!$H$11:$H$310,Mau15a!$B$11:$B$310,B623)+SUMIFS(Mau15a!$I$11:$I$310,Mau15a!$B$11:$B$310,B623)+SUMIFS(Mau15a!$J$11:$J$310,Mau15a!$B$11:$B$310,B623)-SUMIFS(Mau15a!$G$11:$G$310,Mau15a!$B$11:$B$310,B623))</f>
        <v/>
      </c>
      <c r="J623" s="39" t="str">
        <f t="shared" si="47"/>
        <v/>
      </c>
      <c r="K623" s="39" t="str">
        <f>IF(B623="","",(SUMIFS(Mau15a!$K$11:$K$310,Mau15a!$B$11:$B$310,B623)-SUMIFS(Mau15a!$E$11:$E$310,Mau15a!$B$11:$B$310,B623))*G623)</f>
        <v/>
      </c>
      <c r="L623" s="36" t="str">
        <f t="shared" si="48"/>
        <v/>
      </c>
      <c r="M623" s="36" t="str">
        <f>IF(B623="","",BOM!G623&amp;"")</f>
        <v/>
      </c>
      <c r="N623" s="36" t="str">
        <f t="shared" si="49"/>
        <v/>
      </c>
    </row>
    <row r="624" spans="1:14" x14ac:dyDescent="0.25">
      <c r="A624" s="35" t="str">
        <f t="shared" si="45"/>
        <v/>
      </c>
      <c r="B624" s="35" t="str">
        <f>IF(BOM!A624="","",BOM!A624)</f>
        <v/>
      </c>
      <c r="C624" s="35" t="str">
        <f>IF(B624="","",BOM!B624)</f>
        <v/>
      </c>
      <c r="D624" s="35" t="str">
        <f>IF(B624="","",IFERROR(INDEX(DM_NL!$B$5:$B$304,MATCH(C624,DM_NL!$A$5:$A$304,0)),""))</f>
        <v/>
      </c>
      <c r="E624" s="35" t="str">
        <f>IF(B624="","",IFERROR(INDEX(DM_NL!$C$5:$C$304,MATCH(C624,DM_NL!$A$5:$A$304,0)),""))</f>
        <v/>
      </c>
      <c r="F624" s="39" t="str">
        <f>IF(B624="","",SUMIFS(Mau15a!$F$11:$F$310,Mau15a!$B$11:$B$310,B624))</f>
        <v/>
      </c>
      <c r="G624" s="39" t="str">
        <f>IF(B624="","",IF(OR(M624="KXDDM",BOM!F624=""),0,BOM!F624))</f>
        <v/>
      </c>
      <c r="H624" s="39" t="str">
        <f t="shared" si="46"/>
        <v/>
      </c>
      <c r="I624" s="39" t="str">
        <f>IF(B624="","",SUMIFS(Mau15a!$H$11:$H$310,Mau15a!$B$11:$B$310,B624)+SUMIFS(Mau15a!$I$11:$I$310,Mau15a!$B$11:$B$310,B624)+SUMIFS(Mau15a!$J$11:$J$310,Mau15a!$B$11:$B$310,B624)-SUMIFS(Mau15a!$G$11:$G$310,Mau15a!$B$11:$B$310,B624))</f>
        <v/>
      </c>
      <c r="J624" s="39" t="str">
        <f t="shared" si="47"/>
        <v/>
      </c>
      <c r="K624" s="39" t="str">
        <f>IF(B624="","",(SUMIFS(Mau15a!$K$11:$K$310,Mau15a!$B$11:$B$310,B624)-SUMIFS(Mau15a!$E$11:$E$310,Mau15a!$B$11:$B$310,B624))*G624)</f>
        <v/>
      </c>
      <c r="L624" s="36" t="str">
        <f t="shared" si="48"/>
        <v/>
      </c>
      <c r="M624" s="36" t="str">
        <f>IF(B624="","",BOM!G624&amp;"")</f>
        <v/>
      </c>
      <c r="N624" s="36" t="str">
        <f t="shared" si="49"/>
        <v/>
      </c>
    </row>
    <row r="625" spans="1:14" x14ac:dyDescent="0.25">
      <c r="A625" s="35" t="str">
        <f t="shared" si="45"/>
        <v/>
      </c>
      <c r="B625" s="35" t="str">
        <f>IF(BOM!A625="","",BOM!A625)</f>
        <v/>
      </c>
      <c r="C625" s="35" t="str">
        <f>IF(B625="","",BOM!B625)</f>
        <v/>
      </c>
      <c r="D625" s="35" t="str">
        <f>IF(B625="","",IFERROR(INDEX(DM_NL!$B$5:$B$304,MATCH(C625,DM_NL!$A$5:$A$304,0)),""))</f>
        <v/>
      </c>
      <c r="E625" s="35" t="str">
        <f>IF(B625="","",IFERROR(INDEX(DM_NL!$C$5:$C$304,MATCH(C625,DM_NL!$A$5:$A$304,0)),""))</f>
        <v/>
      </c>
      <c r="F625" s="39" t="str">
        <f>IF(B625="","",SUMIFS(Mau15a!$F$11:$F$310,Mau15a!$B$11:$B$310,B625))</f>
        <v/>
      </c>
      <c r="G625" s="39" t="str">
        <f>IF(B625="","",IF(OR(M625="KXDDM",BOM!F625=""),0,BOM!F625))</f>
        <v/>
      </c>
      <c r="H625" s="39" t="str">
        <f t="shared" si="46"/>
        <v/>
      </c>
      <c r="I625" s="39" t="str">
        <f>IF(B625="","",SUMIFS(Mau15a!$H$11:$H$310,Mau15a!$B$11:$B$310,B625)+SUMIFS(Mau15a!$I$11:$I$310,Mau15a!$B$11:$B$310,B625)+SUMIFS(Mau15a!$J$11:$J$310,Mau15a!$B$11:$B$310,B625)-SUMIFS(Mau15a!$G$11:$G$310,Mau15a!$B$11:$B$310,B625))</f>
        <v/>
      </c>
      <c r="J625" s="39" t="str">
        <f t="shared" si="47"/>
        <v/>
      </c>
      <c r="K625" s="39" t="str">
        <f>IF(B625="","",(SUMIFS(Mau15a!$K$11:$K$310,Mau15a!$B$11:$B$310,B625)-SUMIFS(Mau15a!$E$11:$E$310,Mau15a!$B$11:$B$310,B625))*G625)</f>
        <v/>
      </c>
      <c r="L625" s="36" t="str">
        <f t="shared" si="48"/>
        <v/>
      </c>
      <c r="M625" s="36" t="str">
        <f>IF(B625="","",BOM!G625&amp;"")</f>
        <v/>
      </c>
      <c r="N625" s="36" t="str">
        <f t="shared" si="49"/>
        <v/>
      </c>
    </row>
    <row r="626" spans="1:14" x14ac:dyDescent="0.25">
      <c r="A626" s="35" t="str">
        <f t="shared" si="45"/>
        <v/>
      </c>
      <c r="B626" s="35" t="str">
        <f>IF(BOM!A626="","",BOM!A626)</f>
        <v/>
      </c>
      <c r="C626" s="35" t="str">
        <f>IF(B626="","",BOM!B626)</f>
        <v/>
      </c>
      <c r="D626" s="35" t="str">
        <f>IF(B626="","",IFERROR(INDEX(DM_NL!$B$5:$B$304,MATCH(C626,DM_NL!$A$5:$A$304,0)),""))</f>
        <v/>
      </c>
      <c r="E626" s="35" t="str">
        <f>IF(B626="","",IFERROR(INDEX(DM_NL!$C$5:$C$304,MATCH(C626,DM_NL!$A$5:$A$304,0)),""))</f>
        <v/>
      </c>
      <c r="F626" s="39" t="str">
        <f>IF(B626="","",SUMIFS(Mau15a!$F$11:$F$310,Mau15a!$B$11:$B$310,B626))</f>
        <v/>
      </c>
      <c r="G626" s="39" t="str">
        <f>IF(B626="","",IF(OR(M626="KXDDM",BOM!F626=""),0,BOM!F626))</f>
        <v/>
      </c>
      <c r="H626" s="39" t="str">
        <f t="shared" si="46"/>
        <v/>
      </c>
      <c r="I626" s="39" t="str">
        <f>IF(B626="","",SUMIFS(Mau15a!$H$11:$H$310,Mau15a!$B$11:$B$310,B626)+SUMIFS(Mau15a!$I$11:$I$310,Mau15a!$B$11:$B$310,B626)+SUMIFS(Mau15a!$J$11:$J$310,Mau15a!$B$11:$B$310,B626)-SUMIFS(Mau15a!$G$11:$G$310,Mau15a!$B$11:$B$310,B626))</f>
        <v/>
      </c>
      <c r="J626" s="39" t="str">
        <f t="shared" si="47"/>
        <v/>
      </c>
      <c r="K626" s="39" t="str">
        <f>IF(B626="","",(SUMIFS(Mau15a!$K$11:$K$310,Mau15a!$B$11:$B$310,B626)-SUMIFS(Mau15a!$E$11:$E$310,Mau15a!$B$11:$B$310,B626))*G626)</f>
        <v/>
      </c>
      <c r="L626" s="36" t="str">
        <f t="shared" si="48"/>
        <v/>
      </c>
      <c r="M626" s="36" t="str">
        <f>IF(B626="","",BOM!G626&amp;"")</f>
        <v/>
      </c>
      <c r="N626" s="36" t="str">
        <f t="shared" si="49"/>
        <v/>
      </c>
    </row>
    <row r="627" spans="1:14" x14ac:dyDescent="0.25">
      <c r="A627" s="35" t="str">
        <f t="shared" si="45"/>
        <v/>
      </c>
      <c r="B627" s="35" t="str">
        <f>IF(BOM!A627="","",BOM!A627)</f>
        <v/>
      </c>
      <c r="C627" s="35" t="str">
        <f>IF(B627="","",BOM!B627)</f>
        <v/>
      </c>
      <c r="D627" s="35" t="str">
        <f>IF(B627="","",IFERROR(INDEX(DM_NL!$B$5:$B$304,MATCH(C627,DM_NL!$A$5:$A$304,0)),""))</f>
        <v/>
      </c>
      <c r="E627" s="35" t="str">
        <f>IF(B627="","",IFERROR(INDEX(DM_NL!$C$5:$C$304,MATCH(C627,DM_NL!$A$5:$A$304,0)),""))</f>
        <v/>
      </c>
      <c r="F627" s="39" t="str">
        <f>IF(B627="","",SUMIFS(Mau15a!$F$11:$F$310,Mau15a!$B$11:$B$310,B627))</f>
        <v/>
      </c>
      <c r="G627" s="39" t="str">
        <f>IF(B627="","",IF(OR(M627="KXDDM",BOM!F627=""),0,BOM!F627))</f>
        <v/>
      </c>
      <c r="H627" s="39" t="str">
        <f t="shared" si="46"/>
        <v/>
      </c>
      <c r="I627" s="39" t="str">
        <f>IF(B627="","",SUMIFS(Mau15a!$H$11:$H$310,Mau15a!$B$11:$B$310,B627)+SUMIFS(Mau15a!$I$11:$I$310,Mau15a!$B$11:$B$310,B627)+SUMIFS(Mau15a!$J$11:$J$310,Mau15a!$B$11:$B$310,B627)-SUMIFS(Mau15a!$G$11:$G$310,Mau15a!$B$11:$B$310,B627))</f>
        <v/>
      </c>
      <c r="J627" s="39" t="str">
        <f t="shared" si="47"/>
        <v/>
      </c>
      <c r="K627" s="39" t="str">
        <f>IF(B627="","",(SUMIFS(Mau15a!$K$11:$K$310,Mau15a!$B$11:$B$310,B627)-SUMIFS(Mau15a!$E$11:$E$310,Mau15a!$B$11:$B$310,B627))*G627)</f>
        <v/>
      </c>
      <c r="L627" s="36" t="str">
        <f t="shared" si="48"/>
        <v/>
      </c>
      <c r="M627" s="36" t="str">
        <f>IF(B627="","",BOM!G627&amp;"")</f>
        <v/>
      </c>
      <c r="N627" s="36" t="str">
        <f t="shared" si="49"/>
        <v/>
      </c>
    </row>
    <row r="628" spans="1:14" x14ac:dyDescent="0.25">
      <c r="A628" s="35" t="str">
        <f t="shared" si="45"/>
        <v/>
      </c>
      <c r="B628" s="35" t="str">
        <f>IF(BOM!A628="","",BOM!A628)</f>
        <v/>
      </c>
      <c r="C628" s="35" t="str">
        <f>IF(B628="","",BOM!B628)</f>
        <v/>
      </c>
      <c r="D628" s="35" t="str">
        <f>IF(B628="","",IFERROR(INDEX(DM_NL!$B$5:$B$304,MATCH(C628,DM_NL!$A$5:$A$304,0)),""))</f>
        <v/>
      </c>
      <c r="E628" s="35" t="str">
        <f>IF(B628="","",IFERROR(INDEX(DM_NL!$C$5:$C$304,MATCH(C628,DM_NL!$A$5:$A$304,0)),""))</f>
        <v/>
      </c>
      <c r="F628" s="39" t="str">
        <f>IF(B628="","",SUMIFS(Mau15a!$F$11:$F$310,Mau15a!$B$11:$B$310,B628))</f>
        <v/>
      </c>
      <c r="G628" s="39" t="str">
        <f>IF(B628="","",IF(OR(M628="KXDDM",BOM!F628=""),0,BOM!F628))</f>
        <v/>
      </c>
      <c r="H628" s="39" t="str">
        <f t="shared" si="46"/>
        <v/>
      </c>
      <c r="I628" s="39" t="str">
        <f>IF(B628="","",SUMIFS(Mau15a!$H$11:$H$310,Mau15a!$B$11:$B$310,B628)+SUMIFS(Mau15a!$I$11:$I$310,Mau15a!$B$11:$B$310,B628)+SUMIFS(Mau15a!$J$11:$J$310,Mau15a!$B$11:$B$310,B628)-SUMIFS(Mau15a!$G$11:$G$310,Mau15a!$B$11:$B$310,B628))</f>
        <v/>
      </c>
      <c r="J628" s="39" t="str">
        <f t="shared" si="47"/>
        <v/>
      </c>
      <c r="K628" s="39" t="str">
        <f>IF(B628="","",(SUMIFS(Mau15a!$K$11:$K$310,Mau15a!$B$11:$B$310,B628)-SUMIFS(Mau15a!$E$11:$E$310,Mau15a!$B$11:$B$310,B628))*G628)</f>
        <v/>
      </c>
      <c r="L628" s="36" t="str">
        <f t="shared" si="48"/>
        <v/>
      </c>
      <c r="M628" s="36" t="str">
        <f>IF(B628="","",BOM!G628&amp;"")</f>
        <v/>
      </c>
      <c r="N628" s="36" t="str">
        <f t="shared" si="49"/>
        <v/>
      </c>
    </row>
    <row r="629" spans="1:14" x14ac:dyDescent="0.25">
      <c r="A629" s="35" t="str">
        <f t="shared" si="45"/>
        <v/>
      </c>
      <c r="B629" s="35" t="str">
        <f>IF(BOM!A629="","",BOM!A629)</f>
        <v/>
      </c>
      <c r="C629" s="35" t="str">
        <f>IF(B629="","",BOM!B629)</f>
        <v/>
      </c>
      <c r="D629" s="35" t="str">
        <f>IF(B629="","",IFERROR(INDEX(DM_NL!$B$5:$B$304,MATCH(C629,DM_NL!$A$5:$A$304,0)),""))</f>
        <v/>
      </c>
      <c r="E629" s="35" t="str">
        <f>IF(B629="","",IFERROR(INDEX(DM_NL!$C$5:$C$304,MATCH(C629,DM_NL!$A$5:$A$304,0)),""))</f>
        <v/>
      </c>
      <c r="F629" s="39" t="str">
        <f>IF(B629="","",SUMIFS(Mau15a!$F$11:$F$310,Mau15a!$B$11:$B$310,B629))</f>
        <v/>
      </c>
      <c r="G629" s="39" t="str">
        <f>IF(B629="","",IF(OR(M629="KXDDM",BOM!F629=""),0,BOM!F629))</f>
        <v/>
      </c>
      <c r="H629" s="39" t="str">
        <f t="shared" si="46"/>
        <v/>
      </c>
      <c r="I629" s="39" t="str">
        <f>IF(B629="","",SUMIFS(Mau15a!$H$11:$H$310,Mau15a!$B$11:$B$310,B629)+SUMIFS(Mau15a!$I$11:$I$310,Mau15a!$B$11:$B$310,B629)+SUMIFS(Mau15a!$J$11:$J$310,Mau15a!$B$11:$B$310,B629)-SUMIFS(Mau15a!$G$11:$G$310,Mau15a!$B$11:$B$310,B629))</f>
        <v/>
      </c>
      <c r="J629" s="39" t="str">
        <f t="shared" si="47"/>
        <v/>
      </c>
      <c r="K629" s="39" t="str">
        <f>IF(B629="","",(SUMIFS(Mau15a!$K$11:$K$310,Mau15a!$B$11:$B$310,B629)-SUMIFS(Mau15a!$E$11:$E$310,Mau15a!$B$11:$B$310,B629))*G629)</f>
        <v/>
      </c>
      <c r="L629" s="36" t="str">
        <f t="shared" si="48"/>
        <v/>
      </c>
      <c r="M629" s="36" t="str">
        <f>IF(B629="","",BOM!G629&amp;"")</f>
        <v/>
      </c>
      <c r="N629" s="36" t="str">
        <f t="shared" si="49"/>
        <v/>
      </c>
    </row>
    <row r="630" spans="1:14" x14ac:dyDescent="0.25">
      <c r="A630" s="35" t="str">
        <f t="shared" si="45"/>
        <v/>
      </c>
      <c r="B630" s="35" t="str">
        <f>IF(BOM!A630="","",BOM!A630)</f>
        <v/>
      </c>
      <c r="C630" s="35" t="str">
        <f>IF(B630="","",BOM!B630)</f>
        <v/>
      </c>
      <c r="D630" s="35" t="str">
        <f>IF(B630="","",IFERROR(INDEX(DM_NL!$B$5:$B$304,MATCH(C630,DM_NL!$A$5:$A$304,0)),""))</f>
        <v/>
      </c>
      <c r="E630" s="35" t="str">
        <f>IF(B630="","",IFERROR(INDEX(DM_NL!$C$5:$C$304,MATCH(C630,DM_NL!$A$5:$A$304,0)),""))</f>
        <v/>
      </c>
      <c r="F630" s="39" t="str">
        <f>IF(B630="","",SUMIFS(Mau15a!$F$11:$F$310,Mau15a!$B$11:$B$310,B630))</f>
        <v/>
      </c>
      <c r="G630" s="39" t="str">
        <f>IF(B630="","",IF(OR(M630="KXDDM",BOM!F630=""),0,BOM!F630))</f>
        <v/>
      </c>
      <c r="H630" s="39" t="str">
        <f t="shared" si="46"/>
        <v/>
      </c>
      <c r="I630" s="39" t="str">
        <f>IF(B630="","",SUMIFS(Mau15a!$H$11:$H$310,Mau15a!$B$11:$B$310,B630)+SUMIFS(Mau15a!$I$11:$I$310,Mau15a!$B$11:$B$310,B630)+SUMIFS(Mau15a!$J$11:$J$310,Mau15a!$B$11:$B$310,B630)-SUMIFS(Mau15a!$G$11:$G$310,Mau15a!$B$11:$B$310,B630))</f>
        <v/>
      </c>
      <c r="J630" s="39" t="str">
        <f t="shared" si="47"/>
        <v/>
      </c>
      <c r="K630" s="39" t="str">
        <f>IF(B630="","",(SUMIFS(Mau15a!$K$11:$K$310,Mau15a!$B$11:$B$310,B630)-SUMIFS(Mau15a!$E$11:$E$310,Mau15a!$B$11:$B$310,B630))*G630)</f>
        <v/>
      </c>
      <c r="L630" s="36" t="str">
        <f t="shared" si="48"/>
        <v/>
      </c>
      <c r="M630" s="36" t="str">
        <f>IF(B630="","",BOM!G630&amp;"")</f>
        <v/>
      </c>
      <c r="N630" s="36" t="str">
        <f t="shared" si="49"/>
        <v/>
      </c>
    </row>
    <row r="631" spans="1:14" x14ac:dyDescent="0.25">
      <c r="A631" s="35" t="str">
        <f t="shared" si="45"/>
        <v/>
      </c>
      <c r="B631" s="35" t="str">
        <f>IF(BOM!A631="","",BOM!A631)</f>
        <v/>
      </c>
      <c r="C631" s="35" t="str">
        <f>IF(B631="","",BOM!B631)</f>
        <v/>
      </c>
      <c r="D631" s="35" t="str">
        <f>IF(B631="","",IFERROR(INDEX(DM_NL!$B$5:$B$304,MATCH(C631,DM_NL!$A$5:$A$304,0)),""))</f>
        <v/>
      </c>
      <c r="E631" s="35" t="str">
        <f>IF(B631="","",IFERROR(INDEX(DM_NL!$C$5:$C$304,MATCH(C631,DM_NL!$A$5:$A$304,0)),""))</f>
        <v/>
      </c>
      <c r="F631" s="39" t="str">
        <f>IF(B631="","",SUMIFS(Mau15a!$F$11:$F$310,Mau15a!$B$11:$B$310,B631))</f>
        <v/>
      </c>
      <c r="G631" s="39" t="str">
        <f>IF(B631="","",IF(OR(M631="KXDDM",BOM!F631=""),0,BOM!F631))</f>
        <v/>
      </c>
      <c r="H631" s="39" t="str">
        <f t="shared" si="46"/>
        <v/>
      </c>
      <c r="I631" s="39" t="str">
        <f>IF(B631="","",SUMIFS(Mau15a!$H$11:$H$310,Mau15a!$B$11:$B$310,B631)+SUMIFS(Mau15a!$I$11:$I$310,Mau15a!$B$11:$B$310,B631)+SUMIFS(Mau15a!$J$11:$J$310,Mau15a!$B$11:$B$310,B631)-SUMIFS(Mau15a!$G$11:$G$310,Mau15a!$B$11:$B$310,B631))</f>
        <v/>
      </c>
      <c r="J631" s="39" t="str">
        <f t="shared" si="47"/>
        <v/>
      </c>
      <c r="K631" s="39" t="str">
        <f>IF(B631="","",(SUMIFS(Mau15a!$K$11:$K$310,Mau15a!$B$11:$B$310,B631)-SUMIFS(Mau15a!$E$11:$E$310,Mau15a!$B$11:$B$310,B631))*G631)</f>
        <v/>
      </c>
      <c r="L631" s="36" t="str">
        <f t="shared" si="48"/>
        <v/>
      </c>
      <c r="M631" s="36" t="str">
        <f>IF(B631="","",BOM!G631&amp;"")</f>
        <v/>
      </c>
      <c r="N631" s="36" t="str">
        <f t="shared" si="49"/>
        <v/>
      </c>
    </row>
    <row r="632" spans="1:14" x14ac:dyDescent="0.25">
      <c r="A632" s="35" t="str">
        <f t="shared" si="45"/>
        <v/>
      </c>
      <c r="B632" s="35" t="str">
        <f>IF(BOM!A632="","",BOM!A632)</f>
        <v/>
      </c>
      <c r="C632" s="35" t="str">
        <f>IF(B632="","",BOM!B632)</f>
        <v/>
      </c>
      <c r="D632" s="35" t="str">
        <f>IF(B632="","",IFERROR(INDEX(DM_NL!$B$5:$B$304,MATCH(C632,DM_NL!$A$5:$A$304,0)),""))</f>
        <v/>
      </c>
      <c r="E632" s="35" t="str">
        <f>IF(B632="","",IFERROR(INDEX(DM_NL!$C$5:$C$304,MATCH(C632,DM_NL!$A$5:$A$304,0)),""))</f>
        <v/>
      </c>
      <c r="F632" s="39" t="str">
        <f>IF(B632="","",SUMIFS(Mau15a!$F$11:$F$310,Mau15a!$B$11:$B$310,B632))</f>
        <v/>
      </c>
      <c r="G632" s="39" t="str">
        <f>IF(B632="","",IF(OR(M632="KXDDM",BOM!F632=""),0,BOM!F632))</f>
        <v/>
      </c>
      <c r="H632" s="39" t="str">
        <f t="shared" si="46"/>
        <v/>
      </c>
      <c r="I632" s="39" t="str">
        <f>IF(B632="","",SUMIFS(Mau15a!$H$11:$H$310,Mau15a!$B$11:$B$310,B632)+SUMIFS(Mau15a!$I$11:$I$310,Mau15a!$B$11:$B$310,B632)+SUMIFS(Mau15a!$J$11:$J$310,Mau15a!$B$11:$B$310,B632)-SUMIFS(Mau15a!$G$11:$G$310,Mau15a!$B$11:$B$310,B632))</f>
        <v/>
      </c>
      <c r="J632" s="39" t="str">
        <f t="shared" si="47"/>
        <v/>
      </c>
      <c r="K632" s="39" t="str">
        <f>IF(B632="","",(SUMIFS(Mau15a!$K$11:$K$310,Mau15a!$B$11:$B$310,B632)-SUMIFS(Mau15a!$E$11:$E$310,Mau15a!$B$11:$B$310,B632))*G632)</f>
        <v/>
      </c>
      <c r="L632" s="36" t="str">
        <f t="shared" si="48"/>
        <v/>
      </c>
      <c r="M632" s="36" t="str">
        <f>IF(B632="","",BOM!G632&amp;"")</f>
        <v/>
      </c>
      <c r="N632" s="36" t="str">
        <f t="shared" si="49"/>
        <v/>
      </c>
    </row>
    <row r="633" spans="1:14" x14ac:dyDescent="0.25">
      <c r="A633" s="35" t="str">
        <f t="shared" si="45"/>
        <v/>
      </c>
      <c r="B633" s="35" t="str">
        <f>IF(BOM!A633="","",BOM!A633)</f>
        <v/>
      </c>
      <c r="C633" s="35" t="str">
        <f>IF(B633="","",BOM!B633)</f>
        <v/>
      </c>
      <c r="D633" s="35" t="str">
        <f>IF(B633="","",IFERROR(INDEX(DM_NL!$B$5:$B$304,MATCH(C633,DM_NL!$A$5:$A$304,0)),""))</f>
        <v/>
      </c>
      <c r="E633" s="35" t="str">
        <f>IF(B633="","",IFERROR(INDEX(DM_NL!$C$5:$C$304,MATCH(C633,DM_NL!$A$5:$A$304,0)),""))</f>
        <v/>
      </c>
      <c r="F633" s="39" t="str">
        <f>IF(B633="","",SUMIFS(Mau15a!$F$11:$F$310,Mau15a!$B$11:$B$310,B633))</f>
        <v/>
      </c>
      <c r="G633" s="39" t="str">
        <f>IF(B633="","",IF(OR(M633="KXDDM",BOM!F633=""),0,BOM!F633))</f>
        <v/>
      </c>
      <c r="H633" s="39" t="str">
        <f t="shared" si="46"/>
        <v/>
      </c>
      <c r="I633" s="39" t="str">
        <f>IF(B633="","",SUMIFS(Mau15a!$H$11:$H$310,Mau15a!$B$11:$B$310,B633)+SUMIFS(Mau15a!$I$11:$I$310,Mau15a!$B$11:$B$310,B633)+SUMIFS(Mau15a!$J$11:$J$310,Mau15a!$B$11:$B$310,B633)-SUMIFS(Mau15a!$G$11:$G$310,Mau15a!$B$11:$B$310,B633))</f>
        <v/>
      </c>
      <c r="J633" s="39" t="str">
        <f t="shared" si="47"/>
        <v/>
      </c>
      <c r="K633" s="39" t="str">
        <f>IF(B633="","",(SUMIFS(Mau15a!$K$11:$K$310,Mau15a!$B$11:$B$310,B633)-SUMIFS(Mau15a!$E$11:$E$310,Mau15a!$B$11:$B$310,B633))*G633)</f>
        <v/>
      </c>
      <c r="L633" s="36" t="str">
        <f t="shared" si="48"/>
        <v/>
      </c>
      <c r="M633" s="36" t="str">
        <f>IF(B633="","",BOM!G633&amp;"")</f>
        <v/>
      </c>
      <c r="N633" s="36" t="str">
        <f t="shared" si="49"/>
        <v/>
      </c>
    </row>
    <row r="634" spans="1:14" x14ac:dyDescent="0.25">
      <c r="A634" s="35" t="str">
        <f t="shared" si="45"/>
        <v/>
      </c>
      <c r="B634" s="35" t="str">
        <f>IF(BOM!A634="","",BOM!A634)</f>
        <v/>
      </c>
      <c r="C634" s="35" t="str">
        <f>IF(B634="","",BOM!B634)</f>
        <v/>
      </c>
      <c r="D634" s="35" t="str">
        <f>IF(B634="","",IFERROR(INDEX(DM_NL!$B$5:$B$304,MATCH(C634,DM_NL!$A$5:$A$304,0)),""))</f>
        <v/>
      </c>
      <c r="E634" s="35" t="str">
        <f>IF(B634="","",IFERROR(INDEX(DM_NL!$C$5:$C$304,MATCH(C634,DM_NL!$A$5:$A$304,0)),""))</f>
        <v/>
      </c>
      <c r="F634" s="39" t="str">
        <f>IF(B634="","",SUMIFS(Mau15a!$F$11:$F$310,Mau15a!$B$11:$B$310,B634))</f>
        <v/>
      </c>
      <c r="G634" s="39" t="str">
        <f>IF(B634="","",IF(OR(M634="KXDDM",BOM!F634=""),0,BOM!F634))</f>
        <v/>
      </c>
      <c r="H634" s="39" t="str">
        <f t="shared" si="46"/>
        <v/>
      </c>
      <c r="I634" s="39" t="str">
        <f>IF(B634="","",SUMIFS(Mau15a!$H$11:$H$310,Mau15a!$B$11:$B$310,B634)+SUMIFS(Mau15a!$I$11:$I$310,Mau15a!$B$11:$B$310,B634)+SUMIFS(Mau15a!$J$11:$J$310,Mau15a!$B$11:$B$310,B634)-SUMIFS(Mau15a!$G$11:$G$310,Mau15a!$B$11:$B$310,B634))</f>
        <v/>
      </c>
      <c r="J634" s="39" t="str">
        <f t="shared" si="47"/>
        <v/>
      </c>
      <c r="K634" s="39" t="str">
        <f>IF(B634="","",(SUMIFS(Mau15a!$K$11:$K$310,Mau15a!$B$11:$B$310,B634)-SUMIFS(Mau15a!$E$11:$E$310,Mau15a!$B$11:$B$310,B634))*G634)</f>
        <v/>
      </c>
      <c r="L634" s="36" t="str">
        <f t="shared" si="48"/>
        <v/>
      </c>
      <c r="M634" s="36" t="str">
        <f>IF(B634="","",BOM!G634&amp;"")</f>
        <v/>
      </c>
      <c r="N634" s="36" t="str">
        <f t="shared" si="49"/>
        <v/>
      </c>
    </row>
    <row r="635" spans="1:14" x14ac:dyDescent="0.25">
      <c r="A635" s="35" t="str">
        <f t="shared" si="45"/>
        <v/>
      </c>
      <c r="B635" s="35" t="str">
        <f>IF(BOM!A635="","",BOM!A635)</f>
        <v/>
      </c>
      <c r="C635" s="35" t="str">
        <f>IF(B635="","",BOM!B635)</f>
        <v/>
      </c>
      <c r="D635" s="35" t="str">
        <f>IF(B635="","",IFERROR(INDEX(DM_NL!$B$5:$B$304,MATCH(C635,DM_NL!$A$5:$A$304,0)),""))</f>
        <v/>
      </c>
      <c r="E635" s="35" t="str">
        <f>IF(B635="","",IFERROR(INDEX(DM_NL!$C$5:$C$304,MATCH(C635,DM_NL!$A$5:$A$304,0)),""))</f>
        <v/>
      </c>
      <c r="F635" s="39" t="str">
        <f>IF(B635="","",SUMIFS(Mau15a!$F$11:$F$310,Mau15a!$B$11:$B$310,B635))</f>
        <v/>
      </c>
      <c r="G635" s="39" t="str">
        <f>IF(B635="","",IF(OR(M635="KXDDM",BOM!F635=""),0,BOM!F635))</f>
        <v/>
      </c>
      <c r="H635" s="39" t="str">
        <f t="shared" si="46"/>
        <v/>
      </c>
      <c r="I635" s="39" t="str">
        <f>IF(B635="","",SUMIFS(Mau15a!$H$11:$H$310,Mau15a!$B$11:$B$310,B635)+SUMIFS(Mau15a!$I$11:$I$310,Mau15a!$B$11:$B$310,B635)+SUMIFS(Mau15a!$J$11:$J$310,Mau15a!$B$11:$B$310,B635)-SUMIFS(Mau15a!$G$11:$G$310,Mau15a!$B$11:$B$310,B635))</f>
        <v/>
      </c>
      <c r="J635" s="39" t="str">
        <f t="shared" si="47"/>
        <v/>
      </c>
      <c r="K635" s="39" t="str">
        <f>IF(B635="","",(SUMIFS(Mau15a!$K$11:$K$310,Mau15a!$B$11:$B$310,B635)-SUMIFS(Mau15a!$E$11:$E$310,Mau15a!$B$11:$B$310,B635))*G635)</f>
        <v/>
      </c>
      <c r="L635" s="36" t="str">
        <f t="shared" si="48"/>
        <v/>
      </c>
      <c r="M635" s="36" t="str">
        <f>IF(B635="","",BOM!G635&amp;"")</f>
        <v/>
      </c>
      <c r="N635" s="36" t="str">
        <f t="shared" si="49"/>
        <v/>
      </c>
    </row>
    <row r="636" spans="1:14" x14ac:dyDescent="0.25">
      <c r="A636" s="35" t="str">
        <f t="shared" si="45"/>
        <v/>
      </c>
      <c r="B636" s="35" t="str">
        <f>IF(BOM!A636="","",BOM!A636)</f>
        <v/>
      </c>
      <c r="C636" s="35" t="str">
        <f>IF(B636="","",BOM!B636)</f>
        <v/>
      </c>
      <c r="D636" s="35" t="str">
        <f>IF(B636="","",IFERROR(INDEX(DM_NL!$B$5:$B$304,MATCH(C636,DM_NL!$A$5:$A$304,0)),""))</f>
        <v/>
      </c>
      <c r="E636" s="35" t="str">
        <f>IF(B636="","",IFERROR(INDEX(DM_NL!$C$5:$C$304,MATCH(C636,DM_NL!$A$5:$A$304,0)),""))</f>
        <v/>
      </c>
      <c r="F636" s="39" t="str">
        <f>IF(B636="","",SUMIFS(Mau15a!$F$11:$F$310,Mau15a!$B$11:$B$310,B636))</f>
        <v/>
      </c>
      <c r="G636" s="39" t="str">
        <f>IF(B636="","",IF(OR(M636="KXDDM",BOM!F636=""),0,BOM!F636))</f>
        <v/>
      </c>
      <c r="H636" s="39" t="str">
        <f t="shared" si="46"/>
        <v/>
      </c>
      <c r="I636" s="39" t="str">
        <f>IF(B636="","",SUMIFS(Mau15a!$H$11:$H$310,Mau15a!$B$11:$B$310,B636)+SUMIFS(Mau15a!$I$11:$I$310,Mau15a!$B$11:$B$310,B636)+SUMIFS(Mau15a!$J$11:$J$310,Mau15a!$B$11:$B$310,B636)-SUMIFS(Mau15a!$G$11:$G$310,Mau15a!$B$11:$B$310,B636))</f>
        <v/>
      </c>
      <c r="J636" s="39" t="str">
        <f t="shared" si="47"/>
        <v/>
      </c>
      <c r="K636" s="39" t="str">
        <f>IF(B636="","",(SUMIFS(Mau15a!$K$11:$K$310,Mau15a!$B$11:$B$310,B636)-SUMIFS(Mau15a!$E$11:$E$310,Mau15a!$B$11:$B$310,B636))*G636)</f>
        <v/>
      </c>
      <c r="L636" s="36" t="str">
        <f t="shared" si="48"/>
        <v/>
      </c>
      <c r="M636" s="36" t="str">
        <f>IF(B636="","",BOM!G636&amp;"")</f>
        <v/>
      </c>
      <c r="N636" s="36" t="str">
        <f t="shared" si="49"/>
        <v/>
      </c>
    </row>
    <row r="637" spans="1:14" x14ac:dyDescent="0.25">
      <c r="A637" s="35" t="str">
        <f t="shared" si="45"/>
        <v/>
      </c>
      <c r="B637" s="35" t="str">
        <f>IF(BOM!A637="","",BOM!A637)</f>
        <v/>
      </c>
      <c r="C637" s="35" t="str">
        <f>IF(B637="","",BOM!B637)</f>
        <v/>
      </c>
      <c r="D637" s="35" t="str">
        <f>IF(B637="","",IFERROR(INDEX(DM_NL!$B$5:$B$304,MATCH(C637,DM_NL!$A$5:$A$304,0)),""))</f>
        <v/>
      </c>
      <c r="E637" s="35" t="str">
        <f>IF(B637="","",IFERROR(INDEX(DM_NL!$C$5:$C$304,MATCH(C637,DM_NL!$A$5:$A$304,0)),""))</f>
        <v/>
      </c>
      <c r="F637" s="39" t="str">
        <f>IF(B637="","",SUMIFS(Mau15a!$F$11:$F$310,Mau15a!$B$11:$B$310,B637))</f>
        <v/>
      </c>
      <c r="G637" s="39" t="str">
        <f>IF(B637="","",IF(OR(M637="KXDDM",BOM!F637=""),0,BOM!F637))</f>
        <v/>
      </c>
      <c r="H637" s="39" t="str">
        <f t="shared" si="46"/>
        <v/>
      </c>
      <c r="I637" s="39" t="str">
        <f>IF(B637="","",SUMIFS(Mau15a!$H$11:$H$310,Mau15a!$B$11:$B$310,B637)+SUMIFS(Mau15a!$I$11:$I$310,Mau15a!$B$11:$B$310,B637)+SUMIFS(Mau15a!$J$11:$J$310,Mau15a!$B$11:$B$310,B637)-SUMIFS(Mau15a!$G$11:$G$310,Mau15a!$B$11:$B$310,B637))</f>
        <v/>
      </c>
      <c r="J637" s="39" t="str">
        <f t="shared" si="47"/>
        <v/>
      </c>
      <c r="K637" s="39" t="str">
        <f>IF(B637="","",(SUMIFS(Mau15a!$K$11:$K$310,Mau15a!$B$11:$B$310,B637)-SUMIFS(Mau15a!$E$11:$E$310,Mau15a!$B$11:$B$310,B637))*G637)</f>
        <v/>
      </c>
      <c r="L637" s="36" t="str">
        <f t="shared" si="48"/>
        <v/>
      </c>
      <c r="M637" s="36" t="str">
        <f>IF(B637="","",BOM!G637&amp;"")</f>
        <v/>
      </c>
      <c r="N637" s="36" t="str">
        <f t="shared" si="49"/>
        <v/>
      </c>
    </row>
    <row r="638" spans="1:14" x14ac:dyDescent="0.25">
      <c r="A638" s="35" t="str">
        <f t="shared" si="45"/>
        <v/>
      </c>
      <c r="B638" s="35" t="str">
        <f>IF(BOM!A638="","",BOM!A638)</f>
        <v/>
      </c>
      <c r="C638" s="35" t="str">
        <f>IF(B638="","",BOM!B638)</f>
        <v/>
      </c>
      <c r="D638" s="35" t="str">
        <f>IF(B638="","",IFERROR(INDEX(DM_NL!$B$5:$B$304,MATCH(C638,DM_NL!$A$5:$A$304,0)),""))</f>
        <v/>
      </c>
      <c r="E638" s="35" t="str">
        <f>IF(B638="","",IFERROR(INDEX(DM_NL!$C$5:$C$304,MATCH(C638,DM_NL!$A$5:$A$304,0)),""))</f>
        <v/>
      </c>
      <c r="F638" s="39" t="str">
        <f>IF(B638="","",SUMIFS(Mau15a!$F$11:$F$310,Mau15a!$B$11:$B$310,B638))</f>
        <v/>
      </c>
      <c r="G638" s="39" t="str">
        <f>IF(B638="","",IF(OR(M638="KXDDM",BOM!F638=""),0,BOM!F638))</f>
        <v/>
      </c>
      <c r="H638" s="39" t="str">
        <f t="shared" si="46"/>
        <v/>
      </c>
      <c r="I638" s="39" t="str">
        <f>IF(B638="","",SUMIFS(Mau15a!$H$11:$H$310,Mau15a!$B$11:$B$310,B638)+SUMIFS(Mau15a!$I$11:$I$310,Mau15a!$B$11:$B$310,B638)+SUMIFS(Mau15a!$J$11:$J$310,Mau15a!$B$11:$B$310,B638)-SUMIFS(Mau15a!$G$11:$G$310,Mau15a!$B$11:$B$310,B638))</f>
        <v/>
      </c>
      <c r="J638" s="39" t="str">
        <f t="shared" si="47"/>
        <v/>
      </c>
      <c r="K638" s="39" t="str">
        <f>IF(B638="","",(SUMIFS(Mau15a!$K$11:$K$310,Mau15a!$B$11:$B$310,B638)-SUMIFS(Mau15a!$E$11:$E$310,Mau15a!$B$11:$B$310,B638))*G638)</f>
        <v/>
      </c>
      <c r="L638" s="36" t="str">
        <f t="shared" si="48"/>
        <v/>
      </c>
      <c r="M638" s="36" t="str">
        <f>IF(B638="","",BOM!G638&amp;"")</f>
        <v/>
      </c>
      <c r="N638" s="36" t="str">
        <f t="shared" si="49"/>
        <v/>
      </c>
    </row>
    <row r="639" spans="1:14" x14ac:dyDescent="0.25">
      <c r="A639" s="35" t="str">
        <f t="shared" si="45"/>
        <v/>
      </c>
      <c r="B639" s="35" t="str">
        <f>IF(BOM!A639="","",BOM!A639)</f>
        <v/>
      </c>
      <c r="C639" s="35" t="str">
        <f>IF(B639="","",BOM!B639)</f>
        <v/>
      </c>
      <c r="D639" s="35" t="str">
        <f>IF(B639="","",IFERROR(INDEX(DM_NL!$B$5:$B$304,MATCH(C639,DM_NL!$A$5:$A$304,0)),""))</f>
        <v/>
      </c>
      <c r="E639" s="35" t="str">
        <f>IF(B639="","",IFERROR(INDEX(DM_NL!$C$5:$C$304,MATCH(C639,DM_NL!$A$5:$A$304,0)),""))</f>
        <v/>
      </c>
      <c r="F639" s="39" t="str">
        <f>IF(B639="","",SUMIFS(Mau15a!$F$11:$F$310,Mau15a!$B$11:$B$310,B639))</f>
        <v/>
      </c>
      <c r="G639" s="39" t="str">
        <f>IF(B639="","",IF(OR(M639="KXDDM",BOM!F639=""),0,BOM!F639))</f>
        <v/>
      </c>
      <c r="H639" s="39" t="str">
        <f t="shared" si="46"/>
        <v/>
      </c>
      <c r="I639" s="39" t="str">
        <f>IF(B639="","",SUMIFS(Mau15a!$H$11:$H$310,Mau15a!$B$11:$B$310,B639)+SUMIFS(Mau15a!$I$11:$I$310,Mau15a!$B$11:$B$310,B639)+SUMIFS(Mau15a!$J$11:$J$310,Mau15a!$B$11:$B$310,B639)-SUMIFS(Mau15a!$G$11:$G$310,Mau15a!$B$11:$B$310,B639))</f>
        <v/>
      </c>
      <c r="J639" s="39" t="str">
        <f t="shared" si="47"/>
        <v/>
      </c>
      <c r="K639" s="39" t="str">
        <f>IF(B639="","",(SUMIFS(Mau15a!$K$11:$K$310,Mau15a!$B$11:$B$310,B639)-SUMIFS(Mau15a!$E$11:$E$310,Mau15a!$B$11:$B$310,B639))*G639)</f>
        <v/>
      </c>
      <c r="L639" s="36" t="str">
        <f t="shared" si="48"/>
        <v/>
      </c>
      <c r="M639" s="36" t="str">
        <f>IF(B639="","",BOM!G639&amp;"")</f>
        <v/>
      </c>
      <c r="N639" s="36" t="str">
        <f t="shared" si="49"/>
        <v/>
      </c>
    </row>
    <row r="640" spans="1:14" x14ac:dyDescent="0.25">
      <c r="A640" s="35" t="str">
        <f t="shared" si="45"/>
        <v/>
      </c>
      <c r="B640" s="35" t="str">
        <f>IF(BOM!A640="","",BOM!A640)</f>
        <v/>
      </c>
      <c r="C640" s="35" t="str">
        <f>IF(B640="","",BOM!B640)</f>
        <v/>
      </c>
      <c r="D640" s="35" t="str">
        <f>IF(B640="","",IFERROR(INDEX(DM_NL!$B$5:$B$304,MATCH(C640,DM_NL!$A$5:$A$304,0)),""))</f>
        <v/>
      </c>
      <c r="E640" s="35" t="str">
        <f>IF(B640="","",IFERROR(INDEX(DM_NL!$C$5:$C$304,MATCH(C640,DM_NL!$A$5:$A$304,0)),""))</f>
        <v/>
      </c>
      <c r="F640" s="39" t="str">
        <f>IF(B640="","",SUMIFS(Mau15a!$F$11:$F$310,Mau15a!$B$11:$B$310,B640))</f>
        <v/>
      </c>
      <c r="G640" s="39" t="str">
        <f>IF(B640="","",IF(OR(M640="KXDDM",BOM!F640=""),0,BOM!F640))</f>
        <v/>
      </c>
      <c r="H640" s="39" t="str">
        <f t="shared" si="46"/>
        <v/>
      </c>
      <c r="I640" s="39" t="str">
        <f>IF(B640="","",SUMIFS(Mau15a!$H$11:$H$310,Mau15a!$B$11:$B$310,B640)+SUMIFS(Mau15a!$I$11:$I$310,Mau15a!$B$11:$B$310,B640)+SUMIFS(Mau15a!$J$11:$J$310,Mau15a!$B$11:$B$310,B640)-SUMIFS(Mau15a!$G$11:$G$310,Mau15a!$B$11:$B$310,B640))</f>
        <v/>
      </c>
      <c r="J640" s="39" t="str">
        <f t="shared" si="47"/>
        <v/>
      </c>
      <c r="K640" s="39" t="str">
        <f>IF(B640="","",(SUMIFS(Mau15a!$K$11:$K$310,Mau15a!$B$11:$B$310,B640)-SUMIFS(Mau15a!$E$11:$E$310,Mau15a!$B$11:$B$310,B640))*G640)</f>
        <v/>
      </c>
      <c r="L640" s="36" t="str">
        <f t="shared" si="48"/>
        <v/>
      </c>
      <c r="M640" s="36" t="str">
        <f>IF(B640="","",BOM!G640&amp;"")</f>
        <v/>
      </c>
      <c r="N640" s="36" t="str">
        <f t="shared" si="49"/>
        <v/>
      </c>
    </row>
    <row r="641" spans="1:14" x14ac:dyDescent="0.25">
      <c r="A641" s="35" t="str">
        <f t="shared" si="45"/>
        <v/>
      </c>
      <c r="B641" s="35" t="str">
        <f>IF(BOM!A641="","",BOM!A641)</f>
        <v/>
      </c>
      <c r="C641" s="35" t="str">
        <f>IF(B641="","",BOM!B641)</f>
        <v/>
      </c>
      <c r="D641" s="35" t="str">
        <f>IF(B641="","",IFERROR(INDEX(DM_NL!$B$5:$B$304,MATCH(C641,DM_NL!$A$5:$A$304,0)),""))</f>
        <v/>
      </c>
      <c r="E641" s="35" t="str">
        <f>IF(B641="","",IFERROR(INDEX(DM_NL!$C$5:$C$304,MATCH(C641,DM_NL!$A$5:$A$304,0)),""))</f>
        <v/>
      </c>
      <c r="F641" s="39" t="str">
        <f>IF(B641="","",SUMIFS(Mau15a!$F$11:$F$310,Mau15a!$B$11:$B$310,B641))</f>
        <v/>
      </c>
      <c r="G641" s="39" t="str">
        <f>IF(B641="","",IF(OR(M641="KXDDM",BOM!F641=""),0,BOM!F641))</f>
        <v/>
      </c>
      <c r="H641" s="39" t="str">
        <f t="shared" si="46"/>
        <v/>
      </c>
      <c r="I641" s="39" t="str">
        <f>IF(B641="","",SUMIFS(Mau15a!$H$11:$H$310,Mau15a!$B$11:$B$310,B641)+SUMIFS(Mau15a!$I$11:$I$310,Mau15a!$B$11:$B$310,B641)+SUMIFS(Mau15a!$J$11:$J$310,Mau15a!$B$11:$B$310,B641)-SUMIFS(Mau15a!$G$11:$G$310,Mau15a!$B$11:$B$310,B641))</f>
        <v/>
      </c>
      <c r="J641" s="39" t="str">
        <f t="shared" si="47"/>
        <v/>
      </c>
      <c r="K641" s="39" t="str">
        <f>IF(B641="","",(SUMIFS(Mau15a!$K$11:$K$310,Mau15a!$B$11:$B$310,B641)-SUMIFS(Mau15a!$E$11:$E$310,Mau15a!$B$11:$B$310,B641))*G641)</f>
        <v/>
      </c>
      <c r="L641" s="36" t="str">
        <f t="shared" si="48"/>
        <v/>
      </c>
      <c r="M641" s="36" t="str">
        <f>IF(B641="","",BOM!G641&amp;"")</f>
        <v/>
      </c>
      <c r="N641" s="36" t="str">
        <f t="shared" si="49"/>
        <v/>
      </c>
    </row>
    <row r="642" spans="1:14" x14ac:dyDescent="0.25">
      <c r="A642" s="35" t="str">
        <f t="shared" si="45"/>
        <v/>
      </c>
      <c r="B642" s="35" t="str">
        <f>IF(BOM!A642="","",BOM!A642)</f>
        <v/>
      </c>
      <c r="C642" s="35" t="str">
        <f>IF(B642="","",BOM!B642)</f>
        <v/>
      </c>
      <c r="D642" s="35" t="str">
        <f>IF(B642="","",IFERROR(INDEX(DM_NL!$B$5:$B$304,MATCH(C642,DM_NL!$A$5:$A$304,0)),""))</f>
        <v/>
      </c>
      <c r="E642" s="35" t="str">
        <f>IF(B642="","",IFERROR(INDEX(DM_NL!$C$5:$C$304,MATCH(C642,DM_NL!$A$5:$A$304,0)),""))</f>
        <v/>
      </c>
      <c r="F642" s="39" t="str">
        <f>IF(B642="","",SUMIFS(Mau15a!$F$11:$F$310,Mau15a!$B$11:$B$310,B642))</f>
        <v/>
      </c>
      <c r="G642" s="39" t="str">
        <f>IF(B642="","",IF(OR(M642="KXDDM",BOM!F642=""),0,BOM!F642))</f>
        <v/>
      </c>
      <c r="H642" s="39" t="str">
        <f t="shared" si="46"/>
        <v/>
      </c>
      <c r="I642" s="39" t="str">
        <f>IF(B642="","",SUMIFS(Mau15a!$H$11:$H$310,Mau15a!$B$11:$B$310,B642)+SUMIFS(Mau15a!$I$11:$I$310,Mau15a!$B$11:$B$310,B642)+SUMIFS(Mau15a!$J$11:$J$310,Mau15a!$B$11:$B$310,B642)-SUMIFS(Mau15a!$G$11:$G$310,Mau15a!$B$11:$B$310,B642))</f>
        <v/>
      </c>
      <c r="J642" s="39" t="str">
        <f t="shared" si="47"/>
        <v/>
      </c>
      <c r="K642" s="39" t="str">
        <f>IF(B642="","",(SUMIFS(Mau15a!$K$11:$K$310,Mau15a!$B$11:$B$310,B642)-SUMIFS(Mau15a!$E$11:$E$310,Mau15a!$B$11:$B$310,B642))*G642)</f>
        <v/>
      </c>
      <c r="L642" s="36" t="str">
        <f t="shared" si="48"/>
        <v/>
      </c>
      <c r="M642" s="36" t="str">
        <f>IF(B642="","",BOM!G642&amp;"")</f>
        <v/>
      </c>
      <c r="N642" s="36" t="str">
        <f t="shared" si="49"/>
        <v/>
      </c>
    </row>
    <row r="643" spans="1:14" x14ac:dyDescent="0.25">
      <c r="A643" s="35" t="str">
        <f t="shared" si="45"/>
        <v/>
      </c>
      <c r="B643" s="35" t="str">
        <f>IF(BOM!A643="","",BOM!A643)</f>
        <v/>
      </c>
      <c r="C643" s="35" t="str">
        <f>IF(B643="","",BOM!B643)</f>
        <v/>
      </c>
      <c r="D643" s="35" t="str">
        <f>IF(B643="","",IFERROR(INDEX(DM_NL!$B$5:$B$304,MATCH(C643,DM_NL!$A$5:$A$304,0)),""))</f>
        <v/>
      </c>
      <c r="E643" s="35" t="str">
        <f>IF(B643="","",IFERROR(INDEX(DM_NL!$C$5:$C$304,MATCH(C643,DM_NL!$A$5:$A$304,0)),""))</f>
        <v/>
      </c>
      <c r="F643" s="39" t="str">
        <f>IF(B643="","",SUMIFS(Mau15a!$F$11:$F$310,Mau15a!$B$11:$B$310,B643))</f>
        <v/>
      </c>
      <c r="G643" s="39" t="str">
        <f>IF(B643="","",IF(OR(M643="KXDDM",BOM!F643=""),0,BOM!F643))</f>
        <v/>
      </c>
      <c r="H643" s="39" t="str">
        <f t="shared" si="46"/>
        <v/>
      </c>
      <c r="I643" s="39" t="str">
        <f>IF(B643="","",SUMIFS(Mau15a!$H$11:$H$310,Mau15a!$B$11:$B$310,B643)+SUMIFS(Mau15a!$I$11:$I$310,Mau15a!$B$11:$B$310,B643)+SUMIFS(Mau15a!$J$11:$J$310,Mau15a!$B$11:$B$310,B643)-SUMIFS(Mau15a!$G$11:$G$310,Mau15a!$B$11:$B$310,B643))</f>
        <v/>
      </c>
      <c r="J643" s="39" t="str">
        <f t="shared" si="47"/>
        <v/>
      </c>
      <c r="K643" s="39" t="str">
        <f>IF(B643="","",(SUMIFS(Mau15a!$K$11:$K$310,Mau15a!$B$11:$B$310,B643)-SUMIFS(Mau15a!$E$11:$E$310,Mau15a!$B$11:$B$310,B643))*G643)</f>
        <v/>
      </c>
      <c r="L643" s="36" t="str">
        <f t="shared" si="48"/>
        <v/>
      </c>
      <c r="M643" s="36" t="str">
        <f>IF(B643="","",BOM!G643&amp;"")</f>
        <v/>
      </c>
      <c r="N643" s="36" t="str">
        <f t="shared" si="49"/>
        <v/>
      </c>
    </row>
    <row r="644" spans="1:14" x14ac:dyDescent="0.25">
      <c r="A644" s="35" t="str">
        <f t="shared" si="45"/>
        <v/>
      </c>
      <c r="B644" s="35" t="str">
        <f>IF(BOM!A644="","",BOM!A644)</f>
        <v/>
      </c>
      <c r="C644" s="35" t="str">
        <f>IF(B644="","",BOM!B644)</f>
        <v/>
      </c>
      <c r="D644" s="35" t="str">
        <f>IF(B644="","",IFERROR(INDEX(DM_NL!$B$5:$B$304,MATCH(C644,DM_NL!$A$5:$A$304,0)),""))</f>
        <v/>
      </c>
      <c r="E644" s="35" t="str">
        <f>IF(B644="","",IFERROR(INDEX(DM_NL!$C$5:$C$304,MATCH(C644,DM_NL!$A$5:$A$304,0)),""))</f>
        <v/>
      </c>
      <c r="F644" s="39" t="str">
        <f>IF(B644="","",SUMIFS(Mau15a!$F$11:$F$310,Mau15a!$B$11:$B$310,B644))</f>
        <v/>
      </c>
      <c r="G644" s="39" t="str">
        <f>IF(B644="","",IF(OR(M644="KXDDM",BOM!F644=""),0,BOM!F644))</f>
        <v/>
      </c>
      <c r="H644" s="39" t="str">
        <f t="shared" si="46"/>
        <v/>
      </c>
      <c r="I644" s="39" t="str">
        <f>IF(B644="","",SUMIFS(Mau15a!$H$11:$H$310,Mau15a!$B$11:$B$310,B644)+SUMIFS(Mau15a!$I$11:$I$310,Mau15a!$B$11:$B$310,B644)+SUMIFS(Mau15a!$J$11:$J$310,Mau15a!$B$11:$B$310,B644)-SUMIFS(Mau15a!$G$11:$G$310,Mau15a!$B$11:$B$310,B644))</f>
        <v/>
      </c>
      <c r="J644" s="39" t="str">
        <f t="shared" si="47"/>
        <v/>
      </c>
      <c r="K644" s="39" t="str">
        <f>IF(B644="","",(SUMIFS(Mau15a!$K$11:$K$310,Mau15a!$B$11:$B$310,B644)-SUMIFS(Mau15a!$E$11:$E$310,Mau15a!$B$11:$B$310,B644))*G644)</f>
        <v/>
      </c>
      <c r="L644" s="36" t="str">
        <f t="shared" si="48"/>
        <v/>
      </c>
      <c r="M644" s="36" t="str">
        <f>IF(B644="","",BOM!G644&amp;"")</f>
        <v/>
      </c>
      <c r="N644" s="36" t="str">
        <f t="shared" si="49"/>
        <v/>
      </c>
    </row>
    <row r="645" spans="1:14" x14ac:dyDescent="0.25">
      <c r="A645" s="35" t="str">
        <f t="shared" ref="A645:A708" si="50">IF(B645="","",ROW()-4)</f>
        <v/>
      </c>
      <c r="B645" s="35" t="str">
        <f>IF(BOM!A645="","",BOM!A645)</f>
        <v/>
      </c>
      <c r="C645" s="35" t="str">
        <f>IF(B645="","",BOM!B645)</f>
        <v/>
      </c>
      <c r="D645" s="35" t="str">
        <f>IF(B645="","",IFERROR(INDEX(DM_NL!$B$5:$B$304,MATCH(C645,DM_NL!$A$5:$A$304,0)),""))</f>
        <v/>
      </c>
      <c r="E645" s="35" t="str">
        <f>IF(B645="","",IFERROR(INDEX(DM_NL!$C$5:$C$304,MATCH(C645,DM_NL!$A$5:$A$304,0)),""))</f>
        <v/>
      </c>
      <c r="F645" s="39" t="str">
        <f>IF(B645="","",SUMIFS(Mau15a!$F$11:$F$310,Mau15a!$B$11:$B$310,B645))</f>
        <v/>
      </c>
      <c r="G645" s="39" t="str">
        <f>IF(B645="","",IF(OR(M645="KXDDM",BOM!F645=""),0,BOM!F645))</f>
        <v/>
      </c>
      <c r="H645" s="39" t="str">
        <f t="shared" ref="H645:H708" si="51">IF(B645="","",F645*G645)</f>
        <v/>
      </c>
      <c r="I645" s="39" t="str">
        <f>IF(B645="","",SUMIFS(Mau15a!$H$11:$H$310,Mau15a!$B$11:$B$310,B645)+SUMIFS(Mau15a!$I$11:$I$310,Mau15a!$B$11:$B$310,B645)+SUMIFS(Mau15a!$J$11:$J$310,Mau15a!$B$11:$B$310,B645)-SUMIFS(Mau15a!$G$11:$G$310,Mau15a!$B$11:$B$310,B645))</f>
        <v/>
      </c>
      <c r="J645" s="39" t="str">
        <f t="shared" ref="J645:J708" si="52">IF(B645="","",I645*G645)</f>
        <v/>
      </c>
      <c r="K645" s="39" t="str">
        <f>IF(B645="","",(SUMIFS(Mau15a!$K$11:$K$310,Mau15a!$B$11:$B$310,B645)-SUMIFS(Mau15a!$E$11:$E$310,Mau15a!$B$11:$B$310,B645))*G645)</f>
        <v/>
      </c>
      <c r="L645" s="36" t="str">
        <f t="shared" ref="L645:L708" si="53">IF(B645="","",IF(ABS(H645-J645-K645)&lt;0.000001,"Khớp","Lệch"))</f>
        <v/>
      </c>
      <c r="M645" s="36" t="str">
        <f>IF(B645="","",BOM!G645&amp;"")</f>
        <v/>
      </c>
      <c r="N645" s="36" t="str">
        <f t="shared" ref="N645:N708" si="54">IF(B645="","",IF(M645="",1,0))</f>
        <v/>
      </c>
    </row>
    <row r="646" spans="1:14" x14ac:dyDescent="0.25">
      <c r="A646" s="35" t="str">
        <f t="shared" si="50"/>
        <v/>
      </c>
      <c r="B646" s="35" t="str">
        <f>IF(BOM!A646="","",BOM!A646)</f>
        <v/>
      </c>
      <c r="C646" s="35" t="str">
        <f>IF(B646="","",BOM!B646)</f>
        <v/>
      </c>
      <c r="D646" s="35" t="str">
        <f>IF(B646="","",IFERROR(INDEX(DM_NL!$B$5:$B$304,MATCH(C646,DM_NL!$A$5:$A$304,0)),""))</f>
        <v/>
      </c>
      <c r="E646" s="35" t="str">
        <f>IF(B646="","",IFERROR(INDEX(DM_NL!$C$5:$C$304,MATCH(C646,DM_NL!$A$5:$A$304,0)),""))</f>
        <v/>
      </c>
      <c r="F646" s="39" t="str">
        <f>IF(B646="","",SUMIFS(Mau15a!$F$11:$F$310,Mau15a!$B$11:$B$310,B646))</f>
        <v/>
      </c>
      <c r="G646" s="39" t="str">
        <f>IF(B646="","",IF(OR(M646="KXDDM",BOM!F646=""),0,BOM!F646))</f>
        <v/>
      </c>
      <c r="H646" s="39" t="str">
        <f t="shared" si="51"/>
        <v/>
      </c>
      <c r="I646" s="39" t="str">
        <f>IF(B646="","",SUMIFS(Mau15a!$H$11:$H$310,Mau15a!$B$11:$B$310,B646)+SUMIFS(Mau15a!$I$11:$I$310,Mau15a!$B$11:$B$310,B646)+SUMIFS(Mau15a!$J$11:$J$310,Mau15a!$B$11:$B$310,B646)-SUMIFS(Mau15a!$G$11:$G$310,Mau15a!$B$11:$B$310,B646))</f>
        <v/>
      </c>
      <c r="J646" s="39" t="str">
        <f t="shared" si="52"/>
        <v/>
      </c>
      <c r="K646" s="39" t="str">
        <f>IF(B646="","",(SUMIFS(Mau15a!$K$11:$K$310,Mau15a!$B$11:$B$310,B646)-SUMIFS(Mau15a!$E$11:$E$310,Mau15a!$B$11:$B$310,B646))*G646)</f>
        <v/>
      </c>
      <c r="L646" s="36" t="str">
        <f t="shared" si="53"/>
        <v/>
      </c>
      <c r="M646" s="36" t="str">
        <f>IF(B646="","",BOM!G646&amp;"")</f>
        <v/>
      </c>
      <c r="N646" s="36" t="str">
        <f t="shared" si="54"/>
        <v/>
      </c>
    </row>
    <row r="647" spans="1:14" x14ac:dyDescent="0.25">
      <c r="A647" s="35" t="str">
        <f t="shared" si="50"/>
        <v/>
      </c>
      <c r="B647" s="35" t="str">
        <f>IF(BOM!A647="","",BOM!A647)</f>
        <v/>
      </c>
      <c r="C647" s="35" t="str">
        <f>IF(B647="","",BOM!B647)</f>
        <v/>
      </c>
      <c r="D647" s="35" t="str">
        <f>IF(B647="","",IFERROR(INDEX(DM_NL!$B$5:$B$304,MATCH(C647,DM_NL!$A$5:$A$304,0)),""))</f>
        <v/>
      </c>
      <c r="E647" s="35" t="str">
        <f>IF(B647="","",IFERROR(INDEX(DM_NL!$C$5:$C$304,MATCH(C647,DM_NL!$A$5:$A$304,0)),""))</f>
        <v/>
      </c>
      <c r="F647" s="39" t="str">
        <f>IF(B647="","",SUMIFS(Mau15a!$F$11:$F$310,Mau15a!$B$11:$B$310,B647))</f>
        <v/>
      </c>
      <c r="G647" s="39" t="str">
        <f>IF(B647="","",IF(OR(M647="KXDDM",BOM!F647=""),0,BOM!F647))</f>
        <v/>
      </c>
      <c r="H647" s="39" t="str">
        <f t="shared" si="51"/>
        <v/>
      </c>
      <c r="I647" s="39" t="str">
        <f>IF(B647="","",SUMIFS(Mau15a!$H$11:$H$310,Mau15a!$B$11:$B$310,B647)+SUMIFS(Mau15a!$I$11:$I$310,Mau15a!$B$11:$B$310,B647)+SUMIFS(Mau15a!$J$11:$J$310,Mau15a!$B$11:$B$310,B647)-SUMIFS(Mau15a!$G$11:$G$310,Mau15a!$B$11:$B$310,B647))</f>
        <v/>
      </c>
      <c r="J647" s="39" t="str">
        <f t="shared" si="52"/>
        <v/>
      </c>
      <c r="K647" s="39" t="str">
        <f>IF(B647="","",(SUMIFS(Mau15a!$K$11:$K$310,Mau15a!$B$11:$B$310,B647)-SUMIFS(Mau15a!$E$11:$E$310,Mau15a!$B$11:$B$310,B647))*G647)</f>
        <v/>
      </c>
      <c r="L647" s="36" t="str">
        <f t="shared" si="53"/>
        <v/>
      </c>
      <c r="M647" s="36" t="str">
        <f>IF(B647="","",BOM!G647&amp;"")</f>
        <v/>
      </c>
      <c r="N647" s="36" t="str">
        <f t="shared" si="54"/>
        <v/>
      </c>
    </row>
    <row r="648" spans="1:14" x14ac:dyDescent="0.25">
      <c r="A648" s="35" t="str">
        <f t="shared" si="50"/>
        <v/>
      </c>
      <c r="B648" s="35" t="str">
        <f>IF(BOM!A648="","",BOM!A648)</f>
        <v/>
      </c>
      <c r="C648" s="35" t="str">
        <f>IF(B648="","",BOM!B648)</f>
        <v/>
      </c>
      <c r="D648" s="35" t="str">
        <f>IF(B648="","",IFERROR(INDEX(DM_NL!$B$5:$B$304,MATCH(C648,DM_NL!$A$5:$A$304,0)),""))</f>
        <v/>
      </c>
      <c r="E648" s="35" t="str">
        <f>IF(B648="","",IFERROR(INDEX(DM_NL!$C$5:$C$304,MATCH(C648,DM_NL!$A$5:$A$304,0)),""))</f>
        <v/>
      </c>
      <c r="F648" s="39" t="str">
        <f>IF(B648="","",SUMIFS(Mau15a!$F$11:$F$310,Mau15a!$B$11:$B$310,B648))</f>
        <v/>
      </c>
      <c r="G648" s="39" t="str">
        <f>IF(B648="","",IF(OR(M648="KXDDM",BOM!F648=""),0,BOM!F648))</f>
        <v/>
      </c>
      <c r="H648" s="39" t="str">
        <f t="shared" si="51"/>
        <v/>
      </c>
      <c r="I648" s="39" t="str">
        <f>IF(B648="","",SUMIFS(Mau15a!$H$11:$H$310,Mau15a!$B$11:$B$310,B648)+SUMIFS(Mau15a!$I$11:$I$310,Mau15a!$B$11:$B$310,B648)+SUMIFS(Mau15a!$J$11:$J$310,Mau15a!$B$11:$B$310,B648)-SUMIFS(Mau15a!$G$11:$G$310,Mau15a!$B$11:$B$310,B648))</f>
        <v/>
      </c>
      <c r="J648" s="39" t="str">
        <f t="shared" si="52"/>
        <v/>
      </c>
      <c r="K648" s="39" t="str">
        <f>IF(B648="","",(SUMIFS(Mau15a!$K$11:$K$310,Mau15a!$B$11:$B$310,B648)-SUMIFS(Mau15a!$E$11:$E$310,Mau15a!$B$11:$B$310,B648))*G648)</f>
        <v/>
      </c>
      <c r="L648" s="36" t="str">
        <f t="shared" si="53"/>
        <v/>
      </c>
      <c r="M648" s="36" t="str">
        <f>IF(B648="","",BOM!G648&amp;"")</f>
        <v/>
      </c>
      <c r="N648" s="36" t="str">
        <f t="shared" si="54"/>
        <v/>
      </c>
    </row>
    <row r="649" spans="1:14" x14ac:dyDescent="0.25">
      <c r="A649" s="35" t="str">
        <f t="shared" si="50"/>
        <v/>
      </c>
      <c r="B649" s="35" t="str">
        <f>IF(BOM!A649="","",BOM!A649)</f>
        <v/>
      </c>
      <c r="C649" s="35" t="str">
        <f>IF(B649="","",BOM!B649)</f>
        <v/>
      </c>
      <c r="D649" s="35" t="str">
        <f>IF(B649="","",IFERROR(INDEX(DM_NL!$B$5:$B$304,MATCH(C649,DM_NL!$A$5:$A$304,0)),""))</f>
        <v/>
      </c>
      <c r="E649" s="35" t="str">
        <f>IF(B649="","",IFERROR(INDEX(DM_NL!$C$5:$C$304,MATCH(C649,DM_NL!$A$5:$A$304,0)),""))</f>
        <v/>
      </c>
      <c r="F649" s="39" t="str">
        <f>IF(B649="","",SUMIFS(Mau15a!$F$11:$F$310,Mau15a!$B$11:$B$310,B649))</f>
        <v/>
      </c>
      <c r="G649" s="39" t="str">
        <f>IF(B649="","",IF(OR(M649="KXDDM",BOM!F649=""),0,BOM!F649))</f>
        <v/>
      </c>
      <c r="H649" s="39" t="str">
        <f t="shared" si="51"/>
        <v/>
      </c>
      <c r="I649" s="39" t="str">
        <f>IF(B649="","",SUMIFS(Mau15a!$H$11:$H$310,Mau15a!$B$11:$B$310,B649)+SUMIFS(Mau15a!$I$11:$I$310,Mau15a!$B$11:$B$310,B649)+SUMIFS(Mau15a!$J$11:$J$310,Mau15a!$B$11:$B$310,B649)-SUMIFS(Mau15a!$G$11:$G$310,Mau15a!$B$11:$B$310,B649))</f>
        <v/>
      </c>
      <c r="J649" s="39" t="str">
        <f t="shared" si="52"/>
        <v/>
      </c>
      <c r="K649" s="39" t="str">
        <f>IF(B649="","",(SUMIFS(Mau15a!$K$11:$K$310,Mau15a!$B$11:$B$310,B649)-SUMIFS(Mau15a!$E$11:$E$310,Mau15a!$B$11:$B$310,B649))*G649)</f>
        <v/>
      </c>
      <c r="L649" s="36" t="str">
        <f t="shared" si="53"/>
        <v/>
      </c>
      <c r="M649" s="36" t="str">
        <f>IF(B649="","",BOM!G649&amp;"")</f>
        <v/>
      </c>
      <c r="N649" s="36" t="str">
        <f t="shared" si="54"/>
        <v/>
      </c>
    </row>
    <row r="650" spans="1:14" x14ac:dyDescent="0.25">
      <c r="A650" s="35" t="str">
        <f t="shared" si="50"/>
        <v/>
      </c>
      <c r="B650" s="35" t="str">
        <f>IF(BOM!A650="","",BOM!A650)</f>
        <v/>
      </c>
      <c r="C650" s="35" t="str">
        <f>IF(B650="","",BOM!B650)</f>
        <v/>
      </c>
      <c r="D650" s="35" t="str">
        <f>IF(B650="","",IFERROR(INDEX(DM_NL!$B$5:$B$304,MATCH(C650,DM_NL!$A$5:$A$304,0)),""))</f>
        <v/>
      </c>
      <c r="E650" s="35" t="str">
        <f>IF(B650="","",IFERROR(INDEX(DM_NL!$C$5:$C$304,MATCH(C650,DM_NL!$A$5:$A$304,0)),""))</f>
        <v/>
      </c>
      <c r="F650" s="39" t="str">
        <f>IF(B650="","",SUMIFS(Mau15a!$F$11:$F$310,Mau15a!$B$11:$B$310,B650))</f>
        <v/>
      </c>
      <c r="G650" s="39" t="str">
        <f>IF(B650="","",IF(OR(M650="KXDDM",BOM!F650=""),0,BOM!F650))</f>
        <v/>
      </c>
      <c r="H650" s="39" t="str">
        <f t="shared" si="51"/>
        <v/>
      </c>
      <c r="I650" s="39" t="str">
        <f>IF(B650="","",SUMIFS(Mau15a!$H$11:$H$310,Mau15a!$B$11:$B$310,B650)+SUMIFS(Mau15a!$I$11:$I$310,Mau15a!$B$11:$B$310,B650)+SUMIFS(Mau15a!$J$11:$J$310,Mau15a!$B$11:$B$310,B650)-SUMIFS(Mau15a!$G$11:$G$310,Mau15a!$B$11:$B$310,B650))</f>
        <v/>
      </c>
      <c r="J650" s="39" t="str">
        <f t="shared" si="52"/>
        <v/>
      </c>
      <c r="K650" s="39" t="str">
        <f>IF(B650="","",(SUMIFS(Mau15a!$K$11:$K$310,Mau15a!$B$11:$B$310,B650)-SUMIFS(Mau15a!$E$11:$E$310,Mau15a!$B$11:$B$310,B650))*G650)</f>
        <v/>
      </c>
      <c r="L650" s="36" t="str">
        <f t="shared" si="53"/>
        <v/>
      </c>
      <c r="M650" s="36" t="str">
        <f>IF(B650="","",BOM!G650&amp;"")</f>
        <v/>
      </c>
      <c r="N650" s="36" t="str">
        <f t="shared" si="54"/>
        <v/>
      </c>
    </row>
    <row r="651" spans="1:14" x14ac:dyDescent="0.25">
      <c r="A651" s="35" t="str">
        <f t="shared" si="50"/>
        <v/>
      </c>
      <c r="B651" s="35" t="str">
        <f>IF(BOM!A651="","",BOM!A651)</f>
        <v/>
      </c>
      <c r="C651" s="35" t="str">
        <f>IF(B651="","",BOM!B651)</f>
        <v/>
      </c>
      <c r="D651" s="35" t="str">
        <f>IF(B651="","",IFERROR(INDEX(DM_NL!$B$5:$B$304,MATCH(C651,DM_NL!$A$5:$A$304,0)),""))</f>
        <v/>
      </c>
      <c r="E651" s="35" t="str">
        <f>IF(B651="","",IFERROR(INDEX(DM_NL!$C$5:$C$304,MATCH(C651,DM_NL!$A$5:$A$304,0)),""))</f>
        <v/>
      </c>
      <c r="F651" s="39" t="str">
        <f>IF(B651="","",SUMIFS(Mau15a!$F$11:$F$310,Mau15a!$B$11:$B$310,B651))</f>
        <v/>
      </c>
      <c r="G651" s="39" t="str">
        <f>IF(B651="","",IF(OR(M651="KXDDM",BOM!F651=""),0,BOM!F651))</f>
        <v/>
      </c>
      <c r="H651" s="39" t="str">
        <f t="shared" si="51"/>
        <v/>
      </c>
      <c r="I651" s="39" t="str">
        <f>IF(B651="","",SUMIFS(Mau15a!$H$11:$H$310,Mau15a!$B$11:$B$310,B651)+SUMIFS(Mau15a!$I$11:$I$310,Mau15a!$B$11:$B$310,B651)+SUMIFS(Mau15a!$J$11:$J$310,Mau15a!$B$11:$B$310,B651)-SUMIFS(Mau15a!$G$11:$G$310,Mau15a!$B$11:$B$310,B651))</f>
        <v/>
      </c>
      <c r="J651" s="39" t="str">
        <f t="shared" si="52"/>
        <v/>
      </c>
      <c r="K651" s="39" t="str">
        <f>IF(B651="","",(SUMIFS(Mau15a!$K$11:$K$310,Mau15a!$B$11:$B$310,B651)-SUMIFS(Mau15a!$E$11:$E$310,Mau15a!$B$11:$B$310,B651))*G651)</f>
        <v/>
      </c>
      <c r="L651" s="36" t="str">
        <f t="shared" si="53"/>
        <v/>
      </c>
      <c r="M651" s="36" t="str">
        <f>IF(B651="","",BOM!G651&amp;"")</f>
        <v/>
      </c>
      <c r="N651" s="36" t="str">
        <f t="shared" si="54"/>
        <v/>
      </c>
    </row>
    <row r="652" spans="1:14" x14ac:dyDescent="0.25">
      <c r="A652" s="35" t="str">
        <f t="shared" si="50"/>
        <v/>
      </c>
      <c r="B652" s="35" t="str">
        <f>IF(BOM!A652="","",BOM!A652)</f>
        <v/>
      </c>
      <c r="C652" s="35" t="str">
        <f>IF(B652="","",BOM!B652)</f>
        <v/>
      </c>
      <c r="D652" s="35" t="str">
        <f>IF(B652="","",IFERROR(INDEX(DM_NL!$B$5:$B$304,MATCH(C652,DM_NL!$A$5:$A$304,0)),""))</f>
        <v/>
      </c>
      <c r="E652" s="35" t="str">
        <f>IF(B652="","",IFERROR(INDEX(DM_NL!$C$5:$C$304,MATCH(C652,DM_NL!$A$5:$A$304,0)),""))</f>
        <v/>
      </c>
      <c r="F652" s="39" t="str">
        <f>IF(B652="","",SUMIFS(Mau15a!$F$11:$F$310,Mau15a!$B$11:$B$310,B652))</f>
        <v/>
      </c>
      <c r="G652" s="39" t="str">
        <f>IF(B652="","",IF(OR(M652="KXDDM",BOM!F652=""),0,BOM!F652))</f>
        <v/>
      </c>
      <c r="H652" s="39" t="str">
        <f t="shared" si="51"/>
        <v/>
      </c>
      <c r="I652" s="39" t="str">
        <f>IF(B652="","",SUMIFS(Mau15a!$H$11:$H$310,Mau15a!$B$11:$B$310,B652)+SUMIFS(Mau15a!$I$11:$I$310,Mau15a!$B$11:$B$310,B652)+SUMIFS(Mau15a!$J$11:$J$310,Mau15a!$B$11:$B$310,B652)-SUMIFS(Mau15a!$G$11:$G$310,Mau15a!$B$11:$B$310,B652))</f>
        <v/>
      </c>
      <c r="J652" s="39" t="str">
        <f t="shared" si="52"/>
        <v/>
      </c>
      <c r="K652" s="39" t="str">
        <f>IF(B652="","",(SUMIFS(Mau15a!$K$11:$K$310,Mau15a!$B$11:$B$310,B652)-SUMIFS(Mau15a!$E$11:$E$310,Mau15a!$B$11:$B$310,B652))*G652)</f>
        <v/>
      </c>
      <c r="L652" s="36" t="str">
        <f t="shared" si="53"/>
        <v/>
      </c>
      <c r="M652" s="36" t="str">
        <f>IF(B652="","",BOM!G652&amp;"")</f>
        <v/>
      </c>
      <c r="N652" s="36" t="str">
        <f t="shared" si="54"/>
        <v/>
      </c>
    </row>
    <row r="653" spans="1:14" x14ac:dyDescent="0.25">
      <c r="A653" s="35" t="str">
        <f t="shared" si="50"/>
        <v/>
      </c>
      <c r="B653" s="35" t="str">
        <f>IF(BOM!A653="","",BOM!A653)</f>
        <v/>
      </c>
      <c r="C653" s="35" t="str">
        <f>IF(B653="","",BOM!B653)</f>
        <v/>
      </c>
      <c r="D653" s="35" t="str">
        <f>IF(B653="","",IFERROR(INDEX(DM_NL!$B$5:$B$304,MATCH(C653,DM_NL!$A$5:$A$304,0)),""))</f>
        <v/>
      </c>
      <c r="E653" s="35" t="str">
        <f>IF(B653="","",IFERROR(INDEX(DM_NL!$C$5:$C$304,MATCH(C653,DM_NL!$A$5:$A$304,0)),""))</f>
        <v/>
      </c>
      <c r="F653" s="39" t="str">
        <f>IF(B653="","",SUMIFS(Mau15a!$F$11:$F$310,Mau15a!$B$11:$B$310,B653))</f>
        <v/>
      </c>
      <c r="G653" s="39" t="str">
        <f>IF(B653="","",IF(OR(M653="KXDDM",BOM!F653=""),0,BOM!F653))</f>
        <v/>
      </c>
      <c r="H653" s="39" t="str">
        <f t="shared" si="51"/>
        <v/>
      </c>
      <c r="I653" s="39" t="str">
        <f>IF(B653="","",SUMIFS(Mau15a!$H$11:$H$310,Mau15a!$B$11:$B$310,B653)+SUMIFS(Mau15a!$I$11:$I$310,Mau15a!$B$11:$B$310,B653)+SUMIFS(Mau15a!$J$11:$J$310,Mau15a!$B$11:$B$310,B653)-SUMIFS(Mau15a!$G$11:$G$310,Mau15a!$B$11:$B$310,B653))</f>
        <v/>
      </c>
      <c r="J653" s="39" t="str">
        <f t="shared" si="52"/>
        <v/>
      </c>
      <c r="K653" s="39" t="str">
        <f>IF(B653="","",(SUMIFS(Mau15a!$K$11:$K$310,Mau15a!$B$11:$B$310,B653)-SUMIFS(Mau15a!$E$11:$E$310,Mau15a!$B$11:$B$310,B653))*G653)</f>
        <v/>
      </c>
      <c r="L653" s="36" t="str">
        <f t="shared" si="53"/>
        <v/>
      </c>
      <c r="M653" s="36" t="str">
        <f>IF(B653="","",BOM!G653&amp;"")</f>
        <v/>
      </c>
      <c r="N653" s="36" t="str">
        <f t="shared" si="54"/>
        <v/>
      </c>
    </row>
    <row r="654" spans="1:14" x14ac:dyDescent="0.25">
      <c r="A654" s="35" t="str">
        <f t="shared" si="50"/>
        <v/>
      </c>
      <c r="B654" s="35" t="str">
        <f>IF(BOM!A654="","",BOM!A654)</f>
        <v/>
      </c>
      <c r="C654" s="35" t="str">
        <f>IF(B654="","",BOM!B654)</f>
        <v/>
      </c>
      <c r="D654" s="35" t="str">
        <f>IF(B654="","",IFERROR(INDEX(DM_NL!$B$5:$B$304,MATCH(C654,DM_NL!$A$5:$A$304,0)),""))</f>
        <v/>
      </c>
      <c r="E654" s="35" t="str">
        <f>IF(B654="","",IFERROR(INDEX(DM_NL!$C$5:$C$304,MATCH(C654,DM_NL!$A$5:$A$304,0)),""))</f>
        <v/>
      </c>
      <c r="F654" s="39" t="str">
        <f>IF(B654="","",SUMIFS(Mau15a!$F$11:$F$310,Mau15a!$B$11:$B$310,B654))</f>
        <v/>
      </c>
      <c r="G654" s="39" t="str">
        <f>IF(B654="","",IF(OR(M654="KXDDM",BOM!F654=""),0,BOM!F654))</f>
        <v/>
      </c>
      <c r="H654" s="39" t="str">
        <f t="shared" si="51"/>
        <v/>
      </c>
      <c r="I654" s="39" t="str">
        <f>IF(B654="","",SUMIFS(Mau15a!$H$11:$H$310,Mau15a!$B$11:$B$310,B654)+SUMIFS(Mau15a!$I$11:$I$310,Mau15a!$B$11:$B$310,B654)+SUMIFS(Mau15a!$J$11:$J$310,Mau15a!$B$11:$B$310,B654)-SUMIFS(Mau15a!$G$11:$G$310,Mau15a!$B$11:$B$310,B654))</f>
        <v/>
      </c>
      <c r="J654" s="39" t="str">
        <f t="shared" si="52"/>
        <v/>
      </c>
      <c r="K654" s="39" t="str">
        <f>IF(B654="","",(SUMIFS(Mau15a!$K$11:$K$310,Mau15a!$B$11:$B$310,B654)-SUMIFS(Mau15a!$E$11:$E$310,Mau15a!$B$11:$B$310,B654))*G654)</f>
        <v/>
      </c>
      <c r="L654" s="36" t="str">
        <f t="shared" si="53"/>
        <v/>
      </c>
      <c r="M654" s="36" t="str">
        <f>IF(B654="","",BOM!G654&amp;"")</f>
        <v/>
      </c>
      <c r="N654" s="36" t="str">
        <f t="shared" si="54"/>
        <v/>
      </c>
    </row>
    <row r="655" spans="1:14" x14ac:dyDescent="0.25">
      <c r="A655" s="35" t="str">
        <f t="shared" si="50"/>
        <v/>
      </c>
      <c r="B655" s="35" t="str">
        <f>IF(BOM!A655="","",BOM!A655)</f>
        <v/>
      </c>
      <c r="C655" s="35" t="str">
        <f>IF(B655="","",BOM!B655)</f>
        <v/>
      </c>
      <c r="D655" s="35" t="str">
        <f>IF(B655="","",IFERROR(INDEX(DM_NL!$B$5:$B$304,MATCH(C655,DM_NL!$A$5:$A$304,0)),""))</f>
        <v/>
      </c>
      <c r="E655" s="35" t="str">
        <f>IF(B655="","",IFERROR(INDEX(DM_NL!$C$5:$C$304,MATCH(C655,DM_NL!$A$5:$A$304,0)),""))</f>
        <v/>
      </c>
      <c r="F655" s="39" t="str">
        <f>IF(B655="","",SUMIFS(Mau15a!$F$11:$F$310,Mau15a!$B$11:$B$310,B655))</f>
        <v/>
      </c>
      <c r="G655" s="39" t="str">
        <f>IF(B655="","",IF(OR(M655="KXDDM",BOM!F655=""),0,BOM!F655))</f>
        <v/>
      </c>
      <c r="H655" s="39" t="str">
        <f t="shared" si="51"/>
        <v/>
      </c>
      <c r="I655" s="39" t="str">
        <f>IF(B655="","",SUMIFS(Mau15a!$H$11:$H$310,Mau15a!$B$11:$B$310,B655)+SUMIFS(Mau15a!$I$11:$I$310,Mau15a!$B$11:$B$310,B655)+SUMIFS(Mau15a!$J$11:$J$310,Mau15a!$B$11:$B$310,B655)-SUMIFS(Mau15a!$G$11:$G$310,Mau15a!$B$11:$B$310,B655))</f>
        <v/>
      </c>
      <c r="J655" s="39" t="str">
        <f t="shared" si="52"/>
        <v/>
      </c>
      <c r="K655" s="39" t="str">
        <f>IF(B655="","",(SUMIFS(Mau15a!$K$11:$K$310,Mau15a!$B$11:$B$310,B655)-SUMIFS(Mau15a!$E$11:$E$310,Mau15a!$B$11:$B$310,B655))*G655)</f>
        <v/>
      </c>
      <c r="L655" s="36" t="str">
        <f t="shared" si="53"/>
        <v/>
      </c>
      <c r="M655" s="36" t="str">
        <f>IF(B655="","",BOM!G655&amp;"")</f>
        <v/>
      </c>
      <c r="N655" s="36" t="str">
        <f t="shared" si="54"/>
        <v/>
      </c>
    </row>
    <row r="656" spans="1:14" x14ac:dyDescent="0.25">
      <c r="A656" s="35" t="str">
        <f t="shared" si="50"/>
        <v/>
      </c>
      <c r="B656" s="35" t="str">
        <f>IF(BOM!A656="","",BOM!A656)</f>
        <v/>
      </c>
      <c r="C656" s="35" t="str">
        <f>IF(B656="","",BOM!B656)</f>
        <v/>
      </c>
      <c r="D656" s="35" t="str">
        <f>IF(B656="","",IFERROR(INDEX(DM_NL!$B$5:$B$304,MATCH(C656,DM_NL!$A$5:$A$304,0)),""))</f>
        <v/>
      </c>
      <c r="E656" s="35" t="str">
        <f>IF(B656="","",IFERROR(INDEX(DM_NL!$C$5:$C$304,MATCH(C656,DM_NL!$A$5:$A$304,0)),""))</f>
        <v/>
      </c>
      <c r="F656" s="39" t="str">
        <f>IF(B656="","",SUMIFS(Mau15a!$F$11:$F$310,Mau15a!$B$11:$B$310,B656))</f>
        <v/>
      </c>
      <c r="G656" s="39" t="str">
        <f>IF(B656="","",IF(OR(M656="KXDDM",BOM!F656=""),0,BOM!F656))</f>
        <v/>
      </c>
      <c r="H656" s="39" t="str">
        <f t="shared" si="51"/>
        <v/>
      </c>
      <c r="I656" s="39" t="str">
        <f>IF(B656="","",SUMIFS(Mau15a!$H$11:$H$310,Mau15a!$B$11:$B$310,B656)+SUMIFS(Mau15a!$I$11:$I$310,Mau15a!$B$11:$B$310,B656)+SUMIFS(Mau15a!$J$11:$J$310,Mau15a!$B$11:$B$310,B656)-SUMIFS(Mau15a!$G$11:$G$310,Mau15a!$B$11:$B$310,B656))</f>
        <v/>
      </c>
      <c r="J656" s="39" t="str">
        <f t="shared" si="52"/>
        <v/>
      </c>
      <c r="K656" s="39" t="str">
        <f>IF(B656="","",(SUMIFS(Mau15a!$K$11:$K$310,Mau15a!$B$11:$B$310,B656)-SUMIFS(Mau15a!$E$11:$E$310,Mau15a!$B$11:$B$310,B656))*G656)</f>
        <v/>
      </c>
      <c r="L656" s="36" t="str">
        <f t="shared" si="53"/>
        <v/>
      </c>
      <c r="M656" s="36" t="str">
        <f>IF(B656="","",BOM!G656&amp;"")</f>
        <v/>
      </c>
      <c r="N656" s="36" t="str">
        <f t="shared" si="54"/>
        <v/>
      </c>
    </row>
    <row r="657" spans="1:14" x14ac:dyDescent="0.25">
      <c r="A657" s="35" t="str">
        <f t="shared" si="50"/>
        <v/>
      </c>
      <c r="B657" s="35" t="str">
        <f>IF(BOM!A657="","",BOM!A657)</f>
        <v/>
      </c>
      <c r="C657" s="35" t="str">
        <f>IF(B657="","",BOM!B657)</f>
        <v/>
      </c>
      <c r="D657" s="35" t="str">
        <f>IF(B657="","",IFERROR(INDEX(DM_NL!$B$5:$B$304,MATCH(C657,DM_NL!$A$5:$A$304,0)),""))</f>
        <v/>
      </c>
      <c r="E657" s="35" t="str">
        <f>IF(B657="","",IFERROR(INDEX(DM_NL!$C$5:$C$304,MATCH(C657,DM_NL!$A$5:$A$304,0)),""))</f>
        <v/>
      </c>
      <c r="F657" s="39" t="str">
        <f>IF(B657="","",SUMIFS(Mau15a!$F$11:$F$310,Mau15a!$B$11:$B$310,B657))</f>
        <v/>
      </c>
      <c r="G657" s="39" t="str">
        <f>IF(B657="","",IF(OR(M657="KXDDM",BOM!F657=""),0,BOM!F657))</f>
        <v/>
      </c>
      <c r="H657" s="39" t="str">
        <f t="shared" si="51"/>
        <v/>
      </c>
      <c r="I657" s="39" t="str">
        <f>IF(B657="","",SUMIFS(Mau15a!$H$11:$H$310,Mau15a!$B$11:$B$310,B657)+SUMIFS(Mau15a!$I$11:$I$310,Mau15a!$B$11:$B$310,B657)+SUMIFS(Mau15a!$J$11:$J$310,Mau15a!$B$11:$B$310,B657)-SUMIFS(Mau15a!$G$11:$G$310,Mau15a!$B$11:$B$310,B657))</f>
        <v/>
      </c>
      <c r="J657" s="39" t="str">
        <f t="shared" si="52"/>
        <v/>
      </c>
      <c r="K657" s="39" t="str">
        <f>IF(B657="","",(SUMIFS(Mau15a!$K$11:$K$310,Mau15a!$B$11:$B$310,B657)-SUMIFS(Mau15a!$E$11:$E$310,Mau15a!$B$11:$B$310,B657))*G657)</f>
        <v/>
      </c>
      <c r="L657" s="36" t="str">
        <f t="shared" si="53"/>
        <v/>
      </c>
      <c r="M657" s="36" t="str">
        <f>IF(B657="","",BOM!G657&amp;"")</f>
        <v/>
      </c>
      <c r="N657" s="36" t="str">
        <f t="shared" si="54"/>
        <v/>
      </c>
    </row>
    <row r="658" spans="1:14" x14ac:dyDescent="0.25">
      <c r="A658" s="35" t="str">
        <f t="shared" si="50"/>
        <v/>
      </c>
      <c r="B658" s="35" t="str">
        <f>IF(BOM!A658="","",BOM!A658)</f>
        <v/>
      </c>
      <c r="C658" s="35" t="str">
        <f>IF(B658="","",BOM!B658)</f>
        <v/>
      </c>
      <c r="D658" s="35" t="str">
        <f>IF(B658="","",IFERROR(INDEX(DM_NL!$B$5:$B$304,MATCH(C658,DM_NL!$A$5:$A$304,0)),""))</f>
        <v/>
      </c>
      <c r="E658" s="35" t="str">
        <f>IF(B658="","",IFERROR(INDEX(DM_NL!$C$5:$C$304,MATCH(C658,DM_NL!$A$5:$A$304,0)),""))</f>
        <v/>
      </c>
      <c r="F658" s="39" t="str">
        <f>IF(B658="","",SUMIFS(Mau15a!$F$11:$F$310,Mau15a!$B$11:$B$310,B658))</f>
        <v/>
      </c>
      <c r="G658" s="39" t="str">
        <f>IF(B658="","",IF(OR(M658="KXDDM",BOM!F658=""),0,BOM!F658))</f>
        <v/>
      </c>
      <c r="H658" s="39" t="str">
        <f t="shared" si="51"/>
        <v/>
      </c>
      <c r="I658" s="39" t="str">
        <f>IF(B658="","",SUMIFS(Mau15a!$H$11:$H$310,Mau15a!$B$11:$B$310,B658)+SUMIFS(Mau15a!$I$11:$I$310,Mau15a!$B$11:$B$310,B658)+SUMIFS(Mau15a!$J$11:$J$310,Mau15a!$B$11:$B$310,B658)-SUMIFS(Mau15a!$G$11:$G$310,Mau15a!$B$11:$B$310,B658))</f>
        <v/>
      </c>
      <c r="J658" s="39" t="str">
        <f t="shared" si="52"/>
        <v/>
      </c>
      <c r="K658" s="39" t="str">
        <f>IF(B658="","",(SUMIFS(Mau15a!$K$11:$K$310,Mau15a!$B$11:$B$310,B658)-SUMIFS(Mau15a!$E$11:$E$310,Mau15a!$B$11:$B$310,B658))*G658)</f>
        <v/>
      </c>
      <c r="L658" s="36" t="str">
        <f t="shared" si="53"/>
        <v/>
      </c>
      <c r="M658" s="36" t="str">
        <f>IF(B658="","",BOM!G658&amp;"")</f>
        <v/>
      </c>
      <c r="N658" s="36" t="str">
        <f t="shared" si="54"/>
        <v/>
      </c>
    </row>
    <row r="659" spans="1:14" x14ac:dyDescent="0.25">
      <c r="A659" s="35" t="str">
        <f t="shared" si="50"/>
        <v/>
      </c>
      <c r="B659" s="35" t="str">
        <f>IF(BOM!A659="","",BOM!A659)</f>
        <v/>
      </c>
      <c r="C659" s="35" t="str">
        <f>IF(B659="","",BOM!B659)</f>
        <v/>
      </c>
      <c r="D659" s="35" t="str">
        <f>IF(B659="","",IFERROR(INDEX(DM_NL!$B$5:$B$304,MATCH(C659,DM_NL!$A$5:$A$304,0)),""))</f>
        <v/>
      </c>
      <c r="E659" s="35" t="str">
        <f>IF(B659="","",IFERROR(INDEX(DM_NL!$C$5:$C$304,MATCH(C659,DM_NL!$A$5:$A$304,0)),""))</f>
        <v/>
      </c>
      <c r="F659" s="39" t="str">
        <f>IF(B659="","",SUMIFS(Mau15a!$F$11:$F$310,Mau15a!$B$11:$B$310,B659))</f>
        <v/>
      </c>
      <c r="G659" s="39" t="str">
        <f>IF(B659="","",IF(OR(M659="KXDDM",BOM!F659=""),0,BOM!F659))</f>
        <v/>
      </c>
      <c r="H659" s="39" t="str">
        <f t="shared" si="51"/>
        <v/>
      </c>
      <c r="I659" s="39" t="str">
        <f>IF(B659="","",SUMIFS(Mau15a!$H$11:$H$310,Mau15a!$B$11:$B$310,B659)+SUMIFS(Mau15a!$I$11:$I$310,Mau15a!$B$11:$B$310,B659)+SUMIFS(Mau15a!$J$11:$J$310,Mau15a!$B$11:$B$310,B659)-SUMIFS(Mau15a!$G$11:$G$310,Mau15a!$B$11:$B$310,B659))</f>
        <v/>
      </c>
      <c r="J659" s="39" t="str">
        <f t="shared" si="52"/>
        <v/>
      </c>
      <c r="K659" s="39" t="str">
        <f>IF(B659="","",(SUMIFS(Mau15a!$K$11:$K$310,Mau15a!$B$11:$B$310,B659)-SUMIFS(Mau15a!$E$11:$E$310,Mau15a!$B$11:$B$310,B659))*G659)</f>
        <v/>
      </c>
      <c r="L659" s="36" t="str">
        <f t="shared" si="53"/>
        <v/>
      </c>
      <c r="M659" s="36" t="str">
        <f>IF(B659="","",BOM!G659&amp;"")</f>
        <v/>
      </c>
      <c r="N659" s="36" t="str">
        <f t="shared" si="54"/>
        <v/>
      </c>
    </row>
    <row r="660" spans="1:14" x14ac:dyDescent="0.25">
      <c r="A660" s="35" t="str">
        <f t="shared" si="50"/>
        <v/>
      </c>
      <c r="B660" s="35" t="str">
        <f>IF(BOM!A660="","",BOM!A660)</f>
        <v/>
      </c>
      <c r="C660" s="35" t="str">
        <f>IF(B660="","",BOM!B660)</f>
        <v/>
      </c>
      <c r="D660" s="35" t="str">
        <f>IF(B660="","",IFERROR(INDEX(DM_NL!$B$5:$B$304,MATCH(C660,DM_NL!$A$5:$A$304,0)),""))</f>
        <v/>
      </c>
      <c r="E660" s="35" t="str">
        <f>IF(B660="","",IFERROR(INDEX(DM_NL!$C$5:$C$304,MATCH(C660,DM_NL!$A$5:$A$304,0)),""))</f>
        <v/>
      </c>
      <c r="F660" s="39" t="str">
        <f>IF(B660="","",SUMIFS(Mau15a!$F$11:$F$310,Mau15a!$B$11:$B$310,B660))</f>
        <v/>
      </c>
      <c r="G660" s="39" t="str">
        <f>IF(B660="","",IF(OR(M660="KXDDM",BOM!F660=""),0,BOM!F660))</f>
        <v/>
      </c>
      <c r="H660" s="39" t="str">
        <f t="shared" si="51"/>
        <v/>
      </c>
      <c r="I660" s="39" t="str">
        <f>IF(B660="","",SUMIFS(Mau15a!$H$11:$H$310,Mau15a!$B$11:$B$310,B660)+SUMIFS(Mau15a!$I$11:$I$310,Mau15a!$B$11:$B$310,B660)+SUMIFS(Mau15a!$J$11:$J$310,Mau15a!$B$11:$B$310,B660)-SUMIFS(Mau15a!$G$11:$G$310,Mau15a!$B$11:$B$310,B660))</f>
        <v/>
      </c>
      <c r="J660" s="39" t="str">
        <f t="shared" si="52"/>
        <v/>
      </c>
      <c r="K660" s="39" t="str">
        <f>IF(B660="","",(SUMIFS(Mau15a!$K$11:$K$310,Mau15a!$B$11:$B$310,B660)-SUMIFS(Mau15a!$E$11:$E$310,Mau15a!$B$11:$B$310,B660))*G660)</f>
        <v/>
      </c>
      <c r="L660" s="36" t="str">
        <f t="shared" si="53"/>
        <v/>
      </c>
      <c r="M660" s="36" t="str">
        <f>IF(B660="","",BOM!G660&amp;"")</f>
        <v/>
      </c>
      <c r="N660" s="36" t="str">
        <f t="shared" si="54"/>
        <v/>
      </c>
    </row>
    <row r="661" spans="1:14" x14ac:dyDescent="0.25">
      <c r="A661" s="35" t="str">
        <f t="shared" si="50"/>
        <v/>
      </c>
      <c r="B661" s="35" t="str">
        <f>IF(BOM!A661="","",BOM!A661)</f>
        <v/>
      </c>
      <c r="C661" s="35" t="str">
        <f>IF(B661="","",BOM!B661)</f>
        <v/>
      </c>
      <c r="D661" s="35" t="str">
        <f>IF(B661="","",IFERROR(INDEX(DM_NL!$B$5:$B$304,MATCH(C661,DM_NL!$A$5:$A$304,0)),""))</f>
        <v/>
      </c>
      <c r="E661" s="35" t="str">
        <f>IF(B661="","",IFERROR(INDEX(DM_NL!$C$5:$C$304,MATCH(C661,DM_NL!$A$5:$A$304,0)),""))</f>
        <v/>
      </c>
      <c r="F661" s="39" t="str">
        <f>IF(B661="","",SUMIFS(Mau15a!$F$11:$F$310,Mau15a!$B$11:$B$310,B661))</f>
        <v/>
      </c>
      <c r="G661" s="39" t="str">
        <f>IF(B661="","",IF(OR(M661="KXDDM",BOM!F661=""),0,BOM!F661))</f>
        <v/>
      </c>
      <c r="H661" s="39" t="str">
        <f t="shared" si="51"/>
        <v/>
      </c>
      <c r="I661" s="39" t="str">
        <f>IF(B661="","",SUMIFS(Mau15a!$H$11:$H$310,Mau15a!$B$11:$B$310,B661)+SUMIFS(Mau15a!$I$11:$I$310,Mau15a!$B$11:$B$310,B661)+SUMIFS(Mau15a!$J$11:$J$310,Mau15a!$B$11:$B$310,B661)-SUMIFS(Mau15a!$G$11:$G$310,Mau15a!$B$11:$B$310,B661))</f>
        <v/>
      </c>
      <c r="J661" s="39" t="str">
        <f t="shared" si="52"/>
        <v/>
      </c>
      <c r="K661" s="39" t="str">
        <f>IF(B661="","",(SUMIFS(Mau15a!$K$11:$K$310,Mau15a!$B$11:$B$310,B661)-SUMIFS(Mau15a!$E$11:$E$310,Mau15a!$B$11:$B$310,B661))*G661)</f>
        <v/>
      </c>
      <c r="L661" s="36" t="str">
        <f t="shared" si="53"/>
        <v/>
      </c>
      <c r="M661" s="36" t="str">
        <f>IF(B661="","",BOM!G661&amp;"")</f>
        <v/>
      </c>
      <c r="N661" s="36" t="str">
        <f t="shared" si="54"/>
        <v/>
      </c>
    </row>
    <row r="662" spans="1:14" x14ac:dyDescent="0.25">
      <c r="A662" s="35" t="str">
        <f t="shared" si="50"/>
        <v/>
      </c>
      <c r="B662" s="35" t="str">
        <f>IF(BOM!A662="","",BOM!A662)</f>
        <v/>
      </c>
      <c r="C662" s="35" t="str">
        <f>IF(B662="","",BOM!B662)</f>
        <v/>
      </c>
      <c r="D662" s="35" t="str">
        <f>IF(B662="","",IFERROR(INDEX(DM_NL!$B$5:$B$304,MATCH(C662,DM_NL!$A$5:$A$304,0)),""))</f>
        <v/>
      </c>
      <c r="E662" s="35" t="str">
        <f>IF(B662="","",IFERROR(INDEX(DM_NL!$C$5:$C$304,MATCH(C662,DM_NL!$A$5:$A$304,0)),""))</f>
        <v/>
      </c>
      <c r="F662" s="39" t="str">
        <f>IF(B662="","",SUMIFS(Mau15a!$F$11:$F$310,Mau15a!$B$11:$B$310,B662))</f>
        <v/>
      </c>
      <c r="G662" s="39" t="str">
        <f>IF(B662="","",IF(OR(M662="KXDDM",BOM!F662=""),0,BOM!F662))</f>
        <v/>
      </c>
      <c r="H662" s="39" t="str">
        <f t="shared" si="51"/>
        <v/>
      </c>
      <c r="I662" s="39" t="str">
        <f>IF(B662="","",SUMIFS(Mau15a!$H$11:$H$310,Mau15a!$B$11:$B$310,B662)+SUMIFS(Mau15a!$I$11:$I$310,Mau15a!$B$11:$B$310,B662)+SUMIFS(Mau15a!$J$11:$J$310,Mau15a!$B$11:$B$310,B662)-SUMIFS(Mau15a!$G$11:$G$310,Mau15a!$B$11:$B$310,B662))</f>
        <v/>
      </c>
      <c r="J662" s="39" t="str">
        <f t="shared" si="52"/>
        <v/>
      </c>
      <c r="K662" s="39" t="str">
        <f>IF(B662="","",(SUMIFS(Mau15a!$K$11:$K$310,Mau15a!$B$11:$B$310,B662)-SUMIFS(Mau15a!$E$11:$E$310,Mau15a!$B$11:$B$310,B662))*G662)</f>
        <v/>
      </c>
      <c r="L662" s="36" t="str">
        <f t="shared" si="53"/>
        <v/>
      </c>
      <c r="M662" s="36" t="str">
        <f>IF(B662="","",BOM!G662&amp;"")</f>
        <v/>
      </c>
      <c r="N662" s="36" t="str">
        <f t="shared" si="54"/>
        <v/>
      </c>
    </row>
    <row r="663" spans="1:14" x14ac:dyDescent="0.25">
      <c r="A663" s="35" t="str">
        <f t="shared" si="50"/>
        <v/>
      </c>
      <c r="B663" s="35" t="str">
        <f>IF(BOM!A663="","",BOM!A663)</f>
        <v/>
      </c>
      <c r="C663" s="35" t="str">
        <f>IF(B663="","",BOM!B663)</f>
        <v/>
      </c>
      <c r="D663" s="35" t="str">
        <f>IF(B663="","",IFERROR(INDEX(DM_NL!$B$5:$B$304,MATCH(C663,DM_NL!$A$5:$A$304,0)),""))</f>
        <v/>
      </c>
      <c r="E663" s="35" t="str">
        <f>IF(B663="","",IFERROR(INDEX(DM_NL!$C$5:$C$304,MATCH(C663,DM_NL!$A$5:$A$304,0)),""))</f>
        <v/>
      </c>
      <c r="F663" s="39" t="str">
        <f>IF(B663="","",SUMIFS(Mau15a!$F$11:$F$310,Mau15a!$B$11:$B$310,B663))</f>
        <v/>
      </c>
      <c r="G663" s="39" t="str">
        <f>IF(B663="","",IF(OR(M663="KXDDM",BOM!F663=""),0,BOM!F663))</f>
        <v/>
      </c>
      <c r="H663" s="39" t="str">
        <f t="shared" si="51"/>
        <v/>
      </c>
      <c r="I663" s="39" t="str">
        <f>IF(B663="","",SUMIFS(Mau15a!$H$11:$H$310,Mau15a!$B$11:$B$310,B663)+SUMIFS(Mau15a!$I$11:$I$310,Mau15a!$B$11:$B$310,B663)+SUMIFS(Mau15a!$J$11:$J$310,Mau15a!$B$11:$B$310,B663)-SUMIFS(Mau15a!$G$11:$G$310,Mau15a!$B$11:$B$310,B663))</f>
        <v/>
      </c>
      <c r="J663" s="39" t="str">
        <f t="shared" si="52"/>
        <v/>
      </c>
      <c r="K663" s="39" t="str">
        <f>IF(B663="","",(SUMIFS(Mau15a!$K$11:$K$310,Mau15a!$B$11:$B$310,B663)-SUMIFS(Mau15a!$E$11:$E$310,Mau15a!$B$11:$B$310,B663))*G663)</f>
        <v/>
      </c>
      <c r="L663" s="36" t="str">
        <f t="shared" si="53"/>
        <v/>
      </c>
      <c r="M663" s="36" t="str">
        <f>IF(B663="","",BOM!G663&amp;"")</f>
        <v/>
      </c>
      <c r="N663" s="36" t="str">
        <f t="shared" si="54"/>
        <v/>
      </c>
    </row>
    <row r="664" spans="1:14" x14ac:dyDescent="0.25">
      <c r="A664" s="35" t="str">
        <f t="shared" si="50"/>
        <v/>
      </c>
      <c r="B664" s="35" t="str">
        <f>IF(BOM!A664="","",BOM!A664)</f>
        <v/>
      </c>
      <c r="C664" s="35" t="str">
        <f>IF(B664="","",BOM!B664)</f>
        <v/>
      </c>
      <c r="D664" s="35" t="str">
        <f>IF(B664="","",IFERROR(INDEX(DM_NL!$B$5:$B$304,MATCH(C664,DM_NL!$A$5:$A$304,0)),""))</f>
        <v/>
      </c>
      <c r="E664" s="35" t="str">
        <f>IF(B664="","",IFERROR(INDEX(DM_NL!$C$5:$C$304,MATCH(C664,DM_NL!$A$5:$A$304,0)),""))</f>
        <v/>
      </c>
      <c r="F664" s="39" t="str">
        <f>IF(B664="","",SUMIFS(Mau15a!$F$11:$F$310,Mau15a!$B$11:$B$310,B664))</f>
        <v/>
      </c>
      <c r="G664" s="39" t="str">
        <f>IF(B664="","",IF(OR(M664="KXDDM",BOM!F664=""),0,BOM!F664))</f>
        <v/>
      </c>
      <c r="H664" s="39" t="str">
        <f t="shared" si="51"/>
        <v/>
      </c>
      <c r="I664" s="39" t="str">
        <f>IF(B664="","",SUMIFS(Mau15a!$H$11:$H$310,Mau15a!$B$11:$B$310,B664)+SUMIFS(Mau15a!$I$11:$I$310,Mau15a!$B$11:$B$310,B664)+SUMIFS(Mau15a!$J$11:$J$310,Mau15a!$B$11:$B$310,B664)-SUMIFS(Mau15a!$G$11:$G$310,Mau15a!$B$11:$B$310,B664))</f>
        <v/>
      </c>
      <c r="J664" s="39" t="str">
        <f t="shared" si="52"/>
        <v/>
      </c>
      <c r="K664" s="39" t="str">
        <f>IF(B664="","",(SUMIFS(Mau15a!$K$11:$K$310,Mau15a!$B$11:$B$310,B664)-SUMIFS(Mau15a!$E$11:$E$310,Mau15a!$B$11:$B$310,B664))*G664)</f>
        <v/>
      </c>
      <c r="L664" s="36" t="str">
        <f t="shared" si="53"/>
        <v/>
      </c>
      <c r="M664" s="36" t="str">
        <f>IF(B664="","",BOM!G664&amp;"")</f>
        <v/>
      </c>
      <c r="N664" s="36" t="str">
        <f t="shared" si="54"/>
        <v/>
      </c>
    </row>
    <row r="665" spans="1:14" x14ac:dyDescent="0.25">
      <c r="A665" s="35" t="str">
        <f t="shared" si="50"/>
        <v/>
      </c>
      <c r="B665" s="35" t="str">
        <f>IF(BOM!A665="","",BOM!A665)</f>
        <v/>
      </c>
      <c r="C665" s="35" t="str">
        <f>IF(B665="","",BOM!B665)</f>
        <v/>
      </c>
      <c r="D665" s="35" t="str">
        <f>IF(B665="","",IFERROR(INDEX(DM_NL!$B$5:$B$304,MATCH(C665,DM_NL!$A$5:$A$304,0)),""))</f>
        <v/>
      </c>
      <c r="E665" s="35" t="str">
        <f>IF(B665="","",IFERROR(INDEX(DM_NL!$C$5:$C$304,MATCH(C665,DM_NL!$A$5:$A$304,0)),""))</f>
        <v/>
      </c>
      <c r="F665" s="39" t="str">
        <f>IF(B665="","",SUMIFS(Mau15a!$F$11:$F$310,Mau15a!$B$11:$B$310,B665))</f>
        <v/>
      </c>
      <c r="G665" s="39" t="str">
        <f>IF(B665="","",IF(OR(M665="KXDDM",BOM!F665=""),0,BOM!F665))</f>
        <v/>
      </c>
      <c r="H665" s="39" t="str">
        <f t="shared" si="51"/>
        <v/>
      </c>
      <c r="I665" s="39" t="str">
        <f>IF(B665="","",SUMIFS(Mau15a!$H$11:$H$310,Mau15a!$B$11:$B$310,B665)+SUMIFS(Mau15a!$I$11:$I$310,Mau15a!$B$11:$B$310,B665)+SUMIFS(Mau15a!$J$11:$J$310,Mau15a!$B$11:$B$310,B665)-SUMIFS(Mau15a!$G$11:$G$310,Mau15a!$B$11:$B$310,B665))</f>
        <v/>
      </c>
      <c r="J665" s="39" t="str">
        <f t="shared" si="52"/>
        <v/>
      </c>
      <c r="K665" s="39" t="str">
        <f>IF(B665="","",(SUMIFS(Mau15a!$K$11:$K$310,Mau15a!$B$11:$B$310,B665)-SUMIFS(Mau15a!$E$11:$E$310,Mau15a!$B$11:$B$310,B665))*G665)</f>
        <v/>
      </c>
      <c r="L665" s="36" t="str">
        <f t="shared" si="53"/>
        <v/>
      </c>
      <c r="M665" s="36" t="str">
        <f>IF(B665="","",BOM!G665&amp;"")</f>
        <v/>
      </c>
      <c r="N665" s="36" t="str">
        <f t="shared" si="54"/>
        <v/>
      </c>
    </row>
    <row r="666" spans="1:14" x14ac:dyDescent="0.25">
      <c r="A666" s="35" t="str">
        <f t="shared" si="50"/>
        <v/>
      </c>
      <c r="B666" s="35" t="str">
        <f>IF(BOM!A666="","",BOM!A666)</f>
        <v/>
      </c>
      <c r="C666" s="35" t="str">
        <f>IF(B666="","",BOM!B666)</f>
        <v/>
      </c>
      <c r="D666" s="35" t="str">
        <f>IF(B666="","",IFERROR(INDEX(DM_NL!$B$5:$B$304,MATCH(C666,DM_NL!$A$5:$A$304,0)),""))</f>
        <v/>
      </c>
      <c r="E666" s="35" t="str">
        <f>IF(B666="","",IFERROR(INDEX(DM_NL!$C$5:$C$304,MATCH(C666,DM_NL!$A$5:$A$304,0)),""))</f>
        <v/>
      </c>
      <c r="F666" s="39" t="str">
        <f>IF(B666="","",SUMIFS(Mau15a!$F$11:$F$310,Mau15a!$B$11:$B$310,B666))</f>
        <v/>
      </c>
      <c r="G666" s="39" t="str">
        <f>IF(B666="","",IF(OR(M666="KXDDM",BOM!F666=""),0,BOM!F666))</f>
        <v/>
      </c>
      <c r="H666" s="39" t="str">
        <f t="shared" si="51"/>
        <v/>
      </c>
      <c r="I666" s="39" t="str">
        <f>IF(B666="","",SUMIFS(Mau15a!$H$11:$H$310,Mau15a!$B$11:$B$310,B666)+SUMIFS(Mau15a!$I$11:$I$310,Mau15a!$B$11:$B$310,B666)+SUMIFS(Mau15a!$J$11:$J$310,Mau15a!$B$11:$B$310,B666)-SUMIFS(Mau15a!$G$11:$G$310,Mau15a!$B$11:$B$310,B666))</f>
        <v/>
      </c>
      <c r="J666" s="39" t="str">
        <f t="shared" si="52"/>
        <v/>
      </c>
      <c r="K666" s="39" t="str">
        <f>IF(B666="","",(SUMIFS(Mau15a!$K$11:$K$310,Mau15a!$B$11:$B$310,B666)-SUMIFS(Mau15a!$E$11:$E$310,Mau15a!$B$11:$B$310,B666))*G666)</f>
        <v/>
      </c>
      <c r="L666" s="36" t="str">
        <f t="shared" si="53"/>
        <v/>
      </c>
      <c r="M666" s="36" t="str">
        <f>IF(B666="","",BOM!G666&amp;"")</f>
        <v/>
      </c>
      <c r="N666" s="36" t="str">
        <f t="shared" si="54"/>
        <v/>
      </c>
    </row>
    <row r="667" spans="1:14" x14ac:dyDescent="0.25">
      <c r="A667" s="35" t="str">
        <f t="shared" si="50"/>
        <v/>
      </c>
      <c r="B667" s="35" t="str">
        <f>IF(BOM!A667="","",BOM!A667)</f>
        <v/>
      </c>
      <c r="C667" s="35" t="str">
        <f>IF(B667="","",BOM!B667)</f>
        <v/>
      </c>
      <c r="D667" s="35" t="str">
        <f>IF(B667="","",IFERROR(INDEX(DM_NL!$B$5:$B$304,MATCH(C667,DM_NL!$A$5:$A$304,0)),""))</f>
        <v/>
      </c>
      <c r="E667" s="35" t="str">
        <f>IF(B667="","",IFERROR(INDEX(DM_NL!$C$5:$C$304,MATCH(C667,DM_NL!$A$5:$A$304,0)),""))</f>
        <v/>
      </c>
      <c r="F667" s="39" t="str">
        <f>IF(B667="","",SUMIFS(Mau15a!$F$11:$F$310,Mau15a!$B$11:$B$310,B667))</f>
        <v/>
      </c>
      <c r="G667" s="39" t="str">
        <f>IF(B667="","",IF(OR(M667="KXDDM",BOM!F667=""),0,BOM!F667))</f>
        <v/>
      </c>
      <c r="H667" s="39" t="str">
        <f t="shared" si="51"/>
        <v/>
      </c>
      <c r="I667" s="39" t="str">
        <f>IF(B667="","",SUMIFS(Mau15a!$H$11:$H$310,Mau15a!$B$11:$B$310,B667)+SUMIFS(Mau15a!$I$11:$I$310,Mau15a!$B$11:$B$310,B667)+SUMIFS(Mau15a!$J$11:$J$310,Mau15a!$B$11:$B$310,B667)-SUMIFS(Mau15a!$G$11:$G$310,Mau15a!$B$11:$B$310,B667))</f>
        <v/>
      </c>
      <c r="J667" s="39" t="str">
        <f t="shared" si="52"/>
        <v/>
      </c>
      <c r="K667" s="39" t="str">
        <f>IF(B667="","",(SUMIFS(Mau15a!$K$11:$K$310,Mau15a!$B$11:$B$310,B667)-SUMIFS(Mau15a!$E$11:$E$310,Mau15a!$B$11:$B$310,B667))*G667)</f>
        <v/>
      </c>
      <c r="L667" s="36" t="str">
        <f t="shared" si="53"/>
        <v/>
      </c>
      <c r="M667" s="36" t="str">
        <f>IF(B667="","",BOM!G667&amp;"")</f>
        <v/>
      </c>
      <c r="N667" s="36" t="str">
        <f t="shared" si="54"/>
        <v/>
      </c>
    </row>
    <row r="668" spans="1:14" x14ac:dyDescent="0.25">
      <c r="A668" s="35" t="str">
        <f t="shared" si="50"/>
        <v/>
      </c>
      <c r="B668" s="35" t="str">
        <f>IF(BOM!A668="","",BOM!A668)</f>
        <v/>
      </c>
      <c r="C668" s="35" t="str">
        <f>IF(B668="","",BOM!B668)</f>
        <v/>
      </c>
      <c r="D668" s="35" t="str">
        <f>IF(B668="","",IFERROR(INDEX(DM_NL!$B$5:$B$304,MATCH(C668,DM_NL!$A$5:$A$304,0)),""))</f>
        <v/>
      </c>
      <c r="E668" s="35" t="str">
        <f>IF(B668="","",IFERROR(INDEX(DM_NL!$C$5:$C$304,MATCH(C668,DM_NL!$A$5:$A$304,0)),""))</f>
        <v/>
      </c>
      <c r="F668" s="39" t="str">
        <f>IF(B668="","",SUMIFS(Mau15a!$F$11:$F$310,Mau15a!$B$11:$B$310,B668))</f>
        <v/>
      </c>
      <c r="G668" s="39" t="str">
        <f>IF(B668="","",IF(OR(M668="KXDDM",BOM!F668=""),0,BOM!F668))</f>
        <v/>
      </c>
      <c r="H668" s="39" t="str">
        <f t="shared" si="51"/>
        <v/>
      </c>
      <c r="I668" s="39" t="str">
        <f>IF(B668="","",SUMIFS(Mau15a!$H$11:$H$310,Mau15a!$B$11:$B$310,B668)+SUMIFS(Mau15a!$I$11:$I$310,Mau15a!$B$11:$B$310,B668)+SUMIFS(Mau15a!$J$11:$J$310,Mau15a!$B$11:$B$310,B668)-SUMIFS(Mau15a!$G$11:$G$310,Mau15a!$B$11:$B$310,B668))</f>
        <v/>
      </c>
      <c r="J668" s="39" t="str">
        <f t="shared" si="52"/>
        <v/>
      </c>
      <c r="K668" s="39" t="str">
        <f>IF(B668="","",(SUMIFS(Mau15a!$K$11:$K$310,Mau15a!$B$11:$B$310,B668)-SUMIFS(Mau15a!$E$11:$E$310,Mau15a!$B$11:$B$310,B668))*G668)</f>
        <v/>
      </c>
      <c r="L668" s="36" t="str">
        <f t="shared" si="53"/>
        <v/>
      </c>
      <c r="M668" s="36" t="str">
        <f>IF(B668="","",BOM!G668&amp;"")</f>
        <v/>
      </c>
      <c r="N668" s="36" t="str">
        <f t="shared" si="54"/>
        <v/>
      </c>
    </row>
    <row r="669" spans="1:14" x14ac:dyDescent="0.25">
      <c r="A669" s="35" t="str">
        <f t="shared" si="50"/>
        <v/>
      </c>
      <c r="B669" s="35" t="str">
        <f>IF(BOM!A669="","",BOM!A669)</f>
        <v/>
      </c>
      <c r="C669" s="35" t="str">
        <f>IF(B669="","",BOM!B669)</f>
        <v/>
      </c>
      <c r="D669" s="35" t="str">
        <f>IF(B669="","",IFERROR(INDEX(DM_NL!$B$5:$B$304,MATCH(C669,DM_NL!$A$5:$A$304,0)),""))</f>
        <v/>
      </c>
      <c r="E669" s="35" t="str">
        <f>IF(B669="","",IFERROR(INDEX(DM_NL!$C$5:$C$304,MATCH(C669,DM_NL!$A$5:$A$304,0)),""))</f>
        <v/>
      </c>
      <c r="F669" s="39" t="str">
        <f>IF(B669="","",SUMIFS(Mau15a!$F$11:$F$310,Mau15a!$B$11:$B$310,B669))</f>
        <v/>
      </c>
      <c r="G669" s="39" t="str">
        <f>IF(B669="","",IF(OR(M669="KXDDM",BOM!F669=""),0,BOM!F669))</f>
        <v/>
      </c>
      <c r="H669" s="39" t="str">
        <f t="shared" si="51"/>
        <v/>
      </c>
      <c r="I669" s="39" t="str">
        <f>IF(B669="","",SUMIFS(Mau15a!$H$11:$H$310,Mau15a!$B$11:$B$310,B669)+SUMIFS(Mau15a!$I$11:$I$310,Mau15a!$B$11:$B$310,B669)+SUMIFS(Mau15a!$J$11:$J$310,Mau15a!$B$11:$B$310,B669)-SUMIFS(Mau15a!$G$11:$G$310,Mau15a!$B$11:$B$310,B669))</f>
        <v/>
      </c>
      <c r="J669" s="39" t="str">
        <f t="shared" si="52"/>
        <v/>
      </c>
      <c r="K669" s="39" t="str">
        <f>IF(B669="","",(SUMIFS(Mau15a!$K$11:$K$310,Mau15a!$B$11:$B$310,B669)-SUMIFS(Mau15a!$E$11:$E$310,Mau15a!$B$11:$B$310,B669))*G669)</f>
        <v/>
      </c>
      <c r="L669" s="36" t="str">
        <f t="shared" si="53"/>
        <v/>
      </c>
      <c r="M669" s="36" t="str">
        <f>IF(B669="","",BOM!G669&amp;"")</f>
        <v/>
      </c>
      <c r="N669" s="36" t="str">
        <f t="shared" si="54"/>
        <v/>
      </c>
    </row>
    <row r="670" spans="1:14" x14ac:dyDescent="0.25">
      <c r="A670" s="35" t="str">
        <f t="shared" si="50"/>
        <v/>
      </c>
      <c r="B670" s="35" t="str">
        <f>IF(BOM!A670="","",BOM!A670)</f>
        <v/>
      </c>
      <c r="C670" s="35" t="str">
        <f>IF(B670="","",BOM!B670)</f>
        <v/>
      </c>
      <c r="D670" s="35" t="str">
        <f>IF(B670="","",IFERROR(INDEX(DM_NL!$B$5:$B$304,MATCH(C670,DM_NL!$A$5:$A$304,0)),""))</f>
        <v/>
      </c>
      <c r="E670" s="35" t="str">
        <f>IF(B670="","",IFERROR(INDEX(DM_NL!$C$5:$C$304,MATCH(C670,DM_NL!$A$5:$A$304,0)),""))</f>
        <v/>
      </c>
      <c r="F670" s="39" t="str">
        <f>IF(B670="","",SUMIFS(Mau15a!$F$11:$F$310,Mau15a!$B$11:$B$310,B670))</f>
        <v/>
      </c>
      <c r="G670" s="39" t="str">
        <f>IF(B670="","",IF(OR(M670="KXDDM",BOM!F670=""),0,BOM!F670))</f>
        <v/>
      </c>
      <c r="H670" s="39" t="str">
        <f t="shared" si="51"/>
        <v/>
      </c>
      <c r="I670" s="39" t="str">
        <f>IF(B670="","",SUMIFS(Mau15a!$H$11:$H$310,Mau15a!$B$11:$B$310,B670)+SUMIFS(Mau15a!$I$11:$I$310,Mau15a!$B$11:$B$310,B670)+SUMIFS(Mau15a!$J$11:$J$310,Mau15a!$B$11:$B$310,B670)-SUMIFS(Mau15a!$G$11:$G$310,Mau15a!$B$11:$B$310,B670))</f>
        <v/>
      </c>
      <c r="J670" s="39" t="str">
        <f t="shared" si="52"/>
        <v/>
      </c>
      <c r="K670" s="39" t="str">
        <f>IF(B670="","",(SUMIFS(Mau15a!$K$11:$K$310,Mau15a!$B$11:$B$310,B670)-SUMIFS(Mau15a!$E$11:$E$310,Mau15a!$B$11:$B$310,B670))*G670)</f>
        <v/>
      </c>
      <c r="L670" s="36" t="str">
        <f t="shared" si="53"/>
        <v/>
      </c>
      <c r="M670" s="36" t="str">
        <f>IF(B670="","",BOM!G670&amp;"")</f>
        <v/>
      </c>
      <c r="N670" s="36" t="str">
        <f t="shared" si="54"/>
        <v/>
      </c>
    </row>
    <row r="671" spans="1:14" x14ac:dyDescent="0.25">
      <c r="A671" s="35" t="str">
        <f t="shared" si="50"/>
        <v/>
      </c>
      <c r="B671" s="35" t="str">
        <f>IF(BOM!A671="","",BOM!A671)</f>
        <v/>
      </c>
      <c r="C671" s="35" t="str">
        <f>IF(B671="","",BOM!B671)</f>
        <v/>
      </c>
      <c r="D671" s="35" t="str">
        <f>IF(B671="","",IFERROR(INDEX(DM_NL!$B$5:$B$304,MATCH(C671,DM_NL!$A$5:$A$304,0)),""))</f>
        <v/>
      </c>
      <c r="E671" s="35" t="str">
        <f>IF(B671="","",IFERROR(INDEX(DM_NL!$C$5:$C$304,MATCH(C671,DM_NL!$A$5:$A$304,0)),""))</f>
        <v/>
      </c>
      <c r="F671" s="39" t="str">
        <f>IF(B671="","",SUMIFS(Mau15a!$F$11:$F$310,Mau15a!$B$11:$B$310,B671))</f>
        <v/>
      </c>
      <c r="G671" s="39" t="str">
        <f>IF(B671="","",IF(OR(M671="KXDDM",BOM!F671=""),0,BOM!F671))</f>
        <v/>
      </c>
      <c r="H671" s="39" t="str">
        <f t="shared" si="51"/>
        <v/>
      </c>
      <c r="I671" s="39" t="str">
        <f>IF(B671="","",SUMIFS(Mau15a!$H$11:$H$310,Mau15a!$B$11:$B$310,B671)+SUMIFS(Mau15a!$I$11:$I$310,Mau15a!$B$11:$B$310,B671)+SUMIFS(Mau15a!$J$11:$J$310,Mau15a!$B$11:$B$310,B671)-SUMIFS(Mau15a!$G$11:$G$310,Mau15a!$B$11:$B$310,B671))</f>
        <v/>
      </c>
      <c r="J671" s="39" t="str">
        <f t="shared" si="52"/>
        <v/>
      </c>
      <c r="K671" s="39" t="str">
        <f>IF(B671="","",(SUMIFS(Mau15a!$K$11:$K$310,Mau15a!$B$11:$B$310,B671)-SUMIFS(Mau15a!$E$11:$E$310,Mau15a!$B$11:$B$310,B671))*G671)</f>
        <v/>
      </c>
      <c r="L671" s="36" t="str">
        <f t="shared" si="53"/>
        <v/>
      </c>
      <c r="M671" s="36" t="str">
        <f>IF(B671="","",BOM!G671&amp;"")</f>
        <v/>
      </c>
      <c r="N671" s="36" t="str">
        <f t="shared" si="54"/>
        <v/>
      </c>
    </row>
    <row r="672" spans="1:14" x14ac:dyDescent="0.25">
      <c r="A672" s="35" t="str">
        <f t="shared" si="50"/>
        <v/>
      </c>
      <c r="B672" s="35" t="str">
        <f>IF(BOM!A672="","",BOM!A672)</f>
        <v/>
      </c>
      <c r="C672" s="35" t="str">
        <f>IF(B672="","",BOM!B672)</f>
        <v/>
      </c>
      <c r="D672" s="35" t="str">
        <f>IF(B672="","",IFERROR(INDEX(DM_NL!$B$5:$B$304,MATCH(C672,DM_NL!$A$5:$A$304,0)),""))</f>
        <v/>
      </c>
      <c r="E672" s="35" t="str">
        <f>IF(B672="","",IFERROR(INDEX(DM_NL!$C$5:$C$304,MATCH(C672,DM_NL!$A$5:$A$304,0)),""))</f>
        <v/>
      </c>
      <c r="F672" s="39" t="str">
        <f>IF(B672="","",SUMIFS(Mau15a!$F$11:$F$310,Mau15a!$B$11:$B$310,B672))</f>
        <v/>
      </c>
      <c r="G672" s="39" t="str">
        <f>IF(B672="","",IF(OR(M672="KXDDM",BOM!F672=""),0,BOM!F672))</f>
        <v/>
      </c>
      <c r="H672" s="39" t="str">
        <f t="shared" si="51"/>
        <v/>
      </c>
      <c r="I672" s="39" t="str">
        <f>IF(B672="","",SUMIFS(Mau15a!$H$11:$H$310,Mau15a!$B$11:$B$310,B672)+SUMIFS(Mau15a!$I$11:$I$310,Mau15a!$B$11:$B$310,B672)+SUMIFS(Mau15a!$J$11:$J$310,Mau15a!$B$11:$B$310,B672)-SUMIFS(Mau15a!$G$11:$G$310,Mau15a!$B$11:$B$310,B672))</f>
        <v/>
      </c>
      <c r="J672" s="39" t="str">
        <f t="shared" si="52"/>
        <v/>
      </c>
      <c r="K672" s="39" t="str">
        <f>IF(B672="","",(SUMIFS(Mau15a!$K$11:$K$310,Mau15a!$B$11:$B$310,B672)-SUMIFS(Mau15a!$E$11:$E$310,Mau15a!$B$11:$B$310,B672))*G672)</f>
        <v/>
      </c>
      <c r="L672" s="36" t="str">
        <f t="shared" si="53"/>
        <v/>
      </c>
      <c r="M672" s="36" t="str">
        <f>IF(B672="","",BOM!G672&amp;"")</f>
        <v/>
      </c>
      <c r="N672" s="36" t="str">
        <f t="shared" si="54"/>
        <v/>
      </c>
    </row>
    <row r="673" spans="1:14" x14ac:dyDescent="0.25">
      <c r="A673" s="35" t="str">
        <f t="shared" si="50"/>
        <v/>
      </c>
      <c r="B673" s="35" t="str">
        <f>IF(BOM!A673="","",BOM!A673)</f>
        <v/>
      </c>
      <c r="C673" s="35" t="str">
        <f>IF(B673="","",BOM!B673)</f>
        <v/>
      </c>
      <c r="D673" s="35" t="str">
        <f>IF(B673="","",IFERROR(INDEX(DM_NL!$B$5:$B$304,MATCH(C673,DM_NL!$A$5:$A$304,0)),""))</f>
        <v/>
      </c>
      <c r="E673" s="35" t="str">
        <f>IF(B673="","",IFERROR(INDEX(DM_NL!$C$5:$C$304,MATCH(C673,DM_NL!$A$5:$A$304,0)),""))</f>
        <v/>
      </c>
      <c r="F673" s="39" t="str">
        <f>IF(B673="","",SUMIFS(Mau15a!$F$11:$F$310,Mau15a!$B$11:$B$310,B673))</f>
        <v/>
      </c>
      <c r="G673" s="39" t="str">
        <f>IF(B673="","",IF(OR(M673="KXDDM",BOM!F673=""),0,BOM!F673))</f>
        <v/>
      </c>
      <c r="H673" s="39" t="str">
        <f t="shared" si="51"/>
        <v/>
      </c>
      <c r="I673" s="39" t="str">
        <f>IF(B673="","",SUMIFS(Mau15a!$H$11:$H$310,Mau15a!$B$11:$B$310,B673)+SUMIFS(Mau15a!$I$11:$I$310,Mau15a!$B$11:$B$310,B673)+SUMIFS(Mau15a!$J$11:$J$310,Mau15a!$B$11:$B$310,B673)-SUMIFS(Mau15a!$G$11:$G$310,Mau15a!$B$11:$B$310,B673))</f>
        <v/>
      </c>
      <c r="J673" s="39" t="str">
        <f t="shared" si="52"/>
        <v/>
      </c>
      <c r="K673" s="39" t="str">
        <f>IF(B673="","",(SUMIFS(Mau15a!$K$11:$K$310,Mau15a!$B$11:$B$310,B673)-SUMIFS(Mau15a!$E$11:$E$310,Mau15a!$B$11:$B$310,B673))*G673)</f>
        <v/>
      </c>
      <c r="L673" s="36" t="str">
        <f t="shared" si="53"/>
        <v/>
      </c>
      <c r="M673" s="36" t="str">
        <f>IF(B673="","",BOM!G673&amp;"")</f>
        <v/>
      </c>
      <c r="N673" s="36" t="str">
        <f t="shared" si="54"/>
        <v/>
      </c>
    </row>
    <row r="674" spans="1:14" x14ac:dyDescent="0.25">
      <c r="A674" s="35" t="str">
        <f t="shared" si="50"/>
        <v/>
      </c>
      <c r="B674" s="35" t="str">
        <f>IF(BOM!A674="","",BOM!A674)</f>
        <v/>
      </c>
      <c r="C674" s="35" t="str">
        <f>IF(B674="","",BOM!B674)</f>
        <v/>
      </c>
      <c r="D674" s="35" t="str">
        <f>IF(B674="","",IFERROR(INDEX(DM_NL!$B$5:$B$304,MATCH(C674,DM_NL!$A$5:$A$304,0)),""))</f>
        <v/>
      </c>
      <c r="E674" s="35" t="str">
        <f>IF(B674="","",IFERROR(INDEX(DM_NL!$C$5:$C$304,MATCH(C674,DM_NL!$A$5:$A$304,0)),""))</f>
        <v/>
      </c>
      <c r="F674" s="39" t="str">
        <f>IF(B674="","",SUMIFS(Mau15a!$F$11:$F$310,Mau15a!$B$11:$B$310,B674))</f>
        <v/>
      </c>
      <c r="G674" s="39" t="str">
        <f>IF(B674="","",IF(OR(M674="KXDDM",BOM!F674=""),0,BOM!F674))</f>
        <v/>
      </c>
      <c r="H674" s="39" t="str">
        <f t="shared" si="51"/>
        <v/>
      </c>
      <c r="I674" s="39" t="str">
        <f>IF(B674="","",SUMIFS(Mau15a!$H$11:$H$310,Mau15a!$B$11:$B$310,B674)+SUMIFS(Mau15a!$I$11:$I$310,Mau15a!$B$11:$B$310,B674)+SUMIFS(Mau15a!$J$11:$J$310,Mau15a!$B$11:$B$310,B674)-SUMIFS(Mau15a!$G$11:$G$310,Mau15a!$B$11:$B$310,B674))</f>
        <v/>
      </c>
      <c r="J674" s="39" t="str">
        <f t="shared" si="52"/>
        <v/>
      </c>
      <c r="K674" s="39" t="str">
        <f>IF(B674="","",(SUMIFS(Mau15a!$K$11:$K$310,Mau15a!$B$11:$B$310,B674)-SUMIFS(Mau15a!$E$11:$E$310,Mau15a!$B$11:$B$310,B674))*G674)</f>
        <v/>
      </c>
      <c r="L674" s="36" t="str">
        <f t="shared" si="53"/>
        <v/>
      </c>
      <c r="M674" s="36" t="str">
        <f>IF(B674="","",BOM!G674&amp;"")</f>
        <v/>
      </c>
      <c r="N674" s="36" t="str">
        <f t="shared" si="54"/>
        <v/>
      </c>
    </row>
    <row r="675" spans="1:14" x14ac:dyDescent="0.25">
      <c r="A675" s="35" t="str">
        <f t="shared" si="50"/>
        <v/>
      </c>
      <c r="B675" s="35" t="str">
        <f>IF(BOM!A675="","",BOM!A675)</f>
        <v/>
      </c>
      <c r="C675" s="35" t="str">
        <f>IF(B675="","",BOM!B675)</f>
        <v/>
      </c>
      <c r="D675" s="35" t="str">
        <f>IF(B675="","",IFERROR(INDEX(DM_NL!$B$5:$B$304,MATCH(C675,DM_NL!$A$5:$A$304,0)),""))</f>
        <v/>
      </c>
      <c r="E675" s="35" t="str">
        <f>IF(B675="","",IFERROR(INDEX(DM_NL!$C$5:$C$304,MATCH(C675,DM_NL!$A$5:$A$304,0)),""))</f>
        <v/>
      </c>
      <c r="F675" s="39" t="str">
        <f>IF(B675="","",SUMIFS(Mau15a!$F$11:$F$310,Mau15a!$B$11:$B$310,B675))</f>
        <v/>
      </c>
      <c r="G675" s="39" t="str">
        <f>IF(B675="","",IF(OR(M675="KXDDM",BOM!F675=""),0,BOM!F675))</f>
        <v/>
      </c>
      <c r="H675" s="39" t="str">
        <f t="shared" si="51"/>
        <v/>
      </c>
      <c r="I675" s="39" t="str">
        <f>IF(B675="","",SUMIFS(Mau15a!$H$11:$H$310,Mau15a!$B$11:$B$310,B675)+SUMIFS(Mau15a!$I$11:$I$310,Mau15a!$B$11:$B$310,B675)+SUMIFS(Mau15a!$J$11:$J$310,Mau15a!$B$11:$B$310,B675)-SUMIFS(Mau15a!$G$11:$G$310,Mau15a!$B$11:$B$310,B675))</f>
        <v/>
      </c>
      <c r="J675" s="39" t="str">
        <f t="shared" si="52"/>
        <v/>
      </c>
      <c r="K675" s="39" t="str">
        <f>IF(B675="","",(SUMIFS(Mau15a!$K$11:$K$310,Mau15a!$B$11:$B$310,B675)-SUMIFS(Mau15a!$E$11:$E$310,Mau15a!$B$11:$B$310,B675))*G675)</f>
        <v/>
      </c>
      <c r="L675" s="36" t="str">
        <f t="shared" si="53"/>
        <v/>
      </c>
      <c r="M675" s="36" t="str">
        <f>IF(B675="","",BOM!G675&amp;"")</f>
        <v/>
      </c>
      <c r="N675" s="36" t="str">
        <f t="shared" si="54"/>
        <v/>
      </c>
    </row>
    <row r="676" spans="1:14" x14ac:dyDescent="0.25">
      <c r="A676" s="35" t="str">
        <f t="shared" si="50"/>
        <v/>
      </c>
      <c r="B676" s="35" t="str">
        <f>IF(BOM!A676="","",BOM!A676)</f>
        <v/>
      </c>
      <c r="C676" s="35" t="str">
        <f>IF(B676="","",BOM!B676)</f>
        <v/>
      </c>
      <c r="D676" s="35" t="str">
        <f>IF(B676="","",IFERROR(INDEX(DM_NL!$B$5:$B$304,MATCH(C676,DM_NL!$A$5:$A$304,0)),""))</f>
        <v/>
      </c>
      <c r="E676" s="35" t="str">
        <f>IF(B676="","",IFERROR(INDEX(DM_NL!$C$5:$C$304,MATCH(C676,DM_NL!$A$5:$A$304,0)),""))</f>
        <v/>
      </c>
      <c r="F676" s="39" t="str">
        <f>IF(B676="","",SUMIFS(Mau15a!$F$11:$F$310,Mau15a!$B$11:$B$310,B676))</f>
        <v/>
      </c>
      <c r="G676" s="39" t="str">
        <f>IF(B676="","",IF(OR(M676="KXDDM",BOM!F676=""),0,BOM!F676))</f>
        <v/>
      </c>
      <c r="H676" s="39" t="str">
        <f t="shared" si="51"/>
        <v/>
      </c>
      <c r="I676" s="39" t="str">
        <f>IF(B676="","",SUMIFS(Mau15a!$H$11:$H$310,Mau15a!$B$11:$B$310,B676)+SUMIFS(Mau15a!$I$11:$I$310,Mau15a!$B$11:$B$310,B676)+SUMIFS(Mau15a!$J$11:$J$310,Mau15a!$B$11:$B$310,B676)-SUMIFS(Mau15a!$G$11:$G$310,Mau15a!$B$11:$B$310,B676))</f>
        <v/>
      </c>
      <c r="J676" s="39" t="str">
        <f t="shared" si="52"/>
        <v/>
      </c>
      <c r="K676" s="39" t="str">
        <f>IF(B676="","",(SUMIFS(Mau15a!$K$11:$K$310,Mau15a!$B$11:$B$310,B676)-SUMIFS(Mau15a!$E$11:$E$310,Mau15a!$B$11:$B$310,B676))*G676)</f>
        <v/>
      </c>
      <c r="L676" s="36" t="str">
        <f t="shared" si="53"/>
        <v/>
      </c>
      <c r="M676" s="36" t="str">
        <f>IF(B676="","",BOM!G676&amp;"")</f>
        <v/>
      </c>
      <c r="N676" s="36" t="str">
        <f t="shared" si="54"/>
        <v/>
      </c>
    </row>
    <row r="677" spans="1:14" x14ac:dyDescent="0.25">
      <c r="A677" s="35" t="str">
        <f t="shared" si="50"/>
        <v/>
      </c>
      <c r="B677" s="35" t="str">
        <f>IF(BOM!A677="","",BOM!A677)</f>
        <v/>
      </c>
      <c r="C677" s="35" t="str">
        <f>IF(B677="","",BOM!B677)</f>
        <v/>
      </c>
      <c r="D677" s="35" t="str">
        <f>IF(B677="","",IFERROR(INDEX(DM_NL!$B$5:$B$304,MATCH(C677,DM_NL!$A$5:$A$304,0)),""))</f>
        <v/>
      </c>
      <c r="E677" s="35" t="str">
        <f>IF(B677="","",IFERROR(INDEX(DM_NL!$C$5:$C$304,MATCH(C677,DM_NL!$A$5:$A$304,0)),""))</f>
        <v/>
      </c>
      <c r="F677" s="39" t="str">
        <f>IF(B677="","",SUMIFS(Mau15a!$F$11:$F$310,Mau15a!$B$11:$B$310,B677))</f>
        <v/>
      </c>
      <c r="G677" s="39" t="str">
        <f>IF(B677="","",IF(OR(M677="KXDDM",BOM!F677=""),0,BOM!F677))</f>
        <v/>
      </c>
      <c r="H677" s="39" t="str">
        <f t="shared" si="51"/>
        <v/>
      </c>
      <c r="I677" s="39" t="str">
        <f>IF(B677="","",SUMIFS(Mau15a!$H$11:$H$310,Mau15a!$B$11:$B$310,B677)+SUMIFS(Mau15a!$I$11:$I$310,Mau15a!$B$11:$B$310,B677)+SUMIFS(Mau15a!$J$11:$J$310,Mau15a!$B$11:$B$310,B677)-SUMIFS(Mau15a!$G$11:$G$310,Mau15a!$B$11:$B$310,B677))</f>
        <v/>
      </c>
      <c r="J677" s="39" t="str">
        <f t="shared" si="52"/>
        <v/>
      </c>
      <c r="K677" s="39" t="str">
        <f>IF(B677="","",(SUMIFS(Mau15a!$K$11:$K$310,Mau15a!$B$11:$B$310,B677)-SUMIFS(Mau15a!$E$11:$E$310,Mau15a!$B$11:$B$310,B677))*G677)</f>
        <v/>
      </c>
      <c r="L677" s="36" t="str">
        <f t="shared" si="53"/>
        <v/>
      </c>
      <c r="M677" s="36" t="str">
        <f>IF(B677="","",BOM!G677&amp;"")</f>
        <v/>
      </c>
      <c r="N677" s="36" t="str">
        <f t="shared" si="54"/>
        <v/>
      </c>
    </row>
    <row r="678" spans="1:14" x14ac:dyDescent="0.25">
      <c r="A678" s="35" t="str">
        <f t="shared" si="50"/>
        <v/>
      </c>
      <c r="B678" s="35" t="str">
        <f>IF(BOM!A678="","",BOM!A678)</f>
        <v/>
      </c>
      <c r="C678" s="35" t="str">
        <f>IF(B678="","",BOM!B678)</f>
        <v/>
      </c>
      <c r="D678" s="35" t="str">
        <f>IF(B678="","",IFERROR(INDEX(DM_NL!$B$5:$B$304,MATCH(C678,DM_NL!$A$5:$A$304,0)),""))</f>
        <v/>
      </c>
      <c r="E678" s="35" t="str">
        <f>IF(B678="","",IFERROR(INDEX(DM_NL!$C$5:$C$304,MATCH(C678,DM_NL!$A$5:$A$304,0)),""))</f>
        <v/>
      </c>
      <c r="F678" s="39" t="str">
        <f>IF(B678="","",SUMIFS(Mau15a!$F$11:$F$310,Mau15a!$B$11:$B$310,B678))</f>
        <v/>
      </c>
      <c r="G678" s="39" t="str">
        <f>IF(B678="","",IF(OR(M678="KXDDM",BOM!F678=""),0,BOM!F678))</f>
        <v/>
      </c>
      <c r="H678" s="39" t="str">
        <f t="shared" si="51"/>
        <v/>
      </c>
      <c r="I678" s="39" t="str">
        <f>IF(B678="","",SUMIFS(Mau15a!$H$11:$H$310,Mau15a!$B$11:$B$310,B678)+SUMIFS(Mau15a!$I$11:$I$310,Mau15a!$B$11:$B$310,B678)+SUMIFS(Mau15a!$J$11:$J$310,Mau15a!$B$11:$B$310,B678)-SUMIFS(Mau15a!$G$11:$G$310,Mau15a!$B$11:$B$310,B678))</f>
        <v/>
      </c>
      <c r="J678" s="39" t="str">
        <f t="shared" si="52"/>
        <v/>
      </c>
      <c r="K678" s="39" t="str">
        <f>IF(B678="","",(SUMIFS(Mau15a!$K$11:$K$310,Mau15a!$B$11:$B$310,B678)-SUMIFS(Mau15a!$E$11:$E$310,Mau15a!$B$11:$B$310,B678))*G678)</f>
        <v/>
      </c>
      <c r="L678" s="36" t="str">
        <f t="shared" si="53"/>
        <v/>
      </c>
      <c r="M678" s="36" t="str">
        <f>IF(B678="","",BOM!G678&amp;"")</f>
        <v/>
      </c>
      <c r="N678" s="36" t="str">
        <f t="shared" si="54"/>
        <v/>
      </c>
    </row>
    <row r="679" spans="1:14" x14ac:dyDescent="0.25">
      <c r="A679" s="35" t="str">
        <f t="shared" si="50"/>
        <v/>
      </c>
      <c r="B679" s="35" t="str">
        <f>IF(BOM!A679="","",BOM!A679)</f>
        <v/>
      </c>
      <c r="C679" s="35" t="str">
        <f>IF(B679="","",BOM!B679)</f>
        <v/>
      </c>
      <c r="D679" s="35" t="str">
        <f>IF(B679="","",IFERROR(INDEX(DM_NL!$B$5:$B$304,MATCH(C679,DM_NL!$A$5:$A$304,0)),""))</f>
        <v/>
      </c>
      <c r="E679" s="35" t="str">
        <f>IF(B679="","",IFERROR(INDEX(DM_NL!$C$5:$C$304,MATCH(C679,DM_NL!$A$5:$A$304,0)),""))</f>
        <v/>
      </c>
      <c r="F679" s="39" t="str">
        <f>IF(B679="","",SUMIFS(Mau15a!$F$11:$F$310,Mau15a!$B$11:$B$310,B679))</f>
        <v/>
      </c>
      <c r="G679" s="39" t="str">
        <f>IF(B679="","",IF(OR(M679="KXDDM",BOM!F679=""),0,BOM!F679))</f>
        <v/>
      </c>
      <c r="H679" s="39" t="str">
        <f t="shared" si="51"/>
        <v/>
      </c>
      <c r="I679" s="39" t="str">
        <f>IF(B679="","",SUMIFS(Mau15a!$H$11:$H$310,Mau15a!$B$11:$B$310,B679)+SUMIFS(Mau15a!$I$11:$I$310,Mau15a!$B$11:$B$310,B679)+SUMIFS(Mau15a!$J$11:$J$310,Mau15a!$B$11:$B$310,B679)-SUMIFS(Mau15a!$G$11:$G$310,Mau15a!$B$11:$B$310,B679))</f>
        <v/>
      </c>
      <c r="J679" s="39" t="str">
        <f t="shared" si="52"/>
        <v/>
      </c>
      <c r="K679" s="39" t="str">
        <f>IF(B679="","",(SUMIFS(Mau15a!$K$11:$K$310,Mau15a!$B$11:$B$310,B679)-SUMIFS(Mau15a!$E$11:$E$310,Mau15a!$B$11:$B$310,B679))*G679)</f>
        <v/>
      </c>
      <c r="L679" s="36" t="str">
        <f t="shared" si="53"/>
        <v/>
      </c>
      <c r="M679" s="36" t="str">
        <f>IF(B679="","",BOM!G679&amp;"")</f>
        <v/>
      </c>
      <c r="N679" s="36" t="str">
        <f t="shared" si="54"/>
        <v/>
      </c>
    </row>
    <row r="680" spans="1:14" x14ac:dyDescent="0.25">
      <c r="A680" s="35" t="str">
        <f t="shared" si="50"/>
        <v/>
      </c>
      <c r="B680" s="35" t="str">
        <f>IF(BOM!A680="","",BOM!A680)</f>
        <v/>
      </c>
      <c r="C680" s="35" t="str">
        <f>IF(B680="","",BOM!B680)</f>
        <v/>
      </c>
      <c r="D680" s="35" t="str">
        <f>IF(B680="","",IFERROR(INDEX(DM_NL!$B$5:$B$304,MATCH(C680,DM_NL!$A$5:$A$304,0)),""))</f>
        <v/>
      </c>
      <c r="E680" s="35" t="str">
        <f>IF(B680="","",IFERROR(INDEX(DM_NL!$C$5:$C$304,MATCH(C680,DM_NL!$A$5:$A$304,0)),""))</f>
        <v/>
      </c>
      <c r="F680" s="39" t="str">
        <f>IF(B680="","",SUMIFS(Mau15a!$F$11:$F$310,Mau15a!$B$11:$B$310,B680))</f>
        <v/>
      </c>
      <c r="G680" s="39" t="str">
        <f>IF(B680="","",IF(OR(M680="KXDDM",BOM!F680=""),0,BOM!F680))</f>
        <v/>
      </c>
      <c r="H680" s="39" t="str">
        <f t="shared" si="51"/>
        <v/>
      </c>
      <c r="I680" s="39" t="str">
        <f>IF(B680="","",SUMIFS(Mau15a!$H$11:$H$310,Mau15a!$B$11:$B$310,B680)+SUMIFS(Mau15a!$I$11:$I$310,Mau15a!$B$11:$B$310,B680)+SUMIFS(Mau15a!$J$11:$J$310,Mau15a!$B$11:$B$310,B680)-SUMIFS(Mau15a!$G$11:$G$310,Mau15a!$B$11:$B$310,B680))</f>
        <v/>
      </c>
      <c r="J680" s="39" t="str">
        <f t="shared" si="52"/>
        <v/>
      </c>
      <c r="K680" s="39" t="str">
        <f>IF(B680="","",(SUMIFS(Mau15a!$K$11:$K$310,Mau15a!$B$11:$B$310,B680)-SUMIFS(Mau15a!$E$11:$E$310,Mau15a!$B$11:$B$310,B680))*G680)</f>
        <v/>
      </c>
      <c r="L680" s="36" t="str">
        <f t="shared" si="53"/>
        <v/>
      </c>
      <c r="M680" s="36" t="str">
        <f>IF(B680="","",BOM!G680&amp;"")</f>
        <v/>
      </c>
      <c r="N680" s="36" t="str">
        <f t="shared" si="54"/>
        <v/>
      </c>
    </row>
    <row r="681" spans="1:14" x14ac:dyDescent="0.25">
      <c r="A681" s="35" t="str">
        <f t="shared" si="50"/>
        <v/>
      </c>
      <c r="B681" s="35" t="str">
        <f>IF(BOM!A681="","",BOM!A681)</f>
        <v/>
      </c>
      <c r="C681" s="35" t="str">
        <f>IF(B681="","",BOM!B681)</f>
        <v/>
      </c>
      <c r="D681" s="35" t="str">
        <f>IF(B681="","",IFERROR(INDEX(DM_NL!$B$5:$B$304,MATCH(C681,DM_NL!$A$5:$A$304,0)),""))</f>
        <v/>
      </c>
      <c r="E681" s="35" t="str">
        <f>IF(B681="","",IFERROR(INDEX(DM_NL!$C$5:$C$304,MATCH(C681,DM_NL!$A$5:$A$304,0)),""))</f>
        <v/>
      </c>
      <c r="F681" s="39" t="str">
        <f>IF(B681="","",SUMIFS(Mau15a!$F$11:$F$310,Mau15a!$B$11:$B$310,B681))</f>
        <v/>
      </c>
      <c r="G681" s="39" t="str">
        <f>IF(B681="","",IF(OR(M681="KXDDM",BOM!F681=""),0,BOM!F681))</f>
        <v/>
      </c>
      <c r="H681" s="39" t="str">
        <f t="shared" si="51"/>
        <v/>
      </c>
      <c r="I681" s="39" t="str">
        <f>IF(B681="","",SUMIFS(Mau15a!$H$11:$H$310,Mau15a!$B$11:$B$310,B681)+SUMIFS(Mau15a!$I$11:$I$310,Mau15a!$B$11:$B$310,B681)+SUMIFS(Mau15a!$J$11:$J$310,Mau15a!$B$11:$B$310,B681)-SUMIFS(Mau15a!$G$11:$G$310,Mau15a!$B$11:$B$310,B681))</f>
        <v/>
      </c>
      <c r="J681" s="39" t="str">
        <f t="shared" si="52"/>
        <v/>
      </c>
      <c r="K681" s="39" t="str">
        <f>IF(B681="","",(SUMIFS(Mau15a!$K$11:$K$310,Mau15a!$B$11:$B$310,B681)-SUMIFS(Mau15a!$E$11:$E$310,Mau15a!$B$11:$B$310,B681))*G681)</f>
        <v/>
      </c>
      <c r="L681" s="36" t="str">
        <f t="shared" si="53"/>
        <v/>
      </c>
      <c r="M681" s="36" t="str">
        <f>IF(B681="","",BOM!G681&amp;"")</f>
        <v/>
      </c>
      <c r="N681" s="36" t="str">
        <f t="shared" si="54"/>
        <v/>
      </c>
    </row>
    <row r="682" spans="1:14" x14ac:dyDescent="0.25">
      <c r="A682" s="35" t="str">
        <f t="shared" si="50"/>
        <v/>
      </c>
      <c r="B682" s="35" t="str">
        <f>IF(BOM!A682="","",BOM!A682)</f>
        <v/>
      </c>
      <c r="C682" s="35" t="str">
        <f>IF(B682="","",BOM!B682)</f>
        <v/>
      </c>
      <c r="D682" s="35" t="str">
        <f>IF(B682="","",IFERROR(INDEX(DM_NL!$B$5:$B$304,MATCH(C682,DM_NL!$A$5:$A$304,0)),""))</f>
        <v/>
      </c>
      <c r="E682" s="35" t="str">
        <f>IF(B682="","",IFERROR(INDEX(DM_NL!$C$5:$C$304,MATCH(C682,DM_NL!$A$5:$A$304,0)),""))</f>
        <v/>
      </c>
      <c r="F682" s="39" t="str">
        <f>IF(B682="","",SUMIFS(Mau15a!$F$11:$F$310,Mau15a!$B$11:$B$310,B682))</f>
        <v/>
      </c>
      <c r="G682" s="39" t="str">
        <f>IF(B682="","",IF(OR(M682="KXDDM",BOM!F682=""),0,BOM!F682))</f>
        <v/>
      </c>
      <c r="H682" s="39" t="str">
        <f t="shared" si="51"/>
        <v/>
      </c>
      <c r="I682" s="39" t="str">
        <f>IF(B682="","",SUMIFS(Mau15a!$H$11:$H$310,Mau15a!$B$11:$B$310,B682)+SUMIFS(Mau15a!$I$11:$I$310,Mau15a!$B$11:$B$310,B682)+SUMIFS(Mau15a!$J$11:$J$310,Mau15a!$B$11:$B$310,B682)-SUMIFS(Mau15a!$G$11:$G$310,Mau15a!$B$11:$B$310,B682))</f>
        <v/>
      </c>
      <c r="J682" s="39" t="str">
        <f t="shared" si="52"/>
        <v/>
      </c>
      <c r="K682" s="39" t="str">
        <f>IF(B682="","",(SUMIFS(Mau15a!$K$11:$K$310,Mau15a!$B$11:$B$310,B682)-SUMIFS(Mau15a!$E$11:$E$310,Mau15a!$B$11:$B$310,B682))*G682)</f>
        <v/>
      </c>
      <c r="L682" s="36" t="str">
        <f t="shared" si="53"/>
        <v/>
      </c>
      <c r="M682" s="36" t="str">
        <f>IF(B682="","",BOM!G682&amp;"")</f>
        <v/>
      </c>
      <c r="N682" s="36" t="str">
        <f t="shared" si="54"/>
        <v/>
      </c>
    </row>
    <row r="683" spans="1:14" x14ac:dyDescent="0.25">
      <c r="A683" s="35" t="str">
        <f t="shared" si="50"/>
        <v/>
      </c>
      <c r="B683" s="35" t="str">
        <f>IF(BOM!A683="","",BOM!A683)</f>
        <v/>
      </c>
      <c r="C683" s="35" t="str">
        <f>IF(B683="","",BOM!B683)</f>
        <v/>
      </c>
      <c r="D683" s="35" t="str">
        <f>IF(B683="","",IFERROR(INDEX(DM_NL!$B$5:$B$304,MATCH(C683,DM_NL!$A$5:$A$304,0)),""))</f>
        <v/>
      </c>
      <c r="E683" s="35" t="str">
        <f>IF(B683="","",IFERROR(INDEX(DM_NL!$C$5:$C$304,MATCH(C683,DM_NL!$A$5:$A$304,0)),""))</f>
        <v/>
      </c>
      <c r="F683" s="39" t="str">
        <f>IF(B683="","",SUMIFS(Mau15a!$F$11:$F$310,Mau15a!$B$11:$B$310,B683))</f>
        <v/>
      </c>
      <c r="G683" s="39" t="str">
        <f>IF(B683="","",IF(OR(M683="KXDDM",BOM!F683=""),0,BOM!F683))</f>
        <v/>
      </c>
      <c r="H683" s="39" t="str">
        <f t="shared" si="51"/>
        <v/>
      </c>
      <c r="I683" s="39" t="str">
        <f>IF(B683="","",SUMIFS(Mau15a!$H$11:$H$310,Mau15a!$B$11:$B$310,B683)+SUMIFS(Mau15a!$I$11:$I$310,Mau15a!$B$11:$B$310,B683)+SUMIFS(Mau15a!$J$11:$J$310,Mau15a!$B$11:$B$310,B683)-SUMIFS(Mau15a!$G$11:$G$310,Mau15a!$B$11:$B$310,B683))</f>
        <v/>
      </c>
      <c r="J683" s="39" t="str">
        <f t="shared" si="52"/>
        <v/>
      </c>
      <c r="K683" s="39" t="str">
        <f>IF(B683="","",(SUMIFS(Mau15a!$K$11:$K$310,Mau15a!$B$11:$B$310,B683)-SUMIFS(Mau15a!$E$11:$E$310,Mau15a!$B$11:$B$310,B683))*G683)</f>
        <v/>
      </c>
      <c r="L683" s="36" t="str">
        <f t="shared" si="53"/>
        <v/>
      </c>
      <c r="M683" s="36" t="str">
        <f>IF(B683="","",BOM!G683&amp;"")</f>
        <v/>
      </c>
      <c r="N683" s="36" t="str">
        <f t="shared" si="54"/>
        <v/>
      </c>
    </row>
    <row r="684" spans="1:14" x14ac:dyDescent="0.25">
      <c r="A684" s="35" t="str">
        <f t="shared" si="50"/>
        <v/>
      </c>
      <c r="B684" s="35" t="str">
        <f>IF(BOM!A684="","",BOM!A684)</f>
        <v/>
      </c>
      <c r="C684" s="35" t="str">
        <f>IF(B684="","",BOM!B684)</f>
        <v/>
      </c>
      <c r="D684" s="35" t="str">
        <f>IF(B684="","",IFERROR(INDEX(DM_NL!$B$5:$B$304,MATCH(C684,DM_NL!$A$5:$A$304,0)),""))</f>
        <v/>
      </c>
      <c r="E684" s="35" t="str">
        <f>IF(B684="","",IFERROR(INDEX(DM_NL!$C$5:$C$304,MATCH(C684,DM_NL!$A$5:$A$304,0)),""))</f>
        <v/>
      </c>
      <c r="F684" s="39" t="str">
        <f>IF(B684="","",SUMIFS(Mau15a!$F$11:$F$310,Mau15a!$B$11:$B$310,B684))</f>
        <v/>
      </c>
      <c r="G684" s="39" t="str">
        <f>IF(B684="","",IF(OR(M684="KXDDM",BOM!F684=""),0,BOM!F684))</f>
        <v/>
      </c>
      <c r="H684" s="39" t="str">
        <f t="shared" si="51"/>
        <v/>
      </c>
      <c r="I684" s="39" t="str">
        <f>IF(B684="","",SUMIFS(Mau15a!$H$11:$H$310,Mau15a!$B$11:$B$310,B684)+SUMIFS(Mau15a!$I$11:$I$310,Mau15a!$B$11:$B$310,B684)+SUMIFS(Mau15a!$J$11:$J$310,Mau15a!$B$11:$B$310,B684)-SUMIFS(Mau15a!$G$11:$G$310,Mau15a!$B$11:$B$310,B684))</f>
        <v/>
      </c>
      <c r="J684" s="39" t="str">
        <f t="shared" si="52"/>
        <v/>
      </c>
      <c r="K684" s="39" t="str">
        <f>IF(B684="","",(SUMIFS(Mau15a!$K$11:$K$310,Mau15a!$B$11:$B$310,B684)-SUMIFS(Mau15a!$E$11:$E$310,Mau15a!$B$11:$B$310,B684))*G684)</f>
        <v/>
      </c>
      <c r="L684" s="36" t="str">
        <f t="shared" si="53"/>
        <v/>
      </c>
      <c r="M684" s="36" t="str">
        <f>IF(B684="","",BOM!G684&amp;"")</f>
        <v/>
      </c>
      <c r="N684" s="36" t="str">
        <f t="shared" si="54"/>
        <v/>
      </c>
    </row>
    <row r="685" spans="1:14" x14ac:dyDescent="0.25">
      <c r="A685" s="35" t="str">
        <f t="shared" si="50"/>
        <v/>
      </c>
      <c r="B685" s="35" t="str">
        <f>IF(BOM!A685="","",BOM!A685)</f>
        <v/>
      </c>
      <c r="C685" s="35" t="str">
        <f>IF(B685="","",BOM!B685)</f>
        <v/>
      </c>
      <c r="D685" s="35" t="str">
        <f>IF(B685="","",IFERROR(INDEX(DM_NL!$B$5:$B$304,MATCH(C685,DM_NL!$A$5:$A$304,0)),""))</f>
        <v/>
      </c>
      <c r="E685" s="35" t="str">
        <f>IF(B685="","",IFERROR(INDEX(DM_NL!$C$5:$C$304,MATCH(C685,DM_NL!$A$5:$A$304,0)),""))</f>
        <v/>
      </c>
      <c r="F685" s="39" t="str">
        <f>IF(B685="","",SUMIFS(Mau15a!$F$11:$F$310,Mau15a!$B$11:$B$310,B685))</f>
        <v/>
      </c>
      <c r="G685" s="39" t="str">
        <f>IF(B685="","",IF(OR(M685="KXDDM",BOM!F685=""),0,BOM!F685))</f>
        <v/>
      </c>
      <c r="H685" s="39" t="str">
        <f t="shared" si="51"/>
        <v/>
      </c>
      <c r="I685" s="39" t="str">
        <f>IF(B685="","",SUMIFS(Mau15a!$H$11:$H$310,Mau15a!$B$11:$B$310,B685)+SUMIFS(Mau15a!$I$11:$I$310,Mau15a!$B$11:$B$310,B685)+SUMIFS(Mau15a!$J$11:$J$310,Mau15a!$B$11:$B$310,B685)-SUMIFS(Mau15a!$G$11:$G$310,Mau15a!$B$11:$B$310,B685))</f>
        <v/>
      </c>
      <c r="J685" s="39" t="str">
        <f t="shared" si="52"/>
        <v/>
      </c>
      <c r="K685" s="39" t="str">
        <f>IF(B685="","",(SUMIFS(Mau15a!$K$11:$K$310,Mau15a!$B$11:$B$310,B685)-SUMIFS(Mau15a!$E$11:$E$310,Mau15a!$B$11:$B$310,B685))*G685)</f>
        <v/>
      </c>
      <c r="L685" s="36" t="str">
        <f t="shared" si="53"/>
        <v/>
      </c>
      <c r="M685" s="36" t="str">
        <f>IF(B685="","",BOM!G685&amp;"")</f>
        <v/>
      </c>
      <c r="N685" s="36" t="str">
        <f t="shared" si="54"/>
        <v/>
      </c>
    </row>
    <row r="686" spans="1:14" x14ac:dyDescent="0.25">
      <c r="A686" s="35" t="str">
        <f t="shared" si="50"/>
        <v/>
      </c>
      <c r="B686" s="35" t="str">
        <f>IF(BOM!A686="","",BOM!A686)</f>
        <v/>
      </c>
      <c r="C686" s="35" t="str">
        <f>IF(B686="","",BOM!B686)</f>
        <v/>
      </c>
      <c r="D686" s="35" t="str">
        <f>IF(B686="","",IFERROR(INDEX(DM_NL!$B$5:$B$304,MATCH(C686,DM_NL!$A$5:$A$304,0)),""))</f>
        <v/>
      </c>
      <c r="E686" s="35" t="str">
        <f>IF(B686="","",IFERROR(INDEX(DM_NL!$C$5:$C$304,MATCH(C686,DM_NL!$A$5:$A$304,0)),""))</f>
        <v/>
      </c>
      <c r="F686" s="39" t="str">
        <f>IF(B686="","",SUMIFS(Mau15a!$F$11:$F$310,Mau15a!$B$11:$B$310,B686))</f>
        <v/>
      </c>
      <c r="G686" s="39" t="str">
        <f>IF(B686="","",IF(OR(M686="KXDDM",BOM!F686=""),0,BOM!F686))</f>
        <v/>
      </c>
      <c r="H686" s="39" t="str">
        <f t="shared" si="51"/>
        <v/>
      </c>
      <c r="I686" s="39" t="str">
        <f>IF(B686="","",SUMIFS(Mau15a!$H$11:$H$310,Mau15a!$B$11:$B$310,B686)+SUMIFS(Mau15a!$I$11:$I$310,Mau15a!$B$11:$B$310,B686)+SUMIFS(Mau15a!$J$11:$J$310,Mau15a!$B$11:$B$310,B686)-SUMIFS(Mau15a!$G$11:$G$310,Mau15a!$B$11:$B$310,B686))</f>
        <v/>
      </c>
      <c r="J686" s="39" t="str">
        <f t="shared" si="52"/>
        <v/>
      </c>
      <c r="K686" s="39" t="str">
        <f>IF(B686="","",(SUMIFS(Mau15a!$K$11:$K$310,Mau15a!$B$11:$B$310,B686)-SUMIFS(Mau15a!$E$11:$E$310,Mau15a!$B$11:$B$310,B686))*G686)</f>
        <v/>
      </c>
      <c r="L686" s="36" t="str">
        <f t="shared" si="53"/>
        <v/>
      </c>
      <c r="M686" s="36" t="str">
        <f>IF(B686="","",BOM!G686&amp;"")</f>
        <v/>
      </c>
      <c r="N686" s="36" t="str">
        <f t="shared" si="54"/>
        <v/>
      </c>
    </row>
    <row r="687" spans="1:14" x14ac:dyDescent="0.25">
      <c r="A687" s="35" t="str">
        <f t="shared" si="50"/>
        <v/>
      </c>
      <c r="B687" s="35" t="str">
        <f>IF(BOM!A687="","",BOM!A687)</f>
        <v/>
      </c>
      <c r="C687" s="35" t="str">
        <f>IF(B687="","",BOM!B687)</f>
        <v/>
      </c>
      <c r="D687" s="35" t="str">
        <f>IF(B687="","",IFERROR(INDEX(DM_NL!$B$5:$B$304,MATCH(C687,DM_NL!$A$5:$A$304,0)),""))</f>
        <v/>
      </c>
      <c r="E687" s="35" t="str">
        <f>IF(B687="","",IFERROR(INDEX(DM_NL!$C$5:$C$304,MATCH(C687,DM_NL!$A$5:$A$304,0)),""))</f>
        <v/>
      </c>
      <c r="F687" s="39" t="str">
        <f>IF(B687="","",SUMIFS(Mau15a!$F$11:$F$310,Mau15a!$B$11:$B$310,B687))</f>
        <v/>
      </c>
      <c r="G687" s="39" t="str">
        <f>IF(B687="","",IF(OR(M687="KXDDM",BOM!F687=""),0,BOM!F687))</f>
        <v/>
      </c>
      <c r="H687" s="39" t="str">
        <f t="shared" si="51"/>
        <v/>
      </c>
      <c r="I687" s="39" t="str">
        <f>IF(B687="","",SUMIFS(Mau15a!$H$11:$H$310,Mau15a!$B$11:$B$310,B687)+SUMIFS(Mau15a!$I$11:$I$310,Mau15a!$B$11:$B$310,B687)+SUMIFS(Mau15a!$J$11:$J$310,Mau15a!$B$11:$B$310,B687)-SUMIFS(Mau15a!$G$11:$G$310,Mau15a!$B$11:$B$310,B687))</f>
        <v/>
      </c>
      <c r="J687" s="39" t="str">
        <f t="shared" si="52"/>
        <v/>
      </c>
      <c r="K687" s="39" t="str">
        <f>IF(B687="","",(SUMIFS(Mau15a!$K$11:$K$310,Mau15a!$B$11:$B$310,B687)-SUMIFS(Mau15a!$E$11:$E$310,Mau15a!$B$11:$B$310,B687))*G687)</f>
        <v/>
      </c>
      <c r="L687" s="36" t="str">
        <f t="shared" si="53"/>
        <v/>
      </c>
      <c r="M687" s="36" t="str">
        <f>IF(B687="","",BOM!G687&amp;"")</f>
        <v/>
      </c>
      <c r="N687" s="36" t="str">
        <f t="shared" si="54"/>
        <v/>
      </c>
    </row>
    <row r="688" spans="1:14" x14ac:dyDescent="0.25">
      <c r="A688" s="35" t="str">
        <f t="shared" si="50"/>
        <v/>
      </c>
      <c r="B688" s="35" t="str">
        <f>IF(BOM!A688="","",BOM!A688)</f>
        <v/>
      </c>
      <c r="C688" s="35" t="str">
        <f>IF(B688="","",BOM!B688)</f>
        <v/>
      </c>
      <c r="D688" s="35" t="str">
        <f>IF(B688="","",IFERROR(INDEX(DM_NL!$B$5:$B$304,MATCH(C688,DM_NL!$A$5:$A$304,0)),""))</f>
        <v/>
      </c>
      <c r="E688" s="35" t="str">
        <f>IF(B688="","",IFERROR(INDEX(DM_NL!$C$5:$C$304,MATCH(C688,DM_NL!$A$5:$A$304,0)),""))</f>
        <v/>
      </c>
      <c r="F688" s="39" t="str">
        <f>IF(B688="","",SUMIFS(Mau15a!$F$11:$F$310,Mau15a!$B$11:$B$310,B688))</f>
        <v/>
      </c>
      <c r="G688" s="39" t="str">
        <f>IF(B688="","",IF(OR(M688="KXDDM",BOM!F688=""),0,BOM!F688))</f>
        <v/>
      </c>
      <c r="H688" s="39" t="str">
        <f t="shared" si="51"/>
        <v/>
      </c>
      <c r="I688" s="39" t="str">
        <f>IF(B688="","",SUMIFS(Mau15a!$H$11:$H$310,Mau15a!$B$11:$B$310,B688)+SUMIFS(Mau15a!$I$11:$I$310,Mau15a!$B$11:$B$310,B688)+SUMIFS(Mau15a!$J$11:$J$310,Mau15a!$B$11:$B$310,B688)-SUMIFS(Mau15a!$G$11:$G$310,Mau15a!$B$11:$B$310,B688))</f>
        <v/>
      </c>
      <c r="J688" s="39" t="str">
        <f t="shared" si="52"/>
        <v/>
      </c>
      <c r="K688" s="39" t="str">
        <f>IF(B688="","",(SUMIFS(Mau15a!$K$11:$K$310,Mau15a!$B$11:$B$310,B688)-SUMIFS(Mau15a!$E$11:$E$310,Mau15a!$B$11:$B$310,B688))*G688)</f>
        <v/>
      </c>
      <c r="L688" s="36" t="str">
        <f t="shared" si="53"/>
        <v/>
      </c>
      <c r="M688" s="36" t="str">
        <f>IF(B688="","",BOM!G688&amp;"")</f>
        <v/>
      </c>
      <c r="N688" s="36" t="str">
        <f t="shared" si="54"/>
        <v/>
      </c>
    </row>
    <row r="689" spans="1:14" x14ac:dyDescent="0.25">
      <c r="A689" s="35" t="str">
        <f t="shared" si="50"/>
        <v/>
      </c>
      <c r="B689" s="35" t="str">
        <f>IF(BOM!A689="","",BOM!A689)</f>
        <v/>
      </c>
      <c r="C689" s="35" t="str">
        <f>IF(B689="","",BOM!B689)</f>
        <v/>
      </c>
      <c r="D689" s="35" t="str">
        <f>IF(B689="","",IFERROR(INDEX(DM_NL!$B$5:$B$304,MATCH(C689,DM_NL!$A$5:$A$304,0)),""))</f>
        <v/>
      </c>
      <c r="E689" s="35" t="str">
        <f>IF(B689="","",IFERROR(INDEX(DM_NL!$C$5:$C$304,MATCH(C689,DM_NL!$A$5:$A$304,0)),""))</f>
        <v/>
      </c>
      <c r="F689" s="39" t="str">
        <f>IF(B689="","",SUMIFS(Mau15a!$F$11:$F$310,Mau15a!$B$11:$B$310,B689))</f>
        <v/>
      </c>
      <c r="G689" s="39" t="str">
        <f>IF(B689="","",IF(OR(M689="KXDDM",BOM!F689=""),0,BOM!F689))</f>
        <v/>
      </c>
      <c r="H689" s="39" t="str">
        <f t="shared" si="51"/>
        <v/>
      </c>
      <c r="I689" s="39" t="str">
        <f>IF(B689="","",SUMIFS(Mau15a!$H$11:$H$310,Mau15a!$B$11:$B$310,B689)+SUMIFS(Mau15a!$I$11:$I$310,Mau15a!$B$11:$B$310,B689)+SUMIFS(Mau15a!$J$11:$J$310,Mau15a!$B$11:$B$310,B689)-SUMIFS(Mau15a!$G$11:$G$310,Mau15a!$B$11:$B$310,B689))</f>
        <v/>
      </c>
      <c r="J689" s="39" t="str">
        <f t="shared" si="52"/>
        <v/>
      </c>
      <c r="K689" s="39" t="str">
        <f>IF(B689="","",(SUMIFS(Mau15a!$K$11:$K$310,Mau15a!$B$11:$B$310,B689)-SUMIFS(Mau15a!$E$11:$E$310,Mau15a!$B$11:$B$310,B689))*G689)</f>
        <v/>
      </c>
      <c r="L689" s="36" t="str">
        <f t="shared" si="53"/>
        <v/>
      </c>
      <c r="M689" s="36" t="str">
        <f>IF(B689="","",BOM!G689&amp;"")</f>
        <v/>
      </c>
      <c r="N689" s="36" t="str">
        <f t="shared" si="54"/>
        <v/>
      </c>
    </row>
    <row r="690" spans="1:14" x14ac:dyDescent="0.25">
      <c r="A690" s="35" t="str">
        <f t="shared" si="50"/>
        <v/>
      </c>
      <c r="B690" s="35" t="str">
        <f>IF(BOM!A690="","",BOM!A690)</f>
        <v/>
      </c>
      <c r="C690" s="35" t="str">
        <f>IF(B690="","",BOM!B690)</f>
        <v/>
      </c>
      <c r="D690" s="35" t="str">
        <f>IF(B690="","",IFERROR(INDEX(DM_NL!$B$5:$B$304,MATCH(C690,DM_NL!$A$5:$A$304,0)),""))</f>
        <v/>
      </c>
      <c r="E690" s="35" t="str">
        <f>IF(B690="","",IFERROR(INDEX(DM_NL!$C$5:$C$304,MATCH(C690,DM_NL!$A$5:$A$304,0)),""))</f>
        <v/>
      </c>
      <c r="F690" s="39" t="str">
        <f>IF(B690="","",SUMIFS(Mau15a!$F$11:$F$310,Mau15a!$B$11:$B$310,B690))</f>
        <v/>
      </c>
      <c r="G690" s="39" t="str">
        <f>IF(B690="","",IF(OR(M690="KXDDM",BOM!F690=""),0,BOM!F690))</f>
        <v/>
      </c>
      <c r="H690" s="39" t="str">
        <f t="shared" si="51"/>
        <v/>
      </c>
      <c r="I690" s="39" t="str">
        <f>IF(B690="","",SUMIFS(Mau15a!$H$11:$H$310,Mau15a!$B$11:$B$310,B690)+SUMIFS(Mau15a!$I$11:$I$310,Mau15a!$B$11:$B$310,B690)+SUMIFS(Mau15a!$J$11:$J$310,Mau15a!$B$11:$B$310,B690)-SUMIFS(Mau15a!$G$11:$G$310,Mau15a!$B$11:$B$310,B690))</f>
        <v/>
      </c>
      <c r="J690" s="39" t="str">
        <f t="shared" si="52"/>
        <v/>
      </c>
      <c r="K690" s="39" t="str">
        <f>IF(B690="","",(SUMIFS(Mau15a!$K$11:$K$310,Mau15a!$B$11:$B$310,B690)-SUMIFS(Mau15a!$E$11:$E$310,Mau15a!$B$11:$B$310,B690))*G690)</f>
        <v/>
      </c>
      <c r="L690" s="36" t="str">
        <f t="shared" si="53"/>
        <v/>
      </c>
      <c r="M690" s="36" t="str">
        <f>IF(B690="","",BOM!G690&amp;"")</f>
        <v/>
      </c>
      <c r="N690" s="36" t="str">
        <f t="shared" si="54"/>
        <v/>
      </c>
    </row>
    <row r="691" spans="1:14" x14ac:dyDescent="0.25">
      <c r="A691" s="35" t="str">
        <f t="shared" si="50"/>
        <v/>
      </c>
      <c r="B691" s="35" t="str">
        <f>IF(BOM!A691="","",BOM!A691)</f>
        <v/>
      </c>
      <c r="C691" s="35" t="str">
        <f>IF(B691="","",BOM!B691)</f>
        <v/>
      </c>
      <c r="D691" s="35" t="str">
        <f>IF(B691="","",IFERROR(INDEX(DM_NL!$B$5:$B$304,MATCH(C691,DM_NL!$A$5:$A$304,0)),""))</f>
        <v/>
      </c>
      <c r="E691" s="35" t="str">
        <f>IF(B691="","",IFERROR(INDEX(DM_NL!$C$5:$C$304,MATCH(C691,DM_NL!$A$5:$A$304,0)),""))</f>
        <v/>
      </c>
      <c r="F691" s="39" t="str">
        <f>IF(B691="","",SUMIFS(Mau15a!$F$11:$F$310,Mau15a!$B$11:$B$310,B691))</f>
        <v/>
      </c>
      <c r="G691" s="39" t="str">
        <f>IF(B691="","",IF(OR(M691="KXDDM",BOM!F691=""),0,BOM!F691))</f>
        <v/>
      </c>
      <c r="H691" s="39" t="str">
        <f t="shared" si="51"/>
        <v/>
      </c>
      <c r="I691" s="39" t="str">
        <f>IF(B691="","",SUMIFS(Mau15a!$H$11:$H$310,Mau15a!$B$11:$B$310,B691)+SUMIFS(Mau15a!$I$11:$I$310,Mau15a!$B$11:$B$310,B691)+SUMIFS(Mau15a!$J$11:$J$310,Mau15a!$B$11:$B$310,B691)-SUMIFS(Mau15a!$G$11:$G$310,Mau15a!$B$11:$B$310,B691))</f>
        <v/>
      </c>
      <c r="J691" s="39" t="str">
        <f t="shared" si="52"/>
        <v/>
      </c>
      <c r="K691" s="39" t="str">
        <f>IF(B691="","",(SUMIFS(Mau15a!$K$11:$K$310,Mau15a!$B$11:$B$310,B691)-SUMIFS(Mau15a!$E$11:$E$310,Mau15a!$B$11:$B$310,B691))*G691)</f>
        <v/>
      </c>
      <c r="L691" s="36" t="str">
        <f t="shared" si="53"/>
        <v/>
      </c>
      <c r="M691" s="36" t="str">
        <f>IF(B691="","",BOM!G691&amp;"")</f>
        <v/>
      </c>
      <c r="N691" s="36" t="str">
        <f t="shared" si="54"/>
        <v/>
      </c>
    </row>
    <row r="692" spans="1:14" x14ac:dyDescent="0.25">
      <c r="A692" s="35" t="str">
        <f t="shared" si="50"/>
        <v/>
      </c>
      <c r="B692" s="35" t="str">
        <f>IF(BOM!A692="","",BOM!A692)</f>
        <v/>
      </c>
      <c r="C692" s="35" t="str">
        <f>IF(B692="","",BOM!B692)</f>
        <v/>
      </c>
      <c r="D692" s="35" t="str">
        <f>IF(B692="","",IFERROR(INDEX(DM_NL!$B$5:$B$304,MATCH(C692,DM_NL!$A$5:$A$304,0)),""))</f>
        <v/>
      </c>
      <c r="E692" s="35" t="str">
        <f>IF(B692="","",IFERROR(INDEX(DM_NL!$C$5:$C$304,MATCH(C692,DM_NL!$A$5:$A$304,0)),""))</f>
        <v/>
      </c>
      <c r="F692" s="39" t="str">
        <f>IF(B692="","",SUMIFS(Mau15a!$F$11:$F$310,Mau15a!$B$11:$B$310,B692))</f>
        <v/>
      </c>
      <c r="G692" s="39" t="str">
        <f>IF(B692="","",IF(OR(M692="KXDDM",BOM!F692=""),0,BOM!F692))</f>
        <v/>
      </c>
      <c r="H692" s="39" t="str">
        <f t="shared" si="51"/>
        <v/>
      </c>
      <c r="I692" s="39" t="str">
        <f>IF(B692="","",SUMIFS(Mau15a!$H$11:$H$310,Mau15a!$B$11:$B$310,B692)+SUMIFS(Mau15a!$I$11:$I$310,Mau15a!$B$11:$B$310,B692)+SUMIFS(Mau15a!$J$11:$J$310,Mau15a!$B$11:$B$310,B692)-SUMIFS(Mau15a!$G$11:$G$310,Mau15a!$B$11:$B$310,B692))</f>
        <v/>
      </c>
      <c r="J692" s="39" t="str">
        <f t="shared" si="52"/>
        <v/>
      </c>
      <c r="K692" s="39" t="str">
        <f>IF(B692="","",(SUMIFS(Mau15a!$K$11:$K$310,Mau15a!$B$11:$B$310,B692)-SUMIFS(Mau15a!$E$11:$E$310,Mau15a!$B$11:$B$310,B692))*G692)</f>
        <v/>
      </c>
      <c r="L692" s="36" t="str">
        <f t="shared" si="53"/>
        <v/>
      </c>
      <c r="M692" s="36" t="str">
        <f>IF(B692="","",BOM!G692&amp;"")</f>
        <v/>
      </c>
      <c r="N692" s="36" t="str">
        <f t="shared" si="54"/>
        <v/>
      </c>
    </row>
    <row r="693" spans="1:14" x14ac:dyDescent="0.25">
      <c r="A693" s="35" t="str">
        <f t="shared" si="50"/>
        <v/>
      </c>
      <c r="B693" s="35" t="str">
        <f>IF(BOM!A693="","",BOM!A693)</f>
        <v/>
      </c>
      <c r="C693" s="35" t="str">
        <f>IF(B693="","",BOM!B693)</f>
        <v/>
      </c>
      <c r="D693" s="35" t="str">
        <f>IF(B693="","",IFERROR(INDEX(DM_NL!$B$5:$B$304,MATCH(C693,DM_NL!$A$5:$A$304,0)),""))</f>
        <v/>
      </c>
      <c r="E693" s="35" t="str">
        <f>IF(B693="","",IFERROR(INDEX(DM_NL!$C$5:$C$304,MATCH(C693,DM_NL!$A$5:$A$304,0)),""))</f>
        <v/>
      </c>
      <c r="F693" s="39" t="str">
        <f>IF(B693="","",SUMIFS(Mau15a!$F$11:$F$310,Mau15a!$B$11:$B$310,B693))</f>
        <v/>
      </c>
      <c r="G693" s="39" t="str">
        <f>IF(B693="","",IF(OR(M693="KXDDM",BOM!F693=""),0,BOM!F693))</f>
        <v/>
      </c>
      <c r="H693" s="39" t="str">
        <f t="shared" si="51"/>
        <v/>
      </c>
      <c r="I693" s="39" t="str">
        <f>IF(B693="","",SUMIFS(Mau15a!$H$11:$H$310,Mau15a!$B$11:$B$310,B693)+SUMIFS(Mau15a!$I$11:$I$310,Mau15a!$B$11:$B$310,B693)+SUMIFS(Mau15a!$J$11:$J$310,Mau15a!$B$11:$B$310,B693)-SUMIFS(Mau15a!$G$11:$G$310,Mau15a!$B$11:$B$310,B693))</f>
        <v/>
      </c>
      <c r="J693" s="39" t="str">
        <f t="shared" si="52"/>
        <v/>
      </c>
      <c r="K693" s="39" t="str">
        <f>IF(B693="","",(SUMIFS(Mau15a!$K$11:$K$310,Mau15a!$B$11:$B$310,B693)-SUMIFS(Mau15a!$E$11:$E$310,Mau15a!$B$11:$B$310,B693))*G693)</f>
        <v/>
      </c>
      <c r="L693" s="36" t="str">
        <f t="shared" si="53"/>
        <v/>
      </c>
      <c r="M693" s="36" t="str">
        <f>IF(B693="","",BOM!G693&amp;"")</f>
        <v/>
      </c>
      <c r="N693" s="36" t="str">
        <f t="shared" si="54"/>
        <v/>
      </c>
    </row>
    <row r="694" spans="1:14" x14ac:dyDescent="0.25">
      <c r="A694" s="35" t="str">
        <f t="shared" si="50"/>
        <v/>
      </c>
      <c r="B694" s="35" t="str">
        <f>IF(BOM!A694="","",BOM!A694)</f>
        <v/>
      </c>
      <c r="C694" s="35" t="str">
        <f>IF(B694="","",BOM!B694)</f>
        <v/>
      </c>
      <c r="D694" s="35" t="str">
        <f>IF(B694="","",IFERROR(INDEX(DM_NL!$B$5:$B$304,MATCH(C694,DM_NL!$A$5:$A$304,0)),""))</f>
        <v/>
      </c>
      <c r="E694" s="35" t="str">
        <f>IF(B694="","",IFERROR(INDEX(DM_NL!$C$5:$C$304,MATCH(C694,DM_NL!$A$5:$A$304,0)),""))</f>
        <v/>
      </c>
      <c r="F694" s="39" t="str">
        <f>IF(B694="","",SUMIFS(Mau15a!$F$11:$F$310,Mau15a!$B$11:$B$310,B694))</f>
        <v/>
      </c>
      <c r="G694" s="39" t="str">
        <f>IF(B694="","",IF(OR(M694="KXDDM",BOM!F694=""),0,BOM!F694))</f>
        <v/>
      </c>
      <c r="H694" s="39" t="str">
        <f t="shared" si="51"/>
        <v/>
      </c>
      <c r="I694" s="39" t="str">
        <f>IF(B694="","",SUMIFS(Mau15a!$H$11:$H$310,Mau15a!$B$11:$B$310,B694)+SUMIFS(Mau15a!$I$11:$I$310,Mau15a!$B$11:$B$310,B694)+SUMIFS(Mau15a!$J$11:$J$310,Mau15a!$B$11:$B$310,B694)-SUMIFS(Mau15a!$G$11:$G$310,Mau15a!$B$11:$B$310,B694))</f>
        <v/>
      </c>
      <c r="J694" s="39" t="str">
        <f t="shared" si="52"/>
        <v/>
      </c>
      <c r="K694" s="39" t="str">
        <f>IF(B694="","",(SUMIFS(Mau15a!$K$11:$K$310,Mau15a!$B$11:$B$310,B694)-SUMIFS(Mau15a!$E$11:$E$310,Mau15a!$B$11:$B$310,B694))*G694)</f>
        <v/>
      </c>
      <c r="L694" s="36" t="str">
        <f t="shared" si="53"/>
        <v/>
      </c>
      <c r="M694" s="36" t="str">
        <f>IF(B694="","",BOM!G694&amp;"")</f>
        <v/>
      </c>
      <c r="N694" s="36" t="str">
        <f t="shared" si="54"/>
        <v/>
      </c>
    </row>
    <row r="695" spans="1:14" x14ac:dyDescent="0.25">
      <c r="A695" s="35" t="str">
        <f t="shared" si="50"/>
        <v/>
      </c>
      <c r="B695" s="35" t="str">
        <f>IF(BOM!A695="","",BOM!A695)</f>
        <v/>
      </c>
      <c r="C695" s="35" t="str">
        <f>IF(B695="","",BOM!B695)</f>
        <v/>
      </c>
      <c r="D695" s="35" t="str">
        <f>IF(B695="","",IFERROR(INDEX(DM_NL!$B$5:$B$304,MATCH(C695,DM_NL!$A$5:$A$304,0)),""))</f>
        <v/>
      </c>
      <c r="E695" s="35" t="str">
        <f>IF(B695="","",IFERROR(INDEX(DM_NL!$C$5:$C$304,MATCH(C695,DM_NL!$A$5:$A$304,0)),""))</f>
        <v/>
      </c>
      <c r="F695" s="39" t="str">
        <f>IF(B695="","",SUMIFS(Mau15a!$F$11:$F$310,Mau15a!$B$11:$B$310,B695))</f>
        <v/>
      </c>
      <c r="G695" s="39" t="str">
        <f>IF(B695="","",IF(OR(M695="KXDDM",BOM!F695=""),0,BOM!F695))</f>
        <v/>
      </c>
      <c r="H695" s="39" t="str">
        <f t="shared" si="51"/>
        <v/>
      </c>
      <c r="I695" s="39" t="str">
        <f>IF(B695="","",SUMIFS(Mau15a!$H$11:$H$310,Mau15a!$B$11:$B$310,B695)+SUMIFS(Mau15a!$I$11:$I$310,Mau15a!$B$11:$B$310,B695)+SUMIFS(Mau15a!$J$11:$J$310,Mau15a!$B$11:$B$310,B695)-SUMIFS(Mau15a!$G$11:$G$310,Mau15a!$B$11:$B$310,B695))</f>
        <v/>
      </c>
      <c r="J695" s="39" t="str">
        <f t="shared" si="52"/>
        <v/>
      </c>
      <c r="K695" s="39" t="str">
        <f>IF(B695="","",(SUMIFS(Mau15a!$K$11:$K$310,Mau15a!$B$11:$B$310,B695)-SUMIFS(Mau15a!$E$11:$E$310,Mau15a!$B$11:$B$310,B695))*G695)</f>
        <v/>
      </c>
      <c r="L695" s="36" t="str">
        <f t="shared" si="53"/>
        <v/>
      </c>
      <c r="M695" s="36" t="str">
        <f>IF(B695="","",BOM!G695&amp;"")</f>
        <v/>
      </c>
      <c r="N695" s="36" t="str">
        <f t="shared" si="54"/>
        <v/>
      </c>
    </row>
    <row r="696" spans="1:14" x14ac:dyDescent="0.25">
      <c r="A696" s="35" t="str">
        <f t="shared" si="50"/>
        <v/>
      </c>
      <c r="B696" s="35" t="str">
        <f>IF(BOM!A696="","",BOM!A696)</f>
        <v/>
      </c>
      <c r="C696" s="35" t="str">
        <f>IF(B696="","",BOM!B696)</f>
        <v/>
      </c>
      <c r="D696" s="35" t="str">
        <f>IF(B696="","",IFERROR(INDEX(DM_NL!$B$5:$B$304,MATCH(C696,DM_NL!$A$5:$A$304,0)),""))</f>
        <v/>
      </c>
      <c r="E696" s="35" t="str">
        <f>IF(B696="","",IFERROR(INDEX(DM_NL!$C$5:$C$304,MATCH(C696,DM_NL!$A$5:$A$304,0)),""))</f>
        <v/>
      </c>
      <c r="F696" s="39" t="str">
        <f>IF(B696="","",SUMIFS(Mau15a!$F$11:$F$310,Mau15a!$B$11:$B$310,B696))</f>
        <v/>
      </c>
      <c r="G696" s="39" t="str">
        <f>IF(B696="","",IF(OR(M696="KXDDM",BOM!F696=""),0,BOM!F696))</f>
        <v/>
      </c>
      <c r="H696" s="39" t="str">
        <f t="shared" si="51"/>
        <v/>
      </c>
      <c r="I696" s="39" t="str">
        <f>IF(B696="","",SUMIFS(Mau15a!$H$11:$H$310,Mau15a!$B$11:$B$310,B696)+SUMIFS(Mau15a!$I$11:$I$310,Mau15a!$B$11:$B$310,B696)+SUMIFS(Mau15a!$J$11:$J$310,Mau15a!$B$11:$B$310,B696)-SUMIFS(Mau15a!$G$11:$G$310,Mau15a!$B$11:$B$310,B696))</f>
        <v/>
      </c>
      <c r="J696" s="39" t="str">
        <f t="shared" si="52"/>
        <v/>
      </c>
      <c r="K696" s="39" t="str">
        <f>IF(B696="","",(SUMIFS(Mau15a!$K$11:$K$310,Mau15a!$B$11:$B$310,B696)-SUMIFS(Mau15a!$E$11:$E$310,Mau15a!$B$11:$B$310,B696))*G696)</f>
        <v/>
      </c>
      <c r="L696" s="36" t="str">
        <f t="shared" si="53"/>
        <v/>
      </c>
      <c r="M696" s="36" t="str">
        <f>IF(B696="","",BOM!G696&amp;"")</f>
        <v/>
      </c>
      <c r="N696" s="36" t="str">
        <f t="shared" si="54"/>
        <v/>
      </c>
    </row>
    <row r="697" spans="1:14" x14ac:dyDescent="0.25">
      <c r="A697" s="35" t="str">
        <f t="shared" si="50"/>
        <v/>
      </c>
      <c r="B697" s="35" t="str">
        <f>IF(BOM!A697="","",BOM!A697)</f>
        <v/>
      </c>
      <c r="C697" s="35" t="str">
        <f>IF(B697="","",BOM!B697)</f>
        <v/>
      </c>
      <c r="D697" s="35" t="str">
        <f>IF(B697="","",IFERROR(INDEX(DM_NL!$B$5:$B$304,MATCH(C697,DM_NL!$A$5:$A$304,0)),""))</f>
        <v/>
      </c>
      <c r="E697" s="35" t="str">
        <f>IF(B697="","",IFERROR(INDEX(DM_NL!$C$5:$C$304,MATCH(C697,DM_NL!$A$5:$A$304,0)),""))</f>
        <v/>
      </c>
      <c r="F697" s="39" t="str">
        <f>IF(B697="","",SUMIFS(Mau15a!$F$11:$F$310,Mau15a!$B$11:$B$310,B697))</f>
        <v/>
      </c>
      <c r="G697" s="39" t="str">
        <f>IF(B697="","",IF(OR(M697="KXDDM",BOM!F697=""),0,BOM!F697))</f>
        <v/>
      </c>
      <c r="H697" s="39" t="str">
        <f t="shared" si="51"/>
        <v/>
      </c>
      <c r="I697" s="39" t="str">
        <f>IF(B697="","",SUMIFS(Mau15a!$H$11:$H$310,Mau15a!$B$11:$B$310,B697)+SUMIFS(Mau15a!$I$11:$I$310,Mau15a!$B$11:$B$310,B697)+SUMIFS(Mau15a!$J$11:$J$310,Mau15a!$B$11:$B$310,B697)-SUMIFS(Mau15a!$G$11:$G$310,Mau15a!$B$11:$B$310,B697))</f>
        <v/>
      </c>
      <c r="J697" s="39" t="str">
        <f t="shared" si="52"/>
        <v/>
      </c>
      <c r="K697" s="39" t="str">
        <f>IF(B697="","",(SUMIFS(Mau15a!$K$11:$K$310,Mau15a!$B$11:$B$310,B697)-SUMIFS(Mau15a!$E$11:$E$310,Mau15a!$B$11:$B$310,B697))*G697)</f>
        <v/>
      </c>
      <c r="L697" s="36" t="str">
        <f t="shared" si="53"/>
        <v/>
      </c>
      <c r="M697" s="36" t="str">
        <f>IF(B697="","",BOM!G697&amp;"")</f>
        <v/>
      </c>
      <c r="N697" s="36" t="str">
        <f t="shared" si="54"/>
        <v/>
      </c>
    </row>
    <row r="698" spans="1:14" x14ac:dyDescent="0.25">
      <c r="A698" s="35" t="str">
        <f t="shared" si="50"/>
        <v/>
      </c>
      <c r="B698" s="35" t="str">
        <f>IF(BOM!A698="","",BOM!A698)</f>
        <v/>
      </c>
      <c r="C698" s="35" t="str">
        <f>IF(B698="","",BOM!B698)</f>
        <v/>
      </c>
      <c r="D698" s="35" t="str">
        <f>IF(B698="","",IFERROR(INDEX(DM_NL!$B$5:$B$304,MATCH(C698,DM_NL!$A$5:$A$304,0)),""))</f>
        <v/>
      </c>
      <c r="E698" s="35" t="str">
        <f>IF(B698="","",IFERROR(INDEX(DM_NL!$C$5:$C$304,MATCH(C698,DM_NL!$A$5:$A$304,0)),""))</f>
        <v/>
      </c>
      <c r="F698" s="39" t="str">
        <f>IF(B698="","",SUMIFS(Mau15a!$F$11:$F$310,Mau15a!$B$11:$B$310,B698))</f>
        <v/>
      </c>
      <c r="G698" s="39" t="str">
        <f>IF(B698="","",IF(OR(M698="KXDDM",BOM!F698=""),0,BOM!F698))</f>
        <v/>
      </c>
      <c r="H698" s="39" t="str">
        <f t="shared" si="51"/>
        <v/>
      </c>
      <c r="I698" s="39" t="str">
        <f>IF(B698="","",SUMIFS(Mau15a!$H$11:$H$310,Mau15a!$B$11:$B$310,B698)+SUMIFS(Mau15a!$I$11:$I$310,Mau15a!$B$11:$B$310,B698)+SUMIFS(Mau15a!$J$11:$J$310,Mau15a!$B$11:$B$310,B698)-SUMIFS(Mau15a!$G$11:$G$310,Mau15a!$B$11:$B$310,B698))</f>
        <v/>
      </c>
      <c r="J698" s="39" t="str">
        <f t="shared" si="52"/>
        <v/>
      </c>
      <c r="K698" s="39" t="str">
        <f>IF(B698="","",(SUMIFS(Mau15a!$K$11:$K$310,Mau15a!$B$11:$B$310,B698)-SUMIFS(Mau15a!$E$11:$E$310,Mau15a!$B$11:$B$310,B698))*G698)</f>
        <v/>
      </c>
      <c r="L698" s="36" t="str">
        <f t="shared" si="53"/>
        <v/>
      </c>
      <c r="M698" s="36" t="str">
        <f>IF(B698="","",BOM!G698&amp;"")</f>
        <v/>
      </c>
      <c r="N698" s="36" t="str">
        <f t="shared" si="54"/>
        <v/>
      </c>
    </row>
    <row r="699" spans="1:14" x14ac:dyDescent="0.25">
      <c r="A699" s="35" t="str">
        <f t="shared" si="50"/>
        <v/>
      </c>
      <c r="B699" s="35" t="str">
        <f>IF(BOM!A699="","",BOM!A699)</f>
        <v/>
      </c>
      <c r="C699" s="35" t="str">
        <f>IF(B699="","",BOM!B699)</f>
        <v/>
      </c>
      <c r="D699" s="35" t="str">
        <f>IF(B699="","",IFERROR(INDEX(DM_NL!$B$5:$B$304,MATCH(C699,DM_NL!$A$5:$A$304,0)),""))</f>
        <v/>
      </c>
      <c r="E699" s="35" t="str">
        <f>IF(B699="","",IFERROR(INDEX(DM_NL!$C$5:$C$304,MATCH(C699,DM_NL!$A$5:$A$304,0)),""))</f>
        <v/>
      </c>
      <c r="F699" s="39" t="str">
        <f>IF(B699="","",SUMIFS(Mau15a!$F$11:$F$310,Mau15a!$B$11:$B$310,B699))</f>
        <v/>
      </c>
      <c r="G699" s="39" t="str">
        <f>IF(B699="","",IF(OR(M699="KXDDM",BOM!F699=""),0,BOM!F699))</f>
        <v/>
      </c>
      <c r="H699" s="39" t="str">
        <f t="shared" si="51"/>
        <v/>
      </c>
      <c r="I699" s="39" t="str">
        <f>IF(B699="","",SUMIFS(Mau15a!$H$11:$H$310,Mau15a!$B$11:$B$310,B699)+SUMIFS(Mau15a!$I$11:$I$310,Mau15a!$B$11:$B$310,B699)+SUMIFS(Mau15a!$J$11:$J$310,Mau15a!$B$11:$B$310,B699)-SUMIFS(Mau15a!$G$11:$G$310,Mau15a!$B$11:$B$310,B699))</f>
        <v/>
      </c>
      <c r="J699" s="39" t="str">
        <f t="shared" si="52"/>
        <v/>
      </c>
      <c r="K699" s="39" t="str">
        <f>IF(B699="","",(SUMIFS(Mau15a!$K$11:$K$310,Mau15a!$B$11:$B$310,B699)-SUMIFS(Mau15a!$E$11:$E$310,Mau15a!$B$11:$B$310,B699))*G699)</f>
        <v/>
      </c>
      <c r="L699" s="36" t="str">
        <f t="shared" si="53"/>
        <v/>
      </c>
      <c r="M699" s="36" t="str">
        <f>IF(B699="","",BOM!G699&amp;"")</f>
        <v/>
      </c>
      <c r="N699" s="36" t="str">
        <f t="shared" si="54"/>
        <v/>
      </c>
    </row>
    <row r="700" spans="1:14" x14ac:dyDescent="0.25">
      <c r="A700" s="35" t="str">
        <f t="shared" si="50"/>
        <v/>
      </c>
      <c r="B700" s="35" t="str">
        <f>IF(BOM!A700="","",BOM!A700)</f>
        <v/>
      </c>
      <c r="C700" s="35" t="str">
        <f>IF(B700="","",BOM!B700)</f>
        <v/>
      </c>
      <c r="D700" s="35" t="str">
        <f>IF(B700="","",IFERROR(INDEX(DM_NL!$B$5:$B$304,MATCH(C700,DM_NL!$A$5:$A$304,0)),""))</f>
        <v/>
      </c>
      <c r="E700" s="35" t="str">
        <f>IF(B700="","",IFERROR(INDEX(DM_NL!$C$5:$C$304,MATCH(C700,DM_NL!$A$5:$A$304,0)),""))</f>
        <v/>
      </c>
      <c r="F700" s="39" t="str">
        <f>IF(B700="","",SUMIFS(Mau15a!$F$11:$F$310,Mau15a!$B$11:$B$310,B700))</f>
        <v/>
      </c>
      <c r="G700" s="39" t="str">
        <f>IF(B700="","",IF(OR(M700="KXDDM",BOM!F700=""),0,BOM!F700))</f>
        <v/>
      </c>
      <c r="H700" s="39" t="str">
        <f t="shared" si="51"/>
        <v/>
      </c>
      <c r="I700" s="39" t="str">
        <f>IF(B700="","",SUMIFS(Mau15a!$H$11:$H$310,Mau15a!$B$11:$B$310,B700)+SUMIFS(Mau15a!$I$11:$I$310,Mau15a!$B$11:$B$310,B700)+SUMIFS(Mau15a!$J$11:$J$310,Mau15a!$B$11:$B$310,B700)-SUMIFS(Mau15a!$G$11:$G$310,Mau15a!$B$11:$B$310,B700))</f>
        <v/>
      </c>
      <c r="J700" s="39" t="str">
        <f t="shared" si="52"/>
        <v/>
      </c>
      <c r="K700" s="39" t="str">
        <f>IF(B700="","",(SUMIFS(Mau15a!$K$11:$K$310,Mau15a!$B$11:$B$310,B700)-SUMIFS(Mau15a!$E$11:$E$310,Mau15a!$B$11:$B$310,B700))*G700)</f>
        <v/>
      </c>
      <c r="L700" s="36" t="str">
        <f t="shared" si="53"/>
        <v/>
      </c>
      <c r="M700" s="36" t="str">
        <f>IF(B700="","",BOM!G700&amp;"")</f>
        <v/>
      </c>
      <c r="N700" s="36" t="str">
        <f t="shared" si="54"/>
        <v/>
      </c>
    </row>
    <row r="701" spans="1:14" x14ac:dyDescent="0.25">
      <c r="A701" s="35" t="str">
        <f t="shared" si="50"/>
        <v/>
      </c>
      <c r="B701" s="35" t="str">
        <f>IF(BOM!A701="","",BOM!A701)</f>
        <v/>
      </c>
      <c r="C701" s="35" t="str">
        <f>IF(B701="","",BOM!B701)</f>
        <v/>
      </c>
      <c r="D701" s="35" t="str">
        <f>IF(B701="","",IFERROR(INDEX(DM_NL!$B$5:$B$304,MATCH(C701,DM_NL!$A$5:$A$304,0)),""))</f>
        <v/>
      </c>
      <c r="E701" s="35" t="str">
        <f>IF(B701="","",IFERROR(INDEX(DM_NL!$C$5:$C$304,MATCH(C701,DM_NL!$A$5:$A$304,0)),""))</f>
        <v/>
      </c>
      <c r="F701" s="39" t="str">
        <f>IF(B701="","",SUMIFS(Mau15a!$F$11:$F$310,Mau15a!$B$11:$B$310,B701))</f>
        <v/>
      </c>
      <c r="G701" s="39" t="str">
        <f>IF(B701="","",IF(OR(M701="KXDDM",BOM!F701=""),0,BOM!F701))</f>
        <v/>
      </c>
      <c r="H701" s="39" t="str">
        <f t="shared" si="51"/>
        <v/>
      </c>
      <c r="I701" s="39" t="str">
        <f>IF(B701="","",SUMIFS(Mau15a!$H$11:$H$310,Mau15a!$B$11:$B$310,B701)+SUMIFS(Mau15a!$I$11:$I$310,Mau15a!$B$11:$B$310,B701)+SUMIFS(Mau15a!$J$11:$J$310,Mau15a!$B$11:$B$310,B701)-SUMIFS(Mau15a!$G$11:$G$310,Mau15a!$B$11:$B$310,B701))</f>
        <v/>
      </c>
      <c r="J701" s="39" t="str">
        <f t="shared" si="52"/>
        <v/>
      </c>
      <c r="K701" s="39" t="str">
        <f>IF(B701="","",(SUMIFS(Mau15a!$K$11:$K$310,Mau15a!$B$11:$B$310,B701)-SUMIFS(Mau15a!$E$11:$E$310,Mau15a!$B$11:$B$310,B701))*G701)</f>
        <v/>
      </c>
      <c r="L701" s="36" t="str">
        <f t="shared" si="53"/>
        <v/>
      </c>
      <c r="M701" s="36" t="str">
        <f>IF(B701="","",BOM!G701&amp;"")</f>
        <v/>
      </c>
      <c r="N701" s="36" t="str">
        <f t="shared" si="54"/>
        <v/>
      </c>
    </row>
    <row r="702" spans="1:14" x14ac:dyDescent="0.25">
      <c r="A702" s="35" t="str">
        <f t="shared" si="50"/>
        <v/>
      </c>
      <c r="B702" s="35" t="str">
        <f>IF(BOM!A702="","",BOM!A702)</f>
        <v/>
      </c>
      <c r="C702" s="35" t="str">
        <f>IF(B702="","",BOM!B702)</f>
        <v/>
      </c>
      <c r="D702" s="35" t="str">
        <f>IF(B702="","",IFERROR(INDEX(DM_NL!$B$5:$B$304,MATCH(C702,DM_NL!$A$5:$A$304,0)),""))</f>
        <v/>
      </c>
      <c r="E702" s="35" t="str">
        <f>IF(B702="","",IFERROR(INDEX(DM_NL!$C$5:$C$304,MATCH(C702,DM_NL!$A$5:$A$304,0)),""))</f>
        <v/>
      </c>
      <c r="F702" s="39" t="str">
        <f>IF(B702="","",SUMIFS(Mau15a!$F$11:$F$310,Mau15a!$B$11:$B$310,B702))</f>
        <v/>
      </c>
      <c r="G702" s="39" t="str">
        <f>IF(B702="","",IF(OR(M702="KXDDM",BOM!F702=""),0,BOM!F702))</f>
        <v/>
      </c>
      <c r="H702" s="39" t="str">
        <f t="shared" si="51"/>
        <v/>
      </c>
      <c r="I702" s="39" t="str">
        <f>IF(B702="","",SUMIFS(Mau15a!$H$11:$H$310,Mau15a!$B$11:$B$310,B702)+SUMIFS(Mau15a!$I$11:$I$310,Mau15a!$B$11:$B$310,B702)+SUMIFS(Mau15a!$J$11:$J$310,Mau15a!$B$11:$B$310,B702)-SUMIFS(Mau15a!$G$11:$G$310,Mau15a!$B$11:$B$310,B702))</f>
        <v/>
      </c>
      <c r="J702" s="39" t="str">
        <f t="shared" si="52"/>
        <v/>
      </c>
      <c r="K702" s="39" t="str">
        <f>IF(B702="","",(SUMIFS(Mau15a!$K$11:$K$310,Mau15a!$B$11:$B$310,B702)-SUMIFS(Mau15a!$E$11:$E$310,Mau15a!$B$11:$B$310,B702))*G702)</f>
        <v/>
      </c>
      <c r="L702" s="36" t="str">
        <f t="shared" si="53"/>
        <v/>
      </c>
      <c r="M702" s="36" t="str">
        <f>IF(B702="","",BOM!G702&amp;"")</f>
        <v/>
      </c>
      <c r="N702" s="36" t="str">
        <f t="shared" si="54"/>
        <v/>
      </c>
    </row>
    <row r="703" spans="1:14" x14ac:dyDescent="0.25">
      <c r="A703" s="35" t="str">
        <f t="shared" si="50"/>
        <v/>
      </c>
      <c r="B703" s="35" t="str">
        <f>IF(BOM!A703="","",BOM!A703)</f>
        <v/>
      </c>
      <c r="C703" s="35" t="str">
        <f>IF(B703="","",BOM!B703)</f>
        <v/>
      </c>
      <c r="D703" s="35" t="str">
        <f>IF(B703="","",IFERROR(INDEX(DM_NL!$B$5:$B$304,MATCH(C703,DM_NL!$A$5:$A$304,0)),""))</f>
        <v/>
      </c>
      <c r="E703" s="35" t="str">
        <f>IF(B703="","",IFERROR(INDEX(DM_NL!$C$5:$C$304,MATCH(C703,DM_NL!$A$5:$A$304,0)),""))</f>
        <v/>
      </c>
      <c r="F703" s="39" t="str">
        <f>IF(B703="","",SUMIFS(Mau15a!$F$11:$F$310,Mau15a!$B$11:$B$310,B703))</f>
        <v/>
      </c>
      <c r="G703" s="39" t="str">
        <f>IF(B703="","",IF(OR(M703="KXDDM",BOM!F703=""),0,BOM!F703))</f>
        <v/>
      </c>
      <c r="H703" s="39" t="str">
        <f t="shared" si="51"/>
        <v/>
      </c>
      <c r="I703" s="39" t="str">
        <f>IF(B703="","",SUMIFS(Mau15a!$H$11:$H$310,Mau15a!$B$11:$B$310,B703)+SUMIFS(Mau15a!$I$11:$I$310,Mau15a!$B$11:$B$310,B703)+SUMIFS(Mau15a!$J$11:$J$310,Mau15a!$B$11:$B$310,B703)-SUMIFS(Mau15a!$G$11:$G$310,Mau15a!$B$11:$B$310,B703))</f>
        <v/>
      </c>
      <c r="J703" s="39" t="str">
        <f t="shared" si="52"/>
        <v/>
      </c>
      <c r="K703" s="39" t="str">
        <f>IF(B703="","",(SUMIFS(Mau15a!$K$11:$K$310,Mau15a!$B$11:$B$310,B703)-SUMIFS(Mau15a!$E$11:$E$310,Mau15a!$B$11:$B$310,B703))*G703)</f>
        <v/>
      </c>
      <c r="L703" s="36" t="str">
        <f t="shared" si="53"/>
        <v/>
      </c>
      <c r="M703" s="36" t="str">
        <f>IF(B703="","",BOM!G703&amp;"")</f>
        <v/>
      </c>
      <c r="N703" s="36" t="str">
        <f t="shared" si="54"/>
        <v/>
      </c>
    </row>
    <row r="704" spans="1:14" x14ac:dyDescent="0.25">
      <c r="A704" s="35" t="str">
        <f t="shared" si="50"/>
        <v/>
      </c>
      <c r="B704" s="35" t="str">
        <f>IF(BOM!A704="","",BOM!A704)</f>
        <v/>
      </c>
      <c r="C704" s="35" t="str">
        <f>IF(B704="","",BOM!B704)</f>
        <v/>
      </c>
      <c r="D704" s="35" t="str">
        <f>IF(B704="","",IFERROR(INDEX(DM_NL!$B$5:$B$304,MATCH(C704,DM_NL!$A$5:$A$304,0)),""))</f>
        <v/>
      </c>
      <c r="E704" s="35" t="str">
        <f>IF(B704="","",IFERROR(INDEX(DM_NL!$C$5:$C$304,MATCH(C704,DM_NL!$A$5:$A$304,0)),""))</f>
        <v/>
      </c>
      <c r="F704" s="39" t="str">
        <f>IF(B704="","",SUMIFS(Mau15a!$F$11:$F$310,Mau15a!$B$11:$B$310,B704))</f>
        <v/>
      </c>
      <c r="G704" s="39" t="str">
        <f>IF(B704="","",IF(OR(M704="KXDDM",BOM!F704=""),0,BOM!F704))</f>
        <v/>
      </c>
      <c r="H704" s="39" t="str">
        <f t="shared" si="51"/>
        <v/>
      </c>
      <c r="I704" s="39" t="str">
        <f>IF(B704="","",SUMIFS(Mau15a!$H$11:$H$310,Mau15a!$B$11:$B$310,B704)+SUMIFS(Mau15a!$I$11:$I$310,Mau15a!$B$11:$B$310,B704)+SUMIFS(Mau15a!$J$11:$J$310,Mau15a!$B$11:$B$310,B704)-SUMIFS(Mau15a!$G$11:$G$310,Mau15a!$B$11:$B$310,B704))</f>
        <v/>
      </c>
      <c r="J704" s="39" t="str">
        <f t="shared" si="52"/>
        <v/>
      </c>
      <c r="K704" s="39" t="str">
        <f>IF(B704="","",(SUMIFS(Mau15a!$K$11:$K$310,Mau15a!$B$11:$B$310,B704)-SUMIFS(Mau15a!$E$11:$E$310,Mau15a!$B$11:$B$310,B704))*G704)</f>
        <v/>
      </c>
      <c r="L704" s="36" t="str">
        <f t="shared" si="53"/>
        <v/>
      </c>
      <c r="M704" s="36" t="str">
        <f>IF(B704="","",BOM!G704&amp;"")</f>
        <v/>
      </c>
      <c r="N704" s="36" t="str">
        <f t="shared" si="54"/>
        <v/>
      </c>
    </row>
    <row r="705" spans="1:14" x14ac:dyDescent="0.25">
      <c r="A705" s="35" t="str">
        <f t="shared" si="50"/>
        <v/>
      </c>
      <c r="B705" s="35" t="str">
        <f>IF(BOM!A705="","",BOM!A705)</f>
        <v/>
      </c>
      <c r="C705" s="35" t="str">
        <f>IF(B705="","",BOM!B705)</f>
        <v/>
      </c>
      <c r="D705" s="35" t="str">
        <f>IF(B705="","",IFERROR(INDEX(DM_NL!$B$5:$B$304,MATCH(C705,DM_NL!$A$5:$A$304,0)),""))</f>
        <v/>
      </c>
      <c r="E705" s="35" t="str">
        <f>IF(B705="","",IFERROR(INDEX(DM_NL!$C$5:$C$304,MATCH(C705,DM_NL!$A$5:$A$304,0)),""))</f>
        <v/>
      </c>
      <c r="F705" s="39" t="str">
        <f>IF(B705="","",SUMIFS(Mau15a!$F$11:$F$310,Mau15a!$B$11:$B$310,B705))</f>
        <v/>
      </c>
      <c r="G705" s="39" t="str">
        <f>IF(B705="","",IF(OR(M705="KXDDM",BOM!F705=""),0,BOM!F705))</f>
        <v/>
      </c>
      <c r="H705" s="39" t="str">
        <f t="shared" si="51"/>
        <v/>
      </c>
      <c r="I705" s="39" t="str">
        <f>IF(B705="","",SUMIFS(Mau15a!$H$11:$H$310,Mau15a!$B$11:$B$310,B705)+SUMIFS(Mau15a!$I$11:$I$310,Mau15a!$B$11:$B$310,B705)+SUMIFS(Mau15a!$J$11:$J$310,Mau15a!$B$11:$B$310,B705)-SUMIFS(Mau15a!$G$11:$G$310,Mau15a!$B$11:$B$310,B705))</f>
        <v/>
      </c>
      <c r="J705" s="39" t="str">
        <f t="shared" si="52"/>
        <v/>
      </c>
      <c r="K705" s="39" t="str">
        <f>IF(B705="","",(SUMIFS(Mau15a!$K$11:$K$310,Mau15a!$B$11:$B$310,B705)-SUMIFS(Mau15a!$E$11:$E$310,Mau15a!$B$11:$B$310,B705))*G705)</f>
        <v/>
      </c>
      <c r="L705" s="36" t="str">
        <f t="shared" si="53"/>
        <v/>
      </c>
      <c r="M705" s="36" t="str">
        <f>IF(B705="","",BOM!G705&amp;"")</f>
        <v/>
      </c>
      <c r="N705" s="36" t="str">
        <f t="shared" si="54"/>
        <v/>
      </c>
    </row>
    <row r="706" spans="1:14" x14ac:dyDescent="0.25">
      <c r="A706" s="35" t="str">
        <f t="shared" si="50"/>
        <v/>
      </c>
      <c r="B706" s="35" t="str">
        <f>IF(BOM!A706="","",BOM!A706)</f>
        <v/>
      </c>
      <c r="C706" s="35" t="str">
        <f>IF(B706="","",BOM!B706)</f>
        <v/>
      </c>
      <c r="D706" s="35" t="str">
        <f>IF(B706="","",IFERROR(INDEX(DM_NL!$B$5:$B$304,MATCH(C706,DM_NL!$A$5:$A$304,0)),""))</f>
        <v/>
      </c>
      <c r="E706" s="35" t="str">
        <f>IF(B706="","",IFERROR(INDEX(DM_NL!$C$5:$C$304,MATCH(C706,DM_NL!$A$5:$A$304,0)),""))</f>
        <v/>
      </c>
      <c r="F706" s="39" t="str">
        <f>IF(B706="","",SUMIFS(Mau15a!$F$11:$F$310,Mau15a!$B$11:$B$310,B706))</f>
        <v/>
      </c>
      <c r="G706" s="39" t="str">
        <f>IF(B706="","",IF(OR(M706="KXDDM",BOM!F706=""),0,BOM!F706))</f>
        <v/>
      </c>
      <c r="H706" s="39" t="str">
        <f t="shared" si="51"/>
        <v/>
      </c>
      <c r="I706" s="39" t="str">
        <f>IF(B706="","",SUMIFS(Mau15a!$H$11:$H$310,Mau15a!$B$11:$B$310,B706)+SUMIFS(Mau15a!$I$11:$I$310,Mau15a!$B$11:$B$310,B706)+SUMIFS(Mau15a!$J$11:$J$310,Mau15a!$B$11:$B$310,B706)-SUMIFS(Mau15a!$G$11:$G$310,Mau15a!$B$11:$B$310,B706))</f>
        <v/>
      </c>
      <c r="J706" s="39" t="str">
        <f t="shared" si="52"/>
        <v/>
      </c>
      <c r="K706" s="39" t="str">
        <f>IF(B706="","",(SUMIFS(Mau15a!$K$11:$K$310,Mau15a!$B$11:$B$310,B706)-SUMIFS(Mau15a!$E$11:$E$310,Mau15a!$B$11:$B$310,B706))*G706)</f>
        <v/>
      </c>
      <c r="L706" s="36" t="str">
        <f t="shared" si="53"/>
        <v/>
      </c>
      <c r="M706" s="36" t="str">
        <f>IF(B706="","",BOM!G706&amp;"")</f>
        <v/>
      </c>
      <c r="N706" s="36" t="str">
        <f t="shared" si="54"/>
        <v/>
      </c>
    </row>
    <row r="707" spans="1:14" x14ac:dyDescent="0.25">
      <c r="A707" s="35" t="str">
        <f t="shared" si="50"/>
        <v/>
      </c>
      <c r="B707" s="35" t="str">
        <f>IF(BOM!A707="","",BOM!A707)</f>
        <v/>
      </c>
      <c r="C707" s="35" t="str">
        <f>IF(B707="","",BOM!B707)</f>
        <v/>
      </c>
      <c r="D707" s="35" t="str">
        <f>IF(B707="","",IFERROR(INDEX(DM_NL!$B$5:$B$304,MATCH(C707,DM_NL!$A$5:$A$304,0)),""))</f>
        <v/>
      </c>
      <c r="E707" s="35" t="str">
        <f>IF(B707="","",IFERROR(INDEX(DM_NL!$C$5:$C$304,MATCH(C707,DM_NL!$A$5:$A$304,0)),""))</f>
        <v/>
      </c>
      <c r="F707" s="39" t="str">
        <f>IF(B707="","",SUMIFS(Mau15a!$F$11:$F$310,Mau15a!$B$11:$B$310,B707))</f>
        <v/>
      </c>
      <c r="G707" s="39" t="str">
        <f>IF(B707="","",IF(OR(M707="KXDDM",BOM!F707=""),0,BOM!F707))</f>
        <v/>
      </c>
      <c r="H707" s="39" t="str">
        <f t="shared" si="51"/>
        <v/>
      </c>
      <c r="I707" s="39" t="str">
        <f>IF(B707="","",SUMIFS(Mau15a!$H$11:$H$310,Mau15a!$B$11:$B$310,B707)+SUMIFS(Mau15a!$I$11:$I$310,Mau15a!$B$11:$B$310,B707)+SUMIFS(Mau15a!$J$11:$J$310,Mau15a!$B$11:$B$310,B707)-SUMIFS(Mau15a!$G$11:$G$310,Mau15a!$B$11:$B$310,B707))</f>
        <v/>
      </c>
      <c r="J707" s="39" t="str">
        <f t="shared" si="52"/>
        <v/>
      </c>
      <c r="K707" s="39" t="str">
        <f>IF(B707="","",(SUMIFS(Mau15a!$K$11:$K$310,Mau15a!$B$11:$B$310,B707)-SUMIFS(Mau15a!$E$11:$E$310,Mau15a!$B$11:$B$310,B707))*G707)</f>
        <v/>
      </c>
      <c r="L707" s="36" t="str">
        <f t="shared" si="53"/>
        <v/>
      </c>
      <c r="M707" s="36" t="str">
        <f>IF(B707="","",BOM!G707&amp;"")</f>
        <v/>
      </c>
      <c r="N707" s="36" t="str">
        <f t="shared" si="54"/>
        <v/>
      </c>
    </row>
    <row r="708" spans="1:14" x14ac:dyDescent="0.25">
      <c r="A708" s="35" t="str">
        <f t="shared" si="50"/>
        <v/>
      </c>
      <c r="B708" s="35" t="str">
        <f>IF(BOM!A708="","",BOM!A708)</f>
        <v/>
      </c>
      <c r="C708" s="35" t="str">
        <f>IF(B708="","",BOM!B708)</f>
        <v/>
      </c>
      <c r="D708" s="35" t="str">
        <f>IF(B708="","",IFERROR(INDEX(DM_NL!$B$5:$B$304,MATCH(C708,DM_NL!$A$5:$A$304,0)),""))</f>
        <v/>
      </c>
      <c r="E708" s="35" t="str">
        <f>IF(B708="","",IFERROR(INDEX(DM_NL!$C$5:$C$304,MATCH(C708,DM_NL!$A$5:$A$304,0)),""))</f>
        <v/>
      </c>
      <c r="F708" s="39" t="str">
        <f>IF(B708="","",SUMIFS(Mau15a!$F$11:$F$310,Mau15a!$B$11:$B$310,B708))</f>
        <v/>
      </c>
      <c r="G708" s="39" t="str">
        <f>IF(B708="","",IF(OR(M708="KXDDM",BOM!F708=""),0,BOM!F708))</f>
        <v/>
      </c>
      <c r="H708" s="39" t="str">
        <f t="shared" si="51"/>
        <v/>
      </c>
      <c r="I708" s="39" t="str">
        <f>IF(B708="","",SUMIFS(Mau15a!$H$11:$H$310,Mau15a!$B$11:$B$310,B708)+SUMIFS(Mau15a!$I$11:$I$310,Mau15a!$B$11:$B$310,B708)+SUMIFS(Mau15a!$J$11:$J$310,Mau15a!$B$11:$B$310,B708)-SUMIFS(Mau15a!$G$11:$G$310,Mau15a!$B$11:$B$310,B708))</f>
        <v/>
      </c>
      <c r="J708" s="39" t="str">
        <f t="shared" si="52"/>
        <v/>
      </c>
      <c r="K708" s="39" t="str">
        <f>IF(B708="","",(SUMIFS(Mau15a!$K$11:$K$310,Mau15a!$B$11:$B$310,B708)-SUMIFS(Mau15a!$E$11:$E$310,Mau15a!$B$11:$B$310,B708))*G708)</f>
        <v/>
      </c>
      <c r="L708" s="36" t="str">
        <f t="shared" si="53"/>
        <v/>
      </c>
      <c r="M708" s="36" t="str">
        <f>IF(B708="","",BOM!G708&amp;"")</f>
        <v/>
      </c>
      <c r="N708" s="36" t="str">
        <f t="shared" si="54"/>
        <v/>
      </c>
    </row>
    <row r="709" spans="1:14" x14ac:dyDescent="0.25">
      <c r="A709" s="35" t="str">
        <f t="shared" ref="A709:A772" si="55">IF(B709="","",ROW()-4)</f>
        <v/>
      </c>
      <c r="B709" s="35" t="str">
        <f>IF(BOM!A709="","",BOM!A709)</f>
        <v/>
      </c>
      <c r="C709" s="35" t="str">
        <f>IF(B709="","",BOM!B709)</f>
        <v/>
      </c>
      <c r="D709" s="35" t="str">
        <f>IF(B709="","",IFERROR(INDEX(DM_NL!$B$5:$B$304,MATCH(C709,DM_NL!$A$5:$A$304,0)),""))</f>
        <v/>
      </c>
      <c r="E709" s="35" t="str">
        <f>IF(B709="","",IFERROR(INDEX(DM_NL!$C$5:$C$304,MATCH(C709,DM_NL!$A$5:$A$304,0)),""))</f>
        <v/>
      </c>
      <c r="F709" s="39" t="str">
        <f>IF(B709="","",SUMIFS(Mau15a!$F$11:$F$310,Mau15a!$B$11:$B$310,B709))</f>
        <v/>
      </c>
      <c r="G709" s="39" t="str">
        <f>IF(B709="","",IF(OR(M709="KXDDM",BOM!F709=""),0,BOM!F709))</f>
        <v/>
      </c>
      <c r="H709" s="39" t="str">
        <f t="shared" ref="H709:H772" si="56">IF(B709="","",F709*G709)</f>
        <v/>
      </c>
      <c r="I709" s="39" t="str">
        <f>IF(B709="","",SUMIFS(Mau15a!$H$11:$H$310,Mau15a!$B$11:$B$310,B709)+SUMIFS(Mau15a!$I$11:$I$310,Mau15a!$B$11:$B$310,B709)+SUMIFS(Mau15a!$J$11:$J$310,Mau15a!$B$11:$B$310,B709)-SUMIFS(Mau15a!$G$11:$G$310,Mau15a!$B$11:$B$310,B709))</f>
        <v/>
      </c>
      <c r="J709" s="39" t="str">
        <f t="shared" ref="J709:J772" si="57">IF(B709="","",I709*G709)</f>
        <v/>
      </c>
      <c r="K709" s="39" t="str">
        <f>IF(B709="","",(SUMIFS(Mau15a!$K$11:$K$310,Mau15a!$B$11:$B$310,B709)-SUMIFS(Mau15a!$E$11:$E$310,Mau15a!$B$11:$B$310,B709))*G709)</f>
        <v/>
      </c>
      <c r="L709" s="36" t="str">
        <f t="shared" ref="L709:L772" si="58">IF(B709="","",IF(ABS(H709-J709-K709)&lt;0.000001,"Khớp","Lệch"))</f>
        <v/>
      </c>
      <c r="M709" s="36" t="str">
        <f>IF(B709="","",BOM!G709&amp;"")</f>
        <v/>
      </c>
      <c r="N709" s="36" t="str">
        <f t="shared" ref="N709:N772" si="59">IF(B709="","",IF(M709="",1,0))</f>
        <v/>
      </c>
    </row>
    <row r="710" spans="1:14" x14ac:dyDescent="0.25">
      <c r="A710" s="35" t="str">
        <f t="shared" si="55"/>
        <v/>
      </c>
      <c r="B710" s="35" t="str">
        <f>IF(BOM!A710="","",BOM!A710)</f>
        <v/>
      </c>
      <c r="C710" s="35" t="str">
        <f>IF(B710="","",BOM!B710)</f>
        <v/>
      </c>
      <c r="D710" s="35" t="str">
        <f>IF(B710="","",IFERROR(INDEX(DM_NL!$B$5:$B$304,MATCH(C710,DM_NL!$A$5:$A$304,0)),""))</f>
        <v/>
      </c>
      <c r="E710" s="35" t="str">
        <f>IF(B710="","",IFERROR(INDEX(DM_NL!$C$5:$C$304,MATCH(C710,DM_NL!$A$5:$A$304,0)),""))</f>
        <v/>
      </c>
      <c r="F710" s="39" t="str">
        <f>IF(B710="","",SUMIFS(Mau15a!$F$11:$F$310,Mau15a!$B$11:$B$310,B710))</f>
        <v/>
      </c>
      <c r="G710" s="39" t="str">
        <f>IF(B710="","",IF(OR(M710="KXDDM",BOM!F710=""),0,BOM!F710))</f>
        <v/>
      </c>
      <c r="H710" s="39" t="str">
        <f t="shared" si="56"/>
        <v/>
      </c>
      <c r="I710" s="39" t="str">
        <f>IF(B710="","",SUMIFS(Mau15a!$H$11:$H$310,Mau15a!$B$11:$B$310,B710)+SUMIFS(Mau15a!$I$11:$I$310,Mau15a!$B$11:$B$310,B710)+SUMIFS(Mau15a!$J$11:$J$310,Mau15a!$B$11:$B$310,B710)-SUMIFS(Mau15a!$G$11:$G$310,Mau15a!$B$11:$B$310,B710))</f>
        <v/>
      </c>
      <c r="J710" s="39" t="str">
        <f t="shared" si="57"/>
        <v/>
      </c>
      <c r="K710" s="39" t="str">
        <f>IF(B710="","",(SUMIFS(Mau15a!$K$11:$K$310,Mau15a!$B$11:$B$310,B710)-SUMIFS(Mau15a!$E$11:$E$310,Mau15a!$B$11:$B$310,B710))*G710)</f>
        <v/>
      </c>
      <c r="L710" s="36" t="str">
        <f t="shared" si="58"/>
        <v/>
      </c>
      <c r="M710" s="36" t="str">
        <f>IF(B710="","",BOM!G710&amp;"")</f>
        <v/>
      </c>
      <c r="N710" s="36" t="str">
        <f t="shared" si="59"/>
        <v/>
      </c>
    </row>
    <row r="711" spans="1:14" x14ac:dyDescent="0.25">
      <c r="A711" s="35" t="str">
        <f t="shared" si="55"/>
        <v/>
      </c>
      <c r="B711" s="35" t="str">
        <f>IF(BOM!A711="","",BOM!A711)</f>
        <v/>
      </c>
      <c r="C711" s="35" t="str">
        <f>IF(B711="","",BOM!B711)</f>
        <v/>
      </c>
      <c r="D711" s="35" t="str">
        <f>IF(B711="","",IFERROR(INDEX(DM_NL!$B$5:$B$304,MATCH(C711,DM_NL!$A$5:$A$304,0)),""))</f>
        <v/>
      </c>
      <c r="E711" s="35" t="str">
        <f>IF(B711="","",IFERROR(INDEX(DM_NL!$C$5:$C$304,MATCH(C711,DM_NL!$A$5:$A$304,0)),""))</f>
        <v/>
      </c>
      <c r="F711" s="39" t="str">
        <f>IF(B711="","",SUMIFS(Mau15a!$F$11:$F$310,Mau15a!$B$11:$B$310,B711))</f>
        <v/>
      </c>
      <c r="G711" s="39" t="str">
        <f>IF(B711="","",IF(OR(M711="KXDDM",BOM!F711=""),0,BOM!F711))</f>
        <v/>
      </c>
      <c r="H711" s="39" t="str">
        <f t="shared" si="56"/>
        <v/>
      </c>
      <c r="I711" s="39" t="str">
        <f>IF(B711="","",SUMIFS(Mau15a!$H$11:$H$310,Mau15a!$B$11:$B$310,B711)+SUMIFS(Mau15a!$I$11:$I$310,Mau15a!$B$11:$B$310,B711)+SUMIFS(Mau15a!$J$11:$J$310,Mau15a!$B$11:$B$310,B711)-SUMIFS(Mau15a!$G$11:$G$310,Mau15a!$B$11:$B$310,B711))</f>
        <v/>
      </c>
      <c r="J711" s="39" t="str">
        <f t="shared" si="57"/>
        <v/>
      </c>
      <c r="K711" s="39" t="str">
        <f>IF(B711="","",(SUMIFS(Mau15a!$K$11:$K$310,Mau15a!$B$11:$B$310,B711)-SUMIFS(Mau15a!$E$11:$E$310,Mau15a!$B$11:$B$310,B711))*G711)</f>
        <v/>
      </c>
      <c r="L711" s="36" t="str">
        <f t="shared" si="58"/>
        <v/>
      </c>
      <c r="M711" s="36" t="str">
        <f>IF(B711="","",BOM!G711&amp;"")</f>
        <v/>
      </c>
      <c r="N711" s="36" t="str">
        <f t="shared" si="59"/>
        <v/>
      </c>
    </row>
    <row r="712" spans="1:14" x14ac:dyDescent="0.25">
      <c r="A712" s="35" t="str">
        <f t="shared" si="55"/>
        <v/>
      </c>
      <c r="B712" s="35" t="str">
        <f>IF(BOM!A712="","",BOM!A712)</f>
        <v/>
      </c>
      <c r="C712" s="35" t="str">
        <f>IF(B712="","",BOM!B712)</f>
        <v/>
      </c>
      <c r="D712" s="35" t="str">
        <f>IF(B712="","",IFERROR(INDEX(DM_NL!$B$5:$B$304,MATCH(C712,DM_NL!$A$5:$A$304,0)),""))</f>
        <v/>
      </c>
      <c r="E712" s="35" t="str">
        <f>IF(B712="","",IFERROR(INDEX(DM_NL!$C$5:$C$304,MATCH(C712,DM_NL!$A$5:$A$304,0)),""))</f>
        <v/>
      </c>
      <c r="F712" s="39" t="str">
        <f>IF(B712="","",SUMIFS(Mau15a!$F$11:$F$310,Mau15a!$B$11:$B$310,B712))</f>
        <v/>
      </c>
      <c r="G712" s="39" t="str">
        <f>IF(B712="","",IF(OR(M712="KXDDM",BOM!F712=""),0,BOM!F712))</f>
        <v/>
      </c>
      <c r="H712" s="39" t="str">
        <f t="shared" si="56"/>
        <v/>
      </c>
      <c r="I712" s="39" t="str">
        <f>IF(B712="","",SUMIFS(Mau15a!$H$11:$H$310,Mau15a!$B$11:$B$310,B712)+SUMIFS(Mau15a!$I$11:$I$310,Mau15a!$B$11:$B$310,B712)+SUMIFS(Mau15a!$J$11:$J$310,Mau15a!$B$11:$B$310,B712)-SUMIFS(Mau15a!$G$11:$G$310,Mau15a!$B$11:$B$310,B712))</f>
        <v/>
      </c>
      <c r="J712" s="39" t="str">
        <f t="shared" si="57"/>
        <v/>
      </c>
      <c r="K712" s="39" t="str">
        <f>IF(B712="","",(SUMIFS(Mau15a!$K$11:$K$310,Mau15a!$B$11:$B$310,B712)-SUMIFS(Mau15a!$E$11:$E$310,Mau15a!$B$11:$B$310,B712))*G712)</f>
        <v/>
      </c>
      <c r="L712" s="36" t="str">
        <f t="shared" si="58"/>
        <v/>
      </c>
      <c r="M712" s="36" t="str">
        <f>IF(B712="","",BOM!G712&amp;"")</f>
        <v/>
      </c>
      <c r="N712" s="36" t="str">
        <f t="shared" si="59"/>
        <v/>
      </c>
    </row>
    <row r="713" spans="1:14" x14ac:dyDescent="0.25">
      <c r="A713" s="35" t="str">
        <f t="shared" si="55"/>
        <v/>
      </c>
      <c r="B713" s="35" t="str">
        <f>IF(BOM!A713="","",BOM!A713)</f>
        <v/>
      </c>
      <c r="C713" s="35" t="str">
        <f>IF(B713="","",BOM!B713)</f>
        <v/>
      </c>
      <c r="D713" s="35" t="str">
        <f>IF(B713="","",IFERROR(INDEX(DM_NL!$B$5:$B$304,MATCH(C713,DM_NL!$A$5:$A$304,0)),""))</f>
        <v/>
      </c>
      <c r="E713" s="35" t="str">
        <f>IF(B713="","",IFERROR(INDEX(DM_NL!$C$5:$C$304,MATCH(C713,DM_NL!$A$5:$A$304,0)),""))</f>
        <v/>
      </c>
      <c r="F713" s="39" t="str">
        <f>IF(B713="","",SUMIFS(Mau15a!$F$11:$F$310,Mau15a!$B$11:$B$310,B713))</f>
        <v/>
      </c>
      <c r="G713" s="39" t="str">
        <f>IF(B713="","",IF(OR(M713="KXDDM",BOM!F713=""),0,BOM!F713))</f>
        <v/>
      </c>
      <c r="H713" s="39" t="str">
        <f t="shared" si="56"/>
        <v/>
      </c>
      <c r="I713" s="39" t="str">
        <f>IF(B713="","",SUMIFS(Mau15a!$H$11:$H$310,Mau15a!$B$11:$B$310,B713)+SUMIFS(Mau15a!$I$11:$I$310,Mau15a!$B$11:$B$310,B713)+SUMIFS(Mau15a!$J$11:$J$310,Mau15a!$B$11:$B$310,B713)-SUMIFS(Mau15a!$G$11:$G$310,Mau15a!$B$11:$B$310,B713))</f>
        <v/>
      </c>
      <c r="J713" s="39" t="str">
        <f t="shared" si="57"/>
        <v/>
      </c>
      <c r="K713" s="39" t="str">
        <f>IF(B713="","",(SUMIFS(Mau15a!$K$11:$K$310,Mau15a!$B$11:$B$310,B713)-SUMIFS(Mau15a!$E$11:$E$310,Mau15a!$B$11:$B$310,B713))*G713)</f>
        <v/>
      </c>
      <c r="L713" s="36" t="str">
        <f t="shared" si="58"/>
        <v/>
      </c>
      <c r="M713" s="36" t="str">
        <f>IF(B713="","",BOM!G713&amp;"")</f>
        <v/>
      </c>
      <c r="N713" s="36" t="str">
        <f t="shared" si="59"/>
        <v/>
      </c>
    </row>
    <row r="714" spans="1:14" x14ac:dyDescent="0.25">
      <c r="A714" s="35" t="str">
        <f t="shared" si="55"/>
        <v/>
      </c>
      <c r="B714" s="35" t="str">
        <f>IF(BOM!A714="","",BOM!A714)</f>
        <v/>
      </c>
      <c r="C714" s="35" t="str">
        <f>IF(B714="","",BOM!B714)</f>
        <v/>
      </c>
      <c r="D714" s="35" t="str">
        <f>IF(B714="","",IFERROR(INDEX(DM_NL!$B$5:$B$304,MATCH(C714,DM_NL!$A$5:$A$304,0)),""))</f>
        <v/>
      </c>
      <c r="E714" s="35" t="str">
        <f>IF(B714="","",IFERROR(INDEX(DM_NL!$C$5:$C$304,MATCH(C714,DM_NL!$A$5:$A$304,0)),""))</f>
        <v/>
      </c>
      <c r="F714" s="39" t="str">
        <f>IF(B714="","",SUMIFS(Mau15a!$F$11:$F$310,Mau15a!$B$11:$B$310,B714))</f>
        <v/>
      </c>
      <c r="G714" s="39" t="str">
        <f>IF(B714="","",IF(OR(M714="KXDDM",BOM!F714=""),0,BOM!F714))</f>
        <v/>
      </c>
      <c r="H714" s="39" t="str">
        <f t="shared" si="56"/>
        <v/>
      </c>
      <c r="I714" s="39" t="str">
        <f>IF(B714="","",SUMIFS(Mau15a!$H$11:$H$310,Mau15a!$B$11:$B$310,B714)+SUMIFS(Mau15a!$I$11:$I$310,Mau15a!$B$11:$B$310,B714)+SUMIFS(Mau15a!$J$11:$J$310,Mau15a!$B$11:$B$310,B714)-SUMIFS(Mau15a!$G$11:$G$310,Mau15a!$B$11:$B$310,B714))</f>
        <v/>
      </c>
      <c r="J714" s="39" t="str">
        <f t="shared" si="57"/>
        <v/>
      </c>
      <c r="K714" s="39" t="str">
        <f>IF(B714="","",(SUMIFS(Mau15a!$K$11:$K$310,Mau15a!$B$11:$B$310,B714)-SUMIFS(Mau15a!$E$11:$E$310,Mau15a!$B$11:$B$310,B714))*G714)</f>
        <v/>
      </c>
      <c r="L714" s="36" t="str">
        <f t="shared" si="58"/>
        <v/>
      </c>
      <c r="M714" s="36" t="str">
        <f>IF(B714="","",BOM!G714&amp;"")</f>
        <v/>
      </c>
      <c r="N714" s="36" t="str">
        <f t="shared" si="59"/>
        <v/>
      </c>
    </row>
    <row r="715" spans="1:14" x14ac:dyDescent="0.25">
      <c r="A715" s="35" t="str">
        <f t="shared" si="55"/>
        <v/>
      </c>
      <c r="B715" s="35" t="str">
        <f>IF(BOM!A715="","",BOM!A715)</f>
        <v/>
      </c>
      <c r="C715" s="35" t="str">
        <f>IF(B715="","",BOM!B715)</f>
        <v/>
      </c>
      <c r="D715" s="35" t="str">
        <f>IF(B715="","",IFERROR(INDEX(DM_NL!$B$5:$B$304,MATCH(C715,DM_NL!$A$5:$A$304,0)),""))</f>
        <v/>
      </c>
      <c r="E715" s="35" t="str">
        <f>IF(B715="","",IFERROR(INDEX(DM_NL!$C$5:$C$304,MATCH(C715,DM_NL!$A$5:$A$304,0)),""))</f>
        <v/>
      </c>
      <c r="F715" s="39" t="str">
        <f>IF(B715="","",SUMIFS(Mau15a!$F$11:$F$310,Mau15a!$B$11:$B$310,B715))</f>
        <v/>
      </c>
      <c r="G715" s="39" t="str">
        <f>IF(B715="","",IF(OR(M715="KXDDM",BOM!F715=""),0,BOM!F715))</f>
        <v/>
      </c>
      <c r="H715" s="39" t="str">
        <f t="shared" si="56"/>
        <v/>
      </c>
      <c r="I715" s="39" t="str">
        <f>IF(B715="","",SUMIFS(Mau15a!$H$11:$H$310,Mau15a!$B$11:$B$310,B715)+SUMIFS(Mau15a!$I$11:$I$310,Mau15a!$B$11:$B$310,B715)+SUMIFS(Mau15a!$J$11:$J$310,Mau15a!$B$11:$B$310,B715)-SUMIFS(Mau15a!$G$11:$G$310,Mau15a!$B$11:$B$310,B715))</f>
        <v/>
      </c>
      <c r="J715" s="39" t="str">
        <f t="shared" si="57"/>
        <v/>
      </c>
      <c r="K715" s="39" t="str">
        <f>IF(B715="","",(SUMIFS(Mau15a!$K$11:$K$310,Mau15a!$B$11:$B$310,B715)-SUMIFS(Mau15a!$E$11:$E$310,Mau15a!$B$11:$B$310,B715))*G715)</f>
        <v/>
      </c>
      <c r="L715" s="36" t="str">
        <f t="shared" si="58"/>
        <v/>
      </c>
      <c r="M715" s="36" t="str">
        <f>IF(B715="","",BOM!G715&amp;"")</f>
        <v/>
      </c>
      <c r="N715" s="36" t="str">
        <f t="shared" si="59"/>
        <v/>
      </c>
    </row>
    <row r="716" spans="1:14" x14ac:dyDescent="0.25">
      <c r="A716" s="35" t="str">
        <f t="shared" si="55"/>
        <v/>
      </c>
      <c r="B716" s="35" t="str">
        <f>IF(BOM!A716="","",BOM!A716)</f>
        <v/>
      </c>
      <c r="C716" s="35" t="str">
        <f>IF(B716="","",BOM!B716)</f>
        <v/>
      </c>
      <c r="D716" s="35" t="str">
        <f>IF(B716="","",IFERROR(INDEX(DM_NL!$B$5:$B$304,MATCH(C716,DM_NL!$A$5:$A$304,0)),""))</f>
        <v/>
      </c>
      <c r="E716" s="35" t="str">
        <f>IF(B716="","",IFERROR(INDEX(DM_NL!$C$5:$C$304,MATCH(C716,DM_NL!$A$5:$A$304,0)),""))</f>
        <v/>
      </c>
      <c r="F716" s="39" t="str">
        <f>IF(B716="","",SUMIFS(Mau15a!$F$11:$F$310,Mau15a!$B$11:$B$310,B716))</f>
        <v/>
      </c>
      <c r="G716" s="39" t="str">
        <f>IF(B716="","",IF(OR(M716="KXDDM",BOM!F716=""),0,BOM!F716))</f>
        <v/>
      </c>
      <c r="H716" s="39" t="str">
        <f t="shared" si="56"/>
        <v/>
      </c>
      <c r="I716" s="39" t="str">
        <f>IF(B716="","",SUMIFS(Mau15a!$H$11:$H$310,Mau15a!$B$11:$B$310,B716)+SUMIFS(Mau15a!$I$11:$I$310,Mau15a!$B$11:$B$310,B716)+SUMIFS(Mau15a!$J$11:$J$310,Mau15a!$B$11:$B$310,B716)-SUMIFS(Mau15a!$G$11:$G$310,Mau15a!$B$11:$B$310,B716))</f>
        <v/>
      </c>
      <c r="J716" s="39" t="str">
        <f t="shared" si="57"/>
        <v/>
      </c>
      <c r="K716" s="39" t="str">
        <f>IF(B716="","",(SUMIFS(Mau15a!$K$11:$K$310,Mau15a!$B$11:$B$310,B716)-SUMIFS(Mau15a!$E$11:$E$310,Mau15a!$B$11:$B$310,B716))*G716)</f>
        <v/>
      </c>
      <c r="L716" s="36" t="str">
        <f t="shared" si="58"/>
        <v/>
      </c>
      <c r="M716" s="36" t="str">
        <f>IF(B716="","",BOM!G716&amp;"")</f>
        <v/>
      </c>
      <c r="N716" s="36" t="str">
        <f t="shared" si="59"/>
        <v/>
      </c>
    </row>
    <row r="717" spans="1:14" x14ac:dyDescent="0.25">
      <c r="A717" s="35" t="str">
        <f t="shared" si="55"/>
        <v/>
      </c>
      <c r="B717" s="35" t="str">
        <f>IF(BOM!A717="","",BOM!A717)</f>
        <v/>
      </c>
      <c r="C717" s="35" t="str">
        <f>IF(B717="","",BOM!B717)</f>
        <v/>
      </c>
      <c r="D717" s="35" t="str">
        <f>IF(B717="","",IFERROR(INDEX(DM_NL!$B$5:$B$304,MATCH(C717,DM_NL!$A$5:$A$304,0)),""))</f>
        <v/>
      </c>
      <c r="E717" s="35" t="str">
        <f>IF(B717="","",IFERROR(INDEX(DM_NL!$C$5:$C$304,MATCH(C717,DM_NL!$A$5:$A$304,0)),""))</f>
        <v/>
      </c>
      <c r="F717" s="39" t="str">
        <f>IF(B717="","",SUMIFS(Mau15a!$F$11:$F$310,Mau15a!$B$11:$B$310,B717))</f>
        <v/>
      </c>
      <c r="G717" s="39" t="str">
        <f>IF(B717="","",IF(OR(M717="KXDDM",BOM!F717=""),0,BOM!F717))</f>
        <v/>
      </c>
      <c r="H717" s="39" t="str">
        <f t="shared" si="56"/>
        <v/>
      </c>
      <c r="I717" s="39" t="str">
        <f>IF(B717="","",SUMIFS(Mau15a!$H$11:$H$310,Mau15a!$B$11:$B$310,B717)+SUMIFS(Mau15a!$I$11:$I$310,Mau15a!$B$11:$B$310,B717)+SUMIFS(Mau15a!$J$11:$J$310,Mau15a!$B$11:$B$310,B717)-SUMIFS(Mau15a!$G$11:$G$310,Mau15a!$B$11:$B$310,B717))</f>
        <v/>
      </c>
      <c r="J717" s="39" t="str">
        <f t="shared" si="57"/>
        <v/>
      </c>
      <c r="K717" s="39" t="str">
        <f>IF(B717="","",(SUMIFS(Mau15a!$K$11:$K$310,Mau15a!$B$11:$B$310,B717)-SUMIFS(Mau15a!$E$11:$E$310,Mau15a!$B$11:$B$310,B717))*G717)</f>
        <v/>
      </c>
      <c r="L717" s="36" t="str">
        <f t="shared" si="58"/>
        <v/>
      </c>
      <c r="M717" s="36" t="str">
        <f>IF(B717="","",BOM!G717&amp;"")</f>
        <v/>
      </c>
      <c r="N717" s="36" t="str">
        <f t="shared" si="59"/>
        <v/>
      </c>
    </row>
    <row r="718" spans="1:14" x14ac:dyDescent="0.25">
      <c r="A718" s="35" t="str">
        <f t="shared" si="55"/>
        <v/>
      </c>
      <c r="B718" s="35" t="str">
        <f>IF(BOM!A718="","",BOM!A718)</f>
        <v/>
      </c>
      <c r="C718" s="35" t="str">
        <f>IF(B718="","",BOM!B718)</f>
        <v/>
      </c>
      <c r="D718" s="35" t="str">
        <f>IF(B718="","",IFERROR(INDEX(DM_NL!$B$5:$B$304,MATCH(C718,DM_NL!$A$5:$A$304,0)),""))</f>
        <v/>
      </c>
      <c r="E718" s="35" t="str">
        <f>IF(B718="","",IFERROR(INDEX(DM_NL!$C$5:$C$304,MATCH(C718,DM_NL!$A$5:$A$304,0)),""))</f>
        <v/>
      </c>
      <c r="F718" s="39" t="str">
        <f>IF(B718="","",SUMIFS(Mau15a!$F$11:$F$310,Mau15a!$B$11:$B$310,B718))</f>
        <v/>
      </c>
      <c r="G718" s="39" t="str">
        <f>IF(B718="","",IF(OR(M718="KXDDM",BOM!F718=""),0,BOM!F718))</f>
        <v/>
      </c>
      <c r="H718" s="39" t="str">
        <f t="shared" si="56"/>
        <v/>
      </c>
      <c r="I718" s="39" t="str">
        <f>IF(B718="","",SUMIFS(Mau15a!$H$11:$H$310,Mau15a!$B$11:$B$310,B718)+SUMIFS(Mau15a!$I$11:$I$310,Mau15a!$B$11:$B$310,B718)+SUMIFS(Mau15a!$J$11:$J$310,Mau15a!$B$11:$B$310,B718)-SUMIFS(Mau15a!$G$11:$G$310,Mau15a!$B$11:$B$310,B718))</f>
        <v/>
      </c>
      <c r="J718" s="39" t="str">
        <f t="shared" si="57"/>
        <v/>
      </c>
      <c r="K718" s="39" t="str">
        <f>IF(B718="","",(SUMIFS(Mau15a!$K$11:$K$310,Mau15a!$B$11:$B$310,B718)-SUMIFS(Mau15a!$E$11:$E$310,Mau15a!$B$11:$B$310,B718))*G718)</f>
        <v/>
      </c>
      <c r="L718" s="36" t="str">
        <f t="shared" si="58"/>
        <v/>
      </c>
      <c r="M718" s="36" t="str">
        <f>IF(B718="","",BOM!G718&amp;"")</f>
        <v/>
      </c>
      <c r="N718" s="36" t="str">
        <f t="shared" si="59"/>
        <v/>
      </c>
    </row>
    <row r="719" spans="1:14" x14ac:dyDescent="0.25">
      <c r="A719" s="35" t="str">
        <f t="shared" si="55"/>
        <v/>
      </c>
      <c r="B719" s="35" t="str">
        <f>IF(BOM!A719="","",BOM!A719)</f>
        <v/>
      </c>
      <c r="C719" s="35" t="str">
        <f>IF(B719="","",BOM!B719)</f>
        <v/>
      </c>
      <c r="D719" s="35" t="str">
        <f>IF(B719="","",IFERROR(INDEX(DM_NL!$B$5:$B$304,MATCH(C719,DM_NL!$A$5:$A$304,0)),""))</f>
        <v/>
      </c>
      <c r="E719" s="35" t="str">
        <f>IF(B719="","",IFERROR(INDEX(DM_NL!$C$5:$C$304,MATCH(C719,DM_NL!$A$5:$A$304,0)),""))</f>
        <v/>
      </c>
      <c r="F719" s="39" t="str">
        <f>IF(B719="","",SUMIFS(Mau15a!$F$11:$F$310,Mau15a!$B$11:$B$310,B719))</f>
        <v/>
      </c>
      <c r="G719" s="39" t="str">
        <f>IF(B719="","",IF(OR(M719="KXDDM",BOM!F719=""),0,BOM!F719))</f>
        <v/>
      </c>
      <c r="H719" s="39" t="str">
        <f t="shared" si="56"/>
        <v/>
      </c>
      <c r="I719" s="39" t="str">
        <f>IF(B719="","",SUMIFS(Mau15a!$H$11:$H$310,Mau15a!$B$11:$B$310,B719)+SUMIFS(Mau15a!$I$11:$I$310,Mau15a!$B$11:$B$310,B719)+SUMIFS(Mau15a!$J$11:$J$310,Mau15a!$B$11:$B$310,B719)-SUMIFS(Mau15a!$G$11:$G$310,Mau15a!$B$11:$B$310,B719))</f>
        <v/>
      </c>
      <c r="J719" s="39" t="str">
        <f t="shared" si="57"/>
        <v/>
      </c>
      <c r="K719" s="39" t="str">
        <f>IF(B719="","",(SUMIFS(Mau15a!$K$11:$K$310,Mau15a!$B$11:$B$310,B719)-SUMIFS(Mau15a!$E$11:$E$310,Mau15a!$B$11:$B$310,B719))*G719)</f>
        <v/>
      </c>
      <c r="L719" s="36" t="str">
        <f t="shared" si="58"/>
        <v/>
      </c>
      <c r="M719" s="36" t="str">
        <f>IF(B719="","",BOM!G719&amp;"")</f>
        <v/>
      </c>
      <c r="N719" s="36" t="str">
        <f t="shared" si="59"/>
        <v/>
      </c>
    </row>
    <row r="720" spans="1:14" x14ac:dyDescent="0.25">
      <c r="A720" s="35" t="str">
        <f t="shared" si="55"/>
        <v/>
      </c>
      <c r="B720" s="35" t="str">
        <f>IF(BOM!A720="","",BOM!A720)</f>
        <v/>
      </c>
      <c r="C720" s="35" t="str">
        <f>IF(B720="","",BOM!B720)</f>
        <v/>
      </c>
      <c r="D720" s="35" t="str">
        <f>IF(B720="","",IFERROR(INDEX(DM_NL!$B$5:$B$304,MATCH(C720,DM_NL!$A$5:$A$304,0)),""))</f>
        <v/>
      </c>
      <c r="E720" s="35" t="str">
        <f>IF(B720="","",IFERROR(INDEX(DM_NL!$C$5:$C$304,MATCH(C720,DM_NL!$A$5:$A$304,0)),""))</f>
        <v/>
      </c>
      <c r="F720" s="39" t="str">
        <f>IF(B720="","",SUMIFS(Mau15a!$F$11:$F$310,Mau15a!$B$11:$B$310,B720))</f>
        <v/>
      </c>
      <c r="G720" s="39" t="str">
        <f>IF(B720="","",IF(OR(M720="KXDDM",BOM!F720=""),0,BOM!F720))</f>
        <v/>
      </c>
      <c r="H720" s="39" t="str">
        <f t="shared" si="56"/>
        <v/>
      </c>
      <c r="I720" s="39" t="str">
        <f>IF(B720="","",SUMIFS(Mau15a!$H$11:$H$310,Mau15a!$B$11:$B$310,B720)+SUMIFS(Mau15a!$I$11:$I$310,Mau15a!$B$11:$B$310,B720)+SUMIFS(Mau15a!$J$11:$J$310,Mau15a!$B$11:$B$310,B720)-SUMIFS(Mau15a!$G$11:$G$310,Mau15a!$B$11:$B$310,B720))</f>
        <v/>
      </c>
      <c r="J720" s="39" t="str">
        <f t="shared" si="57"/>
        <v/>
      </c>
      <c r="K720" s="39" t="str">
        <f>IF(B720="","",(SUMIFS(Mau15a!$K$11:$K$310,Mau15a!$B$11:$B$310,B720)-SUMIFS(Mau15a!$E$11:$E$310,Mau15a!$B$11:$B$310,B720))*G720)</f>
        <v/>
      </c>
      <c r="L720" s="36" t="str">
        <f t="shared" si="58"/>
        <v/>
      </c>
      <c r="M720" s="36" t="str">
        <f>IF(B720="","",BOM!G720&amp;"")</f>
        <v/>
      </c>
      <c r="N720" s="36" t="str">
        <f t="shared" si="59"/>
        <v/>
      </c>
    </row>
    <row r="721" spans="1:14" x14ac:dyDescent="0.25">
      <c r="A721" s="35" t="str">
        <f t="shared" si="55"/>
        <v/>
      </c>
      <c r="B721" s="35" t="str">
        <f>IF(BOM!A721="","",BOM!A721)</f>
        <v/>
      </c>
      <c r="C721" s="35" t="str">
        <f>IF(B721="","",BOM!B721)</f>
        <v/>
      </c>
      <c r="D721" s="35" t="str">
        <f>IF(B721="","",IFERROR(INDEX(DM_NL!$B$5:$B$304,MATCH(C721,DM_NL!$A$5:$A$304,0)),""))</f>
        <v/>
      </c>
      <c r="E721" s="35" t="str">
        <f>IF(B721="","",IFERROR(INDEX(DM_NL!$C$5:$C$304,MATCH(C721,DM_NL!$A$5:$A$304,0)),""))</f>
        <v/>
      </c>
      <c r="F721" s="39" t="str">
        <f>IF(B721="","",SUMIFS(Mau15a!$F$11:$F$310,Mau15a!$B$11:$B$310,B721))</f>
        <v/>
      </c>
      <c r="G721" s="39" t="str">
        <f>IF(B721="","",IF(OR(M721="KXDDM",BOM!F721=""),0,BOM!F721))</f>
        <v/>
      </c>
      <c r="H721" s="39" t="str">
        <f t="shared" si="56"/>
        <v/>
      </c>
      <c r="I721" s="39" t="str">
        <f>IF(B721="","",SUMIFS(Mau15a!$H$11:$H$310,Mau15a!$B$11:$B$310,B721)+SUMIFS(Mau15a!$I$11:$I$310,Mau15a!$B$11:$B$310,B721)+SUMIFS(Mau15a!$J$11:$J$310,Mau15a!$B$11:$B$310,B721)-SUMIFS(Mau15a!$G$11:$G$310,Mau15a!$B$11:$B$310,B721))</f>
        <v/>
      </c>
      <c r="J721" s="39" t="str">
        <f t="shared" si="57"/>
        <v/>
      </c>
      <c r="K721" s="39" t="str">
        <f>IF(B721="","",(SUMIFS(Mau15a!$K$11:$K$310,Mau15a!$B$11:$B$310,B721)-SUMIFS(Mau15a!$E$11:$E$310,Mau15a!$B$11:$B$310,B721))*G721)</f>
        <v/>
      </c>
      <c r="L721" s="36" t="str">
        <f t="shared" si="58"/>
        <v/>
      </c>
      <c r="M721" s="36" t="str">
        <f>IF(B721="","",BOM!G721&amp;"")</f>
        <v/>
      </c>
      <c r="N721" s="36" t="str">
        <f t="shared" si="59"/>
        <v/>
      </c>
    </row>
    <row r="722" spans="1:14" x14ac:dyDescent="0.25">
      <c r="A722" s="35" t="str">
        <f t="shared" si="55"/>
        <v/>
      </c>
      <c r="B722" s="35" t="str">
        <f>IF(BOM!A722="","",BOM!A722)</f>
        <v/>
      </c>
      <c r="C722" s="35" t="str">
        <f>IF(B722="","",BOM!B722)</f>
        <v/>
      </c>
      <c r="D722" s="35" t="str">
        <f>IF(B722="","",IFERROR(INDEX(DM_NL!$B$5:$B$304,MATCH(C722,DM_NL!$A$5:$A$304,0)),""))</f>
        <v/>
      </c>
      <c r="E722" s="35" t="str">
        <f>IF(B722="","",IFERROR(INDEX(DM_NL!$C$5:$C$304,MATCH(C722,DM_NL!$A$5:$A$304,0)),""))</f>
        <v/>
      </c>
      <c r="F722" s="39" t="str">
        <f>IF(B722="","",SUMIFS(Mau15a!$F$11:$F$310,Mau15a!$B$11:$B$310,B722))</f>
        <v/>
      </c>
      <c r="G722" s="39" t="str">
        <f>IF(B722="","",IF(OR(M722="KXDDM",BOM!F722=""),0,BOM!F722))</f>
        <v/>
      </c>
      <c r="H722" s="39" t="str">
        <f t="shared" si="56"/>
        <v/>
      </c>
      <c r="I722" s="39" t="str">
        <f>IF(B722="","",SUMIFS(Mau15a!$H$11:$H$310,Mau15a!$B$11:$B$310,B722)+SUMIFS(Mau15a!$I$11:$I$310,Mau15a!$B$11:$B$310,B722)+SUMIFS(Mau15a!$J$11:$J$310,Mau15a!$B$11:$B$310,B722)-SUMIFS(Mau15a!$G$11:$G$310,Mau15a!$B$11:$B$310,B722))</f>
        <v/>
      </c>
      <c r="J722" s="39" t="str">
        <f t="shared" si="57"/>
        <v/>
      </c>
      <c r="K722" s="39" t="str">
        <f>IF(B722="","",(SUMIFS(Mau15a!$K$11:$K$310,Mau15a!$B$11:$B$310,B722)-SUMIFS(Mau15a!$E$11:$E$310,Mau15a!$B$11:$B$310,B722))*G722)</f>
        <v/>
      </c>
      <c r="L722" s="36" t="str">
        <f t="shared" si="58"/>
        <v/>
      </c>
      <c r="M722" s="36" t="str">
        <f>IF(B722="","",BOM!G722&amp;"")</f>
        <v/>
      </c>
      <c r="N722" s="36" t="str">
        <f t="shared" si="59"/>
        <v/>
      </c>
    </row>
    <row r="723" spans="1:14" x14ac:dyDescent="0.25">
      <c r="A723" s="35" t="str">
        <f t="shared" si="55"/>
        <v/>
      </c>
      <c r="B723" s="35" t="str">
        <f>IF(BOM!A723="","",BOM!A723)</f>
        <v/>
      </c>
      <c r="C723" s="35" t="str">
        <f>IF(B723="","",BOM!B723)</f>
        <v/>
      </c>
      <c r="D723" s="35" t="str">
        <f>IF(B723="","",IFERROR(INDEX(DM_NL!$B$5:$B$304,MATCH(C723,DM_NL!$A$5:$A$304,0)),""))</f>
        <v/>
      </c>
      <c r="E723" s="35" t="str">
        <f>IF(B723="","",IFERROR(INDEX(DM_NL!$C$5:$C$304,MATCH(C723,DM_NL!$A$5:$A$304,0)),""))</f>
        <v/>
      </c>
      <c r="F723" s="39" t="str">
        <f>IF(B723="","",SUMIFS(Mau15a!$F$11:$F$310,Mau15a!$B$11:$B$310,B723))</f>
        <v/>
      </c>
      <c r="G723" s="39" t="str">
        <f>IF(B723="","",IF(OR(M723="KXDDM",BOM!F723=""),0,BOM!F723))</f>
        <v/>
      </c>
      <c r="H723" s="39" t="str">
        <f t="shared" si="56"/>
        <v/>
      </c>
      <c r="I723" s="39" t="str">
        <f>IF(B723="","",SUMIFS(Mau15a!$H$11:$H$310,Mau15a!$B$11:$B$310,B723)+SUMIFS(Mau15a!$I$11:$I$310,Mau15a!$B$11:$B$310,B723)+SUMIFS(Mau15a!$J$11:$J$310,Mau15a!$B$11:$B$310,B723)-SUMIFS(Mau15a!$G$11:$G$310,Mau15a!$B$11:$B$310,B723))</f>
        <v/>
      </c>
      <c r="J723" s="39" t="str">
        <f t="shared" si="57"/>
        <v/>
      </c>
      <c r="K723" s="39" t="str">
        <f>IF(B723="","",(SUMIFS(Mau15a!$K$11:$K$310,Mau15a!$B$11:$B$310,B723)-SUMIFS(Mau15a!$E$11:$E$310,Mau15a!$B$11:$B$310,B723))*G723)</f>
        <v/>
      </c>
      <c r="L723" s="36" t="str">
        <f t="shared" si="58"/>
        <v/>
      </c>
      <c r="M723" s="36" t="str">
        <f>IF(B723="","",BOM!G723&amp;"")</f>
        <v/>
      </c>
      <c r="N723" s="36" t="str">
        <f t="shared" si="59"/>
        <v/>
      </c>
    </row>
    <row r="724" spans="1:14" x14ac:dyDescent="0.25">
      <c r="A724" s="35" t="str">
        <f t="shared" si="55"/>
        <v/>
      </c>
      <c r="B724" s="35" t="str">
        <f>IF(BOM!A724="","",BOM!A724)</f>
        <v/>
      </c>
      <c r="C724" s="35" t="str">
        <f>IF(B724="","",BOM!B724)</f>
        <v/>
      </c>
      <c r="D724" s="35" t="str">
        <f>IF(B724="","",IFERROR(INDEX(DM_NL!$B$5:$B$304,MATCH(C724,DM_NL!$A$5:$A$304,0)),""))</f>
        <v/>
      </c>
      <c r="E724" s="35" t="str">
        <f>IF(B724="","",IFERROR(INDEX(DM_NL!$C$5:$C$304,MATCH(C724,DM_NL!$A$5:$A$304,0)),""))</f>
        <v/>
      </c>
      <c r="F724" s="39" t="str">
        <f>IF(B724="","",SUMIFS(Mau15a!$F$11:$F$310,Mau15a!$B$11:$B$310,B724))</f>
        <v/>
      </c>
      <c r="G724" s="39" t="str">
        <f>IF(B724="","",IF(OR(M724="KXDDM",BOM!F724=""),0,BOM!F724))</f>
        <v/>
      </c>
      <c r="H724" s="39" t="str">
        <f t="shared" si="56"/>
        <v/>
      </c>
      <c r="I724" s="39" t="str">
        <f>IF(B724="","",SUMIFS(Mau15a!$H$11:$H$310,Mau15a!$B$11:$B$310,B724)+SUMIFS(Mau15a!$I$11:$I$310,Mau15a!$B$11:$B$310,B724)+SUMIFS(Mau15a!$J$11:$J$310,Mau15a!$B$11:$B$310,B724)-SUMIFS(Mau15a!$G$11:$G$310,Mau15a!$B$11:$B$310,B724))</f>
        <v/>
      </c>
      <c r="J724" s="39" t="str">
        <f t="shared" si="57"/>
        <v/>
      </c>
      <c r="K724" s="39" t="str">
        <f>IF(B724="","",(SUMIFS(Mau15a!$K$11:$K$310,Mau15a!$B$11:$B$310,B724)-SUMIFS(Mau15a!$E$11:$E$310,Mau15a!$B$11:$B$310,B724))*G724)</f>
        <v/>
      </c>
      <c r="L724" s="36" t="str">
        <f t="shared" si="58"/>
        <v/>
      </c>
      <c r="M724" s="36" t="str">
        <f>IF(B724="","",BOM!G724&amp;"")</f>
        <v/>
      </c>
      <c r="N724" s="36" t="str">
        <f t="shared" si="59"/>
        <v/>
      </c>
    </row>
    <row r="725" spans="1:14" x14ac:dyDescent="0.25">
      <c r="A725" s="35" t="str">
        <f t="shared" si="55"/>
        <v/>
      </c>
      <c r="B725" s="35" t="str">
        <f>IF(BOM!A725="","",BOM!A725)</f>
        <v/>
      </c>
      <c r="C725" s="35" t="str">
        <f>IF(B725="","",BOM!B725)</f>
        <v/>
      </c>
      <c r="D725" s="35" t="str">
        <f>IF(B725="","",IFERROR(INDEX(DM_NL!$B$5:$B$304,MATCH(C725,DM_NL!$A$5:$A$304,0)),""))</f>
        <v/>
      </c>
      <c r="E725" s="35" t="str">
        <f>IF(B725="","",IFERROR(INDEX(DM_NL!$C$5:$C$304,MATCH(C725,DM_NL!$A$5:$A$304,0)),""))</f>
        <v/>
      </c>
      <c r="F725" s="39" t="str">
        <f>IF(B725="","",SUMIFS(Mau15a!$F$11:$F$310,Mau15a!$B$11:$B$310,B725))</f>
        <v/>
      </c>
      <c r="G725" s="39" t="str">
        <f>IF(B725="","",IF(OR(M725="KXDDM",BOM!F725=""),0,BOM!F725))</f>
        <v/>
      </c>
      <c r="H725" s="39" t="str">
        <f t="shared" si="56"/>
        <v/>
      </c>
      <c r="I725" s="39" t="str">
        <f>IF(B725="","",SUMIFS(Mau15a!$H$11:$H$310,Mau15a!$B$11:$B$310,B725)+SUMIFS(Mau15a!$I$11:$I$310,Mau15a!$B$11:$B$310,B725)+SUMIFS(Mau15a!$J$11:$J$310,Mau15a!$B$11:$B$310,B725)-SUMIFS(Mau15a!$G$11:$G$310,Mau15a!$B$11:$B$310,B725))</f>
        <v/>
      </c>
      <c r="J725" s="39" t="str">
        <f t="shared" si="57"/>
        <v/>
      </c>
      <c r="K725" s="39" t="str">
        <f>IF(B725="","",(SUMIFS(Mau15a!$K$11:$K$310,Mau15a!$B$11:$B$310,B725)-SUMIFS(Mau15a!$E$11:$E$310,Mau15a!$B$11:$B$310,B725))*G725)</f>
        <v/>
      </c>
      <c r="L725" s="36" t="str">
        <f t="shared" si="58"/>
        <v/>
      </c>
      <c r="M725" s="36" t="str">
        <f>IF(B725="","",BOM!G725&amp;"")</f>
        <v/>
      </c>
      <c r="N725" s="36" t="str">
        <f t="shared" si="59"/>
        <v/>
      </c>
    </row>
    <row r="726" spans="1:14" x14ac:dyDescent="0.25">
      <c r="A726" s="35" t="str">
        <f t="shared" si="55"/>
        <v/>
      </c>
      <c r="B726" s="35" t="str">
        <f>IF(BOM!A726="","",BOM!A726)</f>
        <v/>
      </c>
      <c r="C726" s="35" t="str">
        <f>IF(B726="","",BOM!B726)</f>
        <v/>
      </c>
      <c r="D726" s="35" t="str">
        <f>IF(B726="","",IFERROR(INDEX(DM_NL!$B$5:$B$304,MATCH(C726,DM_NL!$A$5:$A$304,0)),""))</f>
        <v/>
      </c>
      <c r="E726" s="35" t="str">
        <f>IF(B726="","",IFERROR(INDEX(DM_NL!$C$5:$C$304,MATCH(C726,DM_NL!$A$5:$A$304,0)),""))</f>
        <v/>
      </c>
      <c r="F726" s="39" t="str">
        <f>IF(B726="","",SUMIFS(Mau15a!$F$11:$F$310,Mau15a!$B$11:$B$310,B726))</f>
        <v/>
      </c>
      <c r="G726" s="39" t="str">
        <f>IF(B726="","",IF(OR(M726="KXDDM",BOM!F726=""),0,BOM!F726))</f>
        <v/>
      </c>
      <c r="H726" s="39" t="str">
        <f t="shared" si="56"/>
        <v/>
      </c>
      <c r="I726" s="39" t="str">
        <f>IF(B726="","",SUMIFS(Mau15a!$H$11:$H$310,Mau15a!$B$11:$B$310,B726)+SUMIFS(Mau15a!$I$11:$I$310,Mau15a!$B$11:$B$310,B726)+SUMIFS(Mau15a!$J$11:$J$310,Mau15a!$B$11:$B$310,B726)-SUMIFS(Mau15a!$G$11:$G$310,Mau15a!$B$11:$B$310,B726))</f>
        <v/>
      </c>
      <c r="J726" s="39" t="str">
        <f t="shared" si="57"/>
        <v/>
      </c>
      <c r="K726" s="39" t="str">
        <f>IF(B726="","",(SUMIFS(Mau15a!$K$11:$K$310,Mau15a!$B$11:$B$310,B726)-SUMIFS(Mau15a!$E$11:$E$310,Mau15a!$B$11:$B$310,B726))*G726)</f>
        <v/>
      </c>
      <c r="L726" s="36" t="str">
        <f t="shared" si="58"/>
        <v/>
      </c>
      <c r="M726" s="36" t="str">
        <f>IF(B726="","",BOM!G726&amp;"")</f>
        <v/>
      </c>
      <c r="N726" s="36" t="str">
        <f t="shared" si="59"/>
        <v/>
      </c>
    </row>
    <row r="727" spans="1:14" x14ac:dyDescent="0.25">
      <c r="A727" s="35" t="str">
        <f t="shared" si="55"/>
        <v/>
      </c>
      <c r="B727" s="35" t="str">
        <f>IF(BOM!A727="","",BOM!A727)</f>
        <v/>
      </c>
      <c r="C727" s="35" t="str">
        <f>IF(B727="","",BOM!B727)</f>
        <v/>
      </c>
      <c r="D727" s="35" t="str">
        <f>IF(B727="","",IFERROR(INDEX(DM_NL!$B$5:$B$304,MATCH(C727,DM_NL!$A$5:$A$304,0)),""))</f>
        <v/>
      </c>
      <c r="E727" s="35" t="str">
        <f>IF(B727="","",IFERROR(INDEX(DM_NL!$C$5:$C$304,MATCH(C727,DM_NL!$A$5:$A$304,0)),""))</f>
        <v/>
      </c>
      <c r="F727" s="39" t="str">
        <f>IF(B727="","",SUMIFS(Mau15a!$F$11:$F$310,Mau15a!$B$11:$B$310,B727))</f>
        <v/>
      </c>
      <c r="G727" s="39" t="str">
        <f>IF(B727="","",IF(OR(M727="KXDDM",BOM!F727=""),0,BOM!F727))</f>
        <v/>
      </c>
      <c r="H727" s="39" t="str">
        <f t="shared" si="56"/>
        <v/>
      </c>
      <c r="I727" s="39" t="str">
        <f>IF(B727="","",SUMIFS(Mau15a!$H$11:$H$310,Mau15a!$B$11:$B$310,B727)+SUMIFS(Mau15a!$I$11:$I$310,Mau15a!$B$11:$B$310,B727)+SUMIFS(Mau15a!$J$11:$J$310,Mau15a!$B$11:$B$310,B727)-SUMIFS(Mau15a!$G$11:$G$310,Mau15a!$B$11:$B$310,B727))</f>
        <v/>
      </c>
      <c r="J727" s="39" t="str">
        <f t="shared" si="57"/>
        <v/>
      </c>
      <c r="K727" s="39" t="str">
        <f>IF(B727="","",(SUMIFS(Mau15a!$K$11:$K$310,Mau15a!$B$11:$B$310,B727)-SUMIFS(Mau15a!$E$11:$E$310,Mau15a!$B$11:$B$310,B727))*G727)</f>
        <v/>
      </c>
      <c r="L727" s="36" t="str">
        <f t="shared" si="58"/>
        <v/>
      </c>
      <c r="M727" s="36" t="str">
        <f>IF(B727="","",BOM!G727&amp;"")</f>
        <v/>
      </c>
      <c r="N727" s="36" t="str">
        <f t="shared" si="59"/>
        <v/>
      </c>
    </row>
    <row r="728" spans="1:14" x14ac:dyDescent="0.25">
      <c r="A728" s="35" t="str">
        <f t="shared" si="55"/>
        <v/>
      </c>
      <c r="B728" s="35" t="str">
        <f>IF(BOM!A728="","",BOM!A728)</f>
        <v/>
      </c>
      <c r="C728" s="35" t="str">
        <f>IF(B728="","",BOM!B728)</f>
        <v/>
      </c>
      <c r="D728" s="35" t="str">
        <f>IF(B728="","",IFERROR(INDEX(DM_NL!$B$5:$B$304,MATCH(C728,DM_NL!$A$5:$A$304,0)),""))</f>
        <v/>
      </c>
      <c r="E728" s="35" t="str">
        <f>IF(B728="","",IFERROR(INDEX(DM_NL!$C$5:$C$304,MATCH(C728,DM_NL!$A$5:$A$304,0)),""))</f>
        <v/>
      </c>
      <c r="F728" s="39" t="str">
        <f>IF(B728="","",SUMIFS(Mau15a!$F$11:$F$310,Mau15a!$B$11:$B$310,B728))</f>
        <v/>
      </c>
      <c r="G728" s="39" t="str">
        <f>IF(B728="","",IF(OR(M728="KXDDM",BOM!F728=""),0,BOM!F728))</f>
        <v/>
      </c>
      <c r="H728" s="39" t="str">
        <f t="shared" si="56"/>
        <v/>
      </c>
      <c r="I728" s="39" t="str">
        <f>IF(B728="","",SUMIFS(Mau15a!$H$11:$H$310,Mau15a!$B$11:$B$310,B728)+SUMIFS(Mau15a!$I$11:$I$310,Mau15a!$B$11:$B$310,B728)+SUMIFS(Mau15a!$J$11:$J$310,Mau15a!$B$11:$B$310,B728)-SUMIFS(Mau15a!$G$11:$G$310,Mau15a!$B$11:$B$310,B728))</f>
        <v/>
      </c>
      <c r="J728" s="39" t="str">
        <f t="shared" si="57"/>
        <v/>
      </c>
      <c r="K728" s="39" t="str">
        <f>IF(B728="","",(SUMIFS(Mau15a!$K$11:$K$310,Mau15a!$B$11:$B$310,B728)-SUMIFS(Mau15a!$E$11:$E$310,Mau15a!$B$11:$B$310,B728))*G728)</f>
        <v/>
      </c>
      <c r="L728" s="36" t="str">
        <f t="shared" si="58"/>
        <v/>
      </c>
      <c r="M728" s="36" t="str">
        <f>IF(B728="","",BOM!G728&amp;"")</f>
        <v/>
      </c>
      <c r="N728" s="36" t="str">
        <f t="shared" si="59"/>
        <v/>
      </c>
    </row>
    <row r="729" spans="1:14" x14ac:dyDescent="0.25">
      <c r="A729" s="35" t="str">
        <f t="shared" si="55"/>
        <v/>
      </c>
      <c r="B729" s="35" t="str">
        <f>IF(BOM!A729="","",BOM!A729)</f>
        <v/>
      </c>
      <c r="C729" s="35" t="str">
        <f>IF(B729="","",BOM!B729)</f>
        <v/>
      </c>
      <c r="D729" s="35" t="str">
        <f>IF(B729="","",IFERROR(INDEX(DM_NL!$B$5:$B$304,MATCH(C729,DM_NL!$A$5:$A$304,0)),""))</f>
        <v/>
      </c>
      <c r="E729" s="35" t="str">
        <f>IF(B729="","",IFERROR(INDEX(DM_NL!$C$5:$C$304,MATCH(C729,DM_NL!$A$5:$A$304,0)),""))</f>
        <v/>
      </c>
      <c r="F729" s="39" t="str">
        <f>IF(B729="","",SUMIFS(Mau15a!$F$11:$F$310,Mau15a!$B$11:$B$310,B729))</f>
        <v/>
      </c>
      <c r="G729" s="39" t="str">
        <f>IF(B729="","",IF(OR(M729="KXDDM",BOM!F729=""),0,BOM!F729))</f>
        <v/>
      </c>
      <c r="H729" s="39" t="str">
        <f t="shared" si="56"/>
        <v/>
      </c>
      <c r="I729" s="39" t="str">
        <f>IF(B729="","",SUMIFS(Mau15a!$H$11:$H$310,Mau15a!$B$11:$B$310,B729)+SUMIFS(Mau15a!$I$11:$I$310,Mau15a!$B$11:$B$310,B729)+SUMIFS(Mau15a!$J$11:$J$310,Mau15a!$B$11:$B$310,B729)-SUMIFS(Mau15a!$G$11:$G$310,Mau15a!$B$11:$B$310,B729))</f>
        <v/>
      </c>
      <c r="J729" s="39" t="str">
        <f t="shared" si="57"/>
        <v/>
      </c>
      <c r="K729" s="39" t="str">
        <f>IF(B729="","",(SUMIFS(Mau15a!$K$11:$K$310,Mau15a!$B$11:$B$310,B729)-SUMIFS(Mau15a!$E$11:$E$310,Mau15a!$B$11:$B$310,B729))*G729)</f>
        <v/>
      </c>
      <c r="L729" s="36" t="str">
        <f t="shared" si="58"/>
        <v/>
      </c>
      <c r="M729" s="36" t="str">
        <f>IF(B729="","",BOM!G729&amp;"")</f>
        <v/>
      </c>
      <c r="N729" s="36" t="str">
        <f t="shared" si="59"/>
        <v/>
      </c>
    </row>
    <row r="730" spans="1:14" x14ac:dyDescent="0.25">
      <c r="A730" s="35" t="str">
        <f t="shared" si="55"/>
        <v/>
      </c>
      <c r="B730" s="35" t="str">
        <f>IF(BOM!A730="","",BOM!A730)</f>
        <v/>
      </c>
      <c r="C730" s="35" t="str">
        <f>IF(B730="","",BOM!B730)</f>
        <v/>
      </c>
      <c r="D730" s="35" t="str">
        <f>IF(B730="","",IFERROR(INDEX(DM_NL!$B$5:$B$304,MATCH(C730,DM_NL!$A$5:$A$304,0)),""))</f>
        <v/>
      </c>
      <c r="E730" s="35" t="str">
        <f>IF(B730="","",IFERROR(INDEX(DM_NL!$C$5:$C$304,MATCH(C730,DM_NL!$A$5:$A$304,0)),""))</f>
        <v/>
      </c>
      <c r="F730" s="39" t="str">
        <f>IF(B730="","",SUMIFS(Mau15a!$F$11:$F$310,Mau15a!$B$11:$B$310,B730))</f>
        <v/>
      </c>
      <c r="G730" s="39" t="str">
        <f>IF(B730="","",IF(OR(M730="KXDDM",BOM!F730=""),0,BOM!F730))</f>
        <v/>
      </c>
      <c r="H730" s="39" t="str">
        <f t="shared" si="56"/>
        <v/>
      </c>
      <c r="I730" s="39" t="str">
        <f>IF(B730="","",SUMIFS(Mau15a!$H$11:$H$310,Mau15a!$B$11:$B$310,B730)+SUMIFS(Mau15a!$I$11:$I$310,Mau15a!$B$11:$B$310,B730)+SUMIFS(Mau15a!$J$11:$J$310,Mau15a!$B$11:$B$310,B730)-SUMIFS(Mau15a!$G$11:$G$310,Mau15a!$B$11:$B$310,B730))</f>
        <v/>
      </c>
      <c r="J730" s="39" t="str">
        <f t="shared" si="57"/>
        <v/>
      </c>
      <c r="K730" s="39" t="str">
        <f>IF(B730="","",(SUMIFS(Mau15a!$K$11:$K$310,Mau15a!$B$11:$B$310,B730)-SUMIFS(Mau15a!$E$11:$E$310,Mau15a!$B$11:$B$310,B730))*G730)</f>
        <v/>
      </c>
      <c r="L730" s="36" t="str">
        <f t="shared" si="58"/>
        <v/>
      </c>
      <c r="M730" s="36" t="str">
        <f>IF(B730="","",BOM!G730&amp;"")</f>
        <v/>
      </c>
      <c r="N730" s="36" t="str">
        <f t="shared" si="59"/>
        <v/>
      </c>
    </row>
    <row r="731" spans="1:14" x14ac:dyDescent="0.25">
      <c r="A731" s="35" t="str">
        <f t="shared" si="55"/>
        <v/>
      </c>
      <c r="B731" s="35" t="str">
        <f>IF(BOM!A731="","",BOM!A731)</f>
        <v/>
      </c>
      <c r="C731" s="35" t="str">
        <f>IF(B731="","",BOM!B731)</f>
        <v/>
      </c>
      <c r="D731" s="35" t="str">
        <f>IF(B731="","",IFERROR(INDEX(DM_NL!$B$5:$B$304,MATCH(C731,DM_NL!$A$5:$A$304,0)),""))</f>
        <v/>
      </c>
      <c r="E731" s="35" t="str">
        <f>IF(B731="","",IFERROR(INDEX(DM_NL!$C$5:$C$304,MATCH(C731,DM_NL!$A$5:$A$304,0)),""))</f>
        <v/>
      </c>
      <c r="F731" s="39" t="str">
        <f>IF(B731="","",SUMIFS(Mau15a!$F$11:$F$310,Mau15a!$B$11:$B$310,B731))</f>
        <v/>
      </c>
      <c r="G731" s="39" t="str">
        <f>IF(B731="","",IF(OR(M731="KXDDM",BOM!F731=""),0,BOM!F731))</f>
        <v/>
      </c>
      <c r="H731" s="39" t="str">
        <f t="shared" si="56"/>
        <v/>
      </c>
      <c r="I731" s="39" t="str">
        <f>IF(B731="","",SUMIFS(Mau15a!$H$11:$H$310,Mau15a!$B$11:$B$310,B731)+SUMIFS(Mau15a!$I$11:$I$310,Mau15a!$B$11:$B$310,B731)+SUMIFS(Mau15a!$J$11:$J$310,Mau15a!$B$11:$B$310,B731)-SUMIFS(Mau15a!$G$11:$G$310,Mau15a!$B$11:$B$310,B731))</f>
        <v/>
      </c>
      <c r="J731" s="39" t="str">
        <f t="shared" si="57"/>
        <v/>
      </c>
      <c r="K731" s="39" t="str">
        <f>IF(B731="","",(SUMIFS(Mau15a!$K$11:$K$310,Mau15a!$B$11:$B$310,B731)-SUMIFS(Mau15a!$E$11:$E$310,Mau15a!$B$11:$B$310,B731))*G731)</f>
        <v/>
      </c>
      <c r="L731" s="36" t="str">
        <f t="shared" si="58"/>
        <v/>
      </c>
      <c r="M731" s="36" t="str">
        <f>IF(B731="","",BOM!G731&amp;"")</f>
        <v/>
      </c>
      <c r="N731" s="36" t="str">
        <f t="shared" si="59"/>
        <v/>
      </c>
    </row>
    <row r="732" spans="1:14" x14ac:dyDescent="0.25">
      <c r="A732" s="35" t="str">
        <f t="shared" si="55"/>
        <v/>
      </c>
      <c r="B732" s="35" t="str">
        <f>IF(BOM!A732="","",BOM!A732)</f>
        <v/>
      </c>
      <c r="C732" s="35" t="str">
        <f>IF(B732="","",BOM!B732)</f>
        <v/>
      </c>
      <c r="D732" s="35" t="str">
        <f>IF(B732="","",IFERROR(INDEX(DM_NL!$B$5:$B$304,MATCH(C732,DM_NL!$A$5:$A$304,0)),""))</f>
        <v/>
      </c>
      <c r="E732" s="35" t="str">
        <f>IF(B732="","",IFERROR(INDEX(DM_NL!$C$5:$C$304,MATCH(C732,DM_NL!$A$5:$A$304,0)),""))</f>
        <v/>
      </c>
      <c r="F732" s="39" t="str">
        <f>IF(B732="","",SUMIFS(Mau15a!$F$11:$F$310,Mau15a!$B$11:$B$310,B732))</f>
        <v/>
      </c>
      <c r="G732" s="39" t="str">
        <f>IF(B732="","",IF(OR(M732="KXDDM",BOM!F732=""),0,BOM!F732))</f>
        <v/>
      </c>
      <c r="H732" s="39" t="str">
        <f t="shared" si="56"/>
        <v/>
      </c>
      <c r="I732" s="39" t="str">
        <f>IF(B732="","",SUMIFS(Mau15a!$H$11:$H$310,Mau15a!$B$11:$B$310,B732)+SUMIFS(Mau15a!$I$11:$I$310,Mau15a!$B$11:$B$310,B732)+SUMIFS(Mau15a!$J$11:$J$310,Mau15a!$B$11:$B$310,B732)-SUMIFS(Mau15a!$G$11:$G$310,Mau15a!$B$11:$B$310,B732))</f>
        <v/>
      </c>
      <c r="J732" s="39" t="str">
        <f t="shared" si="57"/>
        <v/>
      </c>
      <c r="K732" s="39" t="str">
        <f>IF(B732="","",(SUMIFS(Mau15a!$K$11:$K$310,Mau15a!$B$11:$B$310,B732)-SUMIFS(Mau15a!$E$11:$E$310,Mau15a!$B$11:$B$310,B732))*G732)</f>
        <v/>
      </c>
      <c r="L732" s="36" t="str">
        <f t="shared" si="58"/>
        <v/>
      </c>
      <c r="M732" s="36" t="str">
        <f>IF(B732="","",BOM!G732&amp;"")</f>
        <v/>
      </c>
      <c r="N732" s="36" t="str">
        <f t="shared" si="59"/>
        <v/>
      </c>
    </row>
    <row r="733" spans="1:14" x14ac:dyDescent="0.25">
      <c r="A733" s="35" t="str">
        <f t="shared" si="55"/>
        <v/>
      </c>
      <c r="B733" s="35" t="str">
        <f>IF(BOM!A733="","",BOM!A733)</f>
        <v/>
      </c>
      <c r="C733" s="35" t="str">
        <f>IF(B733="","",BOM!B733)</f>
        <v/>
      </c>
      <c r="D733" s="35" t="str">
        <f>IF(B733="","",IFERROR(INDEX(DM_NL!$B$5:$B$304,MATCH(C733,DM_NL!$A$5:$A$304,0)),""))</f>
        <v/>
      </c>
      <c r="E733" s="35" t="str">
        <f>IF(B733="","",IFERROR(INDEX(DM_NL!$C$5:$C$304,MATCH(C733,DM_NL!$A$5:$A$304,0)),""))</f>
        <v/>
      </c>
      <c r="F733" s="39" t="str">
        <f>IF(B733="","",SUMIFS(Mau15a!$F$11:$F$310,Mau15a!$B$11:$B$310,B733))</f>
        <v/>
      </c>
      <c r="G733" s="39" t="str">
        <f>IF(B733="","",IF(OR(M733="KXDDM",BOM!F733=""),0,BOM!F733))</f>
        <v/>
      </c>
      <c r="H733" s="39" t="str">
        <f t="shared" si="56"/>
        <v/>
      </c>
      <c r="I733" s="39" t="str">
        <f>IF(B733="","",SUMIFS(Mau15a!$H$11:$H$310,Mau15a!$B$11:$B$310,B733)+SUMIFS(Mau15a!$I$11:$I$310,Mau15a!$B$11:$B$310,B733)+SUMIFS(Mau15a!$J$11:$J$310,Mau15a!$B$11:$B$310,B733)-SUMIFS(Mau15a!$G$11:$G$310,Mau15a!$B$11:$B$310,B733))</f>
        <v/>
      </c>
      <c r="J733" s="39" t="str">
        <f t="shared" si="57"/>
        <v/>
      </c>
      <c r="K733" s="39" t="str">
        <f>IF(B733="","",(SUMIFS(Mau15a!$K$11:$K$310,Mau15a!$B$11:$B$310,B733)-SUMIFS(Mau15a!$E$11:$E$310,Mau15a!$B$11:$B$310,B733))*G733)</f>
        <v/>
      </c>
      <c r="L733" s="36" t="str">
        <f t="shared" si="58"/>
        <v/>
      </c>
      <c r="M733" s="36" t="str">
        <f>IF(B733="","",BOM!G733&amp;"")</f>
        <v/>
      </c>
      <c r="N733" s="36" t="str">
        <f t="shared" si="59"/>
        <v/>
      </c>
    </row>
    <row r="734" spans="1:14" x14ac:dyDescent="0.25">
      <c r="A734" s="35" t="str">
        <f t="shared" si="55"/>
        <v/>
      </c>
      <c r="B734" s="35" t="str">
        <f>IF(BOM!A734="","",BOM!A734)</f>
        <v/>
      </c>
      <c r="C734" s="35" t="str">
        <f>IF(B734="","",BOM!B734)</f>
        <v/>
      </c>
      <c r="D734" s="35" t="str">
        <f>IF(B734="","",IFERROR(INDEX(DM_NL!$B$5:$B$304,MATCH(C734,DM_NL!$A$5:$A$304,0)),""))</f>
        <v/>
      </c>
      <c r="E734" s="35" t="str">
        <f>IF(B734="","",IFERROR(INDEX(DM_NL!$C$5:$C$304,MATCH(C734,DM_NL!$A$5:$A$304,0)),""))</f>
        <v/>
      </c>
      <c r="F734" s="39" t="str">
        <f>IF(B734="","",SUMIFS(Mau15a!$F$11:$F$310,Mau15a!$B$11:$B$310,B734))</f>
        <v/>
      </c>
      <c r="G734" s="39" t="str">
        <f>IF(B734="","",IF(OR(M734="KXDDM",BOM!F734=""),0,BOM!F734))</f>
        <v/>
      </c>
      <c r="H734" s="39" t="str">
        <f t="shared" si="56"/>
        <v/>
      </c>
      <c r="I734" s="39" t="str">
        <f>IF(B734="","",SUMIFS(Mau15a!$H$11:$H$310,Mau15a!$B$11:$B$310,B734)+SUMIFS(Mau15a!$I$11:$I$310,Mau15a!$B$11:$B$310,B734)+SUMIFS(Mau15a!$J$11:$J$310,Mau15a!$B$11:$B$310,B734)-SUMIFS(Mau15a!$G$11:$G$310,Mau15a!$B$11:$B$310,B734))</f>
        <v/>
      </c>
      <c r="J734" s="39" t="str">
        <f t="shared" si="57"/>
        <v/>
      </c>
      <c r="K734" s="39" t="str">
        <f>IF(B734="","",(SUMIFS(Mau15a!$K$11:$K$310,Mau15a!$B$11:$B$310,B734)-SUMIFS(Mau15a!$E$11:$E$310,Mau15a!$B$11:$B$310,B734))*G734)</f>
        <v/>
      </c>
      <c r="L734" s="36" t="str">
        <f t="shared" si="58"/>
        <v/>
      </c>
      <c r="M734" s="36" t="str">
        <f>IF(B734="","",BOM!G734&amp;"")</f>
        <v/>
      </c>
      <c r="N734" s="36" t="str">
        <f t="shared" si="59"/>
        <v/>
      </c>
    </row>
    <row r="735" spans="1:14" x14ac:dyDescent="0.25">
      <c r="A735" s="35" t="str">
        <f t="shared" si="55"/>
        <v/>
      </c>
      <c r="B735" s="35" t="str">
        <f>IF(BOM!A735="","",BOM!A735)</f>
        <v/>
      </c>
      <c r="C735" s="35" t="str">
        <f>IF(B735="","",BOM!B735)</f>
        <v/>
      </c>
      <c r="D735" s="35" t="str">
        <f>IF(B735="","",IFERROR(INDEX(DM_NL!$B$5:$B$304,MATCH(C735,DM_NL!$A$5:$A$304,0)),""))</f>
        <v/>
      </c>
      <c r="E735" s="35" t="str">
        <f>IF(B735="","",IFERROR(INDEX(DM_NL!$C$5:$C$304,MATCH(C735,DM_NL!$A$5:$A$304,0)),""))</f>
        <v/>
      </c>
      <c r="F735" s="39" t="str">
        <f>IF(B735="","",SUMIFS(Mau15a!$F$11:$F$310,Mau15a!$B$11:$B$310,B735))</f>
        <v/>
      </c>
      <c r="G735" s="39" t="str">
        <f>IF(B735="","",IF(OR(M735="KXDDM",BOM!F735=""),0,BOM!F735))</f>
        <v/>
      </c>
      <c r="H735" s="39" t="str">
        <f t="shared" si="56"/>
        <v/>
      </c>
      <c r="I735" s="39" t="str">
        <f>IF(B735="","",SUMIFS(Mau15a!$H$11:$H$310,Mau15a!$B$11:$B$310,B735)+SUMIFS(Mau15a!$I$11:$I$310,Mau15a!$B$11:$B$310,B735)+SUMIFS(Mau15a!$J$11:$J$310,Mau15a!$B$11:$B$310,B735)-SUMIFS(Mau15a!$G$11:$G$310,Mau15a!$B$11:$B$310,B735))</f>
        <v/>
      </c>
      <c r="J735" s="39" t="str">
        <f t="shared" si="57"/>
        <v/>
      </c>
      <c r="K735" s="39" t="str">
        <f>IF(B735="","",(SUMIFS(Mau15a!$K$11:$K$310,Mau15a!$B$11:$B$310,B735)-SUMIFS(Mau15a!$E$11:$E$310,Mau15a!$B$11:$B$310,B735))*G735)</f>
        <v/>
      </c>
      <c r="L735" s="36" t="str">
        <f t="shared" si="58"/>
        <v/>
      </c>
      <c r="M735" s="36" t="str">
        <f>IF(B735="","",BOM!G735&amp;"")</f>
        <v/>
      </c>
      <c r="N735" s="36" t="str">
        <f t="shared" si="59"/>
        <v/>
      </c>
    </row>
    <row r="736" spans="1:14" x14ac:dyDescent="0.25">
      <c r="A736" s="35" t="str">
        <f t="shared" si="55"/>
        <v/>
      </c>
      <c r="B736" s="35" t="str">
        <f>IF(BOM!A736="","",BOM!A736)</f>
        <v/>
      </c>
      <c r="C736" s="35" t="str">
        <f>IF(B736="","",BOM!B736)</f>
        <v/>
      </c>
      <c r="D736" s="35" t="str">
        <f>IF(B736="","",IFERROR(INDEX(DM_NL!$B$5:$B$304,MATCH(C736,DM_NL!$A$5:$A$304,0)),""))</f>
        <v/>
      </c>
      <c r="E736" s="35" t="str">
        <f>IF(B736="","",IFERROR(INDEX(DM_NL!$C$5:$C$304,MATCH(C736,DM_NL!$A$5:$A$304,0)),""))</f>
        <v/>
      </c>
      <c r="F736" s="39" t="str">
        <f>IF(B736="","",SUMIFS(Mau15a!$F$11:$F$310,Mau15a!$B$11:$B$310,B736))</f>
        <v/>
      </c>
      <c r="G736" s="39" t="str">
        <f>IF(B736="","",IF(OR(M736="KXDDM",BOM!F736=""),0,BOM!F736))</f>
        <v/>
      </c>
      <c r="H736" s="39" t="str">
        <f t="shared" si="56"/>
        <v/>
      </c>
      <c r="I736" s="39" t="str">
        <f>IF(B736="","",SUMIFS(Mau15a!$H$11:$H$310,Mau15a!$B$11:$B$310,B736)+SUMIFS(Mau15a!$I$11:$I$310,Mau15a!$B$11:$B$310,B736)+SUMIFS(Mau15a!$J$11:$J$310,Mau15a!$B$11:$B$310,B736)-SUMIFS(Mau15a!$G$11:$G$310,Mau15a!$B$11:$B$310,B736))</f>
        <v/>
      </c>
      <c r="J736" s="39" t="str">
        <f t="shared" si="57"/>
        <v/>
      </c>
      <c r="K736" s="39" t="str">
        <f>IF(B736="","",(SUMIFS(Mau15a!$K$11:$K$310,Mau15a!$B$11:$B$310,B736)-SUMIFS(Mau15a!$E$11:$E$310,Mau15a!$B$11:$B$310,B736))*G736)</f>
        <v/>
      </c>
      <c r="L736" s="36" t="str">
        <f t="shared" si="58"/>
        <v/>
      </c>
      <c r="M736" s="36" t="str">
        <f>IF(B736="","",BOM!G736&amp;"")</f>
        <v/>
      </c>
      <c r="N736" s="36" t="str">
        <f t="shared" si="59"/>
        <v/>
      </c>
    </row>
    <row r="737" spans="1:14" x14ac:dyDescent="0.25">
      <c r="A737" s="35" t="str">
        <f t="shared" si="55"/>
        <v/>
      </c>
      <c r="B737" s="35" t="str">
        <f>IF(BOM!A737="","",BOM!A737)</f>
        <v/>
      </c>
      <c r="C737" s="35" t="str">
        <f>IF(B737="","",BOM!B737)</f>
        <v/>
      </c>
      <c r="D737" s="35" t="str">
        <f>IF(B737="","",IFERROR(INDEX(DM_NL!$B$5:$B$304,MATCH(C737,DM_NL!$A$5:$A$304,0)),""))</f>
        <v/>
      </c>
      <c r="E737" s="35" t="str">
        <f>IF(B737="","",IFERROR(INDEX(DM_NL!$C$5:$C$304,MATCH(C737,DM_NL!$A$5:$A$304,0)),""))</f>
        <v/>
      </c>
      <c r="F737" s="39" t="str">
        <f>IF(B737="","",SUMIFS(Mau15a!$F$11:$F$310,Mau15a!$B$11:$B$310,B737))</f>
        <v/>
      </c>
      <c r="G737" s="39" t="str">
        <f>IF(B737="","",IF(OR(M737="KXDDM",BOM!F737=""),0,BOM!F737))</f>
        <v/>
      </c>
      <c r="H737" s="39" t="str">
        <f t="shared" si="56"/>
        <v/>
      </c>
      <c r="I737" s="39" t="str">
        <f>IF(B737="","",SUMIFS(Mau15a!$H$11:$H$310,Mau15a!$B$11:$B$310,B737)+SUMIFS(Mau15a!$I$11:$I$310,Mau15a!$B$11:$B$310,B737)+SUMIFS(Mau15a!$J$11:$J$310,Mau15a!$B$11:$B$310,B737)-SUMIFS(Mau15a!$G$11:$G$310,Mau15a!$B$11:$B$310,B737))</f>
        <v/>
      </c>
      <c r="J737" s="39" t="str">
        <f t="shared" si="57"/>
        <v/>
      </c>
      <c r="K737" s="39" t="str">
        <f>IF(B737="","",(SUMIFS(Mau15a!$K$11:$K$310,Mau15a!$B$11:$B$310,B737)-SUMIFS(Mau15a!$E$11:$E$310,Mau15a!$B$11:$B$310,B737))*G737)</f>
        <v/>
      </c>
      <c r="L737" s="36" t="str">
        <f t="shared" si="58"/>
        <v/>
      </c>
      <c r="M737" s="36" t="str">
        <f>IF(B737="","",BOM!G737&amp;"")</f>
        <v/>
      </c>
      <c r="N737" s="36" t="str">
        <f t="shared" si="59"/>
        <v/>
      </c>
    </row>
    <row r="738" spans="1:14" x14ac:dyDescent="0.25">
      <c r="A738" s="35" t="str">
        <f t="shared" si="55"/>
        <v/>
      </c>
      <c r="B738" s="35" t="str">
        <f>IF(BOM!A738="","",BOM!A738)</f>
        <v/>
      </c>
      <c r="C738" s="35" t="str">
        <f>IF(B738="","",BOM!B738)</f>
        <v/>
      </c>
      <c r="D738" s="35" t="str">
        <f>IF(B738="","",IFERROR(INDEX(DM_NL!$B$5:$B$304,MATCH(C738,DM_NL!$A$5:$A$304,0)),""))</f>
        <v/>
      </c>
      <c r="E738" s="35" t="str">
        <f>IF(B738="","",IFERROR(INDEX(DM_NL!$C$5:$C$304,MATCH(C738,DM_NL!$A$5:$A$304,0)),""))</f>
        <v/>
      </c>
      <c r="F738" s="39" t="str">
        <f>IF(B738="","",SUMIFS(Mau15a!$F$11:$F$310,Mau15a!$B$11:$B$310,B738))</f>
        <v/>
      </c>
      <c r="G738" s="39" t="str">
        <f>IF(B738="","",IF(OR(M738="KXDDM",BOM!F738=""),0,BOM!F738))</f>
        <v/>
      </c>
      <c r="H738" s="39" t="str">
        <f t="shared" si="56"/>
        <v/>
      </c>
      <c r="I738" s="39" t="str">
        <f>IF(B738="","",SUMIFS(Mau15a!$H$11:$H$310,Mau15a!$B$11:$B$310,B738)+SUMIFS(Mau15a!$I$11:$I$310,Mau15a!$B$11:$B$310,B738)+SUMIFS(Mau15a!$J$11:$J$310,Mau15a!$B$11:$B$310,B738)-SUMIFS(Mau15a!$G$11:$G$310,Mau15a!$B$11:$B$310,B738))</f>
        <v/>
      </c>
      <c r="J738" s="39" t="str">
        <f t="shared" si="57"/>
        <v/>
      </c>
      <c r="K738" s="39" t="str">
        <f>IF(B738="","",(SUMIFS(Mau15a!$K$11:$K$310,Mau15a!$B$11:$B$310,B738)-SUMIFS(Mau15a!$E$11:$E$310,Mau15a!$B$11:$B$310,B738))*G738)</f>
        <v/>
      </c>
      <c r="L738" s="36" t="str">
        <f t="shared" si="58"/>
        <v/>
      </c>
      <c r="M738" s="36" t="str">
        <f>IF(B738="","",BOM!G738&amp;"")</f>
        <v/>
      </c>
      <c r="N738" s="36" t="str">
        <f t="shared" si="59"/>
        <v/>
      </c>
    </row>
    <row r="739" spans="1:14" x14ac:dyDescent="0.25">
      <c r="A739" s="35" t="str">
        <f t="shared" si="55"/>
        <v/>
      </c>
      <c r="B739" s="35" t="str">
        <f>IF(BOM!A739="","",BOM!A739)</f>
        <v/>
      </c>
      <c r="C739" s="35" t="str">
        <f>IF(B739="","",BOM!B739)</f>
        <v/>
      </c>
      <c r="D739" s="35" t="str">
        <f>IF(B739="","",IFERROR(INDEX(DM_NL!$B$5:$B$304,MATCH(C739,DM_NL!$A$5:$A$304,0)),""))</f>
        <v/>
      </c>
      <c r="E739" s="35" t="str">
        <f>IF(B739="","",IFERROR(INDEX(DM_NL!$C$5:$C$304,MATCH(C739,DM_NL!$A$5:$A$304,0)),""))</f>
        <v/>
      </c>
      <c r="F739" s="39" t="str">
        <f>IF(B739="","",SUMIFS(Mau15a!$F$11:$F$310,Mau15a!$B$11:$B$310,B739))</f>
        <v/>
      </c>
      <c r="G739" s="39" t="str">
        <f>IF(B739="","",IF(OR(M739="KXDDM",BOM!F739=""),0,BOM!F739))</f>
        <v/>
      </c>
      <c r="H739" s="39" t="str">
        <f t="shared" si="56"/>
        <v/>
      </c>
      <c r="I739" s="39" t="str">
        <f>IF(B739="","",SUMIFS(Mau15a!$H$11:$H$310,Mau15a!$B$11:$B$310,B739)+SUMIFS(Mau15a!$I$11:$I$310,Mau15a!$B$11:$B$310,B739)+SUMIFS(Mau15a!$J$11:$J$310,Mau15a!$B$11:$B$310,B739)-SUMIFS(Mau15a!$G$11:$G$310,Mau15a!$B$11:$B$310,B739))</f>
        <v/>
      </c>
      <c r="J739" s="39" t="str">
        <f t="shared" si="57"/>
        <v/>
      </c>
      <c r="K739" s="39" t="str">
        <f>IF(B739="","",(SUMIFS(Mau15a!$K$11:$K$310,Mau15a!$B$11:$B$310,B739)-SUMIFS(Mau15a!$E$11:$E$310,Mau15a!$B$11:$B$310,B739))*G739)</f>
        <v/>
      </c>
      <c r="L739" s="36" t="str">
        <f t="shared" si="58"/>
        <v/>
      </c>
      <c r="M739" s="36" t="str">
        <f>IF(B739="","",BOM!G739&amp;"")</f>
        <v/>
      </c>
      <c r="N739" s="36" t="str">
        <f t="shared" si="59"/>
        <v/>
      </c>
    </row>
    <row r="740" spans="1:14" x14ac:dyDescent="0.25">
      <c r="A740" s="35" t="str">
        <f t="shared" si="55"/>
        <v/>
      </c>
      <c r="B740" s="35" t="str">
        <f>IF(BOM!A740="","",BOM!A740)</f>
        <v/>
      </c>
      <c r="C740" s="35" t="str">
        <f>IF(B740="","",BOM!B740)</f>
        <v/>
      </c>
      <c r="D740" s="35" t="str">
        <f>IF(B740="","",IFERROR(INDEX(DM_NL!$B$5:$B$304,MATCH(C740,DM_NL!$A$5:$A$304,0)),""))</f>
        <v/>
      </c>
      <c r="E740" s="35" t="str">
        <f>IF(B740="","",IFERROR(INDEX(DM_NL!$C$5:$C$304,MATCH(C740,DM_NL!$A$5:$A$304,0)),""))</f>
        <v/>
      </c>
      <c r="F740" s="39" t="str">
        <f>IF(B740="","",SUMIFS(Mau15a!$F$11:$F$310,Mau15a!$B$11:$B$310,B740))</f>
        <v/>
      </c>
      <c r="G740" s="39" t="str">
        <f>IF(B740="","",IF(OR(M740="KXDDM",BOM!F740=""),0,BOM!F740))</f>
        <v/>
      </c>
      <c r="H740" s="39" t="str">
        <f t="shared" si="56"/>
        <v/>
      </c>
      <c r="I740" s="39" t="str">
        <f>IF(B740="","",SUMIFS(Mau15a!$H$11:$H$310,Mau15a!$B$11:$B$310,B740)+SUMIFS(Mau15a!$I$11:$I$310,Mau15a!$B$11:$B$310,B740)+SUMIFS(Mau15a!$J$11:$J$310,Mau15a!$B$11:$B$310,B740)-SUMIFS(Mau15a!$G$11:$G$310,Mau15a!$B$11:$B$310,B740))</f>
        <v/>
      </c>
      <c r="J740" s="39" t="str">
        <f t="shared" si="57"/>
        <v/>
      </c>
      <c r="K740" s="39" t="str">
        <f>IF(B740="","",(SUMIFS(Mau15a!$K$11:$K$310,Mau15a!$B$11:$B$310,B740)-SUMIFS(Mau15a!$E$11:$E$310,Mau15a!$B$11:$B$310,B740))*G740)</f>
        <v/>
      </c>
      <c r="L740" s="36" t="str">
        <f t="shared" si="58"/>
        <v/>
      </c>
      <c r="M740" s="36" t="str">
        <f>IF(B740="","",BOM!G740&amp;"")</f>
        <v/>
      </c>
      <c r="N740" s="36" t="str">
        <f t="shared" si="59"/>
        <v/>
      </c>
    </row>
    <row r="741" spans="1:14" x14ac:dyDescent="0.25">
      <c r="A741" s="35" t="str">
        <f t="shared" si="55"/>
        <v/>
      </c>
      <c r="B741" s="35" t="str">
        <f>IF(BOM!A741="","",BOM!A741)</f>
        <v/>
      </c>
      <c r="C741" s="35" t="str">
        <f>IF(B741="","",BOM!B741)</f>
        <v/>
      </c>
      <c r="D741" s="35" t="str">
        <f>IF(B741="","",IFERROR(INDEX(DM_NL!$B$5:$B$304,MATCH(C741,DM_NL!$A$5:$A$304,0)),""))</f>
        <v/>
      </c>
      <c r="E741" s="35" t="str">
        <f>IF(B741="","",IFERROR(INDEX(DM_NL!$C$5:$C$304,MATCH(C741,DM_NL!$A$5:$A$304,0)),""))</f>
        <v/>
      </c>
      <c r="F741" s="39" t="str">
        <f>IF(B741="","",SUMIFS(Mau15a!$F$11:$F$310,Mau15a!$B$11:$B$310,B741))</f>
        <v/>
      </c>
      <c r="G741" s="39" t="str">
        <f>IF(B741="","",IF(OR(M741="KXDDM",BOM!F741=""),0,BOM!F741))</f>
        <v/>
      </c>
      <c r="H741" s="39" t="str">
        <f t="shared" si="56"/>
        <v/>
      </c>
      <c r="I741" s="39" t="str">
        <f>IF(B741="","",SUMIFS(Mau15a!$H$11:$H$310,Mau15a!$B$11:$B$310,B741)+SUMIFS(Mau15a!$I$11:$I$310,Mau15a!$B$11:$B$310,B741)+SUMIFS(Mau15a!$J$11:$J$310,Mau15a!$B$11:$B$310,B741)-SUMIFS(Mau15a!$G$11:$G$310,Mau15a!$B$11:$B$310,B741))</f>
        <v/>
      </c>
      <c r="J741" s="39" t="str">
        <f t="shared" si="57"/>
        <v/>
      </c>
      <c r="K741" s="39" t="str">
        <f>IF(B741="","",(SUMIFS(Mau15a!$K$11:$K$310,Mau15a!$B$11:$B$310,B741)-SUMIFS(Mau15a!$E$11:$E$310,Mau15a!$B$11:$B$310,B741))*G741)</f>
        <v/>
      </c>
      <c r="L741" s="36" t="str">
        <f t="shared" si="58"/>
        <v/>
      </c>
      <c r="M741" s="36" t="str">
        <f>IF(B741="","",BOM!G741&amp;"")</f>
        <v/>
      </c>
      <c r="N741" s="36" t="str">
        <f t="shared" si="59"/>
        <v/>
      </c>
    </row>
    <row r="742" spans="1:14" x14ac:dyDescent="0.25">
      <c r="A742" s="35" t="str">
        <f t="shared" si="55"/>
        <v/>
      </c>
      <c r="B742" s="35" t="str">
        <f>IF(BOM!A742="","",BOM!A742)</f>
        <v/>
      </c>
      <c r="C742" s="35" t="str">
        <f>IF(B742="","",BOM!B742)</f>
        <v/>
      </c>
      <c r="D742" s="35" t="str">
        <f>IF(B742="","",IFERROR(INDEX(DM_NL!$B$5:$B$304,MATCH(C742,DM_NL!$A$5:$A$304,0)),""))</f>
        <v/>
      </c>
      <c r="E742" s="35" t="str">
        <f>IF(B742="","",IFERROR(INDEX(DM_NL!$C$5:$C$304,MATCH(C742,DM_NL!$A$5:$A$304,0)),""))</f>
        <v/>
      </c>
      <c r="F742" s="39" t="str">
        <f>IF(B742="","",SUMIFS(Mau15a!$F$11:$F$310,Mau15a!$B$11:$B$310,B742))</f>
        <v/>
      </c>
      <c r="G742" s="39" t="str">
        <f>IF(B742="","",IF(OR(M742="KXDDM",BOM!F742=""),0,BOM!F742))</f>
        <v/>
      </c>
      <c r="H742" s="39" t="str">
        <f t="shared" si="56"/>
        <v/>
      </c>
      <c r="I742" s="39" t="str">
        <f>IF(B742="","",SUMIFS(Mau15a!$H$11:$H$310,Mau15a!$B$11:$B$310,B742)+SUMIFS(Mau15a!$I$11:$I$310,Mau15a!$B$11:$B$310,B742)+SUMIFS(Mau15a!$J$11:$J$310,Mau15a!$B$11:$B$310,B742)-SUMIFS(Mau15a!$G$11:$G$310,Mau15a!$B$11:$B$310,B742))</f>
        <v/>
      </c>
      <c r="J742" s="39" t="str">
        <f t="shared" si="57"/>
        <v/>
      </c>
      <c r="K742" s="39" t="str">
        <f>IF(B742="","",(SUMIFS(Mau15a!$K$11:$K$310,Mau15a!$B$11:$B$310,B742)-SUMIFS(Mau15a!$E$11:$E$310,Mau15a!$B$11:$B$310,B742))*G742)</f>
        <v/>
      </c>
      <c r="L742" s="36" t="str">
        <f t="shared" si="58"/>
        <v/>
      </c>
      <c r="M742" s="36" t="str">
        <f>IF(B742="","",BOM!G742&amp;"")</f>
        <v/>
      </c>
      <c r="N742" s="36" t="str">
        <f t="shared" si="59"/>
        <v/>
      </c>
    </row>
    <row r="743" spans="1:14" x14ac:dyDescent="0.25">
      <c r="A743" s="35" t="str">
        <f t="shared" si="55"/>
        <v/>
      </c>
      <c r="B743" s="35" t="str">
        <f>IF(BOM!A743="","",BOM!A743)</f>
        <v/>
      </c>
      <c r="C743" s="35" t="str">
        <f>IF(B743="","",BOM!B743)</f>
        <v/>
      </c>
      <c r="D743" s="35" t="str">
        <f>IF(B743="","",IFERROR(INDEX(DM_NL!$B$5:$B$304,MATCH(C743,DM_NL!$A$5:$A$304,0)),""))</f>
        <v/>
      </c>
      <c r="E743" s="35" t="str">
        <f>IF(B743="","",IFERROR(INDEX(DM_NL!$C$5:$C$304,MATCH(C743,DM_NL!$A$5:$A$304,0)),""))</f>
        <v/>
      </c>
      <c r="F743" s="39" t="str">
        <f>IF(B743="","",SUMIFS(Mau15a!$F$11:$F$310,Mau15a!$B$11:$B$310,B743))</f>
        <v/>
      </c>
      <c r="G743" s="39" t="str">
        <f>IF(B743="","",IF(OR(M743="KXDDM",BOM!F743=""),0,BOM!F743))</f>
        <v/>
      </c>
      <c r="H743" s="39" t="str">
        <f t="shared" si="56"/>
        <v/>
      </c>
      <c r="I743" s="39" t="str">
        <f>IF(B743="","",SUMIFS(Mau15a!$H$11:$H$310,Mau15a!$B$11:$B$310,B743)+SUMIFS(Mau15a!$I$11:$I$310,Mau15a!$B$11:$B$310,B743)+SUMIFS(Mau15a!$J$11:$J$310,Mau15a!$B$11:$B$310,B743)-SUMIFS(Mau15a!$G$11:$G$310,Mau15a!$B$11:$B$310,B743))</f>
        <v/>
      </c>
      <c r="J743" s="39" t="str">
        <f t="shared" si="57"/>
        <v/>
      </c>
      <c r="K743" s="39" t="str">
        <f>IF(B743="","",(SUMIFS(Mau15a!$K$11:$K$310,Mau15a!$B$11:$B$310,B743)-SUMIFS(Mau15a!$E$11:$E$310,Mau15a!$B$11:$B$310,B743))*G743)</f>
        <v/>
      </c>
      <c r="L743" s="36" t="str">
        <f t="shared" si="58"/>
        <v/>
      </c>
      <c r="M743" s="36" t="str">
        <f>IF(B743="","",BOM!G743&amp;"")</f>
        <v/>
      </c>
      <c r="N743" s="36" t="str">
        <f t="shared" si="59"/>
        <v/>
      </c>
    </row>
    <row r="744" spans="1:14" x14ac:dyDescent="0.25">
      <c r="A744" s="35" t="str">
        <f t="shared" si="55"/>
        <v/>
      </c>
      <c r="B744" s="35" t="str">
        <f>IF(BOM!A744="","",BOM!A744)</f>
        <v/>
      </c>
      <c r="C744" s="35" t="str">
        <f>IF(B744="","",BOM!B744)</f>
        <v/>
      </c>
      <c r="D744" s="35" t="str">
        <f>IF(B744="","",IFERROR(INDEX(DM_NL!$B$5:$B$304,MATCH(C744,DM_NL!$A$5:$A$304,0)),""))</f>
        <v/>
      </c>
      <c r="E744" s="35" t="str">
        <f>IF(B744="","",IFERROR(INDEX(DM_NL!$C$5:$C$304,MATCH(C744,DM_NL!$A$5:$A$304,0)),""))</f>
        <v/>
      </c>
      <c r="F744" s="39" t="str">
        <f>IF(B744="","",SUMIFS(Mau15a!$F$11:$F$310,Mau15a!$B$11:$B$310,B744))</f>
        <v/>
      </c>
      <c r="G744" s="39" t="str">
        <f>IF(B744="","",IF(OR(M744="KXDDM",BOM!F744=""),0,BOM!F744))</f>
        <v/>
      </c>
      <c r="H744" s="39" t="str">
        <f t="shared" si="56"/>
        <v/>
      </c>
      <c r="I744" s="39" t="str">
        <f>IF(B744="","",SUMIFS(Mau15a!$H$11:$H$310,Mau15a!$B$11:$B$310,B744)+SUMIFS(Mau15a!$I$11:$I$310,Mau15a!$B$11:$B$310,B744)+SUMIFS(Mau15a!$J$11:$J$310,Mau15a!$B$11:$B$310,B744)-SUMIFS(Mau15a!$G$11:$G$310,Mau15a!$B$11:$B$310,B744))</f>
        <v/>
      </c>
      <c r="J744" s="39" t="str">
        <f t="shared" si="57"/>
        <v/>
      </c>
      <c r="K744" s="39" t="str">
        <f>IF(B744="","",(SUMIFS(Mau15a!$K$11:$K$310,Mau15a!$B$11:$B$310,B744)-SUMIFS(Mau15a!$E$11:$E$310,Mau15a!$B$11:$B$310,B744))*G744)</f>
        <v/>
      </c>
      <c r="L744" s="36" t="str">
        <f t="shared" si="58"/>
        <v/>
      </c>
      <c r="M744" s="36" t="str">
        <f>IF(B744="","",BOM!G744&amp;"")</f>
        <v/>
      </c>
      <c r="N744" s="36" t="str">
        <f t="shared" si="59"/>
        <v/>
      </c>
    </row>
    <row r="745" spans="1:14" x14ac:dyDescent="0.25">
      <c r="A745" s="35" t="str">
        <f t="shared" si="55"/>
        <v/>
      </c>
      <c r="B745" s="35" t="str">
        <f>IF(BOM!A745="","",BOM!A745)</f>
        <v/>
      </c>
      <c r="C745" s="35" t="str">
        <f>IF(B745="","",BOM!B745)</f>
        <v/>
      </c>
      <c r="D745" s="35" t="str">
        <f>IF(B745="","",IFERROR(INDEX(DM_NL!$B$5:$B$304,MATCH(C745,DM_NL!$A$5:$A$304,0)),""))</f>
        <v/>
      </c>
      <c r="E745" s="35" t="str">
        <f>IF(B745="","",IFERROR(INDEX(DM_NL!$C$5:$C$304,MATCH(C745,DM_NL!$A$5:$A$304,0)),""))</f>
        <v/>
      </c>
      <c r="F745" s="39" t="str">
        <f>IF(B745="","",SUMIFS(Mau15a!$F$11:$F$310,Mau15a!$B$11:$B$310,B745))</f>
        <v/>
      </c>
      <c r="G745" s="39" t="str">
        <f>IF(B745="","",IF(OR(M745="KXDDM",BOM!F745=""),0,BOM!F745))</f>
        <v/>
      </c>
      <c r="H745" s="39" t="str">
        <f t="shared" si="56"/>
        <v/>
      </c>
      <c r="I745" s="39" t="str">
        <f>IF(B745="","",SUMIFS(Mau15a!$H$11:$H$310,Mau15a!$B$11:$B$310,B745)+SUMIFS(Mau15a!$I$11:$I$310,Mau15a!$B$11:$B$310,B745)+SUMIFS(Mau15a!$J$11:$J$310,Mau15a!$B$11:$B$310,B745)-SUMIFS(Mau15a!$G$11:$G$310,Mau15a!$B$11:$B$310,B745))</f>
        <v/>
      </c>
      <c r="J745" s="39" t="str">
        <f t="shared" si="57"/>
        <v/>
      </c>
      <c r="K745" s="39" t="str">
        <f>IF(B745="","",(SUMIFS(Mau15a!$K$11:$K$310,Mau15a!$B$11:$B$310,B745)-SUMIFS(Mau15a!$E$11:$E$310,Mau15a!$B$11:$B$310,B745))*G745)</f>
        <v/>
      </c>
      <c r="L745" s="36" t="str">
        <f t="shared" si="58"/>
        <v/>
      </c>
      <c r="M745" s="36" t="str">
        <f>IF(B745="","",BOM!G745&amp;"")</f>
        <v/>
      </c>
      <c r="N745" s="36" t="str">
        <f t="shared" si="59"/>
        <v/>
      </c>
    </row>
    <row r="746" spans="1:14" x14ac:dyDescent="0.25">
      <c r="A746" s="35" t="str">
        <f t="shared" si="55"/>
        <v/>
      </c>
      <c r="B746" s="35" t="str">
        <f>IF(BOM!A746="","",BOM!A746)</f>
        <v/>
      </c>
      <c r="C746" s="35" t="str">
        <f>IF(B746="","",BOM!B746)</f>
        <v/>
      </c>
      <c r="D746" s="35" t="str">
        <f>IF(B746="","",IFERROR(INDEX(DM_NL!$B$5:$B$304,MATCH(C746,DM_NL!$A$5:$A$304,0)),""))</f>
        <v/>
      </c>
      <c r="E746" s="35" t="str">
        <f>IF(B746="","",IFERROR(INDEX(DM_NL!$C$5:$C$304,MATCH(C746,DM_NL!$A$5:$A$304,0)),""))</f>
        <v/>
      </c>
      <c r="F746" s="39" t="str">
        <f>IF(B746="","",SUMIFS(Mau15a!$F$11:$F$310,Mau15a!$B$11:$B$310,B746))</f>
        <v/>
      </c>
      <c r="G746" s="39" t="str">
        <f>IF(B746="","",IF(OR(M746="KXDDM",BOM!F746=""),0,BOM!F746))</f>
        <v/>
      </c>
      <c r="H746" s="39" t="str">
        <f t="shared" si="56"/>
        <v/>
      </c>
      <c r="I746" s="39" t="str">
        <f>IF(B746="","",SUMIFS(Mau15a!$H$11:$H$310,Mau15a!$B$11:$B$310,B746)+SUMIFS(Mau15a!$I$11:$I$310,Mau15a!$B$11:$B$310,B746)+SUMIFS(Mau15a!$J$11:$J$310,Mau15a!$B$11:$B$310,B746)-SUMIFS(Mau15a!$G$11:$G$310,Mau15a!$B$11:$B$310,B746))</f>
        <v/>
      </c>
      <c r="J746" s="39" t="str">
        <f t="shared" si="57"/>
        <v/>
      </c>
      <c r="K746" s="39" t="str">
        <f>IF(B746="","",(SUMIFS(Mau15a!$K$11:$K$310,Mau15a!$B$11:$B$310,B746)-SUMIFS(Mau15a!$E$11:$E$310,Mau15a!$B$11:$B$310,B746))*G746)</f>
        <v/>
      </c>
      <c r="L746" s="36" t="str">
        <f t="shared" si="58"/>
        <v/>
      </c>
      <c r="M746" s="36" t="str">
        <f>IF(B746="","",BOM!G746&amp;"")</f>
        <v/>
      </c>
      <c r="N746" s="36" t="str">
        <f t="shared" si="59"/>
        <v/>
      </c>
    </row>
    <row r="747" spans="1:14" x14ac:dyDescent="0.25">
      <c r="A747" s="35" t="str">
        <f t="shared" si="55"/>
        <v/>
      </c>
      <c r="B747" s="35" t="str">
        <f>IF(BOM!A747="","",BOM!A747)</f>
        <v/>
      </c>
      <c r="C747" s="35" t="str">
        <f>IF(B747="","",BOM!B747)</f>
        <v/>
      </c>
      <c r="D747" s="35" t="str">
        <f>IF(B747="","",IFERROR(INDEX(DM_NL!$B$5:$B$304,MATCH(C747,DM_NL!$A$5:$A$304,0)),""))</f>
        <v/>
      </c>
      <c r="E747" s="35" t="str">
        <f>IF(B747="","",IFERROR(INDEX(DM_NL!$C$5:$C$304,MATCH(C747,DM_NL!$A$5:$A$304,0)),""))</f>
        <v/>
      </c>
      <c r="F747" s="39" t="str">
        <f>IF(B747="","",SUMIFS(Mau15a!$F$11:$F$310,Mau15a!$B$11:$B$310,B747))</f>
        <v/>
      </c>
      <c r="G747" s="39" t="str">
        <f>IF(B747="","",IF(OR(M747="KXDDM",BOM!F747=""),0,BOM!F747))</f>
        <v/>
      </c>
      <c r="H747" s="39" t="str">
        <f t="shared" si="56"/>
        <v/>
      </c>
      <c r="I747" s="39" t="str">
        <f>IF(B747="","",SUMIFS(Mau15a!$H$11:$H$310,Mau15a!$B$11:$B$310,B747)+SUMIFS(Mau15a!$I$11:$I$310,Mau15a!$B$11:$B$310,B747)+SUMIFS(Mau15a!$J$11:$J$310,Mau15a!$B$11:$B$310,B747)-SUMIFS(Mau15a!$G$11:$G$310,Mau15a!$B$11:$B$310,B747))</f>
        <v/>
      </c>
      <c r="J747" s="39" t="str">
        <f t="shared" si="57"/>
        <v/>
      </c>
      <c r="K747" s="39" t="str">
        <f>IF(B747="","",(SUMIFS(Mau15a!$K$11:$K$310,Mau15a!$B$11:$B$310,B747)-SUMIFS(Mau15a!$E$11:$E$310,Mau15a!$B$11:$B$310,B747))*G747)</f>
        <v/>
      </c>
      <c r="L747" s="36" t="str">
        <f t="shared" si="58"/>
        <v/>
      </c>
      <c r="M747" s="36" t="str">
        <f>IF(B747="","",BOM!G747&amp;"")</f>
        <v/>
      </c>
      <c r="N747" s="36" t="str">
        <f t="shared" si="59"/>
        <v/>
      </c>
    </row>
    <row r="748" spans="1:14" x14ac:dyDescent="0.25">
      <c r="A748" s="35" t="str">
        <f t="shared" si="55"/>
        <v/>
      </c>
      <c r="B748" s="35" t="str">
        <f>IF(BOM!A748="","",BOM!A748)</f>
        <v/>
      </c>
      <c r="C748" s="35" t="str">
        <f>IF(B748="","",BOM!B748)</f>
        <v/>
      </c>
      <c r="D748" s="35" t="str">
        <f>IF(B748="","",IFERROR(INDEX(DM_NL!$B$5:$B$304,MATCH(C748,DM_NL!$A$5:$A$304,0)),""))</f>
        <v/>
      </c>
      <c r="E748" s="35" t="str">
        <f>IF(B748="","",IFERROR(INDEX(DM_NL!$C$5:$C$304,MATCH(C748,DM_NL!$A$5:$A$304,0)),""))</f>
        <v/>
      </c>
      <c r="F748" s="39" t="str">
        <f>IF(B748="","",SUMIFS(Mau15a!$F$11:$F$310,Mau15a!$B$11:$B$310,B748))</f>
        <v/>
      </c>
      <c r="G748" s="39" t="str">
        <f>IF(B748="","",IF(OR(M748="KXDDM",BOM!F748=""),0,BOM!F748))</f>
        <v/>
      </c>
      <c r="H748" s="39" t="str">
        <f t="shared" si="56"/>
        <v/>
      </c>
      <c r="I748" s="39" t="str">
        <f>IF(B748="","",SUMIFS(Mau15a!$H$11:$H$310,Mau15a!$B$11:$B$310,B748)+SUMIFS(Mau15a!$I$11:$I$310,Mau15a!$B$11:$B$310,B748)+SUMIFS(Mau15a!$J$11:$J$310,Mau15a!$B$11:$B$310,B748)-SUMIFS(Mau15a!$G$11:$G$310,Mau15a!$B$11:$B$310,B748))</f>
        <v/>
      </c>
      <c r="J748" s="39" t="str">
        <f t="shared" si="57"/>
        <v/>
      </c>
      <c r="K748" s="39" t="str">
        <f>IF(B748="","",(SUMIFS(Mau15a!$K$11:$K$310,Mau15a!$B$11:$B$310,B748)-SUMIFS(Mau15a!$E$11:$E$310,Mau15a!$B$11:$B$310,B748))*G748)</f>
        <v/>
      </c>
      <c r="L748" s="36" t="str">
        <f t="shared" si="58"/>
        <v/>
      </c>
      <c r="M748" s="36" t="str">
        <f>IF(B748="","",BOM!G748&amp;"")</f>
        <v/>
      </c>
      <c r="N748" s="36" t="str">
        <f t="shared" si="59"/>
        <v/>
      </c>
    </row>
    <row r="749" spans="1:14" x14ac:dyDescent="0.25">
      <c r="A749" s="35" t="str">
        <f t="shared" si="55"/>
        <v/>
      </c>
      <c r="B749" s="35" t="str">
        <f>IF(BOM!A749="","",BOM!A749)</f>
        <v/>
      </c>
      <c r="C749" s="35" t="str">
        <f>IF(B749="","",BOM!B749)</f>
        <v/>
      </c>
      <c r="D749" s="35" t="str">
        <f>IF(B749="","",IFERROR(INDEX(DM_NL!$B$5:$B$304,MATCH(C749,DM_NL!$A$5:$A$304,0)),""))</f>
        <v/>
      </c>
      <c r="E749" s="35" t="str">
        <f>IF(B749="","",IFERROR(INDEX(DM_NL!$C$5:$C$304,MATCH(C749,DM_NL!$A$5:$A$304,0)),""))</f>
        <v/>
      </c>
      <c r="F749" s="39" t="str">
        <f>IF(B749="","",SUMIFS(Mau15a!$F$11:$F$310,Mau15a!$B$11:$B$310,B749))</f>
        <v/>
      </c>
      <c r="G749" s="39" t="str">
        <f>IF(B749="","",IF(OR(M749="KXDDM",BOM!F749=""),0,BOM!F749))</f>
        <v/>
      </c>
      <c r="H749" s="39" t="str">
        <f t="shared" si="56"/>
        <v/>
      </c>
      <c r="I749" s="39" t="str">
        <f>IF(B749="","",SUMIFS(Mau15a!$H$11:$H$310,Mau15a!$B$11:$B$310,B749)+SUMIFS(Mau15a!$I$11:$I$310,Mau15a!$B$11:$B$310,B749)+SUMIFS(Mau15a!$J$11:$J$310,Mau15a!$B$11:$B$310,B749)-SUMIFS(Mau15a!$G$11:$G$310,Mau15a!$B$11:$B$310,B749))</f>
        <v/>
      </c>
      <c r="J749" s="39" t="str">
        <f t="shared" si="57"/>
        <v/>
      </c>
      <c r="K749" s="39" t="str">
        <f>IF(B749="","",(SUMIFS(Mau15a!$K$11:$K$310,Mau15a!$B$11:$B$310,B749)-SUMIFS(Mau15a!$E$11:$E$310,Mau15a!$B$11:$B$310,B749))*G749)</f>
        <v/>
      </c>
      <c r="L749" s="36" t="str">
        <f t="shared" si="58"/>
        <v/>
      </c>
      <c r="M749" s="36" t="str">
        <f>IF(B749="","",BOM!G749&amp;"")</f>
        <v/>
      </c>
      <c r="N749" s="36" t="str">
        <f t="shared" si="59"/>
        <v/>
      </c>
    </row>
    <row r="750" spans="1:14" x14ac:dyDescent="0.25">
      <c r="A750" s="35" t="str">
        <f t="shared" si="55"/>
        <v/>
      </c>
      <c r="B750" s="35" t="str">
        <f>IF(BOM!A750="","",BOM!A750)</f>
        <v/>
      </c>
      <c r="C750" s="35" t="str">
        <f>IF(B750="","",BOM!B750)</f>
        <v/>
      </c>
      <c r="D750" s="35" t="str">
        <f>IF(B750="","",IFERROR(INDEX(DM_NL!$B$5:$B$304,MATCH(C750,DM_NL!$A$5:$A$304,0)),""))</f>
        <v/>
      </c>
      <c r="E750" s="35" t="str">
        <f>IF(B750="","",IFERROR(INDEX(DM_NL!$C$5:$C$304,MATCH(C750,DM_NL!$A$5:$A$304,0)),""))</f>
        <v/>
      </c>
      <c r="F750" s="39" t="str">
        <f>IF(B750="","",SUMIFS(Mau15a!$F$11:$F$310,Mau15a!$B$11:$B$310,B750))</f>
        <v/>
      </c>
      <c r="G750" s="39" t="str">
        <f>IF(B750="","",IF(OR(M750="KXDDM",BOM!F750=""),0,BOM!F750))</f>
        <v/>
      </c>
      <c r="H750" s="39" t="str">
        <f t="shared" si="56"/>
        <v/>
      </c>
      <c r="I750" s="39" t="str">
        <f>IF(B750="","",SUMIFS(Mau15a!$H$11:$H$310,Mau15a!$B$11:$B$310,B750)+SUMIFS(Mau15a!$I$11:$I$310,Mau15a!$B$11:$B$310,B750)+SUMIFS(Mau15a!$J$11:$J$310,Mau15a!$B$11:$B$310,B750)-SUMIFS(Mau15a!$G$11:$G$310,Mau15a!$B$11:$B$310,B750))</f>
        <v/>
      </c>
      <c r="J750" s="39" t="str">
        <f t="shared" si="57"/>
        <v/>
      </c>
      <c r="K750" s="39" t="str">
        <f>IF(B750="","",(SUMIFS(Mau15a!$K$11:$K$310,Mau15a!$B$11:$B$310,B750)-SUMIFS(Mau15a!$E$11:$E$310,Mau15a!$B$11:$B$310,B750))*G750)</f>
        <v/>
      </c>
      <c r="L750" s="36" t="str">
        <f t="shared" si="58"/>
        <v/>
      </c>
      <c r="M750" s="36" t="str">
        <f>IF(B750="","",BOM!G750&amp;"")</f>
        <v/>
      </c>
      <c r="N750" s="36" t="str">
        <f t="shared" si="59"/>
        <v/>
      </c>
    </row>
    <row r="751" spans="1:14" x14ac:dyDescent="0.25">
      <c r="A751" s="35" t="str">
        <f t="shared" si="55"/>
        <v/>
      </c>
      <c r="B751" s="35" t="str">
        <f>IF(BOM!A751="","",BOM!A751)</f>
        <v/>
      </c>
      <c r="C751" s="35" t="str">
        <f>IF(B751="","",BOM!B751)</f>
        <v/>
      </c>
      <c r="D751" s="35" t="str">
        <f>IF(B751="","",IFERROR(INDEX(DM_NL!$B$5:$B$304,MATCH(C751,DM_NL!$A$5:$A$304,0)),""))</f>
        <v/>
      </c>
      <c r="E751" s="35" t="str">
        <f>IF(B751="","",IFERROR(INDEX(DM_NL!$C$5:$C$304,MATCH(C751,DM_NL!$A$5:$A$304,0)),""))</f>
        <v/>
      </c>
      <c r="F751" s="39" t="str">
        <f>IF(B751="","",SUMIFS(Mau15a!$F$11:$F$310,Mau15a!$B$11:$B$310,B751))</f>
        <v/>
      </c>
      <c r="G751" s="39" t="str">
        <f>IF(B751="","",IF(OR(M751="KXDDM",BOM!F751=""),0,BOM!F751))</f>
        <v/>
      </c>
      <c r="H751" s="39" t="str">
        <f t="shared" si="56"/>
        <v/>
      </c>
      <c r="I751" s="39" t="str">
        <f>IF(B751="","",SUMIFS(Mau15a!$H$11:$H$310,Mau15a!$B$11:$B$310,B751)+SUMIFS(Mau15a!$I$11:$I$310,Mau15a!$B$11:$B$310,B751)+SUMIFS(Mau15a!$J$11:$J$310,Mau15a!$B$11:$B$310,B751)-SUMIFS(Mau15a!$G$11:$G$310,Mau15a!$B$11:$B$310,B751))</f>
        <v/>
      </c>
      <c r="J751" s="39" t="str">
        <f t="shared" si="57"/>
        <v/>
      </c>
      <c r="K751" s="39" t="str">
        <f>IF(B751="","",(SUMIFS(Mau15a!$K$11:$K$310,Mau15a!$B$11:$B$310,B751)-SUMIFS(Mau15a!$E$11:$E$310,Mau15a!$B$11:$B$310,B751))*G751)</f>
        <v/>
      </c>
      <c r="L751" s="36" t="str">
        <f t="shared" si="58"/>
        <v/>
      </c>
      <c r="M751" s="36" t="str">
        <f>IF(B751="","",BOM!G751&amp;"")</f>
        <v/>
      </c>
      <c r="N751" s="36" t="str">
        <f t="shared" si="59"/>
        <v/>
      </c>
    </row>
    <row r="752" spans="1:14" x14ac:dyDescent="0.25">
      <c r="A752" s="35" t="str">
        <f t="shared" si="55"/>
        <v/>
      </c>
      <c r="B752" s="35" t="str">
        <f>IF(BOM!A752="","",BOM!A752)</f>
        <v/>
      </c>
      <c r="C752" s="35" t="str">
        <f>IF(B752="","",BOM!B752)</f>
        <v/>
      </c>
      <c r="D752" s="35" t="str">
        <f>IF(B752="","",IFERROR(INDEX(DM_NL!$B$5:$B$304,MATCH(C752,DM_NL!$A$5:$A$304,0)),""))</f>
        <v/>
      </c>
      <c r="E752" s="35" t="str">
        <f>IF(B752="","",IFERROR(INDEX(DM_NL!$C$5:$C$304,MATCH(C752,DM_NL!$A$5:$A$304,0)),""))</f>
        <v/>
      </c>
      <c r="F752" s="39" t="str">
        <f>IF(B752="","",SUMIFS(Mau15a!$F$11:$F$310,Mau15a!$B$11:$B$310,B752))</f>
        <v/>
      </c>
      <c r="G752" s="39" t="str">
        <f>IF(B752="","",IF(OR(M752="KXDDM",BOM!F752=""),0,BOM!F752))</f>
        <v/>
      </c>
      <c r="H752" s="39" t="str">
        <f t="shared" si="56"/>
        <v/>
      </c>
      <c r="I752" s="39" t="str">
        <f>IF(B752="","",SUMIFS(Mau15a!$H$11:$H$310,Mau15a!$B$11:$B$310,B752)+SUMIFS(Mau15a!$I$11:$I$310,Mau15a!$B$11:$B$310,B752)+SUMIFS(Mau15a!$J$11:$J$310,Mau15a!$B$11:$B$310,B752)-SUMIFS(Mau15a!$G$11:$G$310,Mau15a!$B$11:$B$310,B752))</f>
        <v/>
      </c>
      <c r="J752" s="39" t="str">
        <f t="shared" si="57"/>
        <v/>
      </c>
      <c r="K752" s="39" t="str">
        <f>IF(B752="","",(SUMIFS(Mau15a!$K$11:$K$310,Mau15a!$B$11:$B$310,B752)-SUMIFS(Mau15a!$E$11:$E$310,Mau15a!$B$11:$B$310,B752))*G752)</f>
        <v/>
      </c>
      <c r="L752" s="36" t="str">
        <f t="shared" si="58"/>
        <v/>
      </c>
      <c r="M752" s="36" t="str">
        <f>IF(B752="","",BOM!G752&amp;"")</f>
        <v/>
      </c>
      <c r="N752" s="36" t="str">
        <f t="shared" si="59"/>
        <v/>
      </c>
    </row>
    <row r="753" spans="1:14" x14ac:dyDescent="0.25">
      <c r="A753" s="35" t="str">
        <f t="shared" si="55"/>
        <v/>
      </c>
      <c r="B753" s="35" t="str">
        <f>IF(BOM!A753="","",BOM!A753)</f>
        <v/>
      </c>
      <c r="C753" s="35" t="str">
        <f>IF(B753="","",BOM!B753)</f>
        <v/>
      </c>
      <c r="D753" s="35" t="str">
        <f>IF(B753="","",IFERROR(INDEX(DM_NL!$B$5:$B$304,MATCH(C753,DM_NL!$A$5:$A$304,0)),""))</f>
        <v/>
      </c>
      <c r="E753" s="35" t="str">
        <f>IF(B753="","",IFERROR(INDEX(DM_NL!$C$5:$C$304,MATCH(C753,DM_NL!$A$5:$A$304,0)),""))</f>
        <v/>
      </c>
      <c r="F753" s="39" t="str">
        <f>IF(B753="","",SUMIFS(Mau15a!$F$11:$F$310,Mau15a!$B$11:$B$310,B753))</f>
        <v/>
      </c>
      <c r="G753" s="39" t="str">
        <f>IF(B753="","",IF(OR(M753="KXDDM",BOM!F753=""),0,BOM!F753))</f>
        <v/>
      </c>
      <c r="H753" s="39" t="str">
        <f t="shared" si="56"/>
        <v/>
      </c>
      <c r="I753" s="39" t="str">
        <f>IF(B753="","",SUMIFS(Mau15a!$H$11:$H$310,Mau15a!$B$11:$B$310,B753)+SUMIFS(Mau15a!$I$11:$I$310,Mau15a!$B$11:$B$310,B753)+SUMIFS(Mau15a!$J$11:$J$310,Mau15a!$B$11:$B$310,B753)-SUMIFS(Mau15a!$G$11:$G$310,Mau15a!$B$11:$B$310,B753))</f>
        <v/>
      </c>
      <c r="J753" s="39" t="str">
        <f t="shared" si="57"/>
        <v/>
      </c>
      <c r="K753" s="39" t="str">
        <f>IF(B753="","",(SUMIFS(Mau15a!$K$11:$K$310,Mau15a!$B$11:$B$310,B753)-SUMIFS(Mau15a!$E$11:$E$310,Mau15a!$B$11:$B$310,B753))*G753)</f>
        <v/>
      </c>
      <c r="L753" s="36" t="str">
        <f t="shared" si="58"/>
        <v/>
      </c>
      <c r="M753" s="36" t="str">
        <f>IF(B753="","",BOM!G753&amp;"")</f>
        <v/>
      </c>
      <c r="N753" s="36" t="str">
        <f t="shared" si="59"/>
        <v/>
      </c>
    </row>
    <row r="754" spans="1:14" x14ac:dyDescent="0.25">
      <c r="A754" s="35" t="str">
        <f t="shared" si="55"/>
        <v/>
      </c>
      <c r="B754" s="35" t="str">
        <f>IF(BOM!A754="","",BOM!A754)</f>
        <v/>
      </c>
      <c r="C754" s="35" t="str">
        <f>IF(B754="","",BOM!B754)</f>
        <v/>
      </c>
      <c r="D754" s="35" t="str">
        <f>IF(B754="","",IFERROR(INDEX(DM_NL!$B$5:$B$304,MATCH(C754,DM_NL!$A$5:$A$304,0)),""))</f>
        <v/>
      </c>
      <c r="E754" s="35" t="str">
        <f>IF(B754="","",IFERROR(INDEX(DM_NL!$C$5:$C$304,MATCH(C754,DM_NL!$A$5:$A$304,0)),""))</f>
        <v/>
      </c>
      <c r="F754" s="39" t="str">
        <f>IF(B754="","",SUMIFS(Mau15a!$F$11:$F$310,Mau15a!$B$11:$B$310,B754))</f>
        <v/>
      </c>
      <c r="G754" s="39" t="str">
        <f>IF(B754="","",IF(OR(M754="KXDDM",BOM!F754=""),0,BOM!F754))</f>
        <v/>
      </c>
      <c r="H754" s="39" t="str">
        <f t="shared" si="56"/>
        <v/>
      </c>
      <c r="I754" s="39" t="str">
        <f>IF(B754="","",SUMIFS(Mau15a!$H$11:$H$310,Mau15a!$B$11:$B$310,B754)+SUMIFS(Mau15a!$I$11:$I$310,Mau15a!$B$11:$B$310,B754)+SUMIFS(Mau15a!$J$11:$J$310,Mau15a!$B$11:$B$310,B754)-SUMIFS(Mau15a!$G$11:$G$310,Mau15a!$B$11:$B$310,B754))</f>
        <v/>
      </c>
      <c r="J754" s="39" t="str">
        <f t="shared" si="57"/>
        <v/>
      </c>
      <c r="K754" s="39" t="str">
        <f>IF(B754="","",(SUMIFS(Mau15a!$K$11:$K$310,Mau15a!$B$11:$B$310,B754)-SUMIFS(Mau15a!$E$11:$E$310,Mau15a!$B$11:$B$310,B754))*G754)</f>
        <v/>
      </c>
      <c r="L754" s="36" t="str">
        <f t="shared" si="58"/>
        <v/>
      </c>
      <c r="M754" s="36" t="str">
        <f>IF(B754="","",BOM!G754&amp;"")</f>
        <v/>
      </c>
      <c r="N754" s="36" t="str">
        <f t="shared" si="59"/>
        <v/>
      </c>
    </row>
    <row r="755" spans="1:14" x14ac:dyDescent="0.25">
      <c r="A755" s="35" t="str">
        <f t="shared" si="55"/>
        <v/>
      </c>
      <c r="B755" s="35" t="str">
        <f>IF(BOM!A755="","",BOM!A755)</f>
        <v/>
      </c>
      <c r="C755" s="35" t="str">
        <f>IF(B755="","",BOM!B755)</f>
        <v/>
      </c>
      <c r="D755" s="35" t="str">
        <f>IF(B755="","",IFERROR(INDEX(DM_NL!$B$5:$B$304,MATCH(C755,DM_NL!$A$5:$A$304,0)),""))</f>
        <v/>
      </c>
      <c r="E755" s="35" t="str">
        <f>IF(B755="","",IFERROR(INDEX(DM_NL!$C$5:$C$304,MATCH(C755,DM_NL!$A$5:$A$304,0)),""))</f>
        <v/>
      </c>
      <c r="F755" s="39" t="str">
        <f>IF(B755="","",SUMIFS(Mau15a!$F$11:$F$310,Mau15a!$B$11:$B$310,B755))</f>
        <v/>
      </c>
      <c r="G755" s="39" t="str">
        <f>IF(B755="","",IF(OR(M755="KXDDM",BOM!F755=""),0,BOM!F755))</f>
        <v/>
      </c>
      <c r="H755" s="39" t="str">
        <f t="shared" si="56"/>
        <v/>
      </c>
      <c r="I755" s="39" t="str">
        <f>IF(B755="","",SUMIFS(Mau15a!$H$11:$H$310,Mau15a!$B$11:$B$310,B755)+SUMIFS(Mau15a!$I$11:$I$310,Mau15a!$B$11:$B$310,B755)+SUMIFS(Mau15a!$J$11:$J$310,Mau15a!$B$11:$B$310,B755)-SUMIFS(Mau15a!$G$11:$G$310,Mau15a!$B$11:$B$310,B755))</f>
        <v/>
      </c>
      <c r="J755" s="39" t="str">
        <f t="shared" si="57"/>
        <v/>
      </c>
      <c r="K755" s="39" t="str">
        <f>IF(B755="","",(SUMIFS(Mau15a!$K$11:$K$310,Mau15a!$B$11:$B$310,B755)-SUMIFS(Mau15a!$E$11:$E$310,Mau15a!$B$11:$B$310,B755))*G755)</f>
        <v/>
      </c>
      <c r="L755" s="36" t="str">
        <f t="shared" si="58"/>
        <v/>
      </c>
      <c r="M755" s="36" t="str">
        <f>IF(B755="","",BOM!G755&amp;"")</f>
        <v/>
      </c>
      <c r="N755" s="36" t="str">
        <f t="shared" si="59"/>
        <v/>
      </c>
    </row>
    <row r="756" spans="1:14" x14ac:dyDescent="0.25">
      <c r="A756" s="35" t="str">
        <f t="shared" si="55"/>
        <v/>
      </c>
      <c r="B756" s="35" t="str">
        <f>IF(BOM!A756="","",BOM!A756)</f>
        <v/>
      </c>
      <c r="C756" s="35" t="str">
        <f>IF(B756="","",BOM!B756)</f>
        <v/>
      </c>
      <c r="D756" s="35" t="str">
        <f>IF(B756="","",IFERROR(INDEX(DM_NL!$B$5:$B$304,MATCH(C756,DM_NL!$A$5:$A$304,0)),""))</f>
        <v/>
      </c>
      <c r="E756" s="35" t="str">
        <f>IF(B756="","",IFERROR(INDEX(DM_NL!$C$5:$C$304,MATCH(C756,DM_NL!$A$5:$A$304,0)),""))</f>
        <v/>
      </c>
      <c r="F756" s="39" t="str">
        <f>IF(B756="","",SUMIFS(Mau15a!$F$11:$F$310,Mau15a!$B$11:$B$310,B756))</f>
        <v/>
      </c>
      <c r="G756" s="39" t="str">
        <f>IF(B756="","",IF(OR(M756="KXDDM",BOM!F756=""),0,BOM!F756))</f>
        <v/>
      </c>
      <c r="H756" s="39" t="str">
        <f t="shared" si="56"/>
        <v/>
      </c>
      <c r="I756" s="39" t="str">
        <f>IF(B756="","",SUMIFS(Mau15a!$H$11:$H$310,Mau15a!$B$11:$B$310,B756)+SUMIFS(Mau15a!$I$11:$I$310,Mau15a!$B$11:$B$310,B756)+SUMIFS(Mau15a!$J$11:$J$310,Mau15a!$B$11:$B$310,B756)-SUMIFS(Mau15a!$G$11:$G$310,Mau15a!$B$11:$B$310,B756))</f>
        <v/>
      </c>
      <c r="J756" s="39" t="str">
        <f t="shared" si="57"/>
        <v/>
      </c>
      <c r="K756" s="39" t="str">
        <f>IF(B756="","",(SUMIFS(Mau15a!$K$11:$K$310,Mau15a!$B$11:$B$310,B756)-SUMIFS(Mau15a!$E$11:$E$310,Mau15a!$B$11:$B$310,B756))*G756)</f>
        <v/>
      </c>
      <c r="L756" s="36" t="str">
        <f t="shared" si="58"/>
        <v/>
      </c>
      <c r="M756" s="36" t="str">
        <f>IF(B756="","",BOM!G756&amp;"")</f>
        <v/>
      </c>
      <c r="N756" s="36" t="str">
        <f t="shared" si="59"/>
        <v/>
      </c>
    </row>
    <row r="757" spans="1:14" x14ac:dyDescent="0.25">
      <c r="A757" s="35" t="str">
        <f t="shared" si="55"/>
        <v/>
      </c>
      <c r="B757" s="35" t="str">
        <f>IF(BOM!A757="","",BOM!A757)</f>
        <v/>
      </c>
      <c r="C757" s="35" t="str">
        <f>IF(B757="","",BOM!B757)</f>
        <v/>
      </c>
      <c r="D757" s="35" t="str">
        <f>IF(B757="","",IFERROR(INDEX(DM_NL!$B$5:$B$304,MATCH(C757,DM_NL!$A$5:$A$304,0)),""))</f>
        <v/>
      </c>
      <c r="E757" s="35" t="str">
        <f>IF(B757="","",IFERROR(INDEX(DM_NL!$C$5:$C$304,MATCH(C757,DM_NL!$A$5:$A$304,0)),""))</f>
        <v/>
      </c>
      <c r="F757" s="39" t="str">
        <f>IF(B757="","",SUMIFS(Mau15a!$F$11:$F$310,Mau15a!$B$11:$B$310,B757))</f>
        <v/>
      </c>
      <c r="G757" s="39" t="str">
        <f>IF(B757="","",IF(OR(M757="KXDDM",BOM!F757=""),0,BOM!F757))</f>
        <v/>
      </c>
      <c r="H757" s="39" t="str">
        <f t="shared" si="56"/>
        <v/>
      </c>
      <c r="I757" s="39" t="str">
        <f>IF(B757="","",SUMIFS(Mau15a!$H$11:$H$310,Mau15a!$B$11:$B$310,B757)+SUMIFS(Mau15a!$I$11:$I$310,Mau15a!$B$11:$B$310,B757)+SUMIFS(Mau15a!$J$11:$J$310,Mau15a!$B$11:$B$310,B757)-SUMIFS(Mau15a!$G$11:$G$310,Mau15a!$B$11:$B$310,B757))</f>
        <v/>
      </c>
      <c r="J757" s="39" t="str">
        <f t="shared" si="57"/>
        <v/>
      </c>
      <c r="K757" s="39" t="str">
        <f>IF(B757="","",(SUMIFS(Mau15a!$K$11:$K$310,Mau15a!$B$11:$B$310,B757)-SUMIFS(Mau15a!$E$11:$E$310,Mau15a!$B$11:$B$310,B757))*G757)</f>
        <v/>
      </c>
      <c r="L757" s="36" t="str">
        <f t="shared" si="58"/>
        <v/>
      </c>
      <c r="M757" s="36" t="str">
        <f>IF(B757="","",BOM!G757&amp;"")</f>
        <v/>
      </c>
      <c r="N757" s="36" t="str">
        <f t="shared" si="59"/>
        <v/>
      </c>
    </row>
    <row r="758" spans="1:14" x14ac:dyDescent="0.25">
      <c r="A758" s="35" t="str">
        <f t="shared" si="55"/>
        <v/>
      </c>
      <c r="B758" s="35" t="str">
        <f>IF(BOM!A758="","",BOM!A758)</f>
        <v/>
      </c>
      <c r="C758" s="35" t="str">
        <f>IF(B758="","",BOM!B758)</f>
        <v/>
      </c>
      <c r="D758" s="35" t="str">
        <f>IF(B758="","",IFERROR(INDEX(DM_NL!$B$5:$B$304,MATCH(C758,DM_NL!$A$5:$A$304,0)),""))</f>
        <v/>
      </c>
      <c r="E758" s="35" t="str">
        <f>IF(B758="","",IFERROR(INDEX(DM_NL!$C$5:$C$304,MATCH(C758,DM_NL!$A$5:$A$304,0)),""))</f>
        <v/>
      </c>
      <c r="F758" s="39" t="str">
        <f>IF(B758="","",SUMIFS(Mau15a!$F$11:$F$310,Mau15a!$B$11:$B$310,B758))</f>
        <v/>
      </c>
      <c r="G758" s="39" t="str">
        <f>IF(B758="","",IF(OR(M758="KXDDM",BOM!F758=""),0,BOM!F758))</f>
        <v/>
      </c>
      <c r="H758" s="39" t="str">
        <f t="shared" si="56"/>
        <v/>
      </c>
      <c r="I758" s="39" t="str">
        <f>IF(B758="","",SUMIFS(Mau15a!$H$11:$H$310,Mau15a!$B$11:$B$310,B758)+SUMIFS(Mau15a!$I$11:$I$310,Mau15a!$B$11:$B$310,B758)+SUMIFS(Mau15a!$J$11:$J$310,Mau15a!$B$11:$B$310,B758)-SUMIFS(Mau15a!$G$11:$G$310,Mau15a!$B$11:$B$310,B758))</f>
        <v/>
      </c>
      <c r="J758" s="39" t="str">
        <f t="shared" si="57"/>
        <v/>
      </c>
      <c r="K758" s="39" t="str">
        <f>IF(B758="","",(SUMIFS(Mau15a!$K$11:$K$310,Mau15a!$B$11:$B$310,B758)-SUMIFS(Mau15a!$E$11:$E$310,Mau15a!$B$11:$B$310,B758))*G758)</f>
        <v/>
      </c>
      <c r="L758" s="36" t="str">
        <f t="shared" si="58"/>
        <v/>
      </c>
      <c r="M758" s="36" t="str">
        <f>IF(B758="","",BOM!G758&amp;"")</f>
        <v/>
      </c>
      <c r="N758" s="36" t="str">
        <f t="shared" si="59"/>
        <v/>
      </c>
    </row>
    <row r="759" spans="1:14" x14ac:dyDescent="0.25">
      <c r="A759" s="35" t="str">
        <f t="shared" si="55"/>
        <v/>
      </c>
      <c r="B759" s="35" t="str">
        <f>IF(BOM!A759="","",BOM!A759)</f>
        <v/>
      </c>
      <c r="C759" s="35" t="str">
        <f>IF(B759="","",BOM!B759)</f>
        <v/>
      </c>
      <c r="D759" s="35" t="str">
        <f>IF(B759="","",IFERROR(INDEX(DM_NL!$B$5:$B$304,MATCH(C759,DM_NL!$A$5:$A$304,0)),""))</f>
        <v/>
      </c>
      <c r="E759" s="35" t="str">
        <f>IF(B759="","",IFERROR(INDEX(DM_NL!$C$5:$C$304,MATCH(C759,DM_NL!$A$5:$A$304,0)),""))</f>
        <v/>
      </c>
      <c r="F759" s="39" t="str">
        <f>IF(B759="","",SUMIFS(Mau15a!$F$11:$F$310,Mau15a!$B$11:$B$310,B759))</f>
        <v/>
      </c>
      <c r="G759" s="39" t="str">
        <f>IF(B759="","",IF(OR(M759="KXDDM",BOM!F759=""),0,BOM!F759))</f>
        <v/>
      </c>
      <c r="H759" s="39" t="str">
        <f t="shared" si="56"/>
        <v/>
      </c>
      <c r="I759" s="39" t="str">
        <f>IF(B759="","",SUMIFS(Mau15a!$H$11:$H$310,Mau15a!$B$11:$B$310,B759)+SUMIFS(Mau15a!$I$11:$I$310,Mau15a!$B$11:$B$310,B759)+SUMIFS(Mau15a!$J$11:$J$310,Mau15a!$B$11:$B$310,B759)-SUMIFS(Mau15a!$G$11:$G$310,Mau15a!$B$11:$B$310,B759))</f>
        <v/>
      </c>
      <c r="J759" s="39" t="str">
        <f t="shared" si="57"/>
        <v/>
      </c>
      <c r="K759" s="39" t="str">
        <f>IF(B759="","",(SUMIFS(Mau15a!$K$11:$K$310,Mau15a!$B$11:$B$310,B759)-SUMIFS(Mau15a!$E$11:$E$310,Mau15a!$B$11:$B$310,B759))*G759)</f>
        <v/>
      </c>
      <c r="L759" s="36" t="str">
        <f t="shared" si="58"/>
        <v/>
      </c>
      <c r="M759" s="36" t="str">
        <f>IF(B759="","",BOM!G759&amp;"")</f>
        <v/>
      </c>
      <c r="N759" s="36" t="str">
        <f t="shared" si="59"/>
        <v/>
      </c>
    </row>
    <row r="760" spans="1:14" x14ac:dyDescent="0.25">
      <c r="A760" s="35" t="str">
        <f t="shared" si="55"/>
        <v/>
      </c>
      <c r="B760" s="35" t="str">
        <f>IF(BOM!A760="","",BOM!A760)</f>
        <v/>
      </c>
      <c r="C760" s="35" t="str">
        <f>IF(B760="","",BOM!B760)</f>
        <v/>
      </c>
      <c r="D760" s="35" t="str">
        <f>IF(B760="","",IFERROR(INDEX(DM_NL!$B$5:$B$304,MATCH(C760,DM_NL!$A$5:$A$304,0)),""))</f>
        <v/>
      </c>
      <c r="E760" s="35" t="str">
        <f>IF(B760="","",IFERROR(INDEX(DM_NL!$C$5:$C$304,MATCH(C760,DM_NL!$A$5:$A$304,0)),""))</f>
        <v/>
      </c>
      <c r="F760" s="39" t="str">
        <f>IF(B760="","",SUMIFS(Mau15a!$F$11:$F$310,Mau15a!$B$11:$B$310,B760))</f>
        <v/>
      </c>
      <c r="G760" s="39" t="str">
        <f>IF(B760="","",IF(OR(M760="KXDDM",BOM!F760=""),0,BOM!F760))</f>
        <v/>
      </c>
      <c r="H760" s="39" t="str">
        <f t="shared" si="56"/>
        <v/>
      </c>
      <c r="I760" s="39" t="str">
        <f>IF(B760="","",SUMIFS(Mau15a!$H$11:$H$310,Mau15a!$B$11:$B$310,B760)+SUMIFS(Mau15a!$I$11:$I$310,Mau15a!$B$11:$B$310,B760)+SUMIFS(Mau15a!$J$11:$J$310,Mau15a!$B$11:$B$310,B760)-SUMIFS(Mau15a!$G$11:$G$310,Mau15a!$B$11:$B$310,B760))</f>
        <v/>
      </c>
      <c r="J760" s="39" t="str">
        <f t="shared" si="57"/>
        <v/>
      </c>
      <c r="K760" s="39" t="str">
        <f>IF(B760="","",(SUMIFS(Mau15a!$K$11:$K$310,Mau15a!$B$11:$B$310,B760)-SUMIFS(Mau15a!$E$11:$E$310,Mau15a!$B$11:$B$310,B760))*G760)</f>
        <v/>
      </c>
      <c r="L760" s="36" t="str">
        <f t="shared" si="58"/>
        <v/>
      </c>
      <c r="M760" s="36" t="str">
        <f>IF(B760="","",BOM!G760&amp;"")</f>
        <v/>
      </c>
      <c r="N760" s="36" t="str">
        <f t="shared" si="59"/>
        <v/>
      </c>
    </row>
    <row r="761" spans="1:14" x14ac:dyDescent="0.25">
      <c r="A761" s="35" t="str">
        <f t="shared" si="55"/>
        <v/>
      </c>
      <c r="B761" s="35" t="str">
        <f>IF(BOM!A761="","",BOM!A761)</f>
        <v/>
      </c>
      <c r="C761" s="35" t="str">
        <f>IF(B761="","",BOM!B761)</f>
        <v/>
      </c>
      <c r="D761" s="35" t="str">
        <f>IF(B761="","",IFERROR(INDEX(DM_NL!$B$5:$B$304,MATCH(C761,DM_NL!$A$5:$A$304,0)),""))</f>
        <v/>
      </c>
      <c r="E761" s="35" t="str">
        <f>IF(B761="","",IFERROR(INDEX(DM_NL!$C$5:$C$304,MATCH(C761,DM_NL!$A$5:$A$304,0)),""))</f>
        <v/>
      </c>
      <c r="F761" s="39" t="str">
        <f>IF(B761="","",SUMIFS(Mau15a!$F$11:$F$310,Mau15a!$B$11:$B$310,B761))</f>
        <v/>
      </c>
      <c r="G761" s="39" t="str">
        <f>IF(B761="","",IF(OR(M761="KXDDM",BOM!F761=""),0,BOM!F761))</f>
        <v/>
      </c>
      <c r="H761" s="39" t="str">
        <f t="shared" si="56"/>
        <v/>
      </c>
      <c r="I761" s="39" t="str">
        <f>IF(B761="","",SUMIFS(Mau15a!$H$11:$H$310,Mau15a!$B$11:$B$310,B761)+SUMIFS(Mau15a!$I$11:$I$310,Mau15a!$B$11:$B$310,B761)+SUMIFS(Mau15a!$J$11:$J$310,Mau15a!$B$11:$B$310,B761)-SUMIFS(Mau15a!$G$11:$G$310,Mau15a!$B$11:$B$310,B761))</f>
        <v/>
      </c>
      <c r="J761" s="39" t="str">
        <f t="shared" si="57"/>
        <v/>
      </c>
      <c r="K761" s="39" t="str">
        <f>IF(B761="","",(SUMIFS(Mau15a!$K$11:$K$310,Mau15a!$B$11:$B$310,B761)-SUMIFS(Mau15a!$E$11:$E$310,Mau15a!$B$11:$B$310,B761))*G761)</f>
        <v/>
      </c>
      <c r="L761" s="36" t="str">
        <f t="shared" si="58"/>
        <v/>
      </c>
      <c r="M761" s="36" t="str">
        <f>IF(B761="","",BOM!G761&amp;"")</f>
        <v/>
      </c>
      <c r="N761" s="36" t="str">
        <f t="shared" si="59"/>
        <v/>
      </c>
    </row>
    <row r="762" spans="1:14" x14ac:dyDescent="0.25">
      <c r="A762" s="35" t="str">
        <f t="shared" si="55"/>
        <v/>
      </c>
      <c r="B762" s="35" t="str">
        <f>IF(BOM!A762="","",BOM!A762)</f>
        <v/>
      </c>
      <c r="C762" s="35" t="str">
        <f>IF(B762="","",BOM!B762)</f>
        <v/>
      </c>
      <c r="D762" s="35" t="str">
        <f>IF(B762="","",IFERROR(INDEX(DM_NL!$B$5:$B$304,MATCH(C762,DM_NL!$A$5:$A$304,0)),""))</f>
        <v/>
      </c>
      <c r="E762" s="35" t="str">
        <f>IF(B762="","",IFERROR(INDEX(DM_NL!$C$5:$C$304,MATCH(C762,DM_NL!$A$5:$A$304,0)),""))</f>
        <v/>
      </c>
      <c r="F762" s="39" t="str">
        <f>IF(B762="","",SUMIFS(Mau15a!$F$11:$F$310,Mau15a!$B$11:$B$310,B762))</f>
        <v/>
      </c>
      <c r="G762" s="39" t="str">
        <f>IF(B762="","",IF(OR(M762="KXDDM",BOM!F762=""),0,BOM!F762))</f>
        <v/>
      </c>
      <c r="H762" s="39" t="str">
        <f t="shared" si="56"/>
        <v/>
      </c>
      <c r="I762" s="39" t="str">
        <f>IF(B762="","",SUMIFS(Mau15a!$H$11:$H$310,Mau15a!$B$11:$B$310,B762)+SUMIFS(Mau15a!$I$11:$I$310,Mau15a!$B$11:$B$310,B762)+SUMIFS(Mau15a!$J$11:$J$310,Mau15a!$B$11:$B$310,B762)-SUMIFS(Mau15a!$G$11:$G$310,Mau15a!$B$11:$B$310,B762))</f>
        <v/>
      </c>
      <c r="J762" s="39" t="str">
        <f t="shared" si="57"/>
        <v/>
      </c>
      <c r="K762" s="39" t="str">
        <f>IF(B762="","",(SUMIFS(Mau15a!$K$11:$K$310,Mau15a!$B$11:$B$310,B762)-SUMIFS(Mau15a!$E$11:$E$310,Mau15a!$B$11:$B$310,B762))*G762)</f>
        <v/>
      </c>
      <c r="L762" s="36" t="str">
        <f t="shared" si="58"/>
        <v/>
      </c>
      <c r="M762" s="36" t="str">
        <f>IF(B762="","",BOM!G762&amp;"")</f>
        <v/>
      </c>
      <c r="N762" s="36" t="str">
        <f t="shared" si="59"/>
        <v/>
      </c>
    </row>
    <row r="763" spans="1:14" x14ac:dyDescent="0.25">
      <c r="A763" s="35" t="str">
        <f t="shared" si="55"/>
        <v/>
      </c>
      <c r="B763" s="35" t="str">
        <f>IF(BOM!A763="","",BOM!A763)</f>
        <v/>
      </c>
      <c r="C763" s="35" t="str">
        <f>IF(B763="","",BOM!B763)</f>
        <v/>
      </c>
      <c r="D763" s="35" t="str">
        <f>IF(B763="","",IFERROR(INDEX(DM_NL!$B$5:$B$304,MATCH(C763,DM_NL!$A$5:$A$304,0)),""))</f>
        <v/>
      </c>
      <c r="E763" s="35" t="str">
        <f>IF(B763="","",IFERROR(INDEX(DM_NL!$C$5:$C$304,MATCH(C763,DM_NL!$A$5:$A$304,0)),""))</f>
        <v/>
      </c>
      <c r="F763" s="39" t="str">
        <f>IF(B763="","",SUMIFS(Mau15a!$F$11:$F$310,Mau15a!$B$11:$B$310,B763))</f>
        <v/>
      </c>
      <c r="G763" s="39" t="str">
        <f>IF(B763="","",IF(OR(M763="KXDDM",BOM!F763=""),0,BOM!F763))</f>
        <v/>
      </c>
      <c r="H763" s="39" t="str">
        <f t="shared" si="56"/>
        <v/>
      </c>
      <c r="I763" s="39" t="str">
        <f>IF(B763="","",SUMIFS(Mau15a!$H$11:$H$310,Mau15a!$B$11:$B$310,B763)+SUMIFS(Mau15a!$I$11:$I$310,Mau15a!$B$11:$B$310,B763)+SUMIFS(Mau15a!$J$11:$J$310,Mau15a!$B$11:$B$310,B763)-SUMIFS(Mau15a!$G$11:$G$310,Mau15a!$B$11:$B$310,B763))</f>
        <v/>
      </c>
      <c r="J763" s="39" t="str">
        <f t="shared" si="57"/>
        <v/>
      </c>
      <c r="K763" s="39" t="str">
        <f>IF(B763="","",(SUMIFS(Mau15a!$K$11:$K$310,Mau15a!$B$11:$B$310,B763)-SUMIFS(Mau15a!$E$11:$E$310,Mau15a!$B$11:$B$310,B763))*G763)</f>
        <v/>
      </c>
      <c r="L763" s="36" t="str">
        <f t="shared" si="58"/>
        <v/>
      </c>
      <c r="M763" s="36" t="str">
        <f>IF(B763="","",BOM!G763&amp;"")</f>
        <v/>
      </c>
      <c r="N763" s="36" t="str">
        <f t="shared" si="59"/>
        <v/>
      </c>
    </row>
    <row r="764" spans="1:14" x14ac:dyDescent="0.25">
      <c r="A764" s="35" t="str">
        <f t="shared" si="55"/>
        <v/>
      </c>
      <c r="B764" s="35" t="str">
        <f>IF(BOM!A764="","",BOM!A764)</f>
        <v/>
      </c>
      <c r="C764" s="35" t="str">
        <f>IF(B764="","",BOM!B764)</f>
        <v/>
      </c>
      <c r="D764" s="35" t="str">
        <f>IF(B764="","",IFERROR(INDEX(DM_NL!$B$5:$B$304,MATCH(C764,DM_NL!$A$5:$A$304,0)),""))</f>
        <v/>
      </c>
      <c r="E764" s="35" t="str">
        <f>IF(B764="","",IFERROR(INDEX(DM_NL!$C$5:$C$304,MATCH(C764,DM_NL!$A$5:$A$304,0)),""))</f>
        <v/>
      </c>
      <c r="F764" s="39" t="str">
        <f>IF(B764="","",SUMIFS(Mau15a!$F$11:$F$310,Mau15a!$B$11:$B$310,B764))</f>
        <v/>
      </c>
      <c r="G764" s="39" t="str">
        <f>IF(B764="","",IF(OR(M764="KXDDM",BOM!F764=""),0,BOM!F764))</f>
        <v/>
      </c>
      <c r="H764" s="39" t="str">
        <f t="shared" si="56"/>
        <v/>
      </c>
      <c r="I764" s="39" t="str">
        <f>IF(B764="","",SUMIFS(Mau15a!$H$11:$H$310,Mau15a!$B$11:$B$310,B764)+SUMIFS(Mau15a!$I$11:$I$310,Mau15a!$B$11:$B$310,B764)+SUMIFS(Mau15a!$J$11:$J$310,Mau15a!$B$11:$B$310,B764)-SUMIFS(Mau15a!$G$11:$G$310,Mau15a!$B$11:$B$310,B764))</f>
        <v/>
      </c>
      <c r="J764" s="39" t="str">
        <f t="shared" si="57"/>
        <v/>
      </c>
      <c r="K764" s="39" t="str">
        <f>IF(B764="","",(SUMIFS(Mau15a!$K$11:$K$310,Mau15a!$B$11:$B$310,B764)-SUMIFS(Mau15a!$E$11:$E$310,Mau15a!$B$11:$B$310,B764))*G764)</f>
        <v/>
      </c>
      <c r="L764" s="36" t="str">
        <f t="shared" si="58"/>
        <v/>
      </c>
      <c r="M764" s="36" t="str">
        <f>IF(B764="","",BOM!G764&amp;"")</f>
        <v/>
      </c>
      <c r="N764" s="36" t="str">
        <f t="shared" si="59"/>
        <v/>
      </c>
    </row>
    <row r="765" spans="1:14" x14ac:dyDescent="0.25">
      <c r="A765" s="35" t="str">
        <f t="shared" si="55"/>
        <v/>
      </c>
      <c r="B765" s="35" t="str">
        <f>IF(BOM!A765="","",BOM!A765)</f>
        <v/>
      </c>
      <c r="C765" s="35" t="str">
        <f>IF(B765="","",BOM!B765)</f>
        <v/>
      </c>
      <c r="D765" s="35" t="str">
        <f>IF(B765="","",IFERROR(INDEX(DM_NL!$B$5:$B$304,MATCH(C765,DM_NL!$A$5:$A$304,0)),""))</f>
        <v/>
      </c>
      <c r="E765" s="35" t="str">
        <f>IF(B765="","",IFERROR(INDEX(DM_NL!$C$5:$C$304,MATCH(C765,DM_NL!$A$5:$A$304,0)),""))</f>
        <v/>
      </c>
      <c r="F765" s="39" t="str">
        <f>IF(B765="","",SUMIFS(Mau15a!$F$11:$F$310,Mau15a!$B$11:$B$310,B765))</f>
        <v/>
      </c>
      <c r="G765" s="39" t="str">
        <f>IF(B765="","",IF(OR(M765="KXDDM",BOM!F765=""),0,BOM!F765))</f>
        <v/>
      </c>
      <c r="H765" s="39" t="str">
        <f t="shared" si="56"/>
        <v/>
      </c>
      <c r="I765" s="39" t="str">
        <f>IF(B765="","",SUMIFS(Mau15a!$H$11:$H$310,Mau15a!$B$11:$B$310,B765)+SUMIFS(Mau15a!$I$11:$I$310,Mau15a!$B$11:$B$310,B765)+SUMIFS(Mau15a!$J$11:$J$310,Mau15a!$B$11:$B$310,B765)-SUMIFS(Mau15a!$G$11:$G$310,Mau15a!$B$11:$B$310,B765))</f>
        <v/>
      </c>
      <c r="J765" s="39" t="str">
        <f t="shared" si="57"/>
        <v/>
      </c>
      <c r="K765" s="39" t="str">
        <f>IF(B765="","",(SUMIFS(Mau15a!$K$11:$K$310,Mau15a!$B$11:$B$310,B765)-SUMIFS(Mau15a!$E$11:$E$310,Mau15a!$B$11:$B$310,B765))*G765)</f>
        <v/>
      </c>
      <c r="L765" s="36" t="str">
        <f t="shared" si="58"/>
        <v/>
      </c>
      <c r="M765" s="36" t="str">
        <f>IF(B765="","",BOM!G765&amp;"")</f>
        <v/>
      </c>
      <c r="N765" s="36" t="str">
        <f t="shared" si="59"/>
        <v/>
      </c>
    </row>
    <row r="766" spans="1:14" x14ac:dyDescent="0.25">
      <c r="A766" s="35" t="str">
        <f t="shared" si="55"/>
        <v/>
      </c>
      <c r="B766" s="35" t="str">
        <f>IF(BOM!A766="","",BOM!A766)</f>
        <v/>
      </c>
      <c r="C766" s="35" t="str">
        <f>IF(B766="","",BOM!B766)</f>
        <v/>
      </c>
      <c r="D766" s="35" t="str">
        <f>IF(B766="","",IFERROR(INDEX(DM_NL!$B$5:$B$304,MATCH(C766,DM_NL!$A$5:$A$304,0)),""))</f>
        <v/>
      </c>
      <c r="E766" s="35" t="str">
        <f>IF(B766="","",IFERROR(INDEX(DM_NL!$C$5:$C$304,MATCH(C766,DM_NL!$A$5:$A$304,0)),""))</f>
        <v/>
      </c>
      <c r="F766" s="39" t="str">
        <f>IF(B766="","",SUMIFS(Mau15a!$F$11:$F$310,Mau15a!$B$11:$B$310,B766))</f>
        <v/>
      </c>
      <c r="G766" s="39" t="str">
        <f>IF(B766="","",IF(OR(M766="KXDDM",BOM!F766=""),0,BOM!F766))</f>
        <v/>
      </c>
      <c r="H766" s="39" t="str">
        <f t="shared" si="56"/>
        <v/>
      </c>
      <c r="I766" s="39" t="str">
        <f>IF(B766="","",SUMIFS(Mau15a!$H$11:$H$310,Mau15a!$B$11:$B$310,B766)+SUMIFS(Mau15a!$I$11:$I$310,Mau15a!$B$11:$B$310,B766)+SUMIFS(Mau15a!$J$11:$J$310,Mau15a!$B$11:$B$310,B766)-SUMIFS(Mau15a!$G$11:$G$310,Mau15a!$B$11:$B$310,B766))</f>
        <v/>
      </c>
      <c r="J766" s="39" t="str">
        <f t="shared" si="57"/>
        <v/>
      </c>
      <c r="K766" s="39" t="str">
        <f>IF(B766="","",(SUMIFS(Mau15a!$K$11:$K$310,Mau15a!$B$11:$B$310,B766)-SUMIFS(Mau15a!$E$11:$E$310,Mau15a!$B$11:$B$310,B766))*G766)</f>
        <v/>
      </c>
      <c r="L766" s="36" t="str">
        <f t="shared" si="58"/>
        <v/>
      </c>
      <c r="M766" s="36" t="str">
        <f>IF(B766="","",BOM!G766&amp;"")</f>
        <v/>
      </c>
      <c r="N766" s="36" t="str">
        <f t="shared" si="59"/>
        <v/>
      </c>
    </row>
    <row r="767" spans="1:14" x14ac:dyDescent="0.25">
      <c r="A767" s="35" t="str">
        <f t="shared" si="55"/>
        <v/>
      </c>
      <c r="B767" s="35" t="str">
        <f>IF(BOM!A767="","",BOM!A767)</f>
        <v/>
      </c>
      <c r="C767" s="35" t="str">
        <f>IF(B767="","",BOM!B767)</f>
        <v/>
      </c>
      <c r="D767" s="35" t="str">
        <f>IF(B767="","",IFERROR(INDEX(DM_NL!$B$5:$B$304,MATCH(C767,DM_NL!$A$5:$A$304,0)),""))</f>
        <v/>
      </c>
      <c r="E767" s="35" t="str">
        <f>IF(B767="","",IFERROR(INDEX(DM_NL!$C$5:$C$304,MATCH(C767,DM_NL!$A$5:$A$304,0)),""))</f>
        <v/>
      </c>
      <c r="F767" s="39" t="str">
        <f>IF(B767="","",SUMIFS(Mau15a!$F$11:$F$310,Mau15a!$B$11:$B$310,B767))</f>
        <v/>
      </c>
      <c r="G767" s="39" t="str">
        <f>IF(B767="","",IF(OR(M767="KXDDM",BOM!F767=""),0,BOM!F767))</f>
        <v/>
      </c>
      <c r="H767" s="39" t="str">
        <f t="shared" si="56"/>
        <v/>
      </c>
      <c r="I767" s="39" t="str">
        <f>IF(B767="","",SUMIFS(Mau15a!$H$11:$H$310,Mau15a!$B$11:$B$310,B767)+SUMIFS(Mau15a!$I$11:$I$310,Mau15a!$B$11:$B$310,B767)+SUMIFS(Mau15a!$J$11:$J$310,Mau15a!$B$11:$B$310,B767)-SUMIFS(Mau15a!$G$11:$G$310,Mau15a!$B$11:$B$310,B767))</f>
        <v/>
      </c>
      <c r="J767" s="39" t="str">
        <f t="shared" si="57"/>
        <v/>
      </c>
      <c r="K767" s="39" t="str">
        <f>IF(B767="","",(SUMIFS(Mau15a!$K$11:$K$310,Mau15a!$B$11:$B$310,B767)-SUMIFS(Mau15a!$E$11:$E$310,Mau15a!$B$11:$B$310,B767))*G767)</f>
        <v/>
      </c>
      <c r="L767" s="36" t="str">
        <f t="shared" si="58"/>
        <v/>
      </c>
      <c r="M767" s="36" t="str">
        <f>IF(B767="","",BOM!G767&amp;"")</f>
        <v/>
      </c>
      <c r="N767" s="36" t="str">
        <f t="shared" si="59"/>
        <v/>
      </c>
    </row>
    <row r="768" spans="1:14" x14ac:dyDescent="0.25">
      <c r="A768" s="35" t="str">
        <f t="shared" si="55"/>
        <v/>
      </c>
      <c r="B768" s="35" t="str">
        <f>IF(BOM!A768="","",BOM!A768)</f>
        <v/>
      </c>
      <c r="C768" s="35" t="str">
        <f>IF(B768="","",BOM!B768)</f>
        <v/>
      </c>
      <c r="D768" s="35" t="str">
        <f>IF(B768="","",IFERROR(INDEX(DM_NL!$B$5:$B$304,MATCH(C768,DM_NL!$A$5:$A$304,0)),""))</f>
        <v/>
      </c>
      <c r="E768" s="35" t="str">
        <f>IF(B768="","",IFERROR(INDEX(DM_NL!$C$5:$C$304,MATCH(C768,DM_NL!$A$5:$A$304,0)),""))</f>
        <v/>
      </c>
      <c r="F768" s="39" t="str">
        <f>IF(B768="","",SUMIFS(Mau15a!$F$11:$F$310,Mau15a!$B$11:$B$310,B768))</f>
        <v/>
      </c>
      <c r="G768" s="39" t="str">
        <f>IF(B768="","",IF(OR(M768="KXDDM",BOM!F768=""),0,BOM!F768))</f>
        <v/>
      </c>
      <c r="H768" s="39" t="str">
        <f t="shared" si="56"/>
        <v/>
      </c>
      <c r="I768" s="39" t="str">
        <f>IF(B768="","",SUMIFS(Mau15a!$H$11:$H$310,Mau15a!$B$11:$B$310,B768)+SUMIFS(Mau15a!$I$11:$I$310,Mau15a!$B$11:$B$310,B768)+SUMIFS(Mau15a!$J$11:$J$310,Mau15a!$B$11:$B$310,B768)-SUMIFS(Mau15a!$G$11:$G$310,Mau15a!$B$11:$B$310,B768))</f>
        <v/>
      </c>
      <c r="J768" s="39" t="str">
        <f t="shared" si="57"/>
        <v/>
      </c>
      <c r="K768" s="39" t="str">
        <f>IF(B768="","",(SUMIFS(Mau15a!$K$11:$K$310,Mau15a!$B$11:$B$310,B768)-SUMIFS(Mau15a!$E$11:$E$310,Mau15a!$B$11:$B$310,B768))*G768)</f>
        <v/>
      </c>
      <c r="L768" s="36" t="str">
        <f t="shared" si="58"/>
        <v/>
      </c>
      <c r="M768" s="36" t="str">
        <f>IF(B768="","",BOM!G768&amp;"")</f>
        <v/>
      </c>
      <c r="N768" s="36" t="str">
        <f t="shared" si="59"/>
        <v/>
      </c>
    </row>
    <row r="769" spans="1:14" x14ac:dyDescent="0.25">
      <c r="A769" s="35" t="str">
        <f t="shared" si="55"/>
        <v/>
      </c>
      <c r="B769" s="35" t="str">
        <f>IF(BOM!A769="","",BOM!A769)</f>
        <v/>
      </c>
      <c r="C769" s="35" t="str">
        <f>IF(B769="","",BOM!B769)</f>
        <v/>
      </c>
      <c r="D769" s="35" t="str">
        <f>IF(B769="","",IFERROR(INDEX(DM_NL!$B$5:$B$304,MATCH(C769,DM_NL!$A$5:$A$304,0)),""))</f>
        <v/>
      </c>
      <c r="E769" s="35" t="str">
        <f>IF(B769="","",IFERROR(INDEX(DM_NL!$C$5:$C$304,MATCH(C769,DM_NL!$A$5:$A$304,0)),""))</f>
        <v/>
      </c>
      <c r="F769" s="39" t="str">
        <f>IF(B769="","",SUMIFS(Mau15a!$F$11:$F$310,Mau15a!$B$11:$B$310,B769))</f>
        <v/>
      </c>
      <c r="G769" s="39" t="str">
        <f>IF(B769="","",IF(OR(M769="KXDDM",BOM!F769=""),0,BOM!F769))</f>
        <v/>
      </c>
      <c r="H769" s="39" t="str">
        <f t="shared" si="56"/>
        <v/>
      </c>
      <c r="I769" s="39" t="str">
        <f>IF(B769="","",SUMIFS(Mau15a!$H$11:$H$310,Mau15a!$B$11:$B$310,B769)+SUMIFS(Mau15a!$I$11:$I$310,Mau15a!$B$11:$B$310,B769)+SUMIFS(Mau15a!$J$11:$J$310,Mau15a!$B$11:$B$310,B769)-SUMIFS(Mau15a!$G$11:$G$310,Mau15a!$B$11:$B$310,B769))</f>
        <v/>
      </c>
      <c r="J769" s="39" t="str">
        <f t="shared" si="57"/>
        <v/>
      </c>
      <c r="K769" s="39" t="str">
        <f>IF(B769="","",(SUMIFS(Mau15a!$K$11:$K$310,Mau15a!$B$11:$B$310,B769)-SUMIFS(Mau15a!$E$11:$E$310,Mau15a!$B$11:$B$310,B769))*G769)</f>
        <v/>
      </c>
      <c r="L769" s="36" t="str">
        <f t="shared" si="58"/>
        <v/>
      </c>
      <c r="M769" s="36" t="str">
        <f>IF(B769="","",BOM!G769&amp;"")</f>
        <v/>
      </c>
      <c r="N769" s="36" t="str">
        <f t="shared" si="59"/>
        <v/>
      </c>
    </row>
    <row r="770" spans="1:14" x14ac:dyDescent="0.25">
      <c r="A770" s="35" t="str">
        <f t="shared" si="55"/>
        <v/>
      </c>
      <c r="B770" s="35" t="str">
        <f>IF(BOM!A770="","",BOM!A770)</f>
        <v/>
      </c>
      <c r="C770" s="35" t="str">
        <f>IF(B770="","",BOM!B770)</f>
        <v/>
      </c>
      <c r="D770" s="35" t="str">
        <f>IF(B770="","",IFERROR(INDEX(DM_NL!$B$5:$B$304,MATCH(C770,DM_NL!$A$5:$A$304,0)),""))</f>
        <v/>
      </c>
      <c r="E770" s="35" t="str">
        <f>IF(B770="","",IFERROR(INDEX(DM_NL!$C$5:$C$304,MATCH(C770,DM_NL!$A$5:$A$304,0)),""))</f>
        <v/>
      </c>
      <c r="F770" s="39" t="str">
        <f>IF(B770="","",SUMIFS(Mau15a!$F$11:$F$310,Mau15a!$B$11:$B$310,B770))</f>
        <v/>
      </c>
      <c r="G770" s="39" t="str">
        <f>IF(B770="","",IF(OR(M770="KXDDM",BOM!F770=""),0,BOM!F770))</f>
        <v/>
      </c>
      <c r="H770" s="39" t="str">
        <f t="shared" si="56"/>
        <v/>
      </c>
      <c r="I770" s="39" t="str">
        <f>IF(B770="","",SUMIFS(Mau15a!$H$11:$H$310,Mau15a!$B$11:$B$310,B770)+SUMIFS(Mau15a!$I$11:$I$310,Mau15a!$B$11:$B$310,B770)+SUMIFS(Mau15a!$J$11:$J$310,Mau15a!$B$11:$B$310,B770)-SUMIFS(Mau15a!$G$11:$G$310,Mau15a!$B$11:$B$310,B770))</f>
        <v/>
      </c>
      <c r="J770" s="39" t="str">
        <f t="shared" si="57"/>
        <v/>
      </c>
      <c r="K770" s="39" t="str">
        <f>IF(B770="","",(SUMIFS(Mau15a!$K$11:$K$310,Mau15a!$B$11:$B$310,B770)-SUMIFS(Mau15a!$E$11:$E$310,Mau15a!$B$11:$B$310,B770))*G770)</f>
        <v/>
      </c>
      <c r="L770" s="36" t="str">
        <f t="shared" si="58"/>
        <v/>
      </c>
      <c r="M770" s="36" t="str">
        <f>IF(B770="","",BOM!G770&amp;"")</f>
        <v/>
      </c>
      <c r="N770" s="36" t="str">
        <f t="shared" si="59"/>
        <v/>
      </c>
    </row>
    <row r="771" spans="1:14" x14ac:dyDescent="0.25">
      <c r="A771" s="35" t="str">
        <f t="shared" si="55"/>
        <v/>
      </c>
      <c r="B771" s="35" t="str">
        <f>IF(BOM!A771="","",BOM!A771)</f>
        <v/>
      </c>
      <c r="C771" s="35" t="str">
        <f>IF(B771="","",BOM!B771)</f>
        <v/>
      </c>
      <c r="D771" s="35" t="str">
        <f>IF(B771="","",IFERROR(INDEX(DM_NL!$B$5:$B$304,MATCH(C771,DM_NL!$A$5:$A$304,0)),""))</f>
        <v/>
      </c>
      <c r="E771" s="35" t="str">
        <f>IF(B771="","",IFERROR(INDEX(DM_NL!$C$5:$C$304,MATCH(C771,DM_NL!$A$5:$A$304,0)),""))</f>
        <v/>
      </c>
      <c r="F771" s="39" t="str">
        <f>IF(B771="","",SUMIFS(Mau15a!$F$11:$F$310,Mau15a!$B$11:$B$310,B771))</f>
        <v/>
      </c>
      <c r="G771" s="39" t="str">
        <f>IF(B771="","",IF(OR(M771="KXDDM",BOM!F771=""),0,BOM!F771))</f>
        <v/>
      </c>
      <c r="H771" s="39" t="str">
        <f t="shared" si="56"/>
        <v/>
      </c>
      <c r="I771" s="39" t="str">
        <f>IF(B771="","",SUMIFS(Mau15a!$H$11:$H$310,Mau15a!$B$11:$B$310,B771)+SUMIFS(Mau15a!$I$11:$I$310,Mau15a!$B$11:$B$310,B771)+SUMIFS(Mau15a!$J$11:$J$310,Mau15a!$B$11:$B$310,B771)-SUMIFS(Mau15a!$G$11:$G$310,Mau15a!$B$11:$B$310,B771))</f>
        <v/>
      </c>
      <c r="J771" s="39" t="str">
        <f t="shared" si="57"/>
        <v/>
      </c>
      <c r="K771" s="39" t="str">
        <f>IF(B771="","",(SUMIFS(Mau15a!$K$11:$K$310,Mau15a!$B$11:$B$310,B771)-SUMIFS(Mau15a!$E$11:$E$310,Mau15a!$B$11:$B$310,B771))*G771)</f>
        <v/>
      </c>
      <c r="L771" s="36" t="str">
        <f t="shared" si="58"/>
        <v/>
      </c>
      <c r="M771" s="36" t="str">
        <f>IF(B771="","",BOM!G771&amp;"")</f>
        <v/>
      </c>
      <c r="N771" s="36" t="str">
        <f t="shared" si="59"/>
        <v/>
      </c>
    </row>
    <row r="772" spans="1:14" x14ac:dyDescent="0.25">
      <c r="A772" s="35" t="str">
        <f t="shared" si="55"/>
        <v/>
      </c>
      <c r="B772" s="35" t="str">
        <f>IF(BOM!A772="","",BOM!A772)</f>
        <v/>
      </c>
      <c r="C772" s="35" t="str">
        <f>IF(B772="","",BOM!B772)</f>
        <v/>
      </c>
      <c r="D772" s="35" t="str">
        <f>IF(B772="","",IFERROR(INDEX(DM_NL!$B$5:$B$304,MATCH(C772,DM_NL!$A$5:$A$304,0)),""))</f>
        <v/>
      </c>
      <c r="E772" s="35" t="str">
        <f>IF(B772="","",IFERROR(INDEX(DM_NL!$C$5:$C$304,MATCH(C772,DM_NL!$A$5:$A$304,0)),""))</f>
        <v/>
      </c>
      <c r="F772" s="39" t="str">
        <f>IF(B772="","",SUMIFS(Mau15a!$F$11:$F$310,Mau15a!$B$11:$B$310,B772))</f>
        <v/>
      </c>
      <c r="G772" s="39" t="str">
        <f>IF(B772="","",IF(OR(M772="KXDDM",BOM!F772=""),0,BOM!F772))</f>
        <v/>
      </c>
      <c r="H772" s="39" t="str">
        <f t="shared" si="56"/>
        <v/>
      </c>
      <c r="I772" s="39" t="str">
        <f>IF(B772="","",SUMIFS(Mau15a!$H$11:$H$310,Mau15a!$B$11:$B$310,B772)+SUMIFS(Mau15a!$I$11:$I$310,Mau15a!$B$11:$B$310,B772)+SUMIFS(Mau15a!$J$11:$J$310,Mau15a!$B$11:$B$310,B772)-SUMIFS(Mau15a!$G$11:$G$310,Mau15a!$B$11:$B$310,B772))</f>
        <v/>
      </c>
      <c r="J772" s="39" t="str">
        <f t="shared" si="57"/>
        <v/>
      </c>
      <c r="K772" s="39" t="str">
        <f>IF(B772="","",(SUMIFS(Mau15a!$K$11:$K$310,Mau15a!$B$11:$B$310,B772)-SUMIFS(Mau15a!$E$11:$E$310,Mau15a!$B$11:$B$310,B772))*G772)</f>
        <v/>
      </c>
      <c r="L772" s="36" t="str">
        <f t="shared" si="58"/>
        <v/>
      </c>
      <c r="M772" s="36" t="str">
        <f>IF(B772="","",BOM!G772&amp;"")</f>
        <v/>
      </c>
      <c r="N772" s="36" t="str">
        <f t="shared" si="59"/>
        <v/>
      </c>
    </row>
    <row r="773" spans="1:14" x14ac:dyDescent="0.25">
      <c r="A773" s="35" t="str">
        <f t="shared" ref="A773:A836" si="60">IF(B773="","",ROW()-4)</f>
        <v/>
      </c>
      <c r="B773" s="35" t="str">
        <f>IF(BOM!A773="","",BOM!A773)</f>
        <v/>
      </c>
      <c r="C773" s="35" t="str">
        <f>IF(B773="","",BOM!B773)</f>
        <v/>
      </c>
      <c r="D773" s="35" t="str">
        <f>IF(B773="","",IFERROR(INDEX(DM_NL!$B$5:$B$304,MATCH(C773,DM_NL!$A$5:$A$304,0)),""))</f>
        <v/>
      </c>
      <c r="E773" s="35" t="str">
        <f>IF(B773="","",IFERROR(INDEX(DM_NL!$C$5:$C$304,MATCH(C773,DM_NL!$A$5:$A$304,0)),""))</f>
        <v/>
      </c>
      <c r="F773" s="39" t="str">
        <f>IF(B773="","",SUMIFS(Mau15a!$F$11:$F$310,Mau15a!$B$11:$B$310,B773))</f>
        <v/>
      </c>
      <c r="G773" s="39" t="str">
        <f>IF(B773="","",IF(OR(M773="KXDDM",BOM!F773=""),0,BOM!F773))</f>
        <v/>
      </c>
      <c r="H773" s="39" t="str">
        <f t="shared" ref="H773:H836" si="61">IF(B773="","",F773*G773)</f>
        <v/>
      </c>
      <c r="I773" s="39" t="str">
        <f>IF(B773="","",SUMIFS(Mau15a!$H$11:$H$310,Mau15a!$B$11:$B$310,B773)+SUMIFS(Mau15a!$I$11:$I$310,Mau15a!$B$11:$B$310,B773)+SUMIFS(Mau15a!$J$11:$J$310,Mau15a!$B$11:$B$310,B773)-SUMIFS(Mau15a!$G$11:$G$310,Mau15a!$B$11:$B$310,B773))</f>
        <v/>
      </c>
      <c r="J773" s="39" t="str">
        <f t="shared" ref="J773:J836" si="62">IF(B773="","",I773*G773)</f>
        <v/>
      </c>
      <c r="K773" s="39" t="str">
        <f>IF(B773="","",(SUMIFS(Mau15a!$K$11:$K$310,Mau15a!$B$11:$B$310,B773)-SUMIFS(Mau15a!$E$11:$E$310,Mau15a!$B$11:$B$310,B773))*G773)</f>
        <v/>
      </c>
      <c r="L773" s="36" t="str">
        <f t="shared" ref="L773:L836" si="63">IF(B773="","",IF(ABS(H773-J773-K773)&lt;0.000001,"Khớp","Lệch"))</f>
        <v/>
      </c>
      <c r="M773" s="36" t="str">
        <f>IF(B773="","",BOM!G773&amp;"")</f>
        <v/>
      </c>
      <c r="N773" s="36" t="str">
        <f t="shared" ref="N773:N836" si="64">IF(B773="","",IF(M773="",1,0))</f>
        <v/>
      </c>
    </row>
    <row r="774" spans="1:14" x14ac:dyDescent="0.25">
      <c r="A774" s="35" t="str">
        <f t="shared" si="60"/>
        <v/>
      </c>
      <c r="B774" s="35" t="str">
        <f>IF(BOM!A774="","",BOM!A774)</f>
        <v/>
      </c>
      <c r="C774" s="35" t="str">
        <f>IF(B774="","",BOM!B774)</f>
        <v/>
      </c>
      <c r="D774" s="35" t="str">
        <f>IF(B774="","",IFERROR(INDEX(DM_NL!$B$5:$B$304,MATCH(C774,DM_NL!$A$5:$A$304,0)),""))</f>
        <v/>
      </c>
      <c r="E774" s="35" t="str">
        <f>IF(B774="","",IFERROR(INDEX(DM_NL!$C$5:$C$304,MATCH(C774,DM_NL!$A$5:$A$304,0)),""))</f>
        <v/>
      </c>
      <c r="F774" s="39" t="str">
        <f>IF(B774="","",SUMIFS(Mau15a!$F$11:$F$310,Mau15a!$B$11:$B$310,B774))</f>
        <v/>
      </c>
      <c r="G774" s="39" t="str">
        <f>IF(B774="","",IF(OR(M774="KXDDM",BOM!F774=""),0,BOM!F774))</f>
        <v/>
      </c>
      <c r="H774" s="39" t="str">
        <f t="shared" si="61"/>
        <v/>
      </c>
      <c r="I774" s="39" t="str">
        <f>IF(B774="","",SUMIFS(Mau15a!$H$11:$H$310,Mau15a!$B$11:$B$310,B774)+SUMIFS(Mau15a!$I$11:$I$310,Mau15a!$B$11:$B$310,B774)+SUMIFS(Mau15a!$J$11:$J$310,Mau15a!$B$11:$B$310,B774)-SUMIFS(Mau15a!$G$11:$G$310,Mau15a!$B$11:$B$310,B774))</f>
        <v/>
      </c>
      <c r="J774" s="39" t="str">
        <f t="shared" si="62"/>
        <v/>
      </c>
      <c r="K774" s="39" t="str">
        <f>IF(B774="","",(SUMIFS(Mau15a!$K$11:$K$310,Mau15a!$B$11:$B$310,B774)-SUMIFS(Mau15a!$E$11:$E$310,Mau15a!$B$11:$B$310,B774))*G774)</f>
        <v/>
      </c>
      <c r="L774" s="36" t="str">
        <f t="shared" si="63"/>
        <v/>
      </c>
      <c r="M774" s="36" t="str">
        <f>IF(B774="","",BOM!G774&amp;"")</f>
        <v/>
      </c>
      <c r="N774" s="36" t="str">
        <f t="shared" si="64"/>
        <v/>
      </c>
    </row>
    <row r="775" spans="1:14" x14ac:dyDescent="0.25">
      <c r="A775" s="35" t="str">
        <f t="shared" si="60"/>
        <v/>
      </c>
      <c r="B775" s="35" t="str">
        <f>IF(BOM!A775="","",BOM!A775)</f>
        <v/>
      </c>
      <c r="C775" s="35" t="str">
        <f>IF(B775="","",BOM!B775)</f>
        <v/>
      </c>
      <c r="D775" s="35" t="str">
        <f>IF(B775="","",IFERROR(INDEX(DM_NL!$B$5:$B$304,MATCH(C775,DM_NL!$A$5:$A$304,0)),""))</f>
        <v/>
      </c>
      <c r="E775" s="35" t="str">
        <f>IF(B775="","",IFERROR(INDEX(DM_NL!$C$5:$C$304,MATCH(C775,DM_NL!$A$5:$A$304,0)),""))</f>
        <v/>
      </c>
      <c r="F775" s="39" t="str">
        <f>IF(B775="","",SUMIFS(Mau15a!$F$11:$F$310,Mau15a!$B$11:$B$310,B775))</f>
        <v/>
      </c>
      <c r="G775" s="39" t="str">
        <f>IF(B775="","",IF(OR(M775="KXDDM",BOM!F775=""),0,BOM!F775))</f>
        <v/>
      </c>
      <c r="H775" s="39" t="str">
        <f t="shared" si="61"/>
        <v/>
      </c>
      <c r="I775" s="39" t="str">
        <f>IF(B775="","",SUMIFS(Mau15a!$H$11:$H$310,Mau15a!$B$11:$B$310,B775)+SUMIFS(Mau15a!$I$11:$I$310,Mau15a!$B$11:$B$310,B775)+SUMIFS(Mau15a!$J$11:$J$310,Mau15a!$B$11:$B$310,B775)-SUMIFS(Mau15a!$G$11:$G$310,Mau15a!$B$11:$B$310,B775))</f>
        <v/>
      </c>
      <c r="J775" s="39" t="str">
        <f t="shared" si="62"/>
        <v/>
      </c>
      <c r="K775" s="39" t="str">
        <f>IF(B775="","",(SUMIFS(Mau15a!$K$11:$K$310,Mau15a!$B$11:$B$310,B775)-SUMIFS(Mau15a!$E$11:$E$310,Mau15a!$B$11:$B$310,B775))*G775)</f>
        <v/>
      </c>
      <c r="L775" s="36" t="str">
        <f t="shared" si="63"/>
        <v/>
      </c>
      <c r="M775" s="36" t="str">
        <f>IF(B775="","",BOM!G775&amp;"")</f>
        <v/>
      </c>
      <c r="N775" s="36" t="str">
        <f t="shared" si="64"/>
        <v/>
      </c>
    </row>
    <row r="776" spans="1:14" x14ac:dyDescent="0.25">
      <c r="A776" s="35" t="str">
        <f t="shared" si="60"/>
        <v/>
      </c>
      <c r="B776" s="35" t="str">
        <f>IF(BOM!A776="","",BOM!A776)</f>
        <v/>
      </c>
      <c r="C776" s="35" t="str">
        <f>IF(B776="","",BOM!B776)</f>
        <v/>
      </c>
      <c r="D776" s="35" t="str">
        <f>IF(B776="","",IFERROR(INDEX(DM_NL!$B$5:$B$304,MATCH(C776,DM_NL!$A$5:$A$304,0)),""))</f>
        <v/>
      </c>
      <c r="E776" s="35" t="str">
        <f>IF(B776="","",IFERROR(INDEX(DM_NL!$C$5:$C$304,MATCH(C776,DM_NL!$A$5:$A$304,0)),""))</f>
        <v/>
      </c>
      <c r="F776" s="39" t="str">
        <f>IF(B776="","",SUMIFS(Mau15a!$F$11:$F$310,Mau15a!$B$11:$B$310,B776))</f>
        <v/>
      </c>
      <c r="G776" s="39" t="str">
        <f>IF(B776="","",IF(OR(M776="KXDDM",BOM!F776=""),0,BOM!F776))</f>
        <v/>
      </c>
      <c r="H776" s="39" t="str">
        <f t="shared" si="61"/>
        <v/>
      </c>
      <c r="I776" s="39" t="str">
        <f>IF(B776="","",SUMIFS(Mau15a!$H$11:$H$310,Mau15a!$B$11:$B$310,B776)+SUMIFS(Mau15a!$I$11:$I$310,Mau15a!$B$11:$B$310,B776)+SUMIFS(Mau15a!$J$11:$J$310,Mau15a!$B$11:$B$310,B776)-SUMIFS(Mau15a!$G$11:$G$310,Mau15a!$B$11:$B$310,B776))</f>
        <v/>
      </c>
      <c r="J776" s="39" t="str">
        <f t="shared" si="62"/>
        <v/>
      </c>
      <c r="K776" s="39" t="str">
        <f>IF(B776="","",(SUMIFS(Mau15a!$K$11:$K$310,Mau15a!$B$11:$B$310,B776)-SUMIFS(Mau15a!$E$11:$E$310,Mau15a!$B$11:$B$310,B776))*G776)</f>
        <v/>
      </c>
      <c r="L776" s="36" t="str">
        <f t="shared" si="63"/>
        <v/>
      </c>
      <c r="M776" s="36" t="str">
        <f>IF(B776="","",BOM!G776&amp;"")</f>
        <v/>
      </c>
      <c r="N776" s="36" t="str">
        <f t="shared" si="64"/>
        <v/>
      </c>
    </row>
    <row r="777" spans="1:14" x14ac:dyDescent="0.25">
      <c r="A777" s="35" t="str">
        <f t="shared" si="60"/>
        <v/>
      </c>
      <c r="B777" s="35" t="str">
        <f>IF(BOM!A777="","",BOM!A777)</f>
        <v/>
      </c>
      <c r="C777" s="35" t="str">
        <f>IF(B777="","",BOM!B777)</f>
        <v/>
      </c>
      <c r="D777" s="35" t="str">
        <f>IF(B777="","",IFERROR(INDEX(DM_NL!$B$5:$B$304,MATCH(C777,DM_NL!$A$5:$A$304,0)),""))</f>
        <v/>
      </c>
      <c r="E777" s="35" t="str">
        <f>IF(B777="","",IFERROR(INDEX(DM_NL!$C$5:$C$304,MATCH(C777,DM_NL!$A$5:$A$304,0)),""))</f>
        <v/>
      </c>
      <c r="F777" s="39" t="str">
        <f>IF(B777="","",SUMIFS(Mau15a!$F$11:$F$310,Mau15a!$B$11:$B$310,B777))</f>
        <v/>
      </c>
      <c r="G777" s="39" t="str">
        <f>IF(B777="","",IF(OR(M777="KXDDM",BOM!F777=""),0,BOM!F777))</f>
        <v/>
      </c>
      <c r="H777" s="39" t="str">
        <f t="shared" si="61"/>
        <v/>
      </c>
      <c r="I777" s="39" t="str">
        <f>IF(B777="","",SUMIFS(Mau15a!$H$11:$H$310,Mau15a!$B$11:$B$310,B777)+SUMIFS(Mau15a!$I$11:$I$310,Mau15a!$B$11:$B$310,B777)+SUMIFS(Mau15a!$J$11:$J$310,Mau15a!$B$11:$B$310,B777)-SUMIFS(Mau15a!$G$11:$G$310,Mau15a!$B$11:$B$310,B777))</f>
        <v/>
      </c>
      <c r="J777" s="39" t="str">
        <f t="shared" si="62"/>
        <v/>
      </c>
      <c r="K777" s="39" t="str">
        <f>IF(B777="","",(SUMIFS(Mau15a!$K$11:$K$310,Mau15a!$B$11:$B$310,B777)-SUMIFS(Mau15a!$E$11:$E$310,Mau15a!$B$11:$B$310,B777))*G777)</f>
        <v/>
      </c>
      <c r="L777" s="36" t="str">
        <f t="shared" si="63"/>
        <v/>
      </c>
      <c r="M777" s="36" t="str">
        <f>IF(B777="","",BOM!G777&amp;"")</f>
        <v/>
      </c>
      <c r="N777" s="36" t="str">
        <f t="shared" si="64"/>
        <v/>
      </c>
    </row>
    <row r="778" spans="1:14" x14ac:dyDescent="0.25">
      <c r="A778" s="35" t="str">
        <f t="shared" si="60"/>
        <v/>
      </c>
      <c r="B778" s="35" t="str">
        <f>IF(BOM!A778="","",BOM!A778)</f>
        <v/>
      </c>
      <c r="C778" s="35" t="str">
        <f>IF(B778="","",BOM!B778)</f>
        <v/>
      </c>
      <c r="D778" s="35" t="str">
        <f>IF(B778="","",IFERROR(INDEX(DM_NL!$B$5:$B$304,MATCH(C778,DM_NL!$A$5:$A$304,0)),""))</f>
        <v/>
      </c>
      <c r="E778" s="35" t="str">
        <f>IF(B778="","",IFERROR(INDEX(DM_NL!$C$5:$C$304,MATCH(C778,DM_NL!$A$5:$A$304,0)),""))</f>
        <v/>
      </c>
      <c r="F778" s="39" t="str">
        <f>IF(B778="","",SUMIFS(Mau15a!$F$11:$F$310,Mau15a!$B$11:$B$310,B778))</f>
        <v/>
      </c>
      <c r="G778" s="39" t="str">
        <f>IF(B778="","",IF(OR(M778="KXDDM",BOM!F778=""),0,BOM!F778))</f>
        <v/>
      </c>
      <c r="H778" s="39" t="str">
        <f t="shared" si="61"/>
        <v/>
      </c>
      <c r="I778" s="39" t="str">
        <f>IF(B778="","",SUMIFS(Mau15a!$H$11:$H$310,Mau15a!$B$11:$B$310,B778)+SUMIFS(Mau15a!$I$11:$I$310,Mau15a!$B$11:$B$310,B778)+SUMIFS(Mau15a!$J$11:$J$310,Mau15a!$B$11:$B$310,B778)-SUMIFS(Mau15a!$G$11:$G$310,Mau15a!$B$11:$B$310,B778))</f>
        <v/>
      </c>
      <c r="J778" s="39" t="str">
        <f t="shared" si="62"/>
        <v/>
      </c>
      <c r="K778" s="39" t="str">
        <f>IF(B778="","",(SUMIFS(Mau15a!$K$11:$K$310,Mau15a!$B$11:$B$310,B778)-SUMIFS(Mau15a!$E$11:$E$310,Mau15a!$B$11:$B$310,B778))*G778)</f>
        <v/>
      </c>
      <c r="L778" s="36" t="str">
        <f t="shared" si="63"/>
        <v/>
      </c>
      <c r="M778" s="36" t="str">
        <f>IF(B778="","",BOM!G778&amp;"")</f>
        <v/>
      </c>
      <c r="N778" s="36" t="str">
        <f t="shared" si="64"/>
        <v/>
      </c>
    </row>
    <row r="779" spans="1:14" x14ac:dyDescent="0.25">
      <c r="A779" s="35" t="str">
        <f t="shared" si="60"/>
        <v/>
      </c>
      <c r="B779" s="35" t="str">
        <f>IF(BOM!A779="","",BOM!A779)</f>
        <v/>
      </c>
      <c r="C779" s="35" t="str">
        <f>IF(B779="","",BOM!B779)</f>
        <v/>
      </c>
      <c r="D779" s="35" t="str">
        <f>IF(B779="","",IFERROR(INDEX(DM_NL!$B$5:$B$304,MATCH(C779,DM_NL!$A$5:$A$304,0)),""))</f>
        <v/>
      </c>
      <c r="E779" s="35" t="str">
        <f>IF(B779="","",IFERROR(INDEX(DM_NL!$C$5:$C$304,MATCH(C779,DM_NL!$A$5:$A$304,0)),""))</f>
        <v/>
      </c>
      <c r="F779" s="39" t="str">
        <f>IF(B779="","",SUMIFS(Mau15a!$F$11:$F$310,Mau15a!$B$11:$B$310,B779))</f>
        <v/>
      </c>
      <c r="G779" s="39" t="str">
        <f>IF(B779="","",IF(OR(M779="KXDDM",BOM!F779=""),0,BOM!F779))</f>
        <v/>
      </c>
      <c r="H779" s="39" t="str">
        <f t="shared" si="61"/>
        <v/>
      </c>
      <c r="I779" s="39" t="str">
        <f>IF(B779="","",SUMIFS(Mau15a!$H$11:$H$310,Mau15a!$B$11:$B$310,B779)+SUMIFS(Mau15a!$I$11:$I$310,Mau15a!$B$11:$B$310,B779)+SUMIFS(Mau15a!$J$11:$J$310,Mau15a!$B$11:$B$310,B779)-SUMIFS(Mau15a!$G$11:$G$310,Mau15a!$B$11:$B$310,B779))</f>
        <v/>
      </c>
      <c r="J779" s="39" t="str">
        <f t="shared" si="62"/>
        <v/>
      </c>
      <c r="K779" s="39" t="str">
        <f>IF(B779="","",(SUMIFS(Mau15a!$K$11:$K$310,Mau15a!$B$11:$B$310,B779)-SUMIFS(Mau15a!$E$11:$E$310,Mau15a!$B$11:$B$310,B779))*G779)</f>
        <v/>
      </c>
      <c r="L779" s="36" t="str">
        <f t="shared" si="63"/>
        <v/>
      </c>
      <c r="M779" s="36" t="str">
        <f>IF(B779="","",BOM!G779&amp;"")</f>
        <v/>
      </c>
      <c r="N779" s="36" t="str">
        <f t="shared" si="64"/>
        <v/>
      </c>
    </row>
    <row r="780" spans="1:14" x14ac:dyDescent="0.25">
      <c r="A780" s="35" t="str">
        <f t="shared" si="60"/>
        <v/>
      </c>
      <c r="B780" s="35" t="str">
        <f>IF(BOM!A780="","",BOM!A780)</f>
        <v/>
      </c>
      <c r="C780" s="35" t="str">
        <f>IF(B780="","",BOM!B780)</f>
        <v/>
      </c>
      <c r="D780" s="35" t="str">
        <f>IF(B780="","",IFERROR(INDEX(DM_NL!$B$5:$B$304,MATCH(C780,DM_NL!$A$5:$A$304,0)),""))</f>
        <v/>
      </c>
      <c r="E780" s="35" t="str">
        <f>IF(B780="","",IFERROR(INDEX(DM_NL!$C$5:$C$304,MATCH(C780,DM_NL!$A$5:$A$304,0)),""))</f>
        <v/>
      </c>
      <c r="F780" s="39" t="str">
        <f>IF(B780="","",SUMIFS(Mau15a!$F$11:$F$310,Mau15a!$B$11:$B$310,B780))</f>
        <v/>
      </c>
      <c r="G780" s="39" t="str">
        <f>IF(B780="","",IF(OR(M780="KXDDM",BOM!F780=""),0,BOM!F780))</f>
        <v/>
      </c>
      <c r="H780" s="39" t="str">
        <f t="shared" si="61"/>
        <v/>
      </c>
      <c r="I780" s="39" t="str">
        <f>IF(B780="","",SUMIFS(Mau15a!$H$11:$H$310,Mau15a!$B$11:$B$310,B780)+SUMIFS(Mau15a!$I$11:$I$310,Mau15a!$B$11:$B$310,B780)+SUMIFS(Mau15a!$J$11:$J$310,Mau15a!$B$11:$B$310,B780)-SUMIFS(Mau15a!$G$11:$G$310,Mau15a!$B$11:$B$310,B780))</f>
        <v/>
      </c>
      <c r="J780" s="39" t="str">
        <f t="shared" si="62"/>
        <v/>
      </c>
      <c r="K780" s="39" t="str">
        <f>IF(B780="","",(SUMIFS(Mau15a!$K$11:$K$310,Mau15a!$B$11:$B$310,B780)-SUMIFS(Mau15a!$E$11:$E$310,Mau15a!$B$11:$B$310,B780))*G780)</f>
        <v/>
      </c>
      <c r="L780" s="36" t="str">
        <f t="shared" si="63"/>
        <v/>
      </c>
      <c r="M780" s="36" t="str">
        <f>IF(B780="","",BOM!G780&amp;"")</f>
        <v/>
      </c>
      <c r="N780" s="36" t="str">
        <f t="shared" si="64"/>
        <v/>
      </c>
    </row>
    <row r="781" spans="1:14" x14ac:dyDescent="0.25">
      <c r="A781" s="35" t="str">
        <f t="shared" si="60"/>
        <v/>
      </c>
      <c r="B781" s="35" t="str">
        <f>IF(BOM!A781="","",BOM!A781)</f>
        <v/>
      </c>
      <c r="C781" s="35" t="str">
        <f>IF(B781="","",BOM!B781)</f>
        <v/>
      </c>
      <c r="D781" s="35" t="str">
        <f>IF(B781="","",IFERROR(INDEX(DM_NL!$B$5:$B$304,MATCH(C781,DM_NL!$A$5:$A$304,0)),""))</f>
        <v/>
      </c>
      <c r="E781" s="35" t="str">
        <f>IF(B781="","",IFERROR(INDEX(DM_NL!$C$5:$C$304,MATCH(C781,DM_NL!$A$5:$A$304,0)),""))</f>
        <v/>
      </c>
      <c r="F781" s="39" t="str">
        <f>IF(B781="","",SUMIFS(Mau15a!$F$11:$F$310,Mau15a!$B$11:$B$310,B781))</f>
        <v/>
      </c>
      <c r="G781" s="39" t="str">
        <f>IF(B781="","",IF(OR(M781="KXDDM",BOM!F781=""),0,BOM!F781))</f>
        <v/>
      </c>
      <c r="H781" s="39" t="str">
        <f t="shared" si="61"/>
        <v/>
      </c>
      <c r="I781" s="39" t="str">
        <f>IF(B781="","",SUMIFS(Mau15a!$H$11:$H$310,Mau15a!$B$11:$B$310,B781)+SUMIFS(Mau15a!$I$11:$I$310,Mau15a!$B$11:$B$310,B781)+SUMIFS(Mau15a!$J$11:$J$310,Mau15a!$B$11:$B$310,B781)-SUMIFS(Mau15a!$G$11:$G$310,Mau15a!$B$11:$B$310,B781))</f>
        <v/>
      </c>
      <c r="J781" s="39" t="str">
        <f t="shared" si="62"/>
        <v/>
      </c>
      <c r="K781" s="39" t="str">
        <f>IF(B781="","",(SUMIFS(Mau15a!$K$11:$K$310,Mau15a!$B$11:$B$310,B781)-SUMIFS(Mau15a!$E$11:$E$310,Mau15a!$B$11:$B$310,B781))*G781)</f>
        <v/>
      </c>
      <c r="L781" s="36" t="str">
        <f t="shared" si="63"/>
        <v/>
      </c>
      <c r="M781" s="36" t="str">
        <f>IF(B781="","",BOM!G781&amp;"")</f>
        <v/>
      </c>
      <c r="N781" s="36" t="str">
        <f t="shared" si="64"/>
        <v/>
      </c>
    </row>
    <row r="782" spans="1:14" x14ac:dyDescent="0.25">
      <c r="A782" s="35" t="str">
        <f t="shared" si="60"/>
        <v/>
      </c>
      <c r="B782" s="35" t="str">
        <f>IF(BOM!A782="","",BOM!A782)</f>
        <v/>
      </c>
      <c r="C782" s="35" t="str">
        <f>IF(B782="","",BOM!B782)</f>
        <v/>
      </c>
      <c r="D782" s="35" t="str">
        <f>IF(B782="","",IFERROR(INDEX(DM_NL!$B$5:$B$304,MATCH(C782,DM_NL!$A$5:$A$304,0)),""))</f>
        <v/>
      </c>
      <c r="E782" s="35" t="str">
        <f>IF(B782="","",IFERROR(INDEX(DM_NL!$C$5:$C$304,MATCH(C782,DM_NL!$A$5:$A$304,0)),""))</f>
        <v/>
      </c>
      <c r="F782" s="39" t="str">
        <f>IF(B782="","",SUMIFS(Mau15a!$F$11:$F$310,Mau15a!$B$11:$B$310,B782))</f>
        <v/>
      </c>
      <c r="G782" s="39" t="str">
        <f>IF(B782="","",IF(OR(M782="KXDDM",BOM!F782=""),0,BOM!F782))</f>
        <v/>
      </c>
      <c r="H782" s="39" t="str">
        <f t="shared" si="61"/>
        <v/>
      </c>
      <c r="I782" s="39" t="str">
        <f>IF(B782="","",SUMIFS(Mau15a!$H$11:$H$310,Mau15a!$B$11:$B$310,B782)+SUMIFS(Mau15a!$I$11:$I$310,Mau15a!$B$11:$B$310,B782)+SUMIFS(Mau15a!$J$11:$J$310,Mau15a!$B$11:$B$310,B782)-SUMIFS(Mau15a!$G$11:$G$310,Mau15a!$B$11:$B$310,B782))</f>
        <v/>
      </c>
      <c r="J782" s="39" t="str">
        <f t="shared" si="62"/>
        <v/>
      </c>
      <c r="K782" s="39" t="str">
        <f>IF(B782="","",(SUMIFS(Mau15a!$K$11:$K$310,Mau15a!$B$11:$B$310,B782)-SUMIFS(Mau15a!$E$11:$E$310,Mau15a!$B$11:$B$310,B782))*G782)</f>
        <v/>
      </c>
      <c r="L782" s="36" t="str">
        <f t="shared" si="63"/>
        <v/>
      </c>
      <c r="M782" s="36" t="str">
        <f>IF(B782="","",BOM!G782&amp;"")</f>
        <v/>
      </c>
      <c r="N782" s="36" t="str">
        <f t="shared" si="64"/>
        <v/>
      </c>
    </row>
    <row r="783" spans="1:14" x14ac:dyDescent="0.25">
      <c r="A783" s="35" t="str">
        <f t="shared" si="60"/>
        <v/>
      </c>
      <c r="B783" s="35" t="str">
        <f>IF(BOM!A783="","",BOM!A783)</f>
        <v/>
      </c>
      <c r="C783" s="35" t="str">
        <f>IF(B783="","",BOM!B783)</f>
        <v/>
      </c>
      <c r="D783" s="35" t="str">
        <f>IF(B783="","",IFERROR(INDEX(DM_NL!$B$5:$B$304,MATCH(C783,DM_NL!$A$5:$A$304,0)),""))</f>
        <v/>
      </c>
      <c r="E783" s="35" t="str">
        <f>IF(B783="","",IFERROR(INDEX(DM_NL!$C$5:$C$304,MATCH(C783,DM_NL!$A$5:$A$304,0)),""))</f>
        <v/>
      </c>
      <c r="F783" s="39" t="str">
        <f>IF(B783="","",SUMIFS(Mau15a!$F$11:$F$310,Mau15a!$B$11:$B$310,B783))</f>
        <v/>
      </c>
      <c r="G783" s="39" t="str">
        <f>IF(B783="","",IF(OR(M783="KXDDM",BOM!F783=""),0,BOM!F783))</f>
        <v/>
      </c>
      <c r="H783" s="39" t="str">
        <f t="shared" si="61"/>
        <v/>
      </c>
      <c r="I783" s="39" t="str">
        <f>IF(B783="","",SUMIFS(Mau15a!$H$11:$H$310,Mau15a!$B$11:$B$310,B783)+SUMIFS(Mau15a!$I$11:$I$310,Mau15a!$B$11:$B$310,B783)+SUMIFS(Mau15a!$J$11:$J$310,Mau15a!$B$11:$B$310,B783)-SUMIFS(Mau15a!$G$11:$G$310,Mau15a!$B$11:$B$310,B783))</f>
        <v/>
      </c>
      <c r="J783" s="39" t="str">
        <f t="shared" si="62"/>
        <v/>
      </c>
      <c r="K783" s="39" t="str">
        <f>IF(B783="","",(SUMIFS(Mau15a!$K$11:$K$310,Mau15a!$B$11:$B$310,B783)-SUMIFS(Mau15a!$E$11:$E$310,Mau15a!$B$11:$B$310,B783))*G783)</f>
        <v/>
      </c>
      <c r="L783" s="36" t="str">
        <f t="shared" si="63"/>
        <v/>
      </c>
      <c r="M783" s="36" t="str">
        <f>IF(B783="","",BOM!G783&amp;"")</f>
        <v/>
      </c>
      <c r="N783" s="36" t="str">
        <f t="shared" si="64"/>
        <v/>
      </c>
    </row>
    <row r="784" spans="1:14" x14ac:dyDescent="0.25">
      <c r="A784" s="35" t="str">
        <f t="shared" si="60"/>
        <v/>
      </c>
      <c r="B784" s="35" t="str">
        <f>IF(BOM!A784="","",BOM!A784)</f>
        <v/>
      </c>
      <c r="C784" s="35" t="str">
        <f>IF(B784="","",BOM!B784)</f>
        <v/>
      </c>
      <c r="D784" s="35" t="str">
        <f>IF(B784="","",IFERROR(INDEX(DM_NL!$B$5:$B$304,MATCH(C784,DM_NL!$A$5:$A$304,0)),""))</f>
        <v/>
      </c>
      <c r="E784" s="35" t="str">
        <f>IF(B784="","",IFERROR(INDEX(DM_NL!$C$5:$C$304,MATCH(C784,DM_NL!$A$5:$A$304,0)),""))</f>
        <v/>
      </c>
      <c r="F784" s="39" t="str">
        <f>IF(B784="","",SUMIFS(Mau15a!$F$11:$F$310,Mau15a!$B$11:$B$310,B784))</f>
        <v/>
      </c>
      <c r="G784" s="39" t="str">
        <f>IF(B784="","",IF(OR(M784="KXDDM",BOM!F784=""),0,BOM!F784))</f>
        <v/>
      </c>
      <c r="H784" s="39" t="str">
        <f t="shared" si="61"/>
        <v/>
      </c>
      <c r="I784" s="39" t="str">
        <f>IF(B784="","",SUMIFS(Mau15a!$H$11:$H$310,Mau15a!$B$11:$B$310,B784)+SUMIFS(Mau15a!$I$11:$I$310,Mau15a!$B$11:$B$310,B784)+SUMIFS(Mau15a!$J$11:$J$310,Mau15a!$B$11:$B$310,B784)-SUMIFS(Mau15a!$G$11:$G$310,Mau15a!$B$11:$B$310,B784))</f>
        <v/>
      </c>
      <c r="J784" s="39" t="str">
        <f t="shared" si="62"/>
        <v/>
      </c>
      <c r="K784" s="39" t="str">
        <f>IF(B784="","",(SUMIFS(Mau15a!$K$11:$K$310,Mau15a!$B$11:$B$310,B784)-SUMIFS(Mau15a!$E$11:$E$310,Mau15a!$B$11:$B$310,B784))*G784)</f>
        <v/>
      </c>
      <c r="L784" s="36" t="str">
        <f t="shared" si="63"/>
        <v/>
      </c>
      <c r="M784" s="36" t="str">
        <f>IF(B784="","",BOM!G784&amp;"")</f>
        <v/>
      </c>
      <c r="N784" s="36" t="str">
        <f t="shared" si="64"/>
        <v/>
      </c>
    </row>
    <row r="785" spans="1:14" x14ac:dyDescent="0.25">
      <c r="A785" s="35" t="str">
        <f t="shared" si="60"/>
        <v/>
      </c>
      <c r="B785" s="35" t="str">
        <f>IF(BOM!A785="","",BOM!A785)</f>
        <v/>
      </c>
      <c r="C785" s="35" t="str">
        <f>IF(B785="","",BOM!B785)</f>
        <v/>
      </c>
      <c r="D785" s="35" t="str">
        <f>IF(B785="","",IFERROR(INDEX(DM_NL!$B$5:$B$304,MATCH(C785,DM_NL!$A$5:$A$304,0)),""))</f>
        <v/>
      </c>
      <c r="E785" s="35" t="str">
        <f>IF(B785="","",IFERROR(INDEX(DM_NL!$C$5:$C$304,MATCH(C785,DM_NL!$A$5:$A$304,0)),""))</f>
        <v/>
      </c>
      <c r="F785" s="39" t="str">
        <f>IF(B785="","",SUMIFS(Mau15a!$F$11:$F$310,Mau15a!$B$11:$B$310,B785))</f>
        <v/>
      </c>
      <c r="G785" s="39" t="str">
        <f>IF(B785="","",IF(OR(M785="KXDDM",BOM!F785=""),0,BOM!F785))</f>
        <v/>
      </c>
      <c r="H785" s="39" t="str">
        <f t="shared" si="61"/>
        <v/>
      </c>
      <c r="I785" s="39" t="str">
        <f>IF(B785="","",SUMIFS(Mau15a!$H$11:$H$310,Mau15a!$B$11:$B$310,B785)+SUMIFS(Mau15a!$I$11:$I$310,Mau15a!$B$11:$B$310,B785)+SUMIFS(Mau15a!$J$11:$J$310,Mau15a!$B$11:$B$310,B785)-SUMIFS(Mau15a!$G$11:$G$310,Mau15a!$B$11:$B$310,B785))</f>
        <v/>
      </c>
      <c r="J785" s="39" t="str">
        <f t="shared" si="62"/>
        <v/>
      </c>
      <c r="K785" s="39" t="str">
        <f>IF(B785="","",(SUMIFS(Mau15a!$K$11:$K$310,Mau15a!$B$11:$B$310,B785)-SUMIFS(Mau15a!$E$11:$E$310,Mau15a!$B$11:$B$310,B785))*G785)</f>
        <v/>
      </c>
      <c r="L785" s="36" t="str">
        <f t="shared" si="63"/>
        <v/>
      </c>
      <c r="M785" s="36" t="str">
        <f>IF(B785="","",BOM!G785&amp;"")</f>
        <v/>
      </c>
      <c r="N785" s="36" t="str">
        <f t="shared" si="64"/>
        <v/>
      </c>
    </row>
    <row r="786" spans="1:14" x14ac:dyDescent="0.25">
      <c r="A786" s="35" t="str">
        <f t="shared" si="60"/>
        <v/>
      </c>
      <c r="B786" s="35" t="str">
        <f>IF(BOM!A786="","",BOM!A786)</f>
        <v/>
      </c>
      <c r="C786" s="35" t="str">
        <f>IF(B786="","",BOM!B786)</f>
        <v/>
      </c>
      <c r="D786" s="35" t="str">
        <f>IF(B786="","",IFERROR(INDEX(DM_NL!$B$5:$B$304,MATCH(C786,DM_NL!$A$5:$A$304,0)),""))</f>
        <v/>
      </c>
      <c r="E786" s="35" t="str">
        <f>IF(B786="","",IFERROR(INDEX(DM_NL!$C$5:$C$304,MATCH(C786,DM_NL!$A$5:$A$304,0)),""))</f>
        <v/>
      </c>
      <c r="F786" s="39" t="str">
        <f>IF(B786="","",SUMIFS(Mau15a!$F$11:$F$310,Mau15a!$B$11:$B$310,B786))</f>
        <v/>
      </c>
      <c r="G786" s="39" t="str">
        <f>IF(B786="","",IF(OR(M786="KXDDM",BOM!F786=""),0,BOM!F786))</f>
        <v/>
      </c>
      <c r="H786" s="39" t="str">
        <f t="shared" si="61"/>
        <v/>
      </c>
      <c r="I786" s="39" t="str">
        <f>IF(B786="","",SUMIFS(Mau15a!$H$11:$H$310,Mau15a!$B$11:$B$310,B786)+SUMIFS(Mau15a!$I$11:$I$310,Mau15a!$B$11:$B$310,B786)+SUMIFS(Mau15a!$J$11:$J$310,Mau15a!$B$11:$B$310,B786)-SUMIFS(Mau15a!$G$11:$G$310,Mau15a!$B$11:$B$310,B786))</f>
        <v/>
      </c>
      <c r="J786" s="39" t="str">
        <f t="shared" si="62"/>
        <v/>
      </c>
      <c r="K786" s="39" t="str">
        <f>IF(B786="","",(SUMIFS(Mau15a!$K$11:$K$310,Mau15a!$B$11:$B$310,B786)-SUMIFS(Mau15a!$E$11:$E$310,Mau15a!$B$11:$B$310,B786))*G786)</f>
        <v/>
      </c>
      <c r="L786" s="36" t="str">
        <f t="shared" si="63"/>
        <v/>
      </c>
      <c r="M786" s="36" t="str">
        <f>IF(B786="","",BOM!G786&amp;"")</f>
        <v/>
      </c>
      <c r="N786" s="36" t="str">
        <f t="shared" si="64"/>
        <v/>
      </c>
    </row>
    <row r="787" spans="1:14" x14ac:dyDescent="0.25">
      <c r="A787" s="35" t="str">
        <f t="shared" si="60"/>
        <v/>
      </c>
      <c r="B787" s="35" t="str">
        <f>IF(BOM!A787="","",BOM!A787)</f>
        <v/>
      </c>
      <c r="C787" s="35" t="str">
        <f>IF(B787="","",BOM!B787)</f>
        <v/>
      </c>
      <c r="D787" s="35" t="str">
        <f>IF(B787="","",IFERROR(INDEX(DM_NL!$B$5:$B$304,MATCH(C787,DM_NL!$A$5:$A$304,0)),""))</f>
        <v/>
      </c>
      <c r="E787" s="35" t="str">
        <f>IF(B787="","",IFERROR(INDEX(DM_NL!$C$5:$C$304,MATCH(C787,DM_NL!$A$5:$A$304,0)),""))</f>
        <v/>
      </c>
      <c r="F787" s="39" t="str">
        <f>IF(B787="","",SUMIFS(Mau15a!$F$11:$F$310,Mau15a!$B$11:$B$310,B787))</f>
        <v/>
      </c>
      <c r="G787" s="39" t="str">
        <f>IF(B787="","",IF(OR(M787="KXDDM",BOM!F787=""),0,BOM!F787))</f>
        <v/>
      </c>
      <c r="H787" s="39" t="str">
        <f t="shared" si="61"/>
        <v/>
      </c>
      <c r="I787" s="39" t="str">
        <f>IF(B787="","",SUMIFS(Mau15a!$H$11:$H$310,Mau15a!$B$11:$B$310,B787)+SUMIFS(Mau15a!$I$11:$I$310,Mau15a!$B$11:$B$310,B787)+SUMIFS(Mau15a!$J$11:$J$310,Mau15a!$B$11:$B$310,B787)-SUMIFS(Mau15a!$G$11:$G$310,Mau15a!$B$11:$B$310,B787))</f>
        <v/>
      </c>
      <c r="J787" s="39" t="str">
        <f t="shared" si="62"/>
        <v/>
      </c>
      <c r="K787" s="39" t="str">
        <f>IF(B787="","",(SUMIFS(Mau15a!$K$11:$K$310,Mau15a!$B$11:$B$310,B787)-SUMIFS(Mau15a!$E$11:$E$310,Mau15a!$B$11:$B$310,B787))*G787)</f>
        <v/>
      </c>
      <c r="L787" s="36" t="str">
        <f t="shared" si="63"/>
        <v/>
      </c>
      <c r="M787" s="36" t="str">
        <f>IF(B787="","",BOM!G787&amp;"")</f>
        <v/>
      </c>
      <c r="N787" s="36" t="str">
        <f t="shared" si="64"/>
        <v/>
      </c>
    </row>
    <row r="788" spans="1:14" x14ac:dyDescent="0.25">
      <c r="A788" s="35" t="str">
        <f t="shared" si="60"/>
        <v/>
      </c>
      <c r="B788" s="35" t="str">
        <f>IF(BOM!A788="","",BOM!A788)</f>
        <v/>
      </c>
      <c r="C788" s="35" t="str">
        <f>IF(B788="","",BOM!B788)</f>
        <v/>
      </c>
      <c r="D788" s="35" t="str">
        <f>IF(B788="","",IFERROR(INDEX(DM_NL!$B$5:$B$304,MATCH(C788,DM_NL!$A$5:$A$304,0)),""))</f>
        <v/>
      </c>
      <c r="E788" s="35" t="str">
        <f>IF(B788="","",IFERROR(INDEX(DM_NL!$C$5:$C$304,MATCH(C788,DM_NL!$A$5:$A$304,0)),""))</f>
        <v/>
      </c>
      <c r="F788" s="39" t="str">
        <f>IF(B788="","",SUMIFS(Mau15a!$F$11:$F$310,Mau15a!$B$11:$B$310,B788))</f>
        <v/>
      </c>
      <c r="G788" s="39" t="str">
        <f>IF(B788="","",IF(OR(M788="KXDDM",BOM!F788=""),0,BOM!F788))</f>
        <v/>
      </c>
      <c r="H788" s="39" t="str">
        <f t="shared" si="61"/>
        <v/>
      </c>
      <c r="I788" s="39" t="str">
        <f>IF(B788="","",SUMIFS(Mau15a!$H$11:$H$310,Mau15a!$B$11:$B$310,B788)+SUMIFS(Mau15a!$I$11:$I$310,Mau15a!$B$11:$B$310,B788)+SUMIFS(Mau15a!$J$11:$J$310,Mau15a!$B$11:$B$310,B788)-SUMIFS(Mau15a!$G$11:$G$310,Mau15a!$B$11:$B$310,B788))</f>
        <v/>
      </c>
      <c r="J788" s="39" t="str">
        <f t="shared" si="62"/>
        <v/>
      </c>
      <c r="K788" s="39" t="str">
        <f>IF(B788="","",(SUMIFS(Mau15a!$K$11:$K$310,Mau15a!$B$11:$B$310,B788)-SUMIFS(Mau15a!$E$11:$E$310,Mau15a!$B$11:$B$310,B788))*G788)</f>
        <v/>
      </c>
      <c r="L788" s="36" t="str">
        <f t="shared" si="63"/>
        <v/>
      </c>
      <c r="M788" s="36" t="str">
        <f>IF(B788="","",BOM!G788&amp;"")</f>
        <v/>
      </c>
      <c r="N788" s="36" t="str">
        <f t="shared" si="64"/>
        <v/>
      </c>
    </row>
    <row r="789" spans="1:14" x14ac:dyDescent="0.25">
      <c r="A789" s="35" t="str">
        <f t="shared" si="60"/>
        <v/>
      </c>
      <c r="B789" s="35" t="str">
        <f>IF(BOM!A789="","",BOM!A789)</f>
        <v/>
      </c>
      <c r="C789" s="35" t="str">
        <f>IF(B789="","",BOM!B789)</f>
        <v/>
      </c>
      <c r="D789" s="35" t="str">
        <f>IF(B789="","",IFERROR(INDEX(DM_NL!$B$5:$B$304,MATCH(C789,DM_NL!$A$5:$A$304,0)),""))</f>
        <v/>
      </c>
      <c r="E789" s="35" t="str">
        <f>IF(B789="","",IFERROR(INDEX(DM_NL!$C$5:$C$304,MATCH(C789,DM_NL!$A$5:$A$304,0)),""))</f>
        <v/>
      </c>
      <c r="F789" s="39" t="str">
        <f>IF(B789="","",SUMIFS(Mau15a!$F$11:$F$310,Mau15a!$B$11:$B$310,B789))</f>
        <v/>
      </c>
      <c r="G789" s="39" t="str">
        <f>IF(B789="","",IF(OR(M789="KXDDM",BOM!F789=""),0,BOM!F789))</f>
        <v/>
      </c>
      <c r="H789" s="39" t="str">
        <f t="shared" si="61"/>
        <v/>
      </c>
      <c r="I789" s="39" t="str">
        <f>IF(B789="","",SUMIFS(Mau15a!$H$11:$H$310,Mau15a!$B$11:$B$310,B789)+SUMIFS(Mau15a!$I$11:$I$310,Mau15a!$B$11:$B$310,B789)+SUMIFS(Mau15a!$J$11:$J$310,Mau15a!$B$11:$B$310,B789)-SUMIFS(Mau15a!$G$11:$G$310,Mau15a!$B$11:$B$310,B789))</f>
        <v/>
      </c>
      <c r="J789" s="39" t="str">
        <f t="shared" si="62"/>
        <v/>
      </c>
      <c r="K789" s="39" t="str">
        <f>IF(B789="","",(SUMIFS(Mau15a!$K$11:$K$310,Mau15a!$B$11:$B$310,B789)-SUMIFS(Mau15a!$E$11:$E$310,Mau15a!$B$11:$B$310,B789))*G789)</f>
        <v/>
      </c>
      <c r="L789" s="36" t="str">
        <f t="shared" si="63"/>
        <v/>
      </c>
      <c r="M789" s="36" t="str">
        <f>IF(B789="","",BOM!G789&amp;"")</f>
        <v/>
      </c>
      <c r="N789" s="36" t="str">
        <f t="shared" si="64"/>
        <v/>
      </c>
    </row>
    <row r="790" spans="1:14" x14ac:dyDescent="0.25">
      <c r="A790" s="35" t="str">
        <f t="shared" si="60"/>
        <v/>
      </c>
      <c r="B790" s="35" t="str">
        <f>IF(BOM!A790="","",BOM!A790)</f>
        <v/>
      </c>
      <c r="C790" s="35" t="str">
        <f>IF(B790="","",BOM!B790)</f>
        <v/>
      </c>
      <c r="D790" s="35" t="str">
        <f>IF(B790="","",IFERROR(INDEX(DM_NL!$B$5:$B$304,MATCH(C790,DM_NL!$A$5:$A$304,0)),""))</f>
        <v/>
      </c>
      <c r="E790" s="35" t="str">
        <f>IF(B790="","",IFERROR(INDEX(DM_NL!$C$5:$C$304,MATCH(C790,DM_NL!$A$5:$A$304,0)),""))</f>
        <v/>
      </c>
      <c r="F790" s="39" t="str">
        <f>IF(B790="","",SUMIFS(Mau15a!$F$11:$F$310,Mau15a!$B$11:$B$310,B790))</f>
        <v/>
      </c>
      <c r="G790" s="39" t="str">
        <f>IF(B790="","",IF(OR(M790="KXDDM",BOM!F790=""),0,BOM!F790))</f>
        <v/>
      </c>
      <c r="H790" s="39" t="str">
        <f t="shared" si="61"/>
        <v/>
      </c>
      <c r="I790" s="39" t="str">
        <f>IF(B790="","",SUMIFS(Mau15a!$H$11:$H$310,Mau15a!$B$11:$B$310,B790)+SUMIFS(Mau15a!$I$11:$I$310,Mau15a!$B$11:$B$310,B790)+SUMIFS(Mau15a!$J$11:$J$310,Mau15a!$B$11:$B$310,B790)-SUMIFS(Mau15a!$G$11:$G$310,Mau15a!$B$11:$B$310,B790))</f>
        <v/>
      </c>
      <c r="J790" s="39" t="str">
        <f t="shared" si="62"/>
        <v/>
      </c>
      <c r="K790" s="39" t="str">
        <f>IF(B790="","",(SUMIFS(Mau15a!$K$11:$K$310,Mau15a!$B$11:$B$310,B790)-SUMIFS(Mau15a!$E$11:$E$310,Mau15a!$B$11:$B$310,B790))*G790)</f>
        <v/>
      </c>
      <c r="L790" s="36" t="str">
        <f t="shared" si="63"/>
        <v/>
      </c>
      <c r="M790" s="36" t="str">
        <f>IF(B790="","",BOM!G790&amp;"")</f>
        <v/>
      </c>
      <c r="N790" s="36" t="str">
        <f t="shared" si="64"/>
        <v/>
      </c>
    </row>
    <row r="791" spans="1:14" x14ac:dyDescent="0.25">
      <c r="A791" s="35" t="str">
        <f t="shared" si="60"/>
        <v/>
      </c>
      <c r="B791" s="35" t="str">
        <f>IF(BOM!A791="","",BOM!A791)</f>
        <v/>
      </c>
      <c r="C791" s="35" t="str">
        <f>IF(B791="","",BOM!B791)</f>
        <v/>
      </c>
      <c r="D791" s="35" t="str">
        <f>IF(B791="","",IFERROR(INDEX(DM_NL!$B$5:$B$304,MATCH(C791,DM_NL!$A$5:$A$304,0)),""))</f>
        <v/>
      </c>
      <c r="E791" s="35" t="str">
        <f>IF(B791="","",IFERROR(INDEX(DM_NL!$C$5:$C$304,MATCH(C791,DM_NL!$A$5:$A$304,0)),""))</f>
        <v/>
      </c>
      <c r="F791" s="39" t="str">
        <f>IF(B791="","",SUMIFS(Mau15a!$F$11:$F$310,Mau15a!$B$11:$B$310,B791))</f>
        <v/>
      </c>
      <c r="G791" s="39" t="str">
        <f>IF(B791="","",IF(OR(M791="KXDDM",BOM!F791=""),0,BOM!F791))</f>
        <v/>
      </c>
      <c r="H791" s="39" t="str">
        <f t="shared" si="61"/>
        <v/>
      </c>
      <c r="I791" s="39" t="str">
        <f>IF(B791="","",SUMIFS(Mau15a!$H$11:$H$310,Mau15a!$B$11:$B$310,B791)+SUMIFS(Mau15a!$I$11:$I$310,Mau15a!$B$11:$B$310,B791)+SUMIFS(Mau15a!$J$11:$J$310,Mau15a!$B$11:$B$310,B791)-SUMIFS(Mau15a!$G$11:$G$310,Mau15a!$B$11:$B$310,B791))</f>
        <v/>
      </c>
      <c r="J791" s="39" t="str">
        <f t="shared" si="62"/>
        <v/>
      </c>
      <c r="K791" s="39" t="str">
        <f>IF(B791="","",(SUMIFS(Mau15a!$K$11:$K$310,Mau15a!$B$11:$B$310,B791)-SUMIFS(Mau15a!$E$11:$E$310,Mau15a!$B$11:$B$310,B791))*G791)</f>
        <v/>
      </c>
      <c r="L791" s="36" t="str">
        <f t="shared" si="63"/>
        <v/>
      </c>
      <c r="M791" s="36" t="str">
        <f>IF(B791="","",BOM!G791&amp;"")</f>
        <v/>
      </c>
      <c r="N791" s="36" t="str">
        <f t="shared" si="64"/>
        <v/>
      </c>
    </row>
    <row r="792" spans="1:14" x14ac:dyDescent="0.25">
      <c r="A792" s="35" t="str">
        <f t="shared" si="60"/>
        <v/>
      </c>
      <c r="B792" s="35" t="str">
        <f>IF(BOM!A792="","",BOM!A792)</f>
        <v/>
      </c>
      <c r="C792" s="35" t="str">
        <f>IF(B792="","",BOM!B792)</f>
        <v/>
      </c>
      <c r="D792" s="35" t="str">
        <f>IF(B792="","",IFERROR(INDEX(DM_NL!$B$5:$B$304,MATCH(C792,DM_NL!$A$5:$A$304,0)),""))</f>
        <v/>
      </c>
      <c r="E792" s="35" t="str">
        <f>IF(B792="","",IFERROR(INDEX(DM_NL!$C$5:$C$304,MATCH(C792,DM_NL!$A$5:$A$304,0)),""))</f>
        <v/>
      </c>
      <c r="F792" s="39" t="str">
        <f>IF(B792="","",SUMIFS(Mau15a!$F$11:$F$310,Mau15a!$B$11:$B$310,B792))</f>
        <v/>
      </c>
      <c r="G792" s="39" t="str">
        <f>IF(B792="","",IF(OR(M792="KXDDM",BOM!F792=""),0,BOM!F792))</f>
        <v/>
      </c>
      <c r="H792" s="39" t="str">
        <f t="shared" si="61"/>
        <v/>
      </c>
      <c r="I792" s="39" t="str">
        <f>IF(B792="","",SUMIFS(Mau15a!$H$11:$H$310,Mau15a!$B$11:$B$310,B792)+SUMIFS(Mau15a!$I$11:$I$310,Mau15a!$B$11:$B$310,B792)+SUMIFS(Mau15a!$J$11:$J$310,Mau15a!$B$11:$B$310,B792)-SUMIFS(Mau15a!$G$11:$G$310,Mau15a!$B$11:$B$310,B792))</f>
        <v/>
      </c>
      <c r="J792" s="39" t="str">
        <f t="shared" si="62"/>
        <v/>
      </c>
      <c r="K792" s="39" t="str">
        <f>IF(B792="","",(SUMIFS(Mau15a!$K$11:$K$310,Mau15a!$B$11:$B$310,B792)-SUMIFS(Mau15a!$E$11:$E$310,Mau15a!$B$11:$B$310,B792))*G792)</f>
        <v/>
      </c>
      <c r="L792" s="36" t="str">
        <f t="shared" si="63"/>
        <v/>
      </c>
      <c r="M792" s="36" t="str">
        <f>IF(B792="","",BOM!G792&amp;"")</f>
        <v/>
      </c>
      <c r="N792" s="36" t="str">
        <f t="shared" si="64"/>
        <v/>
      </c>
    </row>
    <row r="793" spans="1:14" x14ac:dyDescent="0.25">
      <c r="A793" s="35" t="str">
        <f t="shared" si="60"/>
        <v/>
      </c>
      <c r="B793" s="35" t="str">
        <f>IF(BOM!A793="","",BOM!A793)</f>
        <v/>
      </c>
      <c r="C793" s="35" t="str">
        <f>IF(B793="","",BOM!B793)</f>
        <v/>
      </c>
      <c r="D793" s="35" t="str">
        <f>IF(B793="","",IFERROR(INDEX(DM_NL!$B$5:$B$304,MATCH(C793,DM_NL!$A$5:$A$304,0)),""))</f>
        <v/>
      </c>
      <c r="E793" s="35" t="str">
        <f>IF(B793="","",IFERROR(INDEX(DM_NL!$C$5:$C$304,MATCH(C793,DM_NL!$A$5:$A$304,0)),""))</f>
        <v/>
      </c>
      <c r="F793" s="39" t="str">
        <f>IF(B793="","",SUMIFS(Mau15a!$F$11:$F$310,Mau15a!$B$11:$B$310,B793))</f>
        <v/>
      </c>
      <c r="G793" s="39" t="str">
        <f>IF(B793="","",IF(OR(M793="KXDDM",BOM!F793=""),0,BOM!F793))</f>
        <v/>
      </c>
      <c r="H793" s="39" t="str">
        <f t="shared" si="61"/>
        <v/>
      </c>
      <c r="I793" s="39" t="str">
        <f>IF(B793="","",SUMIFS(Mau15a!$H$11:$H$310,Mau15a!$B$11:$B$310,B793)+SUMIFS(Mau15a!$I$11:$I$310,Mau15a!$B$11:$B$310,B793)+SUMIFS(Mau15a!$J$11:$J$310,Mau15a!$B$11:$B$310,B793)-SUMIFS(Mau15a!$G$11:$G$310,Mau15a!$B$11:$B$310,B793))</f>
        <v/>
      </c>
      <c r="J793" s="39" t="str">
        <f t="shared" si="62"/>
        <v/>
      </c>
      <c r="K793" s="39" t="str">
        <f>IF(B793="","",(SUMIFS(Mau15a!$K$11:$K$310,Mau15a!$B$11:$B$310,B793)-SUMIFS(Mau15a!$E$11:$E$310,Mau15a!$B$11:$B$310,B793))*G793)</f>
        <v/>
      </c>
      <c r="L793" s="36" t="str">
        <f t="shared" si="63"/>
        <v/>
      </c>
      <c r="M793" s="36" t="str">
        <f>IF(B793="","",BOM!G793&amp;"")</f>
        <v/>
      </c>
      <c r="N793" s="36" t="str">
        <f t="shared" si="64"/>
        <v/>
      </c>
    </row>
    <row r="794" spans="1:14" x14ac:dyDescent="0.25">
      <c r="A794" s="35" t="str">
        <f t="shared" si="60"/>
        <v/>
      </c>
      <c r="B794" s="35" t="str">
        <f>IF(BOM!A794="","",BOM!A794)</f>
        <v/>
      </c>
      <c r="C794" s="35" t="str">
        <f>IF(B794="","",BOM!B794)</f>
        <v/>
      </c>
      <c r="D794" s="35" t="str">
        <f>IF(B794="","",IFERROR(INDEX(DM_NL!$B$5:$B$304,MATCH(C794,DM_NL!$A$5:$A$304,0)),""))</f>
        <v/>
      </c>
      <c r="E794" s="35" t="str">
        <f>IF(B794="","",IFERROR(INDEX(DM_NL!$C$5:$C$304,MATCH(C794,DM_NL!$A$5:$A$304,0)),""))</f>
        <v/>
      </c>
      <c r="F794" s="39" t="str">
        <f>IF(B794="","",SUMIFS(Mau15a!$F$11:$F$310,Mau15a!$B$11:$B$310,B794))</f>
        <v/>
      </c>
      <c r="G794" s="39" t="str">
        <f>IF(B794="","",IF(OR(M794="KXDDM",BOM!F794=""),0,BOM!F794))</f>
        <v/>
      </c>
      <c r="H794" s="39" t="str">
        <f t="shared" si="61"/>
        <v/>
      </c>
      <c r="I794" s="39" t="str">
        <f>IF(B794="","",SUMIFS(Mau15a!$H$11:$H$310,Mau15a!$B$11:$B$310,B794)+SUMIFS(Mau15a!$I$11:$I$310,Mau15a!$B$11:$B$310,B794)+SUMIFS(Mau15a!$J$11:$J$310,Mau15a!$B$11:$B$310,B794)-SUMIFS(Mau15a!$G$11:$G$310,Mau15a!$B$11:$B$310,B794))</f>
        <v/>
      </c>
      <c r="J794" s="39" t="str">
        <f t="shared" si="62"/>
        <v/>
      </c>
      <c r="K794" s="39" t="str">
        <f>IF(B794="","",(SUMIFS(Mau15a!$K$11:$K$310,Mau15a!$B$11:$B$310,B794)-SUMIFS(Mau15a!$E$11:$E$310,Mau15a!$B$11:$B$310,B794))*G794)</f>
        <v/>
      </c>
      <c r="L794" s="36" t="str">
        <f t="shared" si="63"/>
        <v/>
      </c>
      <c r="M794" s="36" t="str">
        <f>IF(B794="","",BOM!G794&amp;"")</f>
        <v/>
      </c>
      <c r="N794" s="36" t="str">
        <f t="shared" si="64"/>
        <v/>
      </c>
    </row>
    <row r="795" spans="1:14" x14ac:dyDescent="0.25">
      <c r="A795" s="35" t="str">
        <f t="shared" si="60"/>
        <v/>
      </c>
      <c r="B795" s="35" t="str">
        <f>IF(BOM!A795="","",BOM!A795)</f>
        <v/>
      </c>
      <c r="C795" s="35" t="str">
        <f>IF(B795="","",BOM!B795)</f>
        <v/>
      </c>
      <c r="D795" s="35" t="str">
        <f>IF(B795="","",IFERROR(INDEX(DM_NL!$B$5:$B$304,MATCH(C795,DM_NL!$A$5:$A$304,0)),""))</f>
        <v/>
      </c>
      <c r="E795" s="35" t="str">
        <f>IF(B795="","",IFERROR(INDEX(DM_NL!$C$5:$C$304,MATCH(C795,DM_NL!$A$5:$A$304,0)),""))</f>
        <v/>
      </c>
      <c r="F795" s="39" t="str">
        <f>IF(B795="","",SUMIFS(Mau15a!$F$11:$F$310,Mau15a!$B$11:$B$310,B795))</f>
        <v/>
      </c>
      <c r="G795" s="39" t="str">
        <f>IF(B795="","",IF(OR(M795="KXDDM",BOM!F795=""),0,BOM!F795))</f>
        <v/>
      </c>
      <c r="H795" s="39" t="str">
        <f t="shared" si="61"/>
        <v/>
      </c>
      <c r="I795" s="39" t="str">
        <f>IF(B795="","",SUMIFS(Mau15a!$H$11:$H$310,Mau15a!$B$11:$B$310,B795)+SUMIFS(Mau15a!$I$11:$I$310,Mau15a!$B$11:$B$310,B795)+SUMIFS(Mau15a!$J$11:$J$310,Mau15a!$B$11:$B$310,B795)-SUMIFS(Mau15a!$G$11:$G$310,Mau15a!$B$11:$B$310,B795))</f>
        <v/>
      </c>
      <c r="J795" s="39" t="str">
        <f t="shared" si="62"/>
        <v/>
      </c>
      <c r="K795" s="39" t="str">
        <f>IF(B795="","",(SUMIFS(Mau15a!$K$11:$K$310,Mau15a!$B$11:$B$310,B795)-SUMIFS(Mau15a!$E$11:$E$310,Mau15a!$B$11:$B$310,B795))*G795)</f>
        <v/>
      </c>
      <c r="L795" s="36" t="str">
        <f t="shared" si="63"/>
        <v/>
      </c>
      <c r="M795" s="36" t="str">
        <f>IF(B795="","",BOM!G795&amp;"")</f>
        <v/>
      </c>
      <c r="N795" s="36" t="str">
        <f t="shared" si="64"/>
        <v/>
      </c>
    </row>
    <row r="796" spans="1:14" x14ac:dyDescent="0.25">
      <c r="A796" s="35" t="str">
        <f t="shared" si="60"/>
        <v/>
      </c>
      <c r="B796" s="35" t="str">
        <f>IF(BOM!A796="","",BOM!A796)</f>
        <v/>
      </c>
      <c r="C796" s="35" t="str">
        <f>IF(B796="","",BOM!B796)</f>
        <v/>
      </c>
      <c r="D796" s="35" t="str">
        <f>IF(B796="","",IFERROR(INDEX(DM_NL!$B$5:$B$304,MATCH(C796,DM_NL!$A$5:$A$304,0)),""))</f>
        <v/>
      </c>
      <c r="E796" s="35" t="str">
        <f>IF(B796="","",IFERROR(INDEX(DM_NL!$C$5:$C$304,MATCH(C796,DM_NL!$A$5:$A$304,0)),""))</f>
        <v/>
      </c>
      <c r="F796" s="39" t="str">
        <f>IF(B796="","",SUMIFS(Mau15a!$F$11:$F$310,Mau15a!$B$11:$B$310,B796))</f>
        <v/>
      </c>
      <c r="G796" s="39" t="str">
        <f>IF(B796="","",IF(OR(M796="KXDDM",BOM!F796=""),0,BOM!F796))</f>
        <v/>
      </c>
      <c r="H796" s="39" t="str">
        <f t="shared" si="61"/>
        <v/>
      </c>
      <c r="I796" s="39" t="str">
        <f>IF(B796="","",SUMIFS(Mau15a!$H$11:$H$310,Mau15a!$B$11:$B$310,B796)+SUMIFS(Mau15a!$I$11:$I$310,Mau15a!$B$11:$B$310,B796)+SUMIFS(Mau15a!$J$11:$J$310,Mau15a!$B$11:$B$310,B796)-SUMIFS(Mau15a!$G$11:$G$310,Mau15a!$B$11:$B$310,B796))</f>
        <v/>
      </c>
      <c r="J796" s="39" t="str">
        <f t="shared" si="62"/>
        <v/>
      </c>
      <c r="K796" s="39" t="str">
        <f>IF(B796="","",(SUMIFS(Mau15a!$K$11:$K$310,Mau15a!$B$11:$B$310,B796)-SUMIFS(Mau15a!$E$11:$E$310,Mau15a!$B$11:$B$310,B796))*G796)</f>
        <v/>
      </c>
      <c r="L796" s="36" t="str">
        <f t="shared" si="63"/>
        <v/>
      </c>
      <c r="M796" s="36" t="str">
        <f>IF(B796="","",BOM!G796&amp;"")</f>
        <v/>
      </c>
      <c r="N796" s="36" t="str">
        <f t="shared" si="64"/>
        <v/>
      </c>
    </row>
    <row r="797" spans="1:14" x14ac:dyDescent="0.25">
      <c r="A797" s="35" t="str">
        <f t="shared" si="60"/>
        <v/>
      </c>
      <c r="B797" s="35" t="str">
        <f>IF(BOM!A797="","",BOM!A797)</f>
        <v/>
      </c>
      <c r="C797" s="35" t="str">
        <f>IF(B797="","",BOM!B797)</f>
        <v/>
      </c>
      <c r="D797" s="35" t="str">
        <f>IF(B797="","",IFERROR(INDEX(DM_NL!$B$5:$B$304,MATCH(C797,DM_NL!$A$5:$A$304,0)),""))</f>
        <v/>
      </c>
      <c r="E797" s="35" t="str">
        <f>IF(B797="","",IFERROR(INDEX(DM_NL!$C$5:$C$304,MATCH(C797,DM_NL!$A$5:$A$304,0)),""))</f>
        <v/>
      </c>
      <c r="F797" s="39" t="str">
        <f>IF(B797="","",SUMIFS(Mau15a!$F$11:$F$310,Mau15a!$B$11:$B$310,B797))</f>
        <v/>
      </c>
      <c r="G797" s="39" t="str">
        <f>IF(B797="","",IF(OR(M797="KXDDM",BOM!F797=""),0,BOM!F797))</f>
        <v/>
      </c>
      <c r="H797" s="39" t="str">
        <f t="shared" si="61"/>
        <v/>
      </c>
      <c r="I797" s="39" t="str">
        <f>IF(B797="","",SUMIFS(Mau15a!$H$11:$H$310,Mau15a!$B$11:$B$310,B797)+SUMIFS(Mau15a!$I$11:$I$310,Mau15a!$B$11:$B$310,B797)+SUMIFS(Mau15a!$J$11:$J$310,Mau15a!$B$11:$B$310,B797)-SUMIFS(Mau15a!$G$11:$G$310,Mau15a!$B$11:$B$310,B797))</f>
        <v/>
      </c>
      <c r="J797" s="39" t="str">
        <f t="shared" si="62"/>
        <v/>
      </c>
      <c r="K797" s="39" t="str">
        <f>IF(B797="","",(SUMIFS(Mau15a!$K$11:$K$310,Mau15a!$B$11:$B$310,B797)-SUMIFS(Mau15a!$E$11:$E$310,Mau15a!$B$11:$B$310,B797))*G797)</f>
        <v/>
      </c>
      <c r="L797" s="36" t="str">
        <f t="shared" si="63"/>
        <v/>
      </c>
      <c r="M797" s="36" t="str">
        <f>IF(B797="","",BOM!G797&amp;"")</f>
        <v/>
      </c>
      <c r="N797" s="36" t="str">
        <f t="shared" si="64"/>
        <v/>
      </c>
    </row>
    <row r="798" spans="1:14" x14ac:dyDescent="0.25">
      <c r="A798" s="35" t="str">
        <f t="shared" si="60"/>
        <v/>
      </c>
      <c r="B798" s="35" t="str">
        <f>IF(BOM!A798="","",BOM!A798)</f>
        <v/>
      </c>
      <c r="C798" s="35" t="str">
        <f>IF(B798="","",BOM!B798)</f>
        <v/>
      </c>
      <c r="D798" s="35" t="str">
        <f>IF(B798="","",IFERROR(INDEX(DM_NL!$B$5:$B$304,MATCH(C798,DM_NL!$A$5:$A$304,0)),""))</f>
        <v/>
      </c>
      <c r="E798" s="35" t="str">
        <f>IF(B798="","",IFERROR(INDEX(DM_NL!$C$5:$C$304,MATCH(C798,DM_NL!$A$5:$A$304,0)),""))</f>
        <v/>
      </c>
      <c r="F798" s="39" t="str">
        <f>IF(B798="","",SUMIFS(Mau15a!$F$11:$F$310,Mau15a!$B$11:$B$310,B798))</f>
        <v/>
      </c>
      <c r="G798" s="39" t="str">
        <f>IF(B798="","",IF(OR(M798="KXDDM",BOM!F798=""),0,BOM!F798))</f>
        <v/>
      </c>
      <c r="H798" s="39" t="str">
        <f t="shared" si="61"/>
        <v/>
      </c>
      <c r="I798" s="39" t="str">
        <f>IF(B798="","",SUMIFS(Mau15a!$H$11:$H$310,Mau15a!$B$11:$B$310,B798)+SUMIFS(Mau15a!$I$11:$I$310,Mau15a!$B$11:$B$310,B798)+SUMIFS(Mau15a!$J$11:$J$310,Mau15a!$B$11:$B$310,B798)-SUMIFS(Mau15a!$G$11:$G$310,Mau15a!$B$11:$B$310,B798))</f>
        <v/>
      </c>
      <c r="J798" s="39" t="str">
        <f t="shared" si="62"/>
        <v/>
      </c>
      <c r="K798" s="39" t="str">
        <f>IF(B798="","",(SUMIFS(Mau15a!$K$11:$K$310,Mau15a!$B$11:$B$310,B798)-SUMIFS(Mau15a!$E$11:$E$310,Mau15a!$B$11:$B$310,B798))*G798)</f>
        <v/>
      </c>
      <c r="L798" s="36" t="str">
        <f t="shared" si="63"/>
        <v/>
      </c>
      <c r="M798" s="36" t="str">
        <f>IF(B798="","",BOM!G798&amp;"")</f>
        <v/>
      </c>
      <c r="N798" s="36" t="str">
        <f t="shared" si="64"/>
        <v/>
      </c>
    </row>
    <row r="799" spans="1:14" x14ac:dyDescent="0.25">
      <c r="A799" s="35" t="str">
        <f t="shared" si="60"/>
        <v/>
      </c>
      <c r="B799" s="35" t="str">
        <f>IF(BOM!A799="","",BOM!A799)</f>
        <v/>
      </c>
      <c r="C799" s="35" t="str">
        <f>IF(B799="","",BOM!B799)</f>
        <v/>
      </c>
      <c r="D799" s="35" t="str">
        <f>IF(B799="","",IFERROR(INDEX(DM_NL!$B$5:$B$304,MATCH(C799,DM_NL!$A$5:$A$304,0)),""))</f>
        <v/>
      </c>
      <c r="E799" s="35" t="str">
        <f>IF(B799="","",IFERROR(INDEX(DM_NL!$C$5:$C$304,MATCH(C799,DM_NL!$A$5:$A$304,0)),""))</f>
        <v/>
      </c>
      <c r="F799" s="39" t="str">
        <f>IF(B799="","",SUMIFS(Mau15a!$F$11:$F$310,Mau15a!$B$11:$B$310,B799))</f>
        <v/>
      </c>
      <c r="G799" s="39" t="str">
        <f>IF(B799="","",IF(OR(M799="KXDDM",BOM!F799=""),0,BOM!F799))</f>
        <v/>
      </c>
      <c r="H799" s="39" t="str">
        <f t="shared" si="61"/>
        <v/>
      </c>
      <c r="I799" s="39" t="str">
        <f>IF(B799="","",SUMIFS(Mau15a!$H$11:$H$310,Mau15a!$B$11:$B$310,B799)+SUMIFS(Mau15a!$I$11:$I$310,Mau15a!$B$11:$B$310,B799)+SUMIFS(Mau15a!$J$11:$J$310,Mau15a!$B$11:$B$310,B799)-SUMIFS(Mau15a!$G$11:$G$310,Mau15a!$B$11:$B$310,B799))</f>
        <v/>
      </c>
      <c r="J799" s="39" t="str">
        <f t="shared" si="62"/>
        <v/>
      </c>
      <c r="K799" s="39" t="str">
        <f>IF(B799="","",(SUMIFS(Mau15a!$K$11:$K$310,Mau15a!$B$11:$B$310,B799)-SUMIFS(Mau15a!$E$11:$E$310,Mau15a!$B$11:$B$310,B799))*G799)</f>
        <v/>
      </c>
      <c r="L799" s="36" t="str">
        <f t="shared" si="63"/>
        <v/>
      </c>
      <c r="M799" s="36" t="str">
        <f>IF(B799="","",BOM!G799&amp;"")</f>
        <v/>
      </c>
      <c r="N799" s="36" t="str">
        <f t="shared" si="64"/>
        <v/>
      </c>
    </row>
    <row r="800" spans="1:14" x14ac:dyDescent="0.25">
      <c r="A800" s="35" t="str">
        <f t="shared" si="60"/>
        <v/>
      </c>
      <c r="B800" s="35" t="str">
        <f>IF(BOM!A800="","",BOM!A800)</f>
        <v/>
      </c>
      <c r="C800" s="35" t="str">
        <f>IF(B800="","",BOM!B800)</f>
        <v/>
      </c>
      <c r="D800" s="35" t="str">
        <f>IF(B800="","",IFERROR(INDEX(DM_NL!$B$5:$B$304,MATCH(C800,DM_NL!$A$5:$A$304,0)),""))</f>
        <v/>
      </c>
      <c r="E800" s="35" t="str">
        <f>IF(B800="","",IFERROR(INDEX(DM_NL!$C$5:$C$304,MATCH(C800,DM_NL!$A$5:$A$304,0)),""))</f>
        <v/>
      </c>
      <c r="F800" s="39" t="str">
        <f>IF(B800="","",SUMIFS(Mau15a!$F$11:$F$310,Mau15a!$B$11:$B$310,B800))</f>
        <v/>
      </c>
      <c r="G800" s="39" t="str">
        <f>IF(B800="","",IF(OR(M800="KXDDM",BOM!F800=""),0,BOM!F800))</f>
        <v/>
      </c>
      <c r="H800" s="39" t="str">
        <f t="shared" si="61"/>
        <v/>
      </c>
      <c r="I800" s="39" t="str">
        <f>IF(B800="","",SUMIFS(Mau15a!$H$11:$H$310,Mau15a!$B$11:$B$310,B800)+SUMIFS(Mau15a!$I$11:$I$310,Mau15a!$B$11:$B$310,B800)+SUMIFS(Mau15a!$J$11:$J$310,Mau15a!$B$11:$B$310,B800)-SUMIFS(Mau15a!$G$11:$G$310,Mau15a!$B$11:$B$310,B800))</f>
        <v/>
      </c>
      <c r="J800" s="39" t="str">
        <f t="shared" si="62"/>
        <v/>
      </c>
      <c r="K800" s="39" t="str">
        <f>IF(B800="","",(SUMIFS(Mau15a!$K$11:$K$310,Mau15a!$B$11:$B$310,B800)-SUMIFS(Mau15a!$E$11:$E$310,Mau15a!$B$11:$B$310,B800))*G800)</f>
        <v/>
      </c>
      <c r="L800" s="36" t="str">
        <f t="shared" si="63"/>
        <v/>
      </c>
      <c r="M800" s="36" t="str">
        <f>IF(B800="","",BOM!G800&amp;"")</f>
        <v/>
      </c>
      <c r="N800" s="36" t="str">
        <f t="shared" si="64"/>
        <v/>
      </c>
    </row>
    <row r="801" spans="1:14" x14ac:dyDescent="0.25">
      <c r="A801" s="35" t="str">
        <f t="shared" si="60"/>
        <v/>
      </c>
      <c r="B801" s="35" t="str">
        <f>IF(BOM!A801="","",BOM!A801)</f>
        <v/>
      </c>
      <c r="C801" s="35" t="str">
        <f>IF(B801="","",BOM!B801)</f>
        <v/>
      </c>
      <c r="D801" s="35" t="str">
        <f>IF(B801="","",IFERROR(INDEX(DM_NL!$B$5:$B$304,MATCH(C801,DM_NL!$A$5:$A$304,0)),""))</f>
        <v/>
      </c>
      <c r="E801" s="35" t="str">
        <f>IF(B801="","",IFERROR(INDEX(DM_NL!$C$5:$C$304,MATCH(C801,DM_NL!$A$5:$A$304,0)),""))</f>
        <v/>
      </c>
      <c r="F801" s="39" t="str">
        <f>IF(B801="","",SUMIFS(Mau15a!$F$11:$F$310,Mau15a!$B$11:$B$310,B801))</f>
        <v/>
      </c>
      <c r="G801" s="39" t="str">
        <f>IF(B801="","",IF(OR(M801="KXDDM",BOM!F801=""),0,BOM!F801))</f>
        <v/>
      </c>
      <c r="H801" s="39" t="str">
        <f t="shared" si="61"/>
        <v/>
      </c>
      <c r="I801" s="39" t="str">
        <f>IF(B801="","",SUMIFS(Mau15a!$H$11:$H$310,Mau15a!$B$11:$B$310,B801)+SUMIFS(Mau15a!$I$11:$I$310,Mau15a!$B$11:$B$310,B801)+SUMIFS(Mau15a!$J$11:$J$310,Mau15a!$B$11:$B$310,B801)-SUMIFS(Mau15a!$G$11:$G$310,Mau15a!$B$11:$B$310,B801))</f>
        <v/>
      </c>
      <c r="J801" s="39" t="str">
        <f t="shared" si="62"/>
        <v/>
      </c>
      <c r="K801" s="39" t="str">
        <f>IF(B801="","",(SUMIFS(Mau15a!$K$11:$K$310,Mau15a!$B$11:$B$310,B801)-SUMIFS(Mau15a!$E$11:$E$310,Mau15a!$B$11:$B$310,B801))*G801)</f>
        <v/>
      </c>
      <c r="L801" s="36" t="str">
        <f t="shared" si="63"/>
        <v/>
      </c>
      <c r="M801" s="36" t="str">
        <f>IF(B801="","",BOM!G801&amp;"")</f>
        <v/>
      </c>
      <c r="N801" s="36" t="str">
        <f t="shared" si="64"/>
        <v/>
      </c>
    </row>
    <row r="802" spans="1:14" x14ac:dyDescent="0.25">
      <c r="A802" s="35" t="str">
        <f t="shared" si="60"/>
        <v/>
      </c>
      <c r="B802" s="35" t="str">
        <f>IF(BOM!A802="","",BOM!A802)</f>
        <v/>
      </c>
      <c r="C802" s="35" t="str">
        <f>IF(B802="","",BOM!B802)</f>
        <v/>
      </c>
      <c r="D802" s="35" t="str">
        <f>IF(B802="","",IFERROR(INDEX(DM_NL!$B$5:$B$304,MATCH(C802,DM_NL!$A$5:$A$304,0)),""))</f>
        <v/>
      </c>
      <c r="E802" s="35" t="str">
        <f>IF(B802="","",IFERROR(INDEX(DM_NL!$C$5:$C$304,MATCH(C802,DM_NL!$A$5:$A$304,0)),""))</f>
        <v/>
      </c>
      <c r="F802" s="39" t="str">
        <f>IF(B802="","",SUMIFS(Mau15a!$F$11:$F$310,Mau15a!$B$11:$B$310,B802))</f>
        <v/>
      </c>
      <c r="G802" s="39" t="str">
        <f>IF(B802="","",IF(OR(M802="KXDDM",BOM!F802=""),0,BOM!F802))</f>
        <v/>
      </c>
      <c r="H802" s="39" t="str">
        <f t="shared" si="61"/>
        <v/>
      </c>
      <c r="I802" s="39" t="str">
        <f>IF(B802="","",SUMIFS(Mau15a!$H$11:$H$310,Mau15a!$B$11:$B$310,B802)+SUMIFS(Mau15a!$I$11:$I$310,Mau15a!$B$11:$B$310,B802)+SUMIFS(Mau15a!$J$11:$J$310,Mau15a!$B$11:$B$310,B802)-SUMIFS(Mau15a!$G$11:$G$310,Mau15a!$B$11:$B$310,B802))</f>
        <v/>
      </c>
      <c r="J802" s="39" t="str">
        <f t="shared" si="62"/>
        <v/>
      </c>
      <c r="K802" s="39" t="str">
        <f>IF(B802="","",(SUMIFS(Mau15a!$K$11:$K$310,Mau15a!$B$11:$B$310,B802)-SUMIFS(Mau15a!$E$11:$E$310,Mau15a!$B$11:$B$310,B802))*G802)</f>
        <v/>
      </c>
      <c r="L802" s="36" t="str">
        <f t="shared" si="63"/>
        <v/>
      </c>
      <c r="M802" s="36" t="str">
        <f>IF(B802="","",BOM!G802&amp;"")</f>
        <v/>
      </c>
      <c r="N802" s="36" t="str">
        <f t="shared" si="64"/>
        <v/>
      </c>
    </row>
    <row r="803" spans="1:14" x14ac:dyDescent="0.25">
      <c r="A803" s="35" t="str">
        <f t="shared" si="60"/>
        <v/>
      </c>
      <c r="B803" s="35" t="str">
        <f>IF(BOM!A803="","",BOM!A803)</f>
        <v/>
      </c>
      <c r="C803" s="35" t="str">
        <f>IF(B803="","",BOM!B803)</f>
        <v/>
      </c>
      <c r="D803" s="35" t="str">
        <f>IF(B803="","",IFERROR(INDEX(DM_NL!$B$5:$B$304,MATCH(C803,DM_NL!$A$5:$A$304,0)),""))</f>
        <v/>
      </c>
      <c r="E803" s="35" t="str">
        <f>IF(B803="","",IFERROR(INDEX(DM_NL!$C$5:$C$304,MATCH(C803,DM_NL!$A$5:$A$304,0)),""))</f>
        <v/>
      </c>
      <c r="F803" s="39" t="str">
        <f>IF(B803="","",SUMIFS(Mau15a!$F$11:$F$310,Mau15a!$B$11:$B$310,B803))</f>
        <v/>
      </c>
      <c r="G803" s="39" t="str">
        <f>IF(B803="","",IF(OR(M803="KXDDM",BOM!F803=""),0,BOM!F803))</f>
        <v/>
      </c>
      <c r="H803" s="39" t="str">
        <f t="shared" si="61"/>
        <v/>
      </c>
      <c r="I803" s="39" t="str">
        <f>IF(B803="","",SUMIFS(Mau15a!$H$11:$H$310,Mau15a!$B$11:$B$310,B803)+SUMIFS(Mau15a!$I$11:$I$310,Mau15a!$B$11:$B$310,B803)+SUMIFS(Mau15a!$J$11:$J$310,Mau15a!$B$11:$B$310,B803)-SUMIFS(Mau15a!$G$11:$G$310,Mau15a!$B$11:$B$310,B803))</f>
        <v/>
      </c>
      <c r="J803" s="39" t="str">
        <f t="shared" si="62"/>
        <v/>
      </c>
      <c r="K803" s="39" t="str">
        <f>IF(B803="","",(SUMIFS(Mau15a!$K$11:$K$310,Mau15a!$B$11:$B$310,B803)-SUMIFS(Mau15a!$E$11:$E$310,Mau15a!$B$11:$B$310,B803))*G803)</f>
        <v/>
      </c>
      <c r="L803" s="36" t="str">
        <f t="shared" si="63"/>
        <v/>
      </c>
      <c r="M803" s="36" t="str">
        <f>IF(B803="","",BOM!G803&amp;"")</f>
        <v/>
      </c>
      <c r="N803" s="36" t="str">
        <f t="shared" si="64"/>
        <v/>
      </c>
    </row>
    <row r="804" spans="1:14" x14ac:dyDescent="0.25">
      <c r="A804" s="35" t="str">
        <f t="shared" si="60"/>
        <v/>
      </c>
      <c r="B804" s="35" t="str">
        <f>IF(BOM!A804="","",BOM!A804)</f>
        <v/>
      </c>
      <c r="C804" s="35" t="str">
        <f>IF(B804="","",BOM!B804)</f>
        <v/>
      </c>
      <c r="D804" s="35" t="str">
        <f>IF(B804="","",IFERROR(INDEX(DM_NL!$B$5:$B$304,MATCH(C804,DM_NL!$A$5:$A$304,0)),""))</f>
        <v/>
      </c>
      <c r="E804" s="35" t="str">
        <f>IF(B804="","",IFERROR(INDEX(DM_NL!$C$5:$C$304,MATCH(C804,DM_NL!$A$5:$A$304,0)),""))</f>
        <v/>
      </c>
      <c r="F804" s="39" t="str">
        <f>IF(B804="","",SUMIFS(Mau15a!$F$11:$F$310,Mau15a!$B$11:$B$310,B804))</f>
        <v/>
      </c>
      <c r="G804" s="39" t="str">
        <f>IF(B804="","",IF(OR(M804="KXDDM",BOM!F804=""),0,BOM!F804))</f>
        <v/>
      </c>
      <c r="H804" s="39" t="str">
        <f t="shared" si="61"/>
        <v/>
      </c>
      <c r="I804" s="39" t="str">
        <f>IF(B804="","",SUMIFS(Mau15a!$H$11:$H$310,Mau15a!$B$11:$B$310,B804)+SUMIFS(Mau15a!$I$11:$I$310,Mau15a!$B$11:$B$310,B804)+SUMIFS(Mau15a!$J$11:$J$310,Mau15a!$B$11:$B$310,B804)-SUMIFS(Mau15a!$G$11:$G$310,Mau15a!$B$11:$B$310,B804))</f>
        <v/>
      </c>
      <c r="J804" s="39" t="str">
        <f t="shared" si="62"/>
        <v/>
      </c>
      <c r="K804" s="39" t="str">
        <f>IF(B804="","",(SUMIFS(Mau15a!$K$11:$K$310,Mau15a!$B$11:$B$310,B804)-SUMIFS(Mau15a!$E$11:$E$310,Mau15a!$B$11:$B$310,B804))*G804)</f>
        <v/>
      </c>
      <c r="L804" s="36" t="str">
        <f t="shared" si="63"/>
        <v/>
      </c>
      <c r="M804" s="36" t="str">
        <f>IF(B804="","",BOM!G804&amp;"")</f>
        <v/>
      </c>
      <c r="N804" s="36" t="str">
        <f t="shared" si="64"/>
        <v/>
      </c>
    </row>
    <row r="805" spans="1:14" x14ac:dyDescent="0.25">
      <c r="A805" s="35" t="str">
        <f t="shared" si="60"/>
        <v/>
      </c>
      <c r="B805" s="35" t="str">
        <f>IF(BOM!A805="","",BOM!A805)</f>
        <v/>
      </c>
      <c r="C805" s="35" t="str">
        <f>IF(B805="","",BOM!B805)</f>
        <v/>
      </c>
      <c r="D805" s="35" t="str">
        <f>IF(B805="","",IFERROR(INDEX(DM_NL!$B$5:$B$304,MATCH(C805,DM_NL!$A$5:$A$304,0)),""))</f>
        <v/>
      </c>
      <c r="E805" s="35" t="str">
        <f>IF(B805="","",IFERROR(INDEX(DM_NL!$C$5:$C$304,MATCH(C805,DM_NL!$A$5:$A$304,0)),""))</f>
        <v/>
      </c>
      <c r="F805" s="39" t="str">
        <f>IF(B805="","",SUMIFS(Mau15a!$F$11:$F$310,Mau15a!$B$11:$B$310,B805))</f>
        <v/>
      </c>
      <c r="G805" s="39" t="str">
        <f>IF(B805="","",IF(OR(M805="KXDDM",BOM!F805=""),0,BOM!F805))</f>
        <v/>
      </c>
      <c r="H805" s="39" t="str">
        <f t="shared" si="61"/>
        <v/>
      </c>
      <c r="I805" s="39" t="str">
        <f>IF(B805="","",SUMIFS(Mau15a!$H$11:$H$310,Mau15a!$B$11:$B$310,B805)+SUMIFS(Mau15a!$I$11:$I$310,Mau15a!$B$11:$B$310,B805)+SUMIFS(Mau15a!$J$11:$J$310,Mau15a!$B$11:$B$310,B805)-SUMIFS(Mau15a!$G$11:$G$310,Mau15a!$B$11:$B$310,B805))</f>
        <v/>
      </c>
      <c r="J805" s="39" t="str">
        <f t="shared" si="62"/>
        <v/>
      </c>
      <c r="K805" s="39" t="str">
        <f>IF(B805="","",(SUMIFS(Mau15a!$K$11:$K$310,Mau15a!$B$11:$B$310,B805)-SUMIFS(Mau15a!$E$11:$E$310,Mau15a!$B$11:$B$310,B805))*G805)</f>
        <v/>
      </c>
      <c r="L805" s="36" t="str">
        <f t="shared" si="63"/>
        <v/>
      </c>
      <c r="M805" s="36" t="str">
        <f>IF(B805="","",BOM!G805&amp;"")</f>
        <v/>
      </c>
      <c r="N805" s="36" t="str">
        <f t="shared" si="64"/>
        <v/>
      </c>
    </row>
    <row r="806" spans="1:14" x14ac:dyDescent="0.25">
      <c r="A806" s="35" t="str">
        <f t="shared" si="60"/>
        <v/>
      </c>
      <c r="B806" s="35" t="str">
        <f>IF(BOM!A806="","",BOM!A806)</f>
        <v/>
      </c>
      <c r="C806" s="35" t="str">
        <f>IF(B806="","",BOM!B806)</f>
        <v/>
      </c>
      <c r="D806" s="35" t="str">
        <f>IF(B806="","",IFERROR(INDEX(DM_NL!$B$5:$B$304,MATCH(C806,DM_NL!$A$5:$A$304,0)),""))</f>
        <v/>
      </c>
      <c r="E806" s="35" t="str">
        <f>IF(B806="","",IFERROR(INDEX(DM_NL!$C$5:$C$304,MATCH(C806,DM_NL!$A$5:$A$304,0)),""))</f>
        <v/>
      </c>
      <c r="F806" s="39" t="str">
        <f>IF(B806="","",SUMIFS(Mau15a!$F$11:$F$310,Mau15a!$B$11:$B$310,B806))</f>
        <v/>
      </c>
      <c r="G806" s="39" t="str">
        <f>IF(B806="","",IF(OR(M806="KXDDM",BOM!F806=""),0,BOM!F806))</f>
        <v/>
      </c>
      <c r="H806" s="39" t="str">
        <f t="shared" si="61"/>
        <v/>
      </c>
      <c r="I806" s="39" t="str">
        <f>IF(B806="","",SUMIFS(Mau15a!$H$11:$H$310,Mau15a!$B$11:$B$310,B806)+SUMIFS(Mau15a!$I$11:$I$310,Mau15a!$B$11:$B$310,B806)+SUMIFS(Mau15a!$J$11:$J$310,Mau15a!$B$11:$B$310,B806)-SUMIFS(Mau15a!$G$11:$G$310,Mau15a!$B$11:$B$310,B806))</f>
        <v/>
      </c>
      <c r="J806" s="39" t="str">
        <f t="shared" si="62"/>
        <v/>
      </c>
      <c r="K806" s="39" t="str">
        <f>IF(B806="","",(SUMIFS(Mau15a!$K$11:$K$310,Mau15a!$B$11:$B$310,B806)-SUMIFS(Mau15a!$E$11:$E$310,Mau15a!$B$11:$B$310,B806))*G806)</f>
        <v/>
      </c>
      <c r="L806" s="36" t="str">
        <f t="shared" si="63"/>
        <v/>
      </c>
      <c r="M806" s="36" t="str">
        <f>IF(B806="","",BOM!G806&amp;"")</f>
        <v/>
      </c>
      <c r="N806" s="36" t="str">
        <f t="shared" si="64"/>
        <v/>
      </c>
    </row>
    <row r="807" spans="1:14" x14ac:dyDescent="0.25">
      <c r="A807" s="35" t="str">
        <f t="shared" si="60"/>
        <v/>
      </c>
      <c r="B807" s="35" t="str">
        <f>IF(BOM!A807="","",BOM!A807)</f>
        <v/>
      </c>
      <c r="C807" s="35" t="str">
        <f>IF(B807="","",BOM!B807)</f>
        <v/>
      </c>
      <c r="D807" s="35" t="str">
        <f>IF(B807="","",IFERROR(INDEX(DM_NL!$B$5:$B$304,MATCH(C807,DM_NL!$A$5:$A$304,0)),""))</f>
        <v/>
      </c>
      <c r="E807" s="35" t="str">
        <f>IF(B807="","",IFERROR(INDEX(DM_NL!$C$5:$C$304,MATCH(C807,DM_NL!$A$5:$A$304,0)),""))</f>
        <v/>
      </c>
      <c r="F807" s="39" t="str">
        <f>IF(B807="","",SUMIFS(Mau15a!$F$11:$F$310,Mau15a!$B$11:$B$310,B807))</f>
        <v/>
      </c>
      <c r="G807" s="39" t="str">
        <f>IF(B807="","",IF(OR(M807="KXDDM",BOM!F807=""),0,BOM!F807))</f>
        <v/>
      </c>
      <c r="H807" s="39" t="str">
        <f t="shared" si="61"/>
        <v/>
      </c>
      <c r="I807" s="39" t="str">
        <f>IF(B807="","",SUMIFS(Mau15a!$H$11:$H$310,Mau15a!$B$11:$B$310,B807)+SUMIFS(Mau15a!$I$11:$I$310,Mau15a!$B$11:$B$310,B807)+SUMIFS(Mau15a!$J$11:$J$310,Mau15a!$B$11:$B$310,B807)-SUMIFS(Mau15a!$G$11:$G$310,Mau15a!$B$11:$B$310,B807))</f>
        <v/>
      </c>
      <c r="J807" s="39" t="str">
        <f t="shared" si="62"/>
        <v/>
      </c>
      <c r="K807" s="39" t="str">
        <f>IF(B807="","",(SUMIFS(Mau15a!$K$11:$K$310,Mau15a!$B$11:$B$310,B807)-SUMIFS(Mau15a!$E$11:$E$310,Mau15a!$B$11:$B$310,B807))*G807)</f>
        <v/>
      </c>
      <c r="L807" s="36" t="str">
        <f t="shared" si="63"/>
        <v/>
      </c>
      <c r="M807" s="36" t="str">
        <f>IF(B807="","",BOM!G807&amp;"")</f>
        <v/>
      </c>
      <c r="N807" s="36" t="str">
        <f t="shared" si="64"/>
        <v/>
      </c>
    </row>
    <row r="808" spans="1:14" x14ac:dyDescent="0.25">
      <c r="A808" s="35" t="str">
        <f t="shared" si="60"/>
        <v/>
      </c>
      <c r="B808" s="35" t="str">
        <f>IF(BOM!A808="","",BOM!A808)</f>
        <v/>
      </c>
      <c r="C808" s="35" t="str">
        <f>IF(B808="","",BOM!B808)</f>
        <v/>
      </c>
      <c r="D808" s="35" t="str">
        <f>IF(B808="","",IFERROR(INDEX(DM_NL!$B$5:$B$304,MATCH(C808,DM_NL!$A$5:$A$304,0)),""))</f>
        <v/>
      </c>
      <c r="E808" s="35" t="str">
        <f>IF(B808="","",IFERROR(INDEX(DM_NL!$C$5:$C$304,MATCH(C808,DM_NL!$A$5:$A$304,0)),""))</f>
        <v/>
      </c>
      <c r="F808" s="39" t="str">
        <f>IF(B808="","",SUMIFS(Mau15a!$F$11:$F$310,Mau15a!$B$11:$B$310,B808))</f>
        <v/>
      </c>
      <c r="G808" s="39" t="str">
        <f>IF(B808="","",IF(OR(M808="KXDDM",BOM!F808=""),0,BOM!F808))</f>
        <v/>
      </c>
      <c r="H808" s="39" t="str">
        <f t="shared" si="61"/>
        <v/>
      </c>
      <c r="I808" s="39" t="str">
        <f>IF(B808="","",SUMIFS(Mau15a!$H$11:$H$310,Mau15a!$B$11:$B$310,B808)+SUMIFS(Mau15a!$I$11:$I$310,Mau15a!$B$11:$B$310,B808)+SUMIFS(Mau15a!$J$11:$J$310,Mau15a!$B$11:$B$310,B808)-SUMIFS(Mau15a!$G$11:$G$310,Mau15a!$B$11:$B$310,B808))</f>
        <v/>
      </c>
      <c r="J808" s="39" t="str">
        <f t="shared" si="62"/>
        <v/>
      </c>
      <c r="K808" s="39" t="str">
        <f>IF(B808="","",(SUMIFS(Mau15a!$K$11:$K$310,Mau15a!$B$11:$B$310,B808)-SUMIFS(Mau15a!$E$11:$E$310,Mau15a!$B$11:$B$310,B808))*G808)</f>
        <v/>
      </c>
      <c r="L808" s="36" t="str">
        <f t="shared" si="63"/>
        <v/>
      </c>
      <c r="M808" s="36" t="str">
        <f>IF(B808="","",BOM!G808&amp;"")</f>
        <v/>
      </c>
      <c r="N808" s="36" t="str">
        <f t="shared" si="64"/>
        <v/>
      </c>
    </row>
    <row r="809" spans="1:14" x14ac:dyDescent="0.25">
      <c r="A809" s="35" t="str">
        <f t="shared" si="60"/>
        <v/>
      </c>
      <c r="B809" s="35" t="str">
        <f>IF(BOM!A809="","",BOM!A809)</f>
        <v/>
      </c>
      <c r="C809" s="35" t="str">
        <f>IF(B809="","",BOM!B809)</f>
        <v/>
      </c>
      <c r="D809" s="35" t="str">
        <f>IF(B809="","",IFERROR(INDEX(DM_NL!$B$5:$B$304,MATCH(C809,DM_NL!$A$5:$A$304,0)),""))</f>
        <v/>
      </c>
      <c r="E809" s="35" t="str">
        <f>IF(B809="","",IFERROR(INDEX(DM_NL!$C$5:$C$304,MATCH(C809,DM_NL!$A$5:$A$304,0)),""))</f>
        <v/>
      </c>
      <c r="F809" s="39" t="str">
        <f>IF(B809="","",SUMIFS(Mau15a!$F$11:$F$310,Mau15a!$B$11:$B$310,B809))</f>
        <v/>
      </c>
      <c r="G809" s="39" t="str">
        <f>IF(B809="","",IF(OR(M809="KXDDM",BOM!F809=""),0,BOM!F809))</f>
        <v/>
      </c>
      <c r="H809" s="39" t="str">
        <f t="shared" si="61"/>
        <v/>
      </c>
      <c r="I809" s="39" t="str">
        <f>IF(B809="","",SUMIFS(Mau15a!$H$11:$H$310,Mau15a!$B$11:$B$310,B809)+SUMIFS(Mau15a!$I$11:$I$310,Mau15a!$B$11:$B$310,B809)+SUMIFS(Mau15a!$J$11:$J$310,Mau15a!$B$11:$B$310,B809)-SUMIFS(Mau15a!$G$11:$G$310,Mau15a!$B$11:$B$310,B809))</f>
        <v/>
      </c>
      <c r="J809" s="39" t="str">
        <f t="shared" si="62"/>
        <v/>
      </c>
      <c r="K809" s="39" t="str">
        <f>IF(B809="","",(SUMIFS(Mau15a!$K$11:$K$310,Mau15a!$B$11:$B$310,B809)-SUMIFS(Mau15a!$E$11:$E$310,Mau15a!$B$11:$B$310,B809))*G809)</f>
        <v/>
      </c>
      <c r="L809" s="36" t="str">
        <f t="shared" si="63"/>
        <v/>
      </c>
      <c r="M809" s="36" t="str">
        <f>IF(B809="","",BOM!G809&amp;"")</f>
        <v/>
      </c>
      <c r="N809" s="36" t="str">
        <f t="shared" si="64"/>
        <v/>
      </c>
    </row>
    <row r="810" spans="1:14" x14ac:dyDescent="0.25">
      <c r="A810" s="35" t="str">
        <f t="shared" si="60"/>
        <v/>
      </c>
      <c r="B810" s="35" t="str">
        <f>IF(BOM!A810="","",BOM!A810)</f>
        <v/>
      </c>
      <c r="C810" s="35" t="str">
        <f>IF(B810="","",BOM!B810)</f>
        <v/>
      </c>
      <c r="D810" s="35" t="str">
        <f>IF(B810="","",IFERROR(INDEX(DM_NL!$B$5:$B$304,MATCH(C810,DM_NL!$A$5:$A$304,0)),""))</f>
        <v/>
      </c>
      <c r="E810" s="35" t="str">
        <f>IF(B810="","",IFERROR(INDEX(DM_NL!$C$5:$C$304,MATCH(C810,DM_NL!$A$5:$A$304,0)),""))</f>
        <v/>
      </c>
      <c r="F810" s="39" t="str">
        <f>IF(B810="","",SUMIFS(Mau15a!$F$11:$F$310,Mau15a!$B$11:$B$310,B810))</f>
        <v/>
      </c>
      <c r="G810" s="39" t="str">
        <f>IF(B810="","",IF(OR(M810="KXDDM",BOM!F810=""),0,BOM!F810))</f>
        <v/>
      </c>
      <c r="H810" s="39" t="str">
        <f t="shared" si="61"/>
        <v/>
      </c>
      <c r="I810" s="39" t="str">
        <f>IF(B810="","",SUMIFS(Mau15a!$H$11:$H$310,Mau15a!$B$11:$B$310,B810)+SUMIFS(Mau15a!$I$11:$I$310,Mau15a!$B$11:$B$310,B810)+SUMIFS(Mau15a!$J$11:$J$310,Mau15a!$B$11:$B$310,B810)-SUMIFS(Mau15a!$G$11:$G$310,Mau15a!$B$11:$B$310,B810))</f>
        <v/>
      </c>
      <c r="J810" s="39" t="str">
        <f t="shared" si="62"/>
        <v/>
      </c>
      <c r="K810" s="39" t="str">
        <f>IF(B810="","",(SUMIFS(Mau15a!$K$11:$K$310,Mau15a!$B$11:$B$310,B810)-SUMIFS(Mau15a!$E$11:$E$310,Mau15a!$B$11:$B$310,B810))*G810)</f>
        <v/>
      </c>
      <c r="L810" s="36" t="str">
        <f t="shared" si="63"/>
        <v/>
      </c>
      <c r="M810" s="36" t="str">
        <f>IF(B810="","",BOM!G810&amp;"")</f>
        <v/>
      </c>
      <c r="N810" s="36" t="str">
        <f t="shared" si="64"/>
        <v/>
      </c>
    </row>
    <row r="811" spans="1:14" x14ac:dyDescent="0.25">
      <c r="A811" s="35" t="str">
        <f t="shared" si="60"/>
        <v/>
      </c>
      <c r="B811" s="35" t="str">
        <f>IF(BOM!A811="","",BOM!A811)</f>
        <v/>
      </c>
      <c r="C811" s="35" t="str">
        <f>IF(B811="","",BOM!B811)</f>
        <v/>
      </c>
      <c r="D811" s="35" t="str">
        <f>IF(B811="","",IFERROR(INDEX(DM_NL!$B$5:$B$304,MATCH(C811,DM_NL!$A$5:$A$304,0)),""))</f>
        <v/>
      </c>
      <c r="E811" s="35" t="str">
        <f>IF(B811="","",IFERROR(INDEX(DM_NL!$C$5:$C$304,MATCH(C811,DM_NL!$A$5:$A$304,0)),""))</f>
        <v/>
      </c>
      <c r="F811" s="39" t="str">
        <f>IF(B811="","",SUMIFS(Mau15a!$F$11:$F$310,Mau15a!$B$11:$B$310,B811))</f>
        <v/>
      </c>
      <c r="G811" s="39" t="str">
        <f>IF(B811="","",IF(OR(M811="KXDDM",BOM!F811=""),0,BOM!F811))</f>
        <v/>
      </c>
      <c r="H811" s="39" t="str">
        <f t="shared" si="61"/>
        <v/>
      </c>
      <c r="I811" s="39" t="str">
        <f>IF(B811="","",SUMIFS(Mau15a!$H$11:$H$310,Mau15a!$B$11:$B$310,B811)+SUMIFS(Mau15a!$I$11:$I$310,Mau15a!$B$11:$B$310,B811)+SUMIFS(Mau15a!$J$11:$J$310,Mau15a!$B$11:$B$310,B811)-SUMIFS(Mau15a!$G$11:$G$310,Mau15a!$B$11:$B$310,B811))</f>
        <v/>
      </c>
      <c r="J811" s="39" t="str">
        <f t="shared" si="62"/>
        <v/>
      </c>
      <c r="K811" s="39" t="str">
        <f>IF(B811="","",(SUMIFS(Mau15a!$K$11:$K$310,Mau15a!$B$11:$B$310,B811)-SUMIFS(Mau15a!$E$11:$E$310,Mau15a!$B$11:$B$310,B811))*G811)</f>
        <v/>
      </c>
      <c r="L811" s="36" t="str">
        <f t="shared" si="63"/>
        <v/>
      </c>
      <c r="M811" s="36" t="str">
        <f>IF(B811="","",BOM!G811&amp;"")</f>
        <v/>
      </c>
      <c r="N811" s="36" t="str">
        <f t="shared" si="64"/>
        <v/>
      </c>
    </row>
    <row r="812" spans="1:14" x14ac:dyDescent="0.25">
      <c r="A812" s="35" t="str">
        <f t="shared" si="60"/>
        <v/>
      </c>
      <c r="B812" s="35" t="str">
        <f>IF(BOM!A812="","",BOM!A812)</f>
        <v/>
      </c>
      <c r="C812" s="35" t="str">
        <f>IF(B812="","",BOM!B812)</f>
        <v/>
      </c>
      <c r="D812" s="35" t="str">
        <f>IF(B812="","",IFERROR(INDEX(DM_NL!$B$5:$B$304,MATCH(C812,DM_NL!$A$5:$A$304,0)),""))</f>
        <v/>
      </c>
      <c r="E812" s="35" t="str">
        <f>IF(B812="","",IFERROR(INDEX(DM_NL!$C$5:$C$304,MATCH(C812,DM_NL!$A$5:$A$304,0)),""))</f>
        <v/>
      </c>
      <c r="F812" s="39" t="str">
        <f>IF(B812="","",SUMIFS(Mau15a!$F$11:$F$310,Mau15a!$B$11:$B$310,B812))</f>
        <v/>
      </c>
      <c r="G812" s="39" t="str">
        <f>IF(B812="","",IF(OR(M812="KXDDM",BOM!F812=""),0,BOM!F812))</f>
        <v/>
      </c>
      <c r="H812" s="39" t="str">
        <f t="shared" si="61"/>
        <v/>
      </c>
      <c r="I812" s="39" t="str">
        <f>IF(B812="","",SUMIFS(Mau15a!$H$11:$H$310,Mau15a!$B$11:$B$310,B812)+SUMIFS(Mau15a!$I$11:$I$310,Mau15a!$B$11:$B$310,B812)+SUMIFS(Mau15a!$J$11:$J$310,Mau15a!$B$11:$B$310,B812)-SUMIFS(Mau15a!$G$11:$G$310,Mau15a!$B$11:$B$310,B812))</f>
        <v/>
      </c>
      <c r="J812" s="39" t="str">
        <f t="shared" si="62"/>
        <v/>
      </c>
      <c r="K812" s="39" t="str">
        <f>IF(B812="","",(SUMIFS(Mau15a!$K$11:$K$310,Mau15a!$B$11:$B$310,B812)-SUMIFS(Mau15a!$E$11:$E$310,Mau15a!$B$11:$B$310,B812))*G812)</f>
        <v/>
      </c>
      <c r="L812" s="36" t="str">
        <f t="shared" si="63"/>
        <v/>
      </c>
      <c r="M812" s="36" t="str">
        <f>IF(B812="","",BOM!G812&amp;"")</f>
        <v/>
      </c>
      <c r="N812" s="36" t="str">
        <f t="shared" si="64"/>
        <v/>
      </c>
    </row>
    <row r="813" spans="1:14" x14ac:dyDescent="0.25">
      <c r="A813" s="35" t="str">
        <f t="shared" si="60"/>
        <v/>
      </c>
      <c r="B813" s="35" t="str">
        <f>IF(BOM!A813="","",BOM!A813)</f>
        <v/>
      </c>
      <c r="C813" s="35" t="str">
        <f>IF(B813="","",BOM!B813)</f>
        <v/>
      </c>
      <c r="D813" s="35" t="str">
        <f>IF(B813="","",IFERROR(INDEX(DM_NL!$B$5:$B$304,MATCH(C813,DM_NL!$A$5:$A$304,0)),""))</f>
        <v/>
      </c>
      <c r="E813" s="35" t="str">
        <f>IF(B813="","",IFERROR(INDEX(DM_NL!$C$5:$C$304,MATCH(C813,DM_NL!$A$5:$A$304,0)),""))</f>
        <v/>
      </c>
      <c r="F813" s="39" t="str">
        <f>IF(B813="","",SUMIFS(Mau15a!$F$11:$F$310,Mau15a!$B$11:$B$310,B813))</f>
        <v/>
      </c>
      <c r="G813" s="39" t="str">
        <f>IF(B813="","",IF(OR(M813="KXDDM",BOM!F813=""),0,BOM!F813))</f>
        <v/>
      </c>
      <c r="H813" s="39" t="str">
        <f t="shared" si="61"/>
        <v/>
      </c>
      <c r="I813" s="39" t="str">
        <f>IF(B813="","",SUMIFS(Mau15a!$H$11:$H$310,Mau15a!$B$11:$B$310,B813)+SUMIFS(Mau15a!$I$11:$I$310,Mau15a!$B$11:$B$310,B813)+SUMIFS(Mau15a!$J$11:$J$310,Mau15a!$B$11:$B$310,B813)-SUMIFS(Mau15a!$G$11:$G$310,Mau15a!$B$11:$B$310,B813))</f>
        <v/>
      </c>
      <c r="J813" s="39" t="str">
        <f t="shared" si="62"/>
        <v/>
      </c>
      <c r="K813" s="39" t="str">
        <f>IF(B813="","",(SUMIFS(Mau15a!$K$11:$K$310,Mau15a!$B$11:$B$310,B813)-SUMIFS(Mau15a!$E$11:$E$310,Mau15a!$B$11:$B$310,B813))*G813)</f>
        <v/>
      </c>
      <c r="L813" s="36" t="str">
        <f t="shared" si="63"/>
        <v/>
      </c>
      <c r="M813" s="36" t="str">
        <f>IF(B813="","",BOM!G813&amp;"")</f>
        <v/>
      </c>
      <c r="N813" s="36" t="str">
        <f t="shared" si="64"/>
        <v/>
      </c>
    </row>
    <row r="814" spans="1:14" x14ac:dyDescent="0.25">
      <c r="A814" s="35" t="str">
        <f t="shared" si="60"/>
        <v/>
      </c>
      <c r="B814" s="35" t="str">
        <f>IF(BOM!A814="","",BOM!A814)</f>
        <v/>
      </c>
      <c r="C814" s="35" t="str">
        <f>IF(B814="","",BOM!B814)</f>
        <v/>
      </c>
      <c r="D814" s="35" t="str">
        <f>IF(B814="","",IFERROR(INDEX(DM_NL!$B$5:$B$304,MATCH(C814,DM_NL!$A$5:$A$304,0)),""))</f>
        <v/>
      </c>
      <c r="E814" s="35" t="str">
        <f>IF(B814="","",IFERROR(INDEX(DM_NL!$C$5:$C$304,MATCH(C814,DM_NL!$A$5:$A$304,0)),""))</f>
        <v/>
      </c>
      <c r="F814" s="39" t="str">
        <f>IF(B814="","",SUMIFS(Mau15a!$F$11:$F$310,Mau15a!$B$11:$B$310,B814))</f>
        <v/>
      </c>
      <c r="G814" s="39" t="str">
        <f>IF(B814="","",IF(OR(M814="KXDDM",BOM!F814=""),0,BOM!F814))</f>
        <v/>
      </c>
      <c r="H814" s="39" t="str">
        <f t="shared" si="61"/>
        <v/>
      </c>
      <c r="I814" s="39" t="str">
        <f>IF(B814="","",SUMIFS(Mau15a!$H$11:$H$310,Mau15a!$B$11:$B$310,B814)+SUMIFS(Mau15a!$I$11:$I$310,Mau15a!$B$11:$B$310,B814)+SUMIFS(Mau15a!$J$11:$J$310,Mau15a!$B$11:$B$310,B814)-SUMIFS(Mau15a!$G$11:$G$310,Mau15a!$B$11:$B$310,B814))</f>
        <v/>
      </c>
      <c r="J814" s="39" t="str">
        <f t="shared" si="62"/>
        <v/>
      </c>
      <c r="K814" s="39" t="str">
        <f>IF(B814="","",(SUMIFS(Mau15a!$K$11:$K$310,Mau15a!$B$11:$B$310,B814)-SUMIFS(Mau15a!$E$11:$E$310,Mau15a!$B$11:$B$310,B814))*G814)</f>
        <v/>
      </c>
      <c r="L814" s="36" t="str">
        <f t="shared" si="63"/>
        <v/>
      </c>
      <c r="M814" s="36" t="str">
        <f>IF(B814="","",BOM!G814&amp;"")</f>
        <v/>
      </c>
      <c r="N814" s="36" t="str">
        <f t="shared" si="64"/>
        <v/>
      </c>
    </row>
    <row r="815" spans="1:14" x14ac:dyDescent="0.25">
      <c r="A815" s="35" t="str">
        <f t="shared" si="60"/>
        <v/>
      </c>
      <c r="B815" s="35" t="str">
        <f>IF(BOM!A815="","",BOM!A815)</f>
        <v/>
      </c>
      <c r="C815" s="35" t="str">
        <f>IF(B815="","",BOM!B815)</f>
        <v/>
      </c>
      <c r="D815" s="35" t="str">
        <f>IF(B815="","",IFERROR(INDEX(DM_NL!$B$5:$B$304,MATCH(C815,DM_NL!$A$5:$A$304,0)),""))</f>
        <v/>
      </c>
      <c r="E815" s="35" t="str">
        <f>IF(B815="","",IFERROR(INDEX(DM_NL!$C$5:$C$304,MATCH(C815,DM_NL!$A$5:$A$304,0)),""))</f>
        <v/>
      </c>
      <c r="F815" s="39" t="str">
        <f>IF(B815="","",SUMIFS(Mau15a!$F$11:$F$310,Mau15a!$B$11:$B$310,B815))</f>
        <v/>
      </c>
      <c r="G815" s="39" t="str">
        <f>IF(B815="","",IF(OR(M815="KXDDM",BOM!F815=""),0,BOM!F815))</f>
        <v/>
      </c>
      <c r="H815" s="39" t="str">
        <f t="shared" si="61"/>
        <v/>
      </c>
      <c r="I815" s="39" t="str">
        <f>IF(B815="","",SUMIFS(Mau15a!$H$11:$H$310,Mau15a!$B$11:$B$310,B815)+SUMIFS(Mau15a!$I$11:$I$310,Mau15a!$B$11:$B$310,B815)+SUMIFS(Mau15a!$J$11:$J$310,Mau15a!$B$11:$B$310,B815)-SUMIFS(Mau15a!$G$11:$G$310,Mau15a!$B$11:$B$310,B815))</f>
        <v/>
      </c>
      <c r="J815" s="39" t="str">
        <f t="shared" si="62"/>
        <v/>
      </c>
      <c r="K815" s="39" t="str">
        <f>IF(B815="","",(SUMIFS(Mau15a!$K$11:$K$310,Mau15a!$B$11:$B$310,B815)-SUMIFS(Mau15a!$E$11:$E$310,Mau15a!$B$11:$B$310,B815))*G815)</f>
        <v/>
      </c>
      <c r="L815" s="36" t="str">
        <f t="shared" si="63"/>
        <v/>
      </c>
      <c r="M815" s="36" t="str">
        <f>IF(B815="","",BOM!G815&amp;"")</f>
        <v/>
      </c>
      <c r="N815" s="36" t="str">
        <f t="shared" si="64"/>
        <v/>
      </c>
    </row>
    <row r="816" spans="1:14" x14ac:dyDescent="0.25">
      <c r="A816" s="35" t="str">
        <f t="shared" si="60"/>
        <v/>
      </c>
      <c r="B816" s="35" t="str">
        <f>IF(BOM!A816="","",BOM!A816)</f>
        <v/>
      </c>
      <c r="C816" s="35" t="str">
        <f>IF(B816="","",BOM!B816)</f>
        <v/>
      </c>
      <c r="D816" s="35" t="str">
        <f>IF(B816="","",IFERROR(INDEX(DM_NL!$B$5:$B$304,MATCH(C816,DM_NL!$A$5:$A$304,0)),""))</f>
        <v/>
      </c>
      <c r="E816" s="35" t="str">
        <f>IF(B816="","",IFERROR(INDEX(DM_NL!$C$5:$C$304,MATCH(C816,DM_NL!$A$5:$A$304,0)),""))</f>
        <v/>
      </c>
      <c r="F816" s="39" t="str">
        <f>IF(B816="","",SUMIFS(Mau15a!$F$11:$F$310,Mau15a!$B$11:$B$310,B816))</f>
        <v/>
      </c>
      <c r="G816" s="39" t="str">
        <f>IF(B816="","",IF(OR(M816="KXDDM",BOM!F816=""),0,BOM!F816))</f>
        <v/>
      </c>
      <c r="H816" s="39" t="str">
        <f t="shared" si="61"/>
        <v/>
      </c>
      <c r="I816" s="39" t="str">
        <f>IF(B816="","",SUMIFS(Mau15a!$H$11:$H$310,Mau15a!$B$11:$B$310,B816)+SUMIFS(Mau15a!$I$11:$I$310,Mau15a!$B$11:$B$310,B816)+SUMIFS(Mau15a!$J$11:$J$310,Mau15a!$B$11:$B$310,B816)-SUMIFS(Mau15a!$G$11:$G$310,Mau15a!$B$11:$B$310,B816))</f>
        <v/>
      </c>
      <c r="J816" s="39" t="str">
        <f t="shared" si="62"/>
        <v/>
      </c>
      <c r="K816" s="39" t="str">
        <f>IF(B816="","",(SUMIFS(Mau15a!$K$11:$K$310,Mau15a!$B$11:$B$310,B816)-SUMIFS(Mau15a!$E$11:$E$310,Mau15a!$B$11:$B$310,B816))*G816)</f>
        <v/>
      </c>
      <c r="L816" s="36" t="str">
        <f t="shared" si="63"/>
        <v/>
      </c>
      <c r="M816" s="36" t="str">
        <f>IF(B816="","",BOM!G816&amp;"")</f>
        <v/>
      </c>
      <c r="N816" s="36" t="str">
        <f t="shared" si="64"/>
        <v/>
      </c>
    </row>
    <row r="817" spans="1:14" x14ac:dyDescent="0.25">
      <c r="A817" s="35" t="str">
        <f t="shared" si="60"/>
        <v/>
      </c>
      <c r="B817" s="35" t="str">
        <f>IF(BOM!A817="","",BOM!A817)</f>
        <v/>
      </c>
      <c r="C817" s="35" t="str">
        <f>IF(B817="","",BOM!B817)</f>
        <v/>
      </c>
      <c r="D817" s="35" t="str">
        <f>IF(B817="","",IFERROR(INDEX(DM_NL!$B$5:$B$304,MATCH(C817,DM_NL!$A$5:$A$304,0)),""))</f>
        <v/>
      </c>
      <c r="E817" s="35" t="str">
        <f>IF(B817="","",IFERROR(INDEX(DM_NL!$C$5:$C$304,MATCH(C817,DM_NL!$A$5:$A$304,0)),""))</f>
        <v/>
      </c>
      <c r="F817" s="39" t="str">
        <f>IF(B817="","",SUMIFS(Mau15a!$F$11:$F$310,Mau15a!$B$11:$B$310,B817))</f>
        <v/>
      </c>
      <c r="G817" s="39" t="str">
        <f>IF(B817="","",IF(OR(M817="KXDDM",BOM!F817=""),0,BOM!F817))</f>
        <v/>
      </c>
      <c r="H817" s="39" t="str">
        <f t="shared" si="61"/>
        <v/>
      </c>
      <c r="I817" s="39" t="str">
        <f>IF(B817="","",SUMIFS(Mau15a!$H$11:$H$310,Mau15a!$B$11:$B$310,B817)+SUMIFS(Mau15a!$I$11:$I$310,Mau15a!$B$11:$B$310,B817)+SUMIFS(Mau15a!$J$11:$J$310,Mau15a!$B$11:$B$310,B817)-SUMIFS(Mau15a!$G$11:$G$310,Mau15a!$B$11:$B$310,B817))</f>
        <v/>
      </c>
      <c r="J817" s="39" t="str">
        <f t="shared" si="62"/>
        <v/>
      </c>
      <c r="K817" s="39" t="str">
        <f>IF(B817="","",(SUMIFS(Mau15a!$K$11:$K$310,Mau15a!$B$11:$B$310,B817)-SUMIFS(Mau15a!$E$11:$E$310,Mau15a!$B$11:$B$310,B817))*G817)</f>
        <v/>
      </c>
      <c r="L817" s="36" t="str">
        <f t="shared" si="63"/>
        <v/>
      </c>
      <c r="M817" s="36" t="str">
        <f>IF(B817="","",BOM!G817&amp;"")</f>
        <v/>
      </c>
      <c r="N817" s="36" t="str">
        <f t="shared" si="64"/>
        <v/>
      </c>
    </row>
    <row r="818" spans="1:14" x14ac:dyDescent="0.25">
      <c r="A818" s="35" t="str">
        <f t="shared" si="60"/>
        <v/>
      </c>
      <c r="B818" s="35" t="str">
        <f>IF(BOM!A818="","",BOM!A818)</f>
        <v/>
      </c>
      <c r="C818" s="35" t="str">
        <f>IF(B818="","",BOM!B818)</f>
        <v/>
      </c>
      <c r="D818" s="35" t="str">
        <f>IF(B818="","",IFERROR(INDEX(DM_NL!$B$5:$B$304,MATCH(C818,DM_NL!$A$5:$A$304,0)),""))</f>
        <v/>
      </c>
      <c r="E818" s="35" t="str">
        <f>IF(B818="","",IFERROR(INDEX(DM_NL!$C$5:$C$304,MATCH(C818,DM_NL!$A$5:$A$304,0)),""))</f>
        <v/>
      </c>
      <c r="F818" s="39" t="str">
        <f>IF(B818="","",SUMIFS(Mau15a!$F$11:$F$310,Mau15a!$B$11:$B$310,B818))</f>
        <v/>
      </c>
      <c r="G818" s="39" t="str">
        <f>IF(B818="","",IF(OR(M818="KXDDM",BOM!F818=""),0,BOM!F818))</f>
        <v/>
      </c>
      <c r="H818" s="39" t="str">
        <f t="shared" si="61"/>
        <v/>
      </c>
      <c r="I818" s="39" t="str">
        <f>IF(B818="","",SUMIFS(Mau15a!$H$11:$H$310,Mau15a!$B$11:$B$310,B818)+SUMIFS(Mau15a!$I$11:$I$310,Mau15a!$B$11:$B$310,B818)+SUMIFS(Mau15a!$J$11:$J$310,Mau15a!$B$11:$B$310,B818)-SUMIFS(Mau15a!$G$11:$G$310,Mau15a!$B$11:$B$310,B818))</f>
        <v/>
      </c>
      <c r="J818" s="39" t="str">
        <f t="shared" si="62"/>
        <v/>
      </c>
      <c r="K818" s="39" t="str">
        <f>IF(B818="","",(SUMIFS(Mau15a!$K$11:$K$310,Mau15a!$B$11:$B$310,B818)-SUMIFS(Mau15a!$E$11:$E$310,Mau15a!$B$11:$B$310,B818))*G818)</f>
        <v/>
      </c>
      <c r="L818" s="36" t="str">
        <f t="shared" si="63"/>
        <v/>
      </c>
      <c r="M818" s="36" t="str">
        <f>IF(B818="","",BOM!G818&amp;"")</f>
        <v/>
      </c>
      <c r="N818" s="36" t="str">
        <f t="shared" si="64"/>
        <v/>
      </c>
    </row>
    <row r="819" spans="1:14" x14ac:dyDescent="0.25">
      <c r="A819" s="35" t="str">
        <f t="shared" si="60"/>
        <v/>
      </c>
      <c r="B819" s="35" t="str">
        <f>IF(BOM!A819="","",BOM!A819)</f>
        <v/>
      </c>
      <c r="C819" s="35" t="str">
        <f>IF(B819="","",BOM!B819)</f>
        <v/>
      </c>
      <c r="D819" s="35" t="str">
        <f>IF(B819="","",IFERROR(INDEX(DM_NL!$B$5:$B$304,MATCH(C819,DM_NL!$A$5:$A$304,0)),""))</f>
        <v/>
      </c>
      <c r="E819" s="35" t="str">
        <f>IF(B819="","",IFERROR(INDEX(DM_NL!$C$5:$C$304,MATCH(C819,DM_NL!$A$5:$A$304,0)),""))</f>
        <v/>
      </c>
      <c r="F819" s="39" t="str">
        <f>IF(B819="","",SUMIFS(Mau15a!$F$11:$F$310,Mau15a!$B$11:$B$310,B819))</f>
        <v/>
      </c>
      <c r="G819" s="39" t="str">
        <f>IF(B819="","",IF(OR(M819="KXDDM",BOM!F819=""),0,BOM!F819))</f>
        <v/>
      </c>
      <c r="H819" s="39" t="str">
        <f t="shared" si="61"/>
        <v/>
      </c>
      <c r="I819" s="39" t="str">
        <f>IF(B819="","",SUMIFS(Mau15a!$H$11:$H$310,Mau15a!$B$11:$B$310,B819)+SUMIFS(Mau15a!$I$11:$I$310,Mau15a!$B$11:$B$310,B819)+SUMIFS(Mau15a!$J$11:$J$310,Mau15a!$B$11:$B$310,B819)-SUMIFS(Mau15a!$G$11:$G$310,Mau15a!$B$11:$B$310,B819))</f>
        <v/>
      </c>
      <c r="J819" s="39" t="str">
        <f t="shared" si="62"/>
        <v/>
      </c>
      <c r="K819" s="39" t="str">
        <f>IF(B819="","",(SUMIFS(Mau15a!$K$11:$K$310,Mau15a!$B$11:$B$310,B819)-SUMIFS(Mau15a!$E$11:$E$310,Mau15a!$B$11:$B$310,B819))*G819)</f>
        <v/>
      </c>
      <c r="L819" s="36" t="str">
        <f t="shared" si="63"/>
        <v/>
      </c>
      <c r="M819" s="36" t="str">
        <f>IF(B819="","",BOM!G819&amp;"")</f>
        <v/>
      </c>
      <c r="N819" s="36" t="str">
        <f t="shared" si="64"/>
        <v/>
      </c>
    </row>
    <row r="820" spans="1:14" x14ac:dyDescent="0.25">
      <c r="A820" s="35" t="str">
        <f t="shared" si="60"/>
        <v/>
      </c>
      <c r="B820" s="35" t="str">
        <f>IF(BOM!A820="","",BOM!A820)</f>
        <v/>
      </c>
      <c r="C820" s="35" t="str">
        <f>IF(B820="","",BOM!B820)</f>
        <v/>
      </c>
      <c r="D820" s="35" t="str">
        <f>IF(B820="","",IFERROR(INDEX(DM_NL!$B$5:$B$304,MATCH(C820,DM_NL!$A$5:$A$304,0)),""))</f>
        <v/>
      </c>
      <c r="E820" s="35" t="str">
        <f>IF(B820="","",IFERROR(INDEX(DM_NL!$C$5:$C$304,MATCH(C820,DM_NL!$A$5:$A$304,0)),""))</f>
        <v/>
      </c>
      <c r="F820" s="39" t="str">
        <f>IF(B820="","",SUMIFS(Mau15a!$F$11:$F$310,Mau15a!$B$11:$B$310,B820))</f>
        <v/>
      </c>
      <c r="G820" s="39" t="str">
        <f>IF(B820="","",IF(OR(M820="KXDDM",BOM!F820=""),0,BOM!F820))</f>
        <v/>
      </c>
      <c r="H820" s="39" t="str">
        <f t="shared" si="61"/>
        <v/>
      </c>
      <c r="I820" s="39" t="str">
        <f>IF(B820="","",SUMIFS(Mau15a!$H$11:$H$310,Mau15a!$B$11:$B$310,B820)+SUMIFS(Mau15a!$I$11:$I$310,Mau15a!$B$11:$B$310,B820)+SUMIFS(Mau15a!$J$11:$J$310,Mau15a!$B$11:$B$310,B820)-SUMIFS(Mau15a!$G$11:$G$310,Mau15a!$B$11:$B$310,B820))</f>
        <v/>
      </c>
      <c r="J820" s="39" t="str">
        <f t="shared" si="62"/>
        <v/>
      </c>
      <c r="K820" s="39" t="str">
        <f>IF(B820="","",(SUMIFS(Mau15a!$K$11:$K$310,Mau15a!$B$11:$B$310,B820)-SUMIFS(Mau15a!$E$11:$E$310,Mau15a!$B$11:$B$310,B820))*G820)</f>
        <v/>
      </c>
      <c r="L820" s="36" t="str">
        <f t="shared" si="63"/>
        <v/>
      </c>
      <c r="M820" s="36" t="str">
        <f>IF(B820="","",BOM!G820&amp;"")</f>
        <v/>
      </c>
      <c r="N820" s="36" t="str">
        <f t="shared" si="64"/>
        <v/>
      </c>
    </row>
    <row r="821" spans="1:14" x14ac:dyDescent="0.25">
      <c r="A821" s="35" t="str">
        <f t="shared" si="60"/>
        <v/>
      </c>
      <c r="B821" s="35" t="str">
        <f>IF(BOM!A821="","",BOM!A821)</f>
        <v/>
      </c>
      <c r="C821" s="35" t="str">
        <f>IF(B821="","",BOM!B821)</f>
        <v/>
      </c>
      <c r="D821" s="35" t="str">
        <f>IF(B821="","",IFERROR(INDEX(DM_NL!$B$5:$B$304,MATCH(C821,DM_NL!$A$5:$A$304,0)),""))</f>
        <v/>
      </c>
      <c r="E821" s="35" t="str">
        <f>IF(B821="","",IFERROR(INDEX(DM_NL!$C$5:$C$304,MATCH(C821,DM_NL!$A$5:$A$304,0)),""))</f>
        <v/>
      </c>
      <c r="F821" s="39" t="str">
        <f>IF(B821="","",SUMIFS(Mau15a!$F$11:$F$310,Mau15a!$B$11:$B$310,B821))</f>
        <v/>
      </c>
      <c r="G821" s="39" t="str">
        <f>IF(B821="","",IF(OR(M821="KXDDM",BOM!F821=""),0,BOM!F821))</f>
        <v/>
      </c>
      <c r="H821" s="39" t="str">
        <f t="shared" si="61"/>
        <v/>
      </c>
      <c r="I821" s="39" t="str">
        <f>IF(B821="","",SUMIFS(Mau15a!$H$11:$H$310,Mau15a!$B$11:$B$310,B821)+SUMIFS(Mau15a!$I$11:$I$310,Mau15a!$B$11:$B$310,B821)+SUMIFS(Mau15a!$J$11:$J$310,Mau15a!$B$11:$B$310,B821)-SUMIFS(Mau15a!$G$11:$G$310,Mau15a!$B$11:$B$310,B821))</f>
        <v/>
      </c>
      <c r="J821" s="39" t="str">
        <f t="shared" si="62"/>
        <v/>
      </c>
      <c r="K821" s="39" t="str">
        <f>IF(B821="","",(SUMIFS(Mau15a!$K$11:$K$310,Mau15a!$B$11:$B$310,B821)-SUMIFS(Mau15a!$E$11:$E$310,Mau15a!$B$11:$B$310,B821))*G821)</f>
        <v/>
      </c>
      <c r="L821" s="36" t="str">
        <f t="shared" si="63"/>
        <v/>
      </c>
      <c r="M821" s="36" t="str">
        <f>IF(B821="","",BOM!G821&amp;"")</f>
        <v/>
      </c>
      <c r="N821" s="36" t="str">
        <f t="shared" si="64"/>
        <v/>
      </c>
    </row>
    <row r="822" spans="1:14" x14ac:dyDescent="0.25">
      <c r="A822" s="35" t="str">
        <f t="shared" si="60"/>
        <v/>
      </c>
      <c r="B822" s="35" t="str">
        <f>IF(BOM!A822="","",BOM!A822)</f>
        <v/>
      </c>
      <c r="C822" s="35" t="str">
        <f>IF(B822="","",BOM!B822)</f>
        <v/>
      </c>
      <c r="D822" s="35" t="str">
        <f>IF(B822="","",IFERROR(INDEX(DM_NL!$B$5:$B$304,MATCH(C822,DM_NL!$A$5:$A$304,0)),""))</f>
        <v/>
      </c>
      <c r="E822" s="35" t="str">
        <f>IF(B822="","",IFERROR(INDEX(DM_NL!$C$5:$C$304,MATCH(C822,DM_NL!$A$5:$A$304,0)),""))</f>
        <v/>
      </c>
      <c r="F822" s="39" t="str">
        <f>IF(B822="","",SUMIFS(Mau15a!$F$11:$F$310,Mau15a!$B$11:$B$310,B822))</f>
        <v/>
      </c>
      <c r="G822" s="39" t="str">
        <f>IF(B822="","",IF(OR(M822="KXDDM",BOM!F822=""),0,BOM!F822))</f>
        <v/>
      </c>
      <c r="H822" s="39" t="str">
        <f t="shared" si="61"/>
        <v/>
      </c>
      <c r="I822" s="39" t="str">
        <f>IF(B822="","",SUMIFS(Mau15a!$H$11:$H$310,Mau15a!$B$11:$B$310,B822)+SUMIFS(Mau15a!$I$11:$I$310,Mau15a!$B$11:$B$310,B822)+SUMIFS(Mau15a!$J$11:$J$310,Mau15a!$B$11:$B$310,B822)-SUMIFS(Mau15a!$G$11:$G$310,Mau15a!$B$11:$B$310,B822))</f>
        <v/>
      </c>
      <c r="J822" s="39" t="str">
        <f t="shared" si="62"/>
        <v/>
      </c>
      <c r="K822" s="39" t="str">
        <f>IF(B822="","",(SUMIFS(Mau15a!$K$11:$K$310,Mau15a!$B$11:$B$310,B822)-SUMIFS(Mau15a!$E$11:$E$310,Mau15a!$B$11:$B$310,B822))*G822)</f>
        <v/>
      </c>
      <c r="L822" s="36" t="str">
        <f t="shared" si="63"/>
        <v/>
      </c>
      <c r="M822" s="36" t="str">
        <f>IF(B822="","",BOM!G822&amp;"")</f>
        <v/>
      </c>
      <c r="N822" s="36" t="str">
        <f t="shared" si="64"/>
        <v/>
      </c>
    </row>
    <row r="823" spans="1:14" x14ac:dyDescent="0.25">
      <c r="A823" s="35" t="str">
        <f t="shared" si="60"/>
        <v/>
      </c>
      <c r="B823" s="35" t="str">
        <f>IF(BOM!A823="","",BOM!A823)</f>
        <v/>
      </c>
      <c r="C823" s="35" t="str">
        <f>IF(B823="","",BOM!B823)</f>
        <v/>
      </c>
      <c r="D823" s="35" t="str">
        <f>IF(B823="","",IFERROR(INDEX(DM_NL!$B$5:$B$304,MATCH(C823,DM_NL!$A$5:$A$304,0)),""))</f>
        <v/>
      </c>
      <c r="E823" s="35" t="str">
        <f>IF(B823="","",IFERROR(INDEX(DM_NL!$C$5:$C$304,MATCH(C823,DM_NL!$A$5:$A$304,0)),""))</f>
        <v/>
      </c>
      <c r="F823" s="39" t="str">
        <f>IF(B823="","",SUMIFS(Mau15a!$F$11:$F$310,Mau15a!$B$11:$B$310,B823))</f>
        <v/>
      </c>
      <c r="G823" s="39" t="str">
        <f>IF(B823="","",IF(OR(M823="KXDDM",BOM!F823=""),0,BOM!F823))</f>
        <v/>
      </c>
      <c r="H823" s="39" t="str">
        <f t="shared" si="61"/>
        <v/>
      </c>
      <c r="I823" s="39" t="str">
        <f>IF(B823="","",SUMIFS(Mau15a!$H$11:$H$310,Mau15a!$B$11:$B$310,B823)+SUMIFS(Mau15a!$I$11:$I$310,Mau15a!$B$11:$B$310,B823)+SUMIFS(Mau15a!$J$11:$J$310,Mau15a!$B$11:$B$310,B823)-SUMIFS(Mau15a!$G$11:$G$310,Mau15a!$B$11:$B$310,B823))</f>
        <v/>
      </c>
      <c r="J823" s="39" t="str">
        <f t="shared" si="62"/>
        <v/>
      </c>
      <c r="K823" s="39" t="str">
        <f>IF(B823="","",(SUMIFS(Mau15a!$K$11:$K$310,Mau15a!$B$11:$B$310,B823)-SUMIFS(Mau15a!$E$11:$E$310,Mau15a!$B$11:$B$310,B823))*G823)</f>
        <v/>
      </c>
      <c r="L823" s="36" t="str">
        <f t="shared" si="63"/>
        <v/>
      </c>
      <c r="M823" s="36" t="str">
        <f>IF(B823="","",BOM!G823&amp;"")</f>
        <v/>
      </c>
      <c r="N823" s="36" t="str">
        <f t="shared" si="64"/>
        <v/>
      </c>
    </row>
    <row r="824" spans="1:14" x14ac:dyDescent="0.25">
      <c r="A824" s="35" t="str">
        <f t="shared" si="60"/>
        <v/>
      </c>
      <c r="B824" s="35" t="str">
        <f>IF(BOM!A824="","",BOM!A824)</f>
        <v/>
      </c>
      <c r="C824" s="35" t="str">
        <f>IF(B824="","",BOM!B824)</f>
        <v/>
      </c>
      <c r="D824" s="35" t="str">
        <f>IF(B824="","",IFERROR(INDEX(DM_NL!$B$5:$B$304,MATCH(C824,DM_NL!$A$5:$A$304,0)),""))</f>
        <v/>
      </c>
      <c r="E824" s="35" t="str">
        <f>IF(B824="","",IFERROR(INDEX(DM_NL!$C$5:$C$304,MATCH(C824,DM_NL!$A$5:$A$304,0)),""))</f>
        <v/>
      </c>
      <c r="F824" s="39" t="str">
        <f>IF(B824="","",SUMIFS(Mau15a!$F$11:$F$310,Mau15a!$B$11:$B$310,B824))</f>
        <v/>
      </c>
      <c r="G824" s="39" t="str">
        <f>IF(B824="","",IF(OR(M824="KXDDM",BOM!F824=""),0,BOM!F824))</f>
        <v/>
      </c>
      <c r="H824" s="39" t="str">
        <f t="shared" si="61"/>
        <v/>
      </c>
      <c r="I824" s="39" t="str">
        <f>IF(B824="","",SUMIFS(Mau15a!$H$11:$H$310,Mau15a!$B$11:$B$310,B824)+SUMIFS(Mau15a!$I$11:$I$310,Mau15a!$B$11:$B$310,B824)+SUMIFS(Mau15a!$J$11:$J$310,Mau15a!$B$11:$B$310,B824)-SUMIFS(Mau15a!$G$11:$G$310,Mau15a!$B$11:$B$310,B824))</f>
        <v/>
      </c>
      <c r="J824" s="39" t="str">
        <f t="shared" si="62"/>
        <v/>
      </c>
      <c r="K824" s="39" t="str">
        <f>IF(B824="","",(SUMIFS(Mau15a!$K$11:$K$310,Mau15a!$B$11:$B$310,B824)-SUMIFS(Mau15a!$E$11:$E$310,Mau15a!$B$11:$B$310,B824))*G824)</f>
        <v/>
      </c>
      <c r="L824" s="36" t="str">
        <f t="shared" si="63"/>
        <v/>
      </c>
      <c r="M824" s="36" t="str">
        <f>IF(B824="","",BOM!G824&amp;"")</f>
        <v/>
      </c>
      <c r="N824" s="36" t="str">
        <f t="shared" si="64"/>
        <v/>
      </c>
    </row>
    <row r="825" spans="1:14" x14ac:dyDescent="0.25">
      <c r="A825" s="35" t="str">
        <f t="shared" si="60"/>
        <v/>
      </c>
      <c r="B825" s="35" t="str">
        <f>IF(BOM!A825="","",BOM!A825)</f>
        <v/>
      </c>
      <c r="C825" s="35" t="str">
        <f>IF(B825="","",BOM!B825)</f>
        <v/>
      </c>
      <c r="D825" s="35" t="str">
        <f>IF(B825="","",IFERROR(INDEX(DM_NL!$B$5:$B$304,MATCH(C825,DM_NL!$A$5:$A$304,0)),""))</f>
        <v/>
      </c>
      <c r="E825" s="35" t="str">
        <f>IF(B825="","",IFERROR(INDEX(DM_NL!$C$5:$C$304,MATCH(C825,DM_NL!$A$5:$A$304,0)),""))</f>
        <v/>
      </c>
      <c r="F825" s="39" t="str">
        <f>IF(B825="","",SUMIFS(Mau15a!$F$11:$F$310,Mau15a!$B$11:$B$310,B825))</f>
        <v/>
      </c>
      <c r="G825" s="39" t="str">
        <f>IF(B825="","",IF(OR(M825="KXDDM",BOM!F825=""),0,BOM!F825))</f>
        <v/>
      </c>
      <c r="H825" s="39" t="str">
        <f t="shared" si="61"/>
        <v/>
      </c>
      <c r="I825" s="39" t="str">
        <f>IF(B825="","",SUMIFS(Mau15a!$H$11:$H$310,Mau15a!$B$11:$B$310,B825)+SUMIFS(Mau15a!$I$11:$I$310,Mau15a!$B$11:$B$310,B825)+SUMIFS(Mau15a!$J$11:$J$310,Mau15a!$B$11:$B$310,B825)-SUMIFS(Mau15a!$G$11:$G$310,Mau15a!$B$11:$B$310,B825))</f>
        <v/>
      </c>
      <c r="J825" s="39" t="str">
        <f t="shared" si="62"/>
        <v/>
      </c>
      <c r="K825" s="39" t="str">
        <f>IF(B825="","",(SUMIFS(Mau15a!$K$11:$K$310,Mau15a!$B$11:$B$310,B825)-SUMIFS(Mau15a!$E$11:$E$310,Mau15a!$B$11:$B$310,B825))*G825)</f>
        <v/>
      </c>
      <c r="L825" s="36" t="str">
        <f t="shared" si="63"/>
        <v/>
      </c>
      <c r="M825" s="36" t="str">
        <f>IF(B825="","",BOM!G825&amp;"")</f>
        <v/>
      </c>
      <c r="N825" s="36" t="str">
        <f t="shared" si="64"/>
        <v/>
      </c>
    </row>
    <row r="826" spans="1:14" x14ac:dyDescent="0.25">
      <c r="A826" s="35" t="str">
        <f t="shared" si="60"/>
        <v/>
      </c>
      <c r="B826" s="35" t="str">
        <f>IF(BOM!A826="","",BOM!A826)</f>
        <v/>
      </c>
      <c r="C826" s="35" t="str">
        <f>IF(B826="","",BOM!B826)</f>
        <v/>
      </c>
      <c r="D826" s="35" t="str">
        <f>IF(B826="","",IFERROR(INDEX(DM_NL!$B$5:$B$304,MATCH(C826,DM_NL!$A$5:$A$304,0)),""))</f>
        <v/>
      </c>
      <c r="E826" s="35" t="str">
        <f>IF(B826="","",IFERROR(INDEX(DM_NL!$C$5:$C$304,MATCH(C826,DM_NL!$A$5:$A$304,0)),""))</f>
        <v/>
      </c>
      <c r="F826" s="39" t="str">
        <f>IF(B826="","",SUMIFS(Mau15a!$F$11:$F$310,Mau15a!$B$11:$B$310,B826))</f>
        <v/>
      </c>
      <c r="G826" s="39" t="str">
        <f>IF(B826="","",IF(OR(M826="KXDDM",BOM!F826=""),0,BOM!F826))</f>
        <v/>
      </c>
      <c r="H826" s="39" t="str">
        <f t="shared" si="61"/>
        <v/>
      </c>
      <c r="I826" s="39" t="str">
        <f>IF(B826="","",SUMIFS(Mau15a!$H$11:$H$310,Mau15a!$B$11:$B$310,B826)+SUMIFS(Mau15a!$I$11:$I$310,Mau15a!$B$11:$B$310,B826)+SUMIFS(Mau15a!$J$11:$J$310,Mau15a!$B$11:$B$310,B826)-SUMIFS(Mau15a!$G$11:$G$310,Mau15a!$B$11:$B$310,B826))</f>
        <v/>
      </c>
      <c r="J826" s="39" t="str">
        <f t="shared" si="62"/>
        <v/>
      </c>
      <c r="K826" s="39" t="str">
        <f>IF(B826="","",(SUMIFS(Mau15a!$K$11:$K$310,Mau15a!$B$11:$B$310,B826)-SUMIFS(Mau15a!$E$11:$E$310,Mau15a!$B$11:$B$310,B826))*G826)</f>
        <v/>
      </c>
      <c r="L826" s="36" t="str">
        <f t="shared" si="63"/>
        <v/>
      </c>
      <c r="M826" s="36" t="str">
        <f>IF(B826="","",BOM!G826&amp;"")</f>
        <v/>
      </c>
      <c r="N826" s="36" t="str">
        <f t="shared" si="64"/>
        <v/>
      </c>
    </row>
    <row r="827" spans="1:14" x14ac:dyDescent="0.25">
      <c r="A827" s="35" t="str">
        <f t="shared" si="60"/>
        <v/>
      </c>
      <c r="B827" s="35" t="str">
        <f>IF(BOM!A827="","",BOM!A827)</f>
        <v/>
      </c>
      <c r="C827" s="35" t="str">
        <f>IF(B827="","",BOM!B827)</f>
        <v/>
      </c>
      <c r="D827" s="35" t="str">
        <f>IF(B827="","",IFERROR(INDEX(DM_NL!$B$5:$B$304,MATCH(C827,DM_NL!$A$5:$A$304,0)),""))</f>
        <v/>
      </c>
      <c r="E827" s="35" t="str">
        <f>IF(B827="","",IFERROR(INDEX(DM_NL!$C$5:$C$304,MATCH(C827,DM_NL!$A$5:$A$304,0)),""))</f>
        <v/>
      </c>
      <c r="F827" s="39" t="str">
        <f>IF(B827="","",SUMIFS(Mau15a!$F$11:$F$310,Mau15a!$B$11:$B$310,B827))</f>
        <v/>
      </c>
      <c r="G827" s="39" t="str">
        <f>IF(B827="","",IF(OR(M827="KXDDM",BOM!F827=""),0,BOM!F827))</f>
        <v/>
      </c>
      <c r="H827" s="39" t="str">
        <f t="shared" si="61"/>
        <v/>
      </c>
      <c r="I827" s="39" t="str">
        <f>IF(B827="","",SUMIFS(Mau15a!$H$11:$H$310,Mau15a!$B$11:$B$310,B827)+SUMIFS(Mau15a!$I$11:$I$310,Mau15a!$B$11:$B$310,B827)+SUMIFS(Mau15a!$J$11:$J$310,Mau15a!$B$11:$B$310,B827)-SUMIFS(Mau15a!$G$11:$G$310,Mau15a!$B$11:$B$310,B827))</f>
        <v/>
      </c>
      <c r="J827" s="39" t="str">
        <f t="shared" si="62"/>
        <v/>
      </c>
      <c r="K827" s="39" t="str">
        <f>IF(B827="","",(SUMIFS(Mau15a!$K$11:$K$310,Mau15a!$B$11:$B$310,B827)-SUMIFS(Mau15a!$E$11:$E$310,Mau15a!$B$11:$B$310,B827))*G827)</f>
        <v/>
      </c>
      <c r="L827" s="36" t="str">
        <f t="shared" si="63"/>
        <v/>
      </c>
      <c r="M827" s="36" t="str">
        <f>IF(B827="","",BOM!G827&amp;"")</f>
        <v/>
      </c>
      <c r="N827" s="36" t="str">
        <f t="shared" si="64"/>
        <v/>
      </c>
    </row>
    <row r="828" spans="1:14" x14ac:dyDescent="0.25">
      <c r="A828" s="35" t="str">
        <f t="shared" si="60"/>
        <v/>
      </c>
      <c r="B828" s="35" t="str">
        <f>IF(BOM!A828="","",BOM!A828)</f>
        <v/>
      </c>
      <c r="C828" s="35" t="str">
        <f>IF(B828="","",BOM!B828)</f>
        <v/>
      </c>
      <c r="D828" s="35" t="str">
        <f>IF(B828="","",IFERROR(INDEX(DM_NL!$B$5:$B$304,MATCH(C828,DM_NL!$A$5:$A$304,0)),""))</f>
        <v/>
      </c>
      <c r="E828" s="35" t="str">
        <f>IF(B828="","",IFERROR(INDEX(DM_NL!$C$5:$C$304,MATCH(C828,DM_NL!$A$5:$A$304,0)),""))</f>
        <v/>
      </c>
      <c r="F828" s="39" t="str">
        <f>IF(B828="","",SUMIFS(Mau15a!$F$11:$F$310,Mau15a!$B$11:$B$310,B828))</f>
        <v/>
      </c>
      <c r="G828" s="39" t="str">
        <f>IF(B828="","",IF(OR(M828="KXDDM",BOM!F828=""),0,BOM!F828))</f>
        <v/>
      </c>
      <c r="H828" s="39" t="str">
        <f t="shared" si="61"/>
        <v/>
      </c>
      <c r="I828" s="39" t="str">
        <f>IF(B828="","",SUMIFS(Mau15a!$H$11:$H$310,Mau15a!$B$11:$B$310,B828)+SUMIFS(Mau15a!$I$11:$I$310,Mau15a!$B$11:$B$310,B828)+SUMIFS(Mau15a!$J$11:$J$310,Mau15a!$B$11:$B$310,B828)-SUMIFS(Mau15a!$G$11:$G$310,Mau15a!$B$11:$B$310,B828))</f>
        <v/>
      </c>
      <c r="J828" s="39" t="str">
        <f t="shared" si="62"/>
        <v/>
      </c>
      <c r="K828" s="39" t="str">
        <f>IF(B828="","",(SUMIFS(Mau15a!$K$11:$K$310,Mau15a!$B$11:$B$310,B828)-SUMIFS(Mau15a!$E$11:$E$310,Mau15a!$B$11:$B$310,B828))*G828)</f>
        <v/>
      </c>
      <c r="L828" s="36" t="str">
        <f t="shared" si="63"/>
        <v/>
      </c>
      <c r="M828" s="36" t="str">
        <f>IF(B828="","",BOM!G828&amp;"")</f>
        <v/>
      </c>
      <c r="N828" s="36" t="str">
        <f t="shared" si="64"/>
        <v/>
      </c>
    </row>
    <row r="829" spans="1:14" x14ac:dyDescent="0.25">
      <c r="A829" s="35" t="str">
        <f t="shared" si="60"/>
        <v/>
      </c>
      <c r="B829" s="35" t="str">
        <f>IF(BOM!A829="","",BOM!A829)</f>
        <v/>
      </c>
      <c r="C829" s="35" t="str">
        <f>IF(B829="","",BOM!B829)</f>
        <v/>
      </c>
      <c r="D829" s="35" t="str">
        <f>IF(B829="","",IFERROR(INDEX(DM_NL!$B$5:$B$304,MATCH(C829,DM_NL!$A$5:$A$304,0)),""))</f>
        <v/>
      </c>
      <c r="E829" s="35" t="str">
        <f>IF(B829="","",IFERROR(INDEX(DM_NL!$C$5:$C$304,MATCH(C829,DM_NL!$A$5:$A$304,0)),""))</f>
        <v/>
      </c>
      <c r="F829" s="39" t="str">
        <f>IF(B829="","",SUMIFS(Mau15a!$F$11:$F$310,Mau15a!$B$11:$B$310,B829))</f>
        <v/>
      </c>
      <c r="G829" s="39" t="str">
        <f>IF(B829="","",IF(OR(M829="KXDDM",BOM!F829=""),0,BOM!F829))</f>
        <v/>
      </c>
      <c r="H829" s="39" t="str">
        <f t="shared" si="61"/>
        <v/>
      </c>
      <c r="I829" s="39" t="str">
        <f>IF(B829="","",SUMIFS(Mau15a!$H$11:$H$310,Mau15a!$B$11:$B$310,B829)+SUMIFS(Mau15a!$I$11:$I$310,Mau15a!$B$11:$B$310,B829)+SUMIFS(Mau15a!$J$11:$J$310,Mau15a!$B$11:$B$310,B829)-SUMIFS(Mau15a!$G$11:$G$310,Mau15a!$B$11:$B$310,B829))</f>
        <v/>
      </c>
      <c r="J829" s="39" t="str">
        <f t="shared" si="62"/>
        <v/>
      </c>
      <c r="K829" s="39" t="str">
        <f>IF(B829="","",(SUMIFS(Mau15a!$K$11:$K$310,Mau15a!$B$11:$B$310,B829)-SUMIFS(Mau15a!$E$11:$E$310,Mau15a!$B$11:$B$310,B829))*G829)</f>
        <v/>
      </c>
      <c r="L829" s="36" t="str">
        <f t="shared" si="63"/>
        <v/>
      </c>
      <c r="M829" s="36" t="str">
        <f>IF(B829="","",BOM!G829&amp;"")</f>
        <v/>
      </c>
      <c r="N829" s="36" t="str">
        <f t="shared" si="64"/>
        <v/>
      </c>
    </row>
    <row r="830" spans="1:14" x14ac:dyDescent="0.25">
      <c r="A830" s="35" t="str">
        <f t="shared" si="60"/>
        <v/>
      </c>
      <c r="B830" s="35" t="str">
        <f>IF(BOM!A830="","",BOM!A830)</f>
        <v/>
      </c>
      <c r="C830" s="35" t="str">
        <f>IF(B830="","",BOM!B830)</f>
        <v/>
      </c>
      <c r="D830" s="35" t="str">
        <f>IF(B830="","",IFERROR(INDEX(DM_NL!$B$5:$B$304,MATCH(C830,DM_NL!$A$5:$A$304,0)),""))</f>
        <v/>
      </c>
      <c r="E830" s="35" t="str">
        <f>IF(B830="","",IFERROR(INDEX(DM_NL!$C$5:$C$304,MATCH(C830,DM_NL!$A$5:$A$304,0)),""))</f>
        <v/>
      </c>
      <c r="F830" s="39" t="str">
        <f>IF(B830="","",SUMIFS(Mau15a!$F$11:$F$310,Mau15a!$B$11:$B$310,B830))</f>
        <v/>
      </c>
      <c r="G830" s="39" t="str">
        <f>IF(B830="","",IF(OR(M830="KXDDM",BOM!F830=""),0,BOM!F830))</f>
        <v/>
      </c>
      <c r="H830" s="39" t="str">
        <f t="shared" si="61"/>
        <v/>
      </c>
      <c r="I830" s="39" t="str">
        <f>IF(B830="","",SUMIFS(Mau15a!$H$11:$H$310,Mau15a!$B$11:$B$310,B830)+SUMIFS(Mau15a!$I$11:$I$310,Mau15a!$B$11:$B$310,B830)+SUMIFS(Mau15a!$J$11:$J$310,Mau15a!$B$11:$B$310,B830)-SUMIFS(Mau15a!$G$11:$G$310,Mau15a!$B$11:$B$310,B830))</f>
        <v/>
      </c>
      <c r="J830" s="39" t="str">
        <f t="shared" si="62"/>
        <v/>
      </c>
      <c r="K830" s="39" t="str">
        <f>IF(B830="","",(SUMIFS(Mau15a!$K$11:$K$310,Mau15a!$B$11:$B$310,B830)-SUMIFS(Mau15a!$E$11:$E$310,Mau15a!$B$11:$B$310,B830))*G830)</f>
        <v/>
      </c>
      <c r="L830" s="36" t="str">
        <f t="shared" si="63"/>
        <v/>
      </c>
      <c r="M830" s="36" t="str">
        <f>IF(B830="","",BOM!G830&amp;"")</f>
        <v/>
      </c>
      <c r="N830" s="36" t="str">
        <f t="shared" si="64"/>
        <v/>
      </c>
    </row>
    <row r="831" spans="1:14" x14ac:dyDescent="0.25">
      <c r="A831" s="35" t="str">
        <f t="shared" si="60"/>
        <v/>
      </c>
      <c r="B831" s="35" t="str">
        <f>IF(BOM!A831="","",BOM!A831)</f>
        <v/>
      </c>
      <c r="C831" s="35" t="str">
        <f>IF(B831="","",BOM!B831)</f>
        <v/>
      </c>
      <c r="D831" s="35" t="str">
        <f>IF(B831="","",IFERROR(INDEX(DM_NL!$B$5:$B$304,MATCH(C831,DM_NL!$A$5:$A$304,0)),""))</f>
        <v/>
      </c>
      <c r="E831" s="35" t="str">
        <f>IF(B831="","",IFERROR(INDEX(DM_NL!$C$5:$C$304,MATCH(C831,DM_NL!$A$5:$A$304,0)),""))</f>
        <v/>
      </c>
      <c r="F831" s="39" t="str">
        <f>IF(B831="","",SUMIFS(Mau15a!$F$11:$F$310,Mau15a!$B$11:$B$310,B831))</f>
        <v/>
      </c>
      <c r="G831" s="39" t="str">
        <f>IF(B831="","",IF(OR(M831="KXDDM",BOM!F831=""),0,BOM!F831))</f>
        <v/>
      </c>
      <c r="H831" s="39" t="str">
        <f t="shared" si="61"/>
        <v/>
      </c>
      <c r="I831" s="39" t="str">
        <f>IF(B831="","",SUMIFS(Mau15a!$H$11:$H$310,Mau15a!$B$11:$B$310,B831)+SUMIFS(Mau15a!$I$11:$I$310,Mau15a!$B$11:$B$310,B831)+SUMIFS(Mau15a!$J$11:$J$310,Mau15a!$B$11:$B$310,B831)-SUMIFS(Mau15a!$G$11:$G$310,Mau15a!$B$11:$B$310,B831))</f>
        <v/>
      </c>
      <c r="J831" s="39" t="str">
        <f t="shared" si="62"/>
        <v/>
      </c>
      <c r="K831" s="39" t="str">
        <f>IF(B831="","",(SUMIFS(Mau15a!$K$11:$K$310,Mau15a!$B$11:$B$310,B831)-SUMIFS(Mau15a!$E$11:$E$310,Mau15a!$B$11:$B$310,B831))*G831)</f>
        <v/>
      </c>
      <c r="L831" s="36" t="str">
        <f t="shared" si="63"/>
        <v/>
      </c>
      <c r="M831" s="36" t="str">
        <f>IF(B831="","",BOM!G831&amp;"")</f>
        <v/>
      </c>
      <c r="N831" s="36" t="str">
        <f t="shared" si="64"/>
        <v/>
      </c>
    </row>
    <row r="832" spans="1:14" x14ac:dyDescent="0.25">
      <c r="A832" s="35" t="str">
        <f t="shared" si="60"/>
        <v/>
      </c>
      <c r="B832" s="35" t="str">
        <f>IF(BOM!A832="","",BOM!A832)</f>
        <v/>
      </c>
      <c r="C832" s="35" t="str">
        <f>IF(B832="","",BOM!B832)</f>
        <v/>
      </c>
      <c r="D832" s="35" t="str">
        <f>IF(B832="","",IFERROR(INDEX(DM_NL!$B$5:$B$304,MATCH(C832,DM_NL!$A$5:$A$304,0)),""))</f>
        <v/>
      </c>
      <c r="E832" s="35" t="str">
        <f>IF(B832="","",IFERROR(INDEX(DM_NL!$C$5:$C$304,MATCH(C832,DM_NL!$A$5:$A$304,0)),""))</f>
        <v/>
      </c>
      <c r="F832" s="39" t="str">
        <f>IF(B832="","",SUMIFS(Mau15a!$F$11:$F$310,Mau15a!$B$11:$B$310,B832))</f>
        <v/>
      </c>
      <c r="G832" s="39" t="str">
        <f>IF(B832="","",IF(OR(M832="KXDDM",BOM!F832=""),0,BOM!F832))</f>
        <v/>
      </c>
      <c r="H832" s="39" t="str">
        <f t="shared" si="61"/>
        <v/>
      </c>
      <c r="I832" s="39" t="str">
        <f>IF(B832="","",SUMIFS(Mau15a!$H$11:$H$310,Mau15a!$B$11:$B$310,B832)+SUMIFS(Mau15a!$I$11:$I$310,Mau15a!$B$11:$B$310,B832)+SUMIFS(Mau15a!$J$11:$J$310,Mau15a!$B$11:$B$310,B832)-SUMIFS(Mau15a!$G$11:$G$310,Mau15a!$B$11:$B$310,B832))</f>
        <v/>
      </c>
      <c r="J832" s="39" t="str">
        <f t="shared" si="62"/>
        <v/>
      </c>
      <c r="K832" s="39" t="str">
        <f>IF(B832="","",(SUMIFS(Mau15a!$K$11:$K$310,Mau15a!$B$11:$B$310,B832)-SUMIFS(Mau15a!$E$11:$E$310,Mau15a!$B$11:$B$310,B832))*G832)</f>
        <v/>
      </c>
      <c r="L832" s="36" t="str">
        <f t="shared" si="63"/>
        <v/>
      </c>
      <c r="M832" s="36" t="str">
        <f>IF(B832="","",BOM!G832&amp;"")</f>
        <v/>
      </c>
      <c r="N832" s="36" t="str">
        <f t="shared" si="64"/>
        <v/>
      </c>
    </row>
    <row r="833" spans="1:14" x14ac:dyDescent="0.25">
      <c r="A833" s="35" t="str">
        <f t="shared" si="60"/>
        <v/>
      </c>
      <c r="B833" s="35" t="str">
        <f>IF(BOM!A833="","",BOM!A833)</f>
        <v/>
      </c>
      <c r="C833" s="35" t="str">
        <f>IF(B833="","",BOM!B833)</f>
        <v/>
      </c>
      <c r="D833" s="35" t="str">
        <f>IF(B833="","",IFERROR(INDEX(DM_NL!$B$5:$B$304,MATCH(C833,DM_NL!$A$5:$A$304,0)),""))</f>
        <v/>
      </c>
      <c r="E833" s="35" t="str">
        <f>IF(B833="","",IFERROR(INDEX(DM_NL!$C$5:$C$304,MATCH(C833,DM_NL!$A$5:$A$304,0)),""))</f>
        <v/>
      </c>
      <c r="F833" s="39" t="str">
        <f>IF(B833="","",SUMIFS(Mau15a!$F$11:$F$310,Mau15a!$B$11:$B$310,B833))</f>
        <v/>
      </c>
      <c r="G833" s="39" t="str">
        <f>IF(B833="","",IF(OR(M833="KXDDM",BOM!F833=""),0,BOM!F833))</f>
        <v/>
      </c>
      <c r="H833" s="39" t="str">
        <f t="shared" si="61"/>
        <v/>
      </c>
      <c r="I833" s="39" t="str">
        <f>IF(B833="","",SUMIFS(Mau15a!$H$11:$H$310,Mau15a!$B$11:$B$310,B833)+SUMIFS(Mau15a!$I$11:$I$310,Mau15a!$B$11:$B$310,B833)+SUMIFS(Mau15a!$J$11:$J$310,Mau15a!$B$11:$B$310,B833)-SUMIFS(Mau15a!$G$11:$G$310,Mau15a!$B$11:$B$310,B833))</f>
        <v/>
      </c>
      <c r="J833" s="39" t="str">
        <f t="shared" si="62"/>
        <v/>
      </c>
      <c r="K833" s="39" t="str">
        <f>IF(B833="","",(SUMIFS(Mau15a!$K$11:$K$310,Mau15a!$B$11:$B$310,B833)-SUMIFS(Mau15a!$E$11:$E$310,Mau15a!$B$11:$B$310,B833))*G833)</f>
        <v/>
      </c>
      <c r="L833" s="36" t="str">
        <f t="shared" si="63"/>
        <v/>
      </c>
      <c r="M833" s="36" t="str">
        <f>IF(B833="","",BOM!G833&amp;"")</f>
        <v/>
      </c>
      <c r="N833" s="36" t="str">
        <f t="shared" si="64"/>
        <v/>
      </c>
    </row>
    <row r="834" spans="1:14" x14ac:dyDescent="0.25">
      <c r="A834" s="35" t="str">
        <f t="shared" si="60"/>
        <v/>
      </c>
      <c r="B834" s="35" t="str">
        <f>IF(BOM!A834="","",BOM!A834)</f>
        <v/>
      </c>
      <c r="C834" s="35" t="str">
        <f>IF(B834="","",BOM!B834)</f>
        <v/>
      </c>
      <c r="D834" s="35" t="str">
        <f>IF(B834="","",IFERROR(INDEX(DM_NL!$B$5:$B$304,MATCH(C834,DM_NL!$A$5:$A$304,0)),""))</f>
        <v/>
      </c>
      <c r="E834" s="35" t="str">
        <f>IF(B834="","",IFERROR(INDEX(DM_NL!$C$5:$C$304,MATCH(C834,DM_NL!$A$5:$A$304,0)),""))</f>
        <v/>
      </c>
      <c r="F834" s="39" t="str">
        <f>IF(B834="","",SUMIFS(Mau15a!$F$11:$F$310,Mau15a!$B$11:$B$310,B834))</f>
        <v/>
      </c>
      <c r="G834" s="39" t="str">
        <f>IF(B834="","",IF(OR(M834="KXDDM",BOM!F834=""),0,BOM!F834))</f>
        <v/>
      </c>
      <c r="H834" s="39" t="str">
        <f t="shared" si="61"/>
        <v/>
      </c>
      <c r="I834" s="39" t="str">
        <f>IF(B834="","",SUMIFS(Mau15a!$H$11:$H$310,Mau15a!$B$11:$B$310,B834)+SUMIFS(Mau15a!$I$11:$I$310,Mau15a!$B$11:$B$310,B834)+SUMIFS(Mau15a!$J$11:$J$310,Mau15a!$B$11:$B$310,B834)-SUMIFS(Mau15a!$G$11:$G$310,Mau15a!$B$11:$B$310,B834))</f>
        <v/>
      </c>
      <c r="J834" s="39" t="str">
        <f t="shared" si="62"/>
        <v/>
      </c>
      <c r="K834" s="39" t="str">
        <f>IF(B834="","",(SUMIFS(Mau15a!$K$11:$K$310,Mau15a!$B$11:$B$310,B834)-SUMIFS(Mau15a!$E$11:$E$310,Mau15a!$B$11:$B$310,B834))*G834)</f>
        <v/>
      </c>
      <c r="L834" s="36" t="str">
        <f t="shared" si="63"/>
        <v/>
      </c>
      <c r="M834" s="36" t="str">
        <f>IF(B834="","",BOM!G834&amp;"")</f>
        <v/>
      </c>
      <c r="N834" s="36" t="str">
        <f t="shared" si="64"/>
        <v/>
      </c>
    </row>
    <row r="835" spans="1:14" x14ac:dyDescent="0.25">
      <c r="A835" s="35" t="str">
        <f t="shared" si="60"/>
        <v/>
      </c>
      <c r="B835" s="35" t="str">
        <f>IF(BOM!A835="","",BOM!A835)</f>
        <v/>
      </c>
      <c r="C835" s="35" t="str">
        <f>IF(B835="","",BOM!B835)</f>
        <v/>
      </c>
      <c r="D835" s="35" t="str">
        <f>IF(B835="","",IFERROR(INDEX(DM_NL!$B$5:$B$304,MATCH(C835,DM_NL!$A$5:$A$304,0)),""))</f>
        <v/>
      </c>
      <c r="E835" s="35" t="str">
        <f>IF(B835="","",IFERROR(INDEX(DM_NL!$C$5:$C$304,MATCH(C835,DM_NL!$A$5:$A$304,0)),""))</f>
        <v/>
      </c>
      <c r="F835" s="39" t="str">
        <f>IF(B835="","",SUMIFS(Mau15a!$F$11:$F$310,Mau15a!$B$11:$B$310,B835))</f>
        <v/>
      </c>
      <c r="G835" s="39" t="str">
        <f>IF(B835="","",IF(OR(M835="KXDDM",BOM!F835=""),0,BOM!F835))</f>
        <v/>
      </c>
      <c r="H835" s="39" t="str">
        <f t="shared" si="61"/>
        <v/>
      </c>
      <c r="I835" s="39" t="str">
        <f>IF(B835="","",SUMIFS(Mau15a!$H$11:$H$310,Mau15a!$B$11:$B$310,B835)+SUMIFS(Mau15a!$I$11:$I$310,Mau15a!$B$11:$B$310,B835)+SUMIFS(Mau15a!$J$11:$J$310,Mau15a!$B$11:$B$310,B835)-SUMIFS(Mau15a!$G$11:$G$310,Mau15a!$B$11:$B$310,B835))</f>
        <v/>
      </c>
      <c r="J835" s="39" t="str">
        <f t="shared" si="62"/>
        <v/>
      </c>
      <c r="K835" s="39" t="str">
        <f>IF(B835="","",(SUMIFS(Mau15a!$K$11:$K$310,Mau15a!$B$11:$B$310,B835)-SUMIFS(Mau15a!$E$11:$E$310,Mau15a!$B$11:$B$310,B835))*G835)</f>
        <v/>
      </c>
      <c r="L835" s="36" t="str">
        <f t="shared" si="63"/>
        <v/>
      </c>
      <c r="M835" s="36" t="str">
        <f>IF(B835="","",BOM!G835&amp;"")</f>
        <v/>
      </c>
      <c r="N835" s="36" t="str">
        <f t="shared" si="64"/>
        <v/>
      </c>
    </row>
    <row r="836" spans="1:14" x14ac:dyDescent="0.25">
      <c r="A836" s="35" t="str">
        <f t="shared" si="60"/>
        <v/>
      </c>
      <c r="B836" s="35" t="str">
        <f>IF(BOM!A836="","",BOM!A836)</f>
        <v/>
      </c>
      <c r="C836" s="35" t="str">
        <f>IF(B836="","",BOM!B836)</f>
        <v/>
      </c>
      <c r="D836" s="35" t="str">
        <f>IF(B836="","",IFERROR(INDEX(DM_NL!$B$5:$B$304,MATCH(C836,DM_NL!$A$5:$A$304,0)),""))</f>
        <v/>
      </c>
      <c r="E836" s="35" t="str">
        <f>IF(B836="","",IFERROR(INDEX(DM_NL!$C$5:$C$304,MATCH(C836,DM_NL!$A$5:$A$304,0)),""))</f>
        <v/>
      </c>
      <c r="F836" s="39" t="str">
        <f>IF(B836="","",SUMIFS(Mau15a!$F$11:$F$310,Mau15a!$B$11:$B$310,B836))</f>
        <v/>
      </c>
      <c r="G836" s="39" t="str">
        <f>IF(B836="","",IF(OR(M836="KXDDM",BOM!F836=""),0,BOM!F836))</f>
        <v/>
      </c>
      <c r="H836" s="39" t="str">
        <f t="shared" si="61"/>
        <v/>
      </c>
      <c r="I836" s="39" t="str">
        <f>IF(B836="","",SUMIFS(Mau15a!$H$11:$H$310,Mau15a!$B$11:$B$310,B836)+SUMIFS(Mau15a!$I$11:$I$310,Mau15a!$B$11:$B$310,B836)+SUMIFS(Mau15a!$J$11:$J$310,Mau15a!$B$11:$B$310,B836)-SUMIFS(Mau15a!$G$11:$G$310,Mau15a!$B$11:$B$310,B836))</f>
        <v/>
      </c>
      <c r="J836" s="39" t="str">
        <f t="shared" si="62"/>
        <v/>
      </c>
      <c r="K836" s="39" t="str">
        <f>IF(B836="","",(SUMIFS(Mau15a!$K$11:$K$310,Mau15a!$B$11:$B$310,B836)-SUMIFS(Mau15a!$E$11:$E$310,Mau15a!$B$11:$B$310,B836))*G836)</f>
        <v/>
      </c>
      <c r="L836" s="36" t="str">
        <f t="shared" si="63"/>
        <v/>
      </c>
      <c r="M836" s="36" t="str">
        <f>IF(B836="","",BOM!G836&amp;"")</f>
        <v/>
      </c>
      <c r="N836" s="36" t="str">
        <f t="shared" si="64"/>
        <v/>
      </c>
    </row>
    <row r="837" spans="1:14" x14ac:dyDescent="0.25">
      <c r="A837" s="35" t="str">
        <f t="shared" ref="A837:A900" si="65">IF(B837="","",ROW()-4)</f>
        <v/>
      </c>
      <c r="B837" s="35" t="str">
        <f>IF(BOM!A837="","",BOM!A837)</f>
        <v/>
      </c>
      <c r="C837" s="35" t="str">
        <f>IF(B837="","",BOM!B837)</f>
        <v/>
      </c>
      <c r="D837" s="35" t="str">
        <f>IF(B837="","",IFERROR(INDEX(DM_NL!$B$5:$B$304,MATCH(C837,DM_NL!$A$5:$A$304,0)),""))</f>
        <v/>
      </c>
      <c r="E837" s="35" t="str">
        <f>IF(B837="","",IFERROR(INDEX(DM_NL!$C$5:$C$304,MATCH(C837,DM_NL!$A$5:$A$304,0)),""))</f>
        <v/>
      </c>
      <c r="F837" s="39" t="str">
        <f>IF(B837="","",SUMIFS(Mau15a!$F$11:$F$310,Mau15a!$B$11:$B$310,B837))</f>
        <v/>
      </c>
      <c r="G837" s="39" t="str">
        <f>IF(B837="","",IF(OR(M837="KXDDM",BOM!F837=""),0,BOM!F837))</f>
        <v/>
      </c>
      <c r="H837" s="39" t="str">
        <f t="shared" ref="H837:H900" si="66">IF(B837="","",F837*G837)</f>
        <v/>
      </c>
      <c r="I837" s="39" t="str">
        <f>IF(B837="","",SUMIFS(Mau15a!$H$11:$H$310,Mau15a!$B$11:$B$310,B837)+SUMIFS(Mau15a!$I$11:$I$310,Mau15a!$B$11:$B$310,B837)+SUMIFS(Mau15a!$J$11:$J$310,Mau15a!$B$11:$B$310,B837)-SUMIFS(Mau15a!$G$11:$G$310,Mau15a!$B$11:$B$310,B837))</f>
        <v/>
      </c>
      <c r="J837" s="39" t="str">
        <f t="shared" ref="J837:J900" si="67">IF(B837="","",I837*G837)</f>
        <v/>
      </c>
      <c r="K837" s="39" t="str">
        <f>IF(B837="","",(SUMIFS(Mau15a!$K$11:$K$310,Mau15a!$B$11:$B$310,B837)-SUMIFS(Mau15a!$E$11:$E$310,Mau15a!$B$11:$B$310,B837))*G837)</f>
        <v/>
      </c>
      <c r="L837" s="36" t="str">
        <f t="shared" ref="L837:L900" si="68">IF(B837="","",IF(ABS(H837-J837-K837)&lt;0.000001,"Khớp","Lệch"))</f>
        <v/>
      </c>
      <c r="M837" s="36" t="str">
        <f>IF(B837="","",BOM!G837&amp;"")</f>
        <v/>
      </c>
      <c r="N837" s="36" t="str">
        <f t="shared" ref="N837:N900" si="69">IF(B837="","",IF(M837="",1,0))</f>
        <v/>
      </c>
    </row>
    <row r="838" spans="1:14" x14ac:dyDescent="0.25">
      <c r="A838" s="35" t="str">
        <f t="shared" si="65"/>
        <v/>
      </c>
      <c r="B838" s="35" t="str">
        <f>IF(BOM!A838="","",BOM!A838)</f>
        <v/>
      </c>
      <c r="C838" s="35" t="str">
        <f>IF(B838="","",BOM!B838)</f>
        <v/>
      </c>
      <c r="D838" s="35" t="str">
        <f>IF(B838="","",IFERROR(INDEX(DM_NL!$B$5:$B$304,MATCH(C838,DM_NL!$A$5:$A$304,0)),""))</f>
        <v/>
      </c>
      <c r="E838" s="35" t="str">
        <f>IF(B838="","",IFERROR(INDEX(DM_NL!$C$5:$C$304,MATCH(C838,DM_NL!$A$5:$A$304,0)),""))</f>
        <v/>
      </c>
      <c r="F838" s="39" t="str">
        <f>IF(B838="","",SUMIFS(Mau15a!$F$11:$F$310,Mau15a!$B$11:$B$310,B838))</f>
        <v/>
      </c>
      <c r="G838" s="39" t="str">
        <f>IF(B838="","",IF(OR(M838="KXDDM",BOM!F838=""),0,BOM!F838))</f>
        <v/>
      </c>
      <c r="H838" s="39" t="str">
        <f t="shared" si="66"/>
        <v/>
      </c>
      <c r="I838" s="39" t="str">
        <f>IF(B838="","",SUMIFS(Mau15a!$H$11:$H$310,Mau15a!$B$11:$B$310,B838)+SUMIFS(Mau15a!$I$11:$I$310,Mau15a!$B$11:$B$310,B838)+SUMIFS(Mau15a!$J$11:$J$310,Mau15a!$B$11:$B$310,B838)-SUMIFS(Mau15a!$G$11:$G$310,Mau15a!$B$11:$B$310,B838))</f>
        <v/>
      </c>
      <c r="J838" s="39" t="str">
        <f t="shared" si="67"/>
        <v/>
      </c>
      <c r="K838" s="39" t="str">
        <f>IF(B838="","",(SUMIFS(Mau15a!$K$11:$K$310,Mau15a!$B$11:$B$310,B838)-SUMIFS(Mau15a!$E$11:$E$310,Mau15a!$B$11:$B$310,B838))*G838)</f>
        <v/>
      </c>
      <c r="L838" s="36" t="str">
        <f t="shared" si="68"/>
        <v/>
      </c>
      <c r="M838" s="36" t="str">
        <f>IF(B838="","",BOM!G838&amp;"")</f>
        <v/>
      </c>
      <c r="N838" s="36" t="str">
        <f t="shared" si="69"/>
        <v/>
      </c>
    </row>
    <row r="839" spans="1:14" x14ac:dyDescent="0.25">
      <c r="A839" s="35" t="str">
        <f t="shared" si="65"/>
        <v/>
      </c>
      <c r="B839" s="35" t="str">
        <f>IF(BOM!A839="","",BOM!A839)</f>
        <v/>
      </c>
      <c r="C839" s="35" t="str">
        <f>IF(B839="","",BOM!B839)</f>
        <v/>
      </c>
      <c r="D839" s="35" t="str">
        <f>IF(B839="","",IFERROR(INDEX(DM_NL!$B$5:$B$304,MATCH(C839,DM_NL!$A$5:$A$304,0)),""))</f>
        <v/>
      </c>
      <c r="E839" s="35" t="str">
        <f>IF(B839="","",IFERROR(INDEX(DM_NL!$C$5:$C$304,MATCH(C839,DM_NL!$A$5:$A$304,0)),""))</f>
        <v/>
      </c>
      <c r="F839" s="39" t="str">
        <f>IF(B839="","",SUMIFS(Mau15a!$F$11:$F$310,Mau15a!$B$11:$B$310,B839))</f>
        <v/>
      </c>
      <c r="G839" s="39" t="str">
        <f>IF(B839="","",IF(OR(M839="KXDDM",BOM!F839=""),0,BOM!F839))</f>
        <v/>
      </c>
      <c r="H839" s="39" t="str">
        <f t="shared" si="66"/>
        <v/>
      </c>
      <c r="I839" s="39" t="str">
        <f>IF(B839="","",SUMIFS(Mau15a!$H$11:$H$310,Mau15a!$B$11:$B$310,B839)+SUMIFS(Mau15a!$I$11:$I$310,Mau15a!$B$11:$B$310,B839)+SUMIFS(Mau15a!$J$11:$J$310,Mau15a!$B$11:$B$310,B839)-SUMIFS(Mau15a!$G$11:$G$310,Mau15a!$B$11:$B$310,B839))</f>
        <v/>
      </c>
      <c r="J839" s="39" t="str">
        <f t="shared" si="67"/>
        <v/>
      </c>
      <c r="K839" s="39" t="str">
        <f>IF(B839="","",(SUMIFS(Mau15a!$K$11:$K$310,Mau15a!$B$11:$B$310,B839)-SUMIFS(Mau15a!$E$11:$E$310,Mau15a!$B$11:$B$310,B839))*G839)</f>
        <v/>
      </c>
      <c r="L839" s="36" t="str">
        <f t="shared" si="68"/>
        <v/>
      </c>
      <c r="M839" s="36" t="str">
        <f>IF(B839="","",BOM!G839&amp;"")</f>
        <v/>
      </c>
      <c r="N839" s="36" t="str">
        <f t="shared" si="69"/>
        <v/>
      </c>
    </row>
    <row r="840" spans="1:14" x14ac:dyDescent="0.25">
      <c r="A840" s="35" t="str">
        <f t="shared" si="65"/>
        <v/>
      </c>
      <c r="B840" s="35" t="str">
        <f>IF(BOM!A840="","",BOM!A840)</f>
        <v/>
      </c>
      <c r="C840" s="35" t="str">
        <f>IF(B840="","",BOM!B840)</f>
        <v/>
      </c>
      <c r="D840" s="35" t="str">
        <f>IF(B840="","",IFERROR(INDEX(DM_NL!$B$5:$B$304,MATCH(C840,DM_NL!$A$5:$A$304,0)),""))</f>
        <v/>
      </c>
      <c r="E840" s="35" t="str">
        <f>IF(B840="","",IFERROR(INDEX(DM_NL!$C$5:$C$304,MATCH(C840,DM_NL!$A$5:$A$304,0)),""))</f>
        <v/>
      </c>
      <c r="F840" s="39" t="str">
        <f>IF(B840="","",SUMIFS(Mau15a!$F$11:$F$310,Mau15a!$B$11:$B$310,B840))</f>
        <v/>
      </c>
      <c r="G840" s="39" t="str">
        <f>IF(B840="","",IF(OR(M840="KXDDM",BOM!F840=""),0,BOM!F840))</f>
        <v/>
      </c>
      <c r="H840" s="39" t="str">
        <f t="shared" si="66"/>
        <v/>
      </c>
      <c r="I840" s="39" t="str">
        <f>IF(B840="","",SUMIFS(Mau15a!$H$11:$H$310,Mau15a!$B$11:$B$310,B840)+SUMIFS(Mau15a!$I$11:$I$310,Mau15a!$B$11:$B$310,B840)+SUMIFS(Mau15a!$J$11:$J$310,Mau15a!$B$11:$B$310,B840)-SUMIFS(Mau15a!$G$11:$G$310,Mau15a!$B$11:$B$310,B840))</f>
        <v/>
      </c>
      <c r="J840" s="39" t="str">
        <f t="shared" si="67"/>
        <v/>
      </c>
      <c r="K840" s="39" t="str">
        <f>IF(B840="","",(SUMIFS(Mau15a!$K$11:$K$310,Mau15a!$B$11:$B$310,B840)-SUMIFS(Mau15a!$E$11:$E$310,Mau15a!$B$11:$B$310,B840))*G840)</f>
        <v/>
      </c>
      <c r="L840" s="36" t="str">
        <f t="shared" si="68"/>
        <v/>
      </c>
      <c r="M840" s="36" t="str">
        <f>IF(B840="","",BOM!G840&amp;"")</f>
        <v/>
      </c>
      <c r="N840" s="36" t="str">
        <f t="shared" si="69"/>
        <v/>
      </c>
    </row>
    <row r="841" spans="1:14" x14ac:dyDescent="0.25">
      <c r="A841" s="35" t="str">
        <f t="shared" si="65"/>
        <v/>
      </c>
      <c r="B841" s="35" t="str">
        <f>IF(BOM!A841="","",BOM!A841)</f>
        <v/>
      </c>
      <c r="C841" s="35" t="str">
        <f>IF(B841="","",BOM!B841)</f>
        <v/>
      </c>
      <c r="D841" s="35" t="str">
        <f>IF(B841="","",IFERROR(INDEX(DM_NL!$B$5:$B$304,MATCH(C841,DM_NL!$A$5:$A$304,0)),""))</f>
        <v/>
      </c>
      <c r="E841" s="35" t="str">
        <f>IF(B841="","",IFERROR(INDEX(DM_NL!$C$5:$C$304,MATCH(C841,DM_NL!$A$5:$A$304,0)),""))</f>
        <v/>
      </c>
      <c r="F841" s="39" t="str">
        <f>IF(B841="","",SUMIFS(Mau15a!$F$11:$F$310,Mau15a!$B$11:$B$310,B841))</f>
        <v/>
      </c>
      <c r="G841" s="39" t="str">
        <f>IF(B841="","",IF(OR(M841="KXDDM",BOM!F841=""),0,BOM!F841))</f>
        <v/>
      </c>
      <c r="H841" s="39" t="str">
        <f t="shared" si="66"/>
        <v/>
      </c>
      <c r="I841" s="39" t="str">
        <f>IF(B841="","",SUMIFS(Mau15a!$H$11:$H$310,Mau15a!$B$11:$B$310,B841)+SUMIFS(Mau15a!$I$11:$I$310,Mau15a!$B$11:$B$310,B841)+SUMIFS(Mau15a!$J$11:$J$310,Mau15a!$B$11:$B$310,B841)-SUMIFS(Mau15a!$G$11:$G$310,Mau15a!$B$11:$B$310,B841))</f>
        <v/>
      </c>
      <c r="J841" s="39" t="str">
        <f t="shared" si="67"/>
        <v/>
      </c>
      <c r="K841" s="39" t="str">
        <f>IF(B841="","",(SUMIFS(Mau15a!$K$11:$K$310,Mau15a!$B$11:$B$310,B841)-SUMIFS(Mau15a!$E$11:$E$310,Mau15a!$B$11:$B$310,B841))*G841)</f>
        <v/>
      </c>
      <c r="L841" s="36" t="str">
        <f t="shared" si="68"/>
        <v/>
      </c>
      <c r="M841" s="36" t="str">
        <f>IF(B841="","",BOM!G841&amp;"")</f>
        <v/>
      </c>
      <c r="N841" s="36" t="str">
        <f t="shared" si="69"/>
        <v/>
      </c>
    </row>
    <row r="842" spans="1:14" x14ac:dyDescent="0.25">
      <c r="A842" s="35" t="str">
        <f t="shared" si="65"/>
        <v/>
      </c>
      <c r="B842" s="35" t="str">
        <f>IF(BOM!A842="","",BOM!A842)</f>
        <v/>
      </c>
      <c r="C842" s="35" t="str">
        <f>IF(B842="","",BOM!B842)</f>
        <v/>
      </c>
      <c r="D842" s="35" t="str">
        <f>IF(B842="","",IFERROR(INDEX(DM_NL!$B$5:$B$304,MATCH(C842,DM_NL!$A$5:$A$304,0)),""))</f>
        <v/>
      </c>
      <c r="E842" s="35" t="str">
        <f>IF(B842="","",IFERROR(INDEX(DM_NL!$C$5:$C$304,MATCH(C842,DM_NL!$A$5:$A$304,0)),""))</f>
        <v/>
      </c>
      <c r="F842" s="39" t="str">
        <f>IF(B842="","",SUMIFS(Mau15a!$F$11:$F$310,Mau15a!$B$11:$B$310,B842))</f>
        <v/>
      </c>
      <c r="G842" s="39" t="str">
        <f>IF(B842="","",IF(OR(M842="KXDDM",BOM!F842=""),0,BOM!F842))</f>
        <v/>
      </c>
      <c r="H842" s="39" t="str">
        <f t="shared" si="66"/>
        <v/>
      </c>
      <c r="I842" s="39" t="str">
        <f>IF(B842="","",SUMIFS(Mau15a!$H$11:$H$310,Mau15a!$B$11:$B$310,B842)+SUMIFS(Mau15a!$I$11:$I$310,Mau15a!$B$11:$B$310,B842)+SUMIFS(Mau15a!$J$11:$J$310,Mau15a!$B$11:$B$310,B842)-SUMIFS(Mau15a!$G$11:$G$310,Mau15a!$B$11:$B$310,B842))</f>
        <v/>
      </c>
      <c r="J842" s="39" t="str">
        <f t="shared" si="67"/>
        <v/>
      </c>
      <c r="K842" s="39" t="str">
        <f>IF(B842="","",(SUMIFS(Mau15a!$K$11:$K$310,Mau15a!$B$11:$B$310,B842)-SUMIFS(Mau15a!$E$11:$E$310,Mau15a!$B$11:$B$310,B842))*G842)</f>
        <v/>
      </c>
      <c r="L842" s="36" t="str">
        <f t="shared" si="68"/>
        <v/>
      </c>
      <c r="M842" s="36" t="str">
        <f>IF(B842="","",BOM!G842&amp;"")</f>
        <v/>
      </c>
      <c r="N842" s="36" t="str">
        <f t="shared" si="69"/>
        <v/>
      </c>
    </row>
    <row r="843" spans="1:14" x14ac:dyDescent="0.25">
      <c r="A843" s="35" t="str">
        <f t="shared" si="65"/>
        <v/>
      </c>
      <c r="B843" s="35" t="str">
        <f>IF(BOM!A843="","",BOM!A843)</f>
        <v/>
      </c>
      <c r="C843" s="35" t="str">
        <f>IF(B843="","",BOM!B843)</f>
        <v/>
      </c>
      <c r="D843" s="35" t="str">
        <f>IF(B843="","",IFERROR(INDEX(DM_NL!$B$5:$B$304,MATCH(C843,DM_NL!$A$5:$A$304,0)),""))</f>
        <v/>
      </c>
      <c r="E843" s="35" t="str">
        <f>IF(B843="","",IFERROR(INDEX(DM_NL!$C$5:$C$304,MATCH(C843,DM_NL!$A$5:$A$304,0)),""))</f>
        <v/>
      </c>
      <c r="F843" s="39" t="str">
        <f>IF(B843="","",SUMIFS(Mau15a!$F$11:$F$310,Mau15a!$B$11:$B$310,B843))</f>
        <v/>
      </c>
      <c r="G843" s="39" t="str">
        <f>IF(B843="","",IF(OR(M843="KXDDM",BOM!F843=""),0,BOM!F843))</f>
        <v/>
      </c>
      <c r="H843" s="39" t="str">
        <f t="shared" si="66"/>
        <v/>
      </c>
      <c r="I843" s="39" t="str">
        <f>IF(B843="","",SUMIFS(Mau15a!$H$11:$H$310,Mau15a!$B$11:$B$310,B843)+SUMIFS(Mau15a!$I$11:$I$310,Mau15a!$B$11:$B$310,B843)+SUMIFS(Mau15a!$J$11:$J$310,Mau15a!$B$11:$B$310,B843)-SUMIFS(Mau15a!$G$11:$G$310,Mau15a!$B$11:$B$310,B843))</f>
        <v/>
      </c>
      <c r="J843" s="39" t="str">
        <f t="shared" si="67"/>
        <v/>
      </c>
      <c r="K843" s="39" t="str">
        <f>IF(B843="","",(SUMIFS(Mau15a!$K$11:$K$310,Mau15a!$B$11:$B$310,B843)-SUMIFS(Mau15a!$E$11:$E$310,Mau15a!$B$11:$B$310,B843))*G843)</f>
        <v/>
      </c>
      <c r="L843" s="36" t="str">
        <f t="shared" si="68"/>
        <v/>
      </c>
      <c r="M843" s="36" t="str">
        <f>IF(B843="","",BOM!G843&amp;"")</f>
        <v/>
      </c>
      <c r="N843" s="36" t="str">
        <f t="shared" si="69"/>
        <v/>
      </c>
    </row>
    <row r="844" spans="1:14" x14ac:dyDescent="0.25">
      <c r="A844" s="35" t="str">
        <f t="shared" si="65"/>
        <v/>
      </c>
      <c r="B844" s="35" t="str">
        <f>IF(BOM!A844="","",BOM!A844)</f>
        <v/>
      </c>
      <c r="C844" s="35" t="str">
        <f>IF(B844="","",BOM!B844)</f>
        <v/>
      </c>
      <c r="D844" s="35" t="str">
        <f>IF(B844="","",IFERROR(INDEX(DM_NL!$B$5:$B$304,MATCH(C844,DM_NL!$A$5:$A$304,0)),""))</f>
        <v/>
      </c>
      <c r="E844" s="35" t="str">
        <f>IF(B844="","",IFERROR(INDEX(DM_NL!$C$5:$C$304,MATCH(C844,DM_NL!$A$5:$A$304,0)),""))</f>
        <v/>
      </c>
      <c r="F844" s="39" t="str">
        <f>IF(B844="","",SUMIFS(Mau15a!$F$11:$F$310,Mau15a!$B$11:$B$310,B844))</f>
        <v/>
      </c>
      <c r="G844" s="39" t="str">
        <f>IF(B844="","",IF(OR(M844="KXDDM",BOM!F844=""),0,BOM!F844))</f>
        <v/>
      </c>
      <c r="H844" s="39" t="str">
        <f t="shared" si="66"/>
        <v/>
      </c>
      <c r="I844" s="39" t="str">
        <f>IF(B844="","",SUMIFS(Mau15a!$H$11:$H$310,Mau15a!$B$11:$B$310,B844)+SUMIFS(Mau15a!$I$11:$I$310,Mau15a!$B$11:$B$310,B844)+SUMIFS(Mau15a!$J$11:$J$310,Mau15a!$B$11:$B$310,B844)-SUMIFS(Mau15a!$G$11:$G$310,Mau15a!$B$11:$B$310,B844))</f>
        <v/>
      </c>
      <c r="J844" s="39" t="str">
        <f t="shared" si="67"/>
        <v/>
      </c>
      <c r="K844" s="39" t="str">
        <f>IF(B844="","",(SUMIFS(Mau15a!$K$11:$K$310,Mau15a!$B$11:$B$310,B844)-SUMIFS(Mau15a!$E$11:$E$310,Mau15a!$B$11:$B$310,B844))*G844)</f>
        <v/>
      </c>
      <c r="L844" s="36" t="str">
        <f t="shared" si="68"/>
        <v/>
      </c>
      <c r="M844" s="36" t="str">
        <f>IF(B844="","",BOM!G844&amp;"")</f>
        <v/>
      </c>
      <c r="N844" s="36" t="str">
        <f t="shared" si="69"/>
        <v/>
      </c>
    </row>
    <row r="845" spans="1:14" x14ac:dyDescent="0.25">
      <c r="A845" s="35" t="str">
        <f t="shared" si="65"/>
        <v/>
      </c>
      <c r="B845" s="35" t="str">
        <f>IF(BOM!A845="","",BOM!A845)</f>
        <v/>
      </c>
      <c r="C845" s="35" t="str">
        <f>IF(B845="","",BOM!B845)</f>
        <v/>
      </c>
      <c r="D845" s="35" t="str">
        <f>IF(B845="","",IFERROR(INDEX(DM_NL!$B$5:$B$304,MATCH(C845,DM_NL!$A$5:$A$304,0)),""))</f>
        <v/>
      </c>
      <c r="E845" s="35" t="str">
        <f>IF(B845="","",IFERROR(INDEX(DM_NL!$C$5:$C$304,MATCH(C845,DM_NL!$A$5:$A$304,0)),""))</f>
        <v/>
      </c>
      <c r="F845" s="39" t="str">
        <f>IF(B845="","",SUMIFS(Mau15a!$F$11:$F$310,Mau15a!$B$11:$B$310,B845))</f>
        <v/>
      </c>
      <c r="G845" s="39" t="str">
        <f>IF(B845="","",IF(OR(M845="KXDDM",BOM!F845=""),0,BOM!F845))</f>
        <v/>
      </c>
      <c r="H845" s="39" t="str">
        <f t="shared" si="66"/>
        <v/>
      </c>
      <c r="I845" s="39" t="str">
        <f>IF(B845="","",SUMIFS(Mau15a!$H$11:$H$310,Mau15a!$B$11:$B$310,B845)+SUMIFS(Mau15a!$I$11:$I$310,Mau15a!$B$11:$B$310,B845)+SUMIFS(Mau15a!$J$11:$J$310,Mau15a!$B$11:$B$310,B845)-SUMIFS(Mau15a!$G$11:$G$310,Mau15a!$B$11:$B$310,B845))</f>
        <v/>
      </c>
      <c r="J845" s="39" t="str">
        <f t="shared" si="67"/>
        <v/>
      </c>
      <c r="K845" s="39" t="str">
        <f>IF(B845="","",(SUMIFS(Mau15a!$K$11:$K$310,Mau15a!$B$11:$B$310,B845)-SUMIFS(Mau15a!$E$11:$E$310,Mau15a!$B$11:$B$310,B845))*G845)</f>
        <v/>
      </c>
      <c r="L845" s="36" t="str">
        <f t="shared" si="68"/>
        <v/>
      </c>
      <c r="M845" s="36" t="str">
        <f>IF(B845="","",BOM!G845&amp;"")</f>
        <v/>
      </c>
      <c r="N845" s="36" t="str">
        <f t="shared" si="69"/>
        <v/>
      </c>
    </row>
    <row r="846" spans="1:14" x14ac:dyDescent="0.25">
      <c r="A846" s="35" t="str">
        <f t="shared" si="65"/>
        <v/>
      </c>
      <c r="B846" s="35" t="str">
        <f>IF(BOM!A846="","",BOM!A846)</f>
        <v/>
      </c>
      <c r="C846" s="35" t="str">
        <f>IF(B846="","",BOM!B846)</f>
        <v/>
      </c>
      <c r="D846" s="35" t="str">
        <f>IF(B846="","",IFERROR(INDEX(DM_NL!$B$5:$B$304,MATCH(C846,DM_NL!$A$5:$A$304,0)),""))</f>
        <v/>
      </c>
      <c r="E846" s="35" t="str">
        <f>IF(B846="","",IFERROR(INDEX(DM_NL!$C$5:$C$304,MATCH(C846,DM_NL!$A$5:$A$304,0)),""))</f>
        <v/>
      </c>
      <c r="F846" s="39" t="str">
        <f>IF(B846="","",SUMIFS(Mau15a!$F$11:$F$310,Mau15a!$B$11:$B$310,B846))</f>
        <v/>
      </c>
      <c r="G846" s="39" t="str">
        <f>IF(B846="","",IF(OR(M846="KXDDM",BOM!F846=""),0,BOM!F846))</f>
        <v/>
      </c>
      <c r="H846" s="39" t="str">
        <f t="shared" si="66"/>
        <v/>
      </c>
      <c r="I846" s="39" t="str">
        <f>IF(B846="","",SUMIFS(Mau15a!$H$11:$H$310,Mau15a!$B$11:$B$310,B846)+SUMIFS(Mau15a!$I$11:$I$310,Mau15a!$B$11:$B$310,B846)+SUMIFS(Mau15a!$J$11:$J$310,Mau15a!$B$11:$B$310,B846)-SUMIFS(Mau15a!$G$11:$G$310,Mau15a!$B$11:$B$310,B846))</f>
        <v/>
      </c>
      <c r="J846" s="39" t="str">
        <f t="shared" si="67"/>
        <v/>
      </c>
      <c r="K846" s="39" t="str">
        <f>IF(B846="","",(SUMIFS(Mau15a!$K$11:$K$310,Mau15a!$B$11:$B$310,B846)-SUMIFS(Mau15a!$E$11:$E$310,Mau15a!$B$11:$B$310,B846))*G846)</f>
        <v/>
      </c>
      <c r="L846" s="36" t="str">
        <f t="shared" si="68"/>
        <v/>
      </c>
      <c r="M846" s="36" t="str">
        <f>IF(B846="","",BOM!G846&amp;"")</f>
        <v/>
      </c>
      <c r="N846" s="36" t="str">
        <f t="shared" si="69"/>
        <v/>
      </c>
    </row>
    <row r="847" spans="1:14" x14ac:dyDescent="0.25">
      <c r="A847" s="35" t="str">
        <f t="shared" si="65"/>
        <v/>
      </c>
      <c r="B847" s="35" t="str">
        <f>IF(BOM!A847="","",BOM!A847)</f>
        <v/>
      </c>
      <c r="C847" s="35" t="str">
        <f>IF(B847="","",BOM!B847)</f>
        <v/>
      </c>
      <c r="D847" s="35" t="str">
        <f>IF(B847="","",IFERROR(INDEX(DM_NL!$B$5:$B$304,MATCH(C847,DM_NL!$A$5:$A$304,0)),""))</f>
        <v/>
      </c>
      <c r="E847" s="35" t="str">
        <f>IF(B847="","",IFERROR(INDEX(DM_NL!$C$5:$C$304,MATCH(C847,DM_NL!$A$5:$A$304,0)),""))</f>
        <v/>
      </c>
      <c r="F847" s="39" t="str">
        <f>IF(B847="","",SUMIFS(Mau15a!$F$11:$F$310,Mau15a!$B$11:$B$310,B847))</f>
        <v/>
      </c>
      <c r="G847" s="39" t="str">
        <f>IF(B847="","",IF(OR(M847="KXDDM",BOM!F847=""),0,BOM!F847))</f>
        <v/>
      </c>
      <c r="H847" s="39" t="str">
        <f t="shared" si="66"/>
        <v/>
      </c>
      <c r="I847" s="39" t="str">
        <f>IF(B847="","",SUMIFS(Mau15a!$H$11:$H$310,Mau15a!$B$11:$B$310,B847)+SUMIFS(Mau15a!$I$11:$I$310,Mau15a!$B$11:$B$310,B847)+SUMIFS(Mau15a!$J$11:$J$310,Mau15a!$B$11:$B$310,B847)-SUMIFS(Mau15a!$G$11:$G$310,Mau15a!$B$11:$B$310,B847))</f>
        <v/>
      </c>
      <c r="J847" s="39" t="str">
        <f t="shared" si="67"/>
        <v/>
      </c>
      <c r="K847" s="39" t="str">
        <f>IF(B847="","",(SUMIFS(Mau15a!$K$11:$K$310,Mau15a!$B$11:$B$310,B847)-SUMIFS(Mau15a!$E$11:$E$310,Mau15a!$B$11:$B$310,B847))*G847)</f>
        <v/>
      </c>
      <c r="L847" s="36" t="str">
        <f t="shared" si="68"/>
        <v/>
      </c>
      <c r="M847" s="36" t="str">
        <f>IF(B847="","",BOM!G847&amp;"")</f>
        <v/>
      </c>
      <c r="N847" s="36" t="str">
        <f t="shared" si="69"/>
        <v/>
      </c>
    </row>
    <row r="848" spans="1:14" x14ac:dyDescent="0.25">
      <c r="A848" s="35" t="str">
        <f t="shared" si="65"/>
        <v/>
      </c>
      <c r="B848" s="35" t="str">
        <f>IF(BOM!A848="","",BOM!A848)</f>
        <v/>
      </c>
      <c r="C848" s="35" t="str">
        <f>IF(B848="","",BOM!B848)</f>
        <v/>
      </c>
      <c r="D848" s="35" t="str">
        <f>IF(B848="","",IFERROR(INDEX(DM_NL!$B$5:$B$304,MATCH(C848,DM_NL!$A$5:$A$304,0)),""))</f>
        <v/>
      </c>
      <c r="E848" s="35" t="str">
        <f>IF(B848="","",IFERROR(INDEX(DM_NL!$C$5:$C$304,MATCH(C848,DM_NL!$A$5:$A$304,0)),""))</f>
        <v/>
      </c>
      <c r="F848" s="39" t="str">
        <f>IF(B848="","",SUMIFS(Mau15a!$F$11:$F$310,Mau15a!$B$11:$B$310,B848))</f>
        <v/>
      </c>
      <c r="G848" s="39" t="str">
        <f>IF(B848="","",IF(OR(M848="KXDDM",BOM!F848=""),0,BOM!F848))</f>
        <v/>
      </c>
      <c r="H848" s="39" t="str">
        <f t="shared" si="66"/>
        <v/>
      </c>
      <c r="I848" s="39" t="str">
        <f>IF(B848="","",SUMIFS(Mau15a!$H$11:$H$310,Mau15a!$B$11:$B$310,B848)+SUMIFS(Mau15a!$I$11:$I$310,Mau15a!$B$11:$B$310,B848)+SUMIFS(Mau15a!$J$11:$J$310,Mau15a!$B$11:$B$310,B848)-SUMIFS(Mau15a!$G$11:$G$310,Mau15a!$B$11:$B$310,B848))</f>
        <v/>
      </c>
      <c r="J848" s="39" t="str">
        <f t="shared" si="67"/>
        <v/>
      </c>
      <c r="K848" s="39" t="str">
        <f>IF(B848="","",(SUMIFS(Mau15a!$K$11:$K$310,Mau15a!$B$11:$B$310,B848)-SUMIFS(Mau15a!$E$11:$E$310,Mau15a!$B$11:$B$310,B848))*G848)</f>
        <v/>
      </c>
      <c r="L848" s="36" t="str">
        <f t="shared" si="68"/>
        <v/>
      </c>
      <c r="M848" s="36" t="str">
        <f>IF(B848="","",BOM!G848&amp;"")</f>
        <v/>
      </c>
      <c r="N848" s="36" t="str">
        <f t="shared" si="69"/>
        <v/>
      </c>
    </row>
    <row r="849" spans="1:14" x14ac:dyDescent="0.25">
      <c r="A849" s="35" t="str">
        <f t="shared" si="65"/>
        <v/>
      </c>
      <c r="B849" s="35" t="str">
        <f>IF(BOM!A849="","",BOM!A849)</f>
        <v/>
      </c>
      <c r="C849" s="35" t="str">
        <f>IF(B849="","",BOM!B849)</f>
        <v/>
      </c>
      <c r="D849" s="35" t="str">
        <f>IF(B849="","",IFERROR(INDEX(DM_NL!$B$5:$B$304,MATCH(C849,DM_NL!$A$5:$A$304,0)),""))</f>
        <v/>
      </c>
      <c r="E849" s="35" t="str">
        <f>IF(B849="","",IFERROR(INDEX(DM_NL!$C$5:$C$304,MATCH(C849,DM_NL!$A$5:$A$304,0)),""))</f>
        <v/>
      </c>
      <c r="F849" s="39" t="str">
        <f>IF(B849="","",SUMIFS(Mau15a!$F$11:$F$310,Mau15a!$B$11:$B$310,B849))</f>
        <v/>
      </c>
      <c r="G849" s="39" t="str">
        <f>IF(B849="","",IF(OR(M849="KXDDM",BOM!F849=""),0,BOM!F849))</f>
        <v/>
      </c>
      <c r="H849" s="39" t="str">
        <f t="shared" si="66"/>
        <v/>
      </c>
      <c r="I849" s="39" t="str">
        <f>IF(B849="","",SUMIFS(Mau15a!$H$11:$H$310,Mau15a!$B$11:$B$310,B849)+SUMIFS(Mau15a!$I$11:$I$310,Mau15a!$B$11:$B$310,B849)+SUMIFS(Mau15a!$J$11:$J$310,Mau15a!$B$11:$B$310,B849)-SUMIFS(Mau15a!$G$11:$G$310,Mau15a!$B$11:$B$310,B849))</f>
        <v/>
      </c>
      <c r="J849" s="39" t="str">
        <f t="shared" si="67"/>
        <v/>
      </c>
      <c r="K849" s="39" t="str">
        <f>IF(B849="","",(SUMIFS(Mau15a!$K$11:$K$310,Mau15a!$B$11:$B$310,B849)-SUMIFS(Mau15a!$E$11:$E$310,Mau15a!$B$11:$B$310,B849))*G849)</f>
        <v/>
      </c>
      <c r="L849" s="36" t="str">
        <f t="shared" si="68"/>
        <v/>
      </c>
      <c r="M849" s="36" t="str">
        <f>IF(B849="","",BOM!G849&amp;"")</f>
        <v/>
      </c>
      <c r="N849" s="36" t="str">
        <f t="shared" si="69"/>
        <v/>
      </c>
    </row>
    <row r="850" spans="1:14" x14ac:dyDescent="0.25">
      <c r="A850" s="35" t="str">
        <f t="shared" si="65"/>
        <v/>
      </c>
      <c r="B850" s="35" t="str">
        <f>IF(BOM!A850="","",BOM!A850)</f>
        <v/>
      </c>
      <c r="C850" s="35" t="str">
        <f>IF(B850="","",BOM!B850)</f>
        <v/>
      </c>
      <c r="D850" s="35" t="str">
        <f>IF(B850="","",IFERROR(INDEX(DM_NL!$B$5:$B$304,MATCH(C850,DM_NL!$A$5:$A$304,0)),""))</f>
        <v/>
      </c>
      <c r="E850" s="35" t="str">
        <f>IF(B850="","",IFERROR(INDEX(DM_NL!$C$5:$C$304,MATCH(C850,DM_NL!$A$5:$A$304,0)),""))</f>
        <v/>
      </c>
      <c r="F850" s="39" t="str">
        <f>IF(B850="","",SUMIFS(Mau15a!$F$11:$F$310,Mau15a!$B$11:$B$310,B850))</f>
        <v/>
      </c>
      <c r="G850" s="39" t="str">
        <f>IF(B850="","",IF(OR(M850="KXDDM",BOM!F850=""),0,BOM!F850))</f>
        <v/>
      </c>
      <c r="H850" s="39" t="str">
        <f t="shared" si="66"/>
        <v/>
      </c>
      <c r="I850" s="39" t="str">
        <f>IF(B850="","",SUMIFS(Mau15a!$H$11:$H$310,Mau15a!$B$11:$B$310,B850)+SUMIFS(Mau15a!$I$11:$I$310,Mau15a!$B$11:$B$310,B850)+SUMIFS(Mau15a!$J$11:$J$310,Mau15a!$B$11:$B$310,B850)-SUMIFS(Mau15a!$G$11:$G$310,Mau15a!$B$11:$B$310,B850))</f>
        <v/>
      </c>
      <c r="J850" s="39" t="str">
        <f t="shared" si="67"/>
        <v/>
      </c>
      <c r="K850" s="39" t="str">
        <f>IF(B850="","",(SUMIFS(Mau15a!$K$11:$K$310,Mau15a!$B$11:$B$310,B850)-SUMIFS(Mau15a!$E$11:$E$310,Mau15a!$B$11:$B$310,B850))*G850)</f>
        <v/>
      </c>
      <c r="L850" s="36" t="str">
        <f t="shared" si="68"/>
        <v/>
      </c>
      <c r="M850" s="36" t="str">
        <f>IF(B850="","",BOM!G850&amp;"")</f>
        <v/>
      </c>
      <c r="N850" s="36" t="str">
        <f t="shared" si="69"/>
        <v/>
      </c>
    </row>
    <row r="851" spans="1:14" x14ac:dyDescent="0.25">
      <c r="A851" s="35" t="str">
        <f t="shared" si="65"/>
        <v/>
      </c>
      <c r="B851" s="35" t="str">
        <f>IF(BOM!A851="","",BOM!A851)</f>
        <v/>
      </c>
      <c r="C851" s="35" t="str">
        <f>IF(B851="","",BOM!B851)</f>
        <v/>
      </c>
      <c r="D851" s="35" t="str">
        <f>IF(B851="","",IFERROR(INDEX(DM_NL!$B$5:$B$304,MATCH(C851,DM_NL!$A$5:$A$304,0)),""))</f>
        <v/>
      </c>
      <c r="E851" s="35" t="str">
        <f>IF(B851="","",IFERROR(INDEX(DM_NL!$C$5:$C$304,MATCH(C851,DM_NL!$A$5:$A$304,0)),""))</f>
        <v/>
      </c>
      <c r="F851" s="39" t="str">
        <f>IF(B851="","",SUMIFS(Mau15a!$F$11:$F$310,Mau15a!$B$11:$B$310,B851))</f>
        <v/>
      </c>
      <c r="G851" s="39" t="str">
        <f>IF(B851="","",IF(OR(M851="KXDDM",BOM!F851=""),0,BOM!F851))</f>
        <v/>
      </c>
      <c r="H851" s="39" t="str">
        <f t="shared" si="66"/>
        <v/>
      </c>
      <c r="I851" s="39" t="str">
        <f>IF(B851="","",SUMIFS(Mau15a!$H$11:$H$310,Mau15a!$B$11:$B$310,B851)+SUMIFS(Mau15a!$I$11:$I$310,Mau15a!$B$11:$B$310,B851)+SUMIFS(Mau15a!$J$11:$J$310,Mau15a!$B$11:$B$310,B851)-SUMIFS(Mau15a!$G$11:$G$310,Mau15a!$B$11:$B$310,B851))</f>
        <v/>
      </c>
      <c r="J851" s="39" t="str">
        <f t="shared" si="67"/>
        <v/>
      </c>
      <c r="K851" s="39" t="str">
        <f>IF(B851="","",(SUMIFS(Mau15a!$K$11:$K$310,Mau15a!$B$11:$B$310,B851)-SUMIFS(Mau15a!$E$11:$E$310,Mau15a!$B$11:$B$310,B851))*G851)</f>
        <v/>
      </c>
      <c r="L851" s="36" t="str">
        <f t="shared" si="68"/>
        <v/>
      </c>
      <c r="M851" s="36" t="str">
        <f>IF(B851="","",BOM!G851&amp;"")</f>
        <v/>
      </c>
      <c r="N851" s="36" t="str">
        <f t="shared" si="69"/>
        <v/>
      </c>
    </row>
    <row r="852" spans="1:14" x14ac:dyDescent="0.25">
      <c r="A852" s="35" t="str">
        <f t="shared" si="65"/>
        <v/>
      </c>
      <c r="B852" s="35" t="str">
        <f>IF(BOM!A852="","",BOM!A852)</f>
        <v/>
      </c>
      <c r="C852" s="35" t="str">
        <f>IF(B852="","",BOM!B852)</f>
        <v/>
      </c>
      <c r="D852" s="35" t="str">
        <f>IF(B852="","",IFERROR(INDEX(DM_NL!$B$5:$B$304,MATCH(C852,DM_NL!$A$5:$A$304,0)),""))</f>
        <v/>
      </c>
      <c r="E852" s="35" t="str">
        <f>IF(B852="","",IFERROR(INDEX(DM_NL!$C$5:$C$304,MATCH(C852,DM_NL!$A$5:$A$304,0)),""))</f>
        <v/>
      </c>
      <c r="F852" s="39" t="str">
        <f>IF(B852="","",SUMIFS(Mau15a!$F$11:$F$310,Mau15a!$B$11:$B$310,B852))</f>
        <v/>
      </c>
      <c r="G852" s="39" t="str">
        <f>IF(B852="","",IF(OR(M852="KXDDM",BOM!F852=""),0,BOM!F852))</f>
        <v/>
      </c>
      <c r="H852" s="39" t="str">
        <f t="shared" si="66"/>
        <v/>
      </c>
      <c r="I852" s="39" t="str">
        <f>IF(B852="","",SUMIFS(Mau15a!$H$11:$H$310,Mau15a!$B$11:$B$310,B852)+SUMIFS(Mau15a!$I$11:$I$310,Mau15a!$B$11:$B$310,B852)+SUMIFS(Mau15a!$J$11:$J$310,Mau15a!$B$11:$B$310,B852)-SUMIFS(Mau15a!$G$11:$G$310,Mau15a!$B$11:$B$310,B852))</f>
        <v/>
      </c>
      <c r="J852" s="39" t="str">
        <f t="shared" si="67"/>
        <v/>
      </c>
      <c r="K852" s="39" t="str">
        <f>IF(B852="","",(SUMIFS(Mau15a!$K$11:$K$310,Mau15a!$B$11:$B$310,B852)-SUMIFS(Mau15a!$E$11:$E$310,Mau15a!$B$11:$B$310,B852))*G852)</f>
        <v/>
      </c>
      <c r="L852" s="36" t="str">
        <f t="shared" si="68"/>
        <v/>
      </c>
      <c r="M852" s="36" t="str">
        <f>IF(B852="","",BOM!G852&amp;"")</f>
        <v/>
      </c>
      <c r="N852" s="36" t="str">
        <f t="shared" si="69"/>
        <v/>
      </c>
    </row>
    <row r="853" spans="1:14" x14ac:dyDescent="0.25">
      <c r="A853" s="35" t="str">
        <f t="shared" si="65"/>
        <v/>
      </c>
      <c r="B853" s="35" t="str">
        <f>IF(BOM!A853="","",BOM!A853)</f>
        <v/>
      </c>
      <c r="C853" s="35" t="str">
        <f>IF(B853="","",BOM!B853)</f>
        <v/>
      </c>
      <c r="D853" s="35" t="str">
        <f>IF(B853="","",IFERROR(INDEX(DM_NL!$B$5:$B$304,MATCH(C853,DM_NL!$A$5:$A$304,0)),""))</f>
        <v/>
      </c>
      <c r="E853" s="35" t="str">
        <f>IF(B853="","",IFERROR(INDEX(DM_NL!$C$5:$C$304,MATCH(C853,DM_NL!$A$5:$A$304,0)),""))</f>
        <v/>
      </c>
      <c r="F853" s="39" t="str">
        <f>IF(B853="","",SUMIFS(Mau15a!$F$11:$F$310,Mau15a!$B$11:$B$310,B853))</f>
        <v/>
      </c>
      <c r="G853" s="39" t="str">
        <f>IF(B853="","",IF(OR(M853="KXDDM",BOM!F853=""),0,BOM!F853))</f>
        <v/>
      </c>
      <c r="H853" s="39" t="str">
        <f t="shared" si="66"/>
        <v/>
      </c>
      <c r="I853" s="39" t="str">
        <f>IF(B853="","",SUMIFS(Mau15a!$H$11:$H$310,Mau15a!$B$11:$B$310,B853)+SUMIFS(Mau15a!$I$11:$I$310,Mau15a!$B$11:$B$310,B853)+SUMIFS(Mau15a!$J$11:$J$310,Mau15a!$B$11:$B$310,B853)-SUMIFS(Mau15a!$G$11:$G$310,Mau15a!$B$11:$B$310,B853))</f>
        <v/>
      </c>
      <c r="J853" s="39" t="str">
        <f t="shared" si="67"/>
        <v/>
      </c>
      <c r="K853" s="39" t="str">
        <f>IF(B853="","",(SUMIFS(Mau15a!$K$11:$K$310,Mau15a!$B$11:$B$310,B853)-SUMIFS(Mau15a!$E$11:$E$310,Mau15a!$B$11:$B$310,B853))*G853)</f>
        <v/>
      </c>
      <c r="L853" s="36" t="str">
        <f t="shared" si="68"/>
        <v/>
      </c>
      <c r="M853" s="36" t="str">
        <f>IF(B853="","",BOM!G853&amp;"")</f>
        <v/>
      </c>
      <c r="N853" s="36" t="str">
        <f t="shared" si="69"/>
        <v/>
      </c>
    </row>
    <row r="854" spans="1:14" x14ac:dyDescent="0.25">
      <c r="A854" s="35" t="str">
        <f t="shared" si="65"/>
        <v/>
      </c>
      <c r="B854" s="35" t="str">
        <f>IF(BOM!A854="","",BOM!A854)</f>
        <v/>
      </c>
      <c r="C854" s="35" t="str">
        <f>IF(B854="","",BOM!B854)</f>
        <v/>
      </c>
      <c r="D854" s="35" t="str">
        <f>IF(B854="","",IFERROR(INDEX(DM_NL!$B$5:$B$304,MATCH(C854,DM_NL!$A$5:$A$304,0)),""))</f>
        <v/>
      </c>
      <c r="E854" s="35" t="str">
        <f>IF(B854="","",IFERROR(INDEX(DM_NL!$C$5:$C$304,MATCH(C854,DM_NL!$A$5:$A$304,0)),""))</f>
        <v/>
      </c>
      <c r="F854" s="39" t="str">
        <f>IF(B854="","",SUMIFS(Mau15a!$F$11:$F$310,Mau15a!$B$11:$B$310,B854))</f>
        <v/>
      </c>
      <c r="G854" s="39" t="str">
        <f>IF(B854="","",IF(OR(M854="KXDDM",BOM!F854=""),0,BOM!F854))</f>
        <v/>
      </c>
      <c r="H854" s="39" t="str">
        <f t="shared" si="66"/>
        <v/>
      </c>
      <c r="I854" s="39" t="str">
        <f>IF(B854="","",SUMIFS(Mau15a!$H$11:$H$310,Mau15a!$B$11:$B$310,B854)+SUMIFS(Mau15a!$I$11:$I$310,Mau15a!$B$11:$B$310,B854)+SUMIFS(Mau15a!$J$11:$J$310,Mau15a!$B$11:$B$310,B854)-SUMIFS(Mau15a!$G$11:$G$310,Mau15a!$B$11:$B$310,B854))</f>
        <v/>
      </c>
      <c r="J854" s="39" t="str">
        <f t="shared" si="67"/>
        <v/>
      </c>
      <c r="K854" s="39" t="str">
        <f>IF(B854="","",(SUMIFS(Mau15a!$K$11:$K$310,Mau15a!$B$11:$B$310,B854)-SUMIFS(Mau15a!$E$11:$E$310,Mau15a!$B$11:$B$310,B854))*G854)</f>
        <v/>
      </c>
      <c r="L854" s="36" t="str">
        <f t="shared" si="68"/>
        <v/>
      </c>
      <c r="M854" s="36" t="str">
        <f>IF(B854="","",BOM!G854&amp;"")</f>
        <v/>
      </c>
      <c r="N854" s="36" t="str">
        <f t="shared" si="69"/>
        <v/>
      </c>
    </row>
    <row r="855" spans="1:14" x14ac:dyDescent="0.25">
      <c r="A855" s="35" t="str">
        <f t="shared" si="65"/>
        <v/>
      </c>
      <c r="B855" s="35" t="str">
        <f>IF(BOM!A855="","",BOM!A855)</f>
        <v/>
      </c>
      <c r="C855" s="35" t="str">
        <f>IF(B855="","",BOM!B855)</f>
        <v/>
      </c>
      <c r="D855" s="35" t="str">
        <f>IF(B855="","",IFERROR(INDEX(DM_NL!$B$5:$B$304,MATCH(C855,DM_NL!$A$5:$A$304,0)),""))</f>
        <v/>
      </c>
      <c r="E855" s="35" t="str">
        <f>IF(B855="","",IFERROR(INDEX(DM_NL!$C$5:$C$304,MATCH(C855,DM_NL!$A$5:$A$304,0)),""))</f>
        <v/>
      </c>
      <c r="F855" s="39" t="str">
        <f>IF(B855="","",SUMIFS(Mau15a!$F$11:$F$310,Mau15a!$B$11:$B$310,B855))</f>
        <v/>
      </c>
      <c r="G855" s="39" t="str">
        <f>IF(B855="","",IF(OR(M855="KXDDM",BOM!F855=""),0,BOM!F855))</f>
        <v/>
      </c>
      <c r="H855" s="39" t="str">
        <f t="shared" si="66"/>
        <v/>
      </c>
      <c r="I855" s="39" t="str">
        <f>IF(B855="","",SUMIFS(Mau15a!$H$11:$H$310,Mau15a!$B$11:$B$310,B855)+SUMIFS(Mau15a!$I$11:$I$310,Mau15a!$B$11:$B$310,B855)+SUMIFS(Mau15a!$J$11:$J$310,Mau15a!$B$11:$B$310,B855)-SUMIFS(Mau15a!$G$11:$G$310,Mau15a!$B$11:$B$310,B855))</f>
        <v/>
      </c>
      <c r="J855" s="39" t="str">
        <f t="shared" si="67"/>
        <v/>
      </c>
      <c r="K855" s="39" t="str">
        <f>IF(B855="","",(SUMIFS(Mau15a!$K$11:$K$310,Mau15a!$B$11:$B$310,B855)-SUMIFS(Mau15a!$E$11:$E$310,Mau15a!$B$11:$B$310,B855))*G855)</f>
        <v/>
      </c>
      <c r="L855" s="36" t="str">
        <f t="shared" si="68"/>
        <v/>
      </c>
      <c r="M855" s="36" t="str">
        <f>IF(B855="","",BOM!G855&amp;"")</f>
        <v/>
      </c>
      <c r="N855" s="36" t="str">
        <f t="shared" si="69"/>
        <v/>
      </c>
    </row>
    <row r="856" spans="1:14" x14ac:dyDescent="0.25">
      <c r="A856" s="35" t="str">
        <f t="shared" si="65"/>
        <v/>
      </c>
      <c r="B856" s="35" t="str">
        <f>IF(BOM!A856="","",BOM!A856)</f>
        <v/>
      </c>
      <c r="C856" s="35" t="str">
        <f>IF(B856="","",BOM!B856)</f>
        <v/>
      </c>
      <c r="D856" s="35" t="str">
        <f>IF(B856="","",IFERROR(INDEX(DM_NL!$B$5:$B$304,MATCH(C856,DM_NL!$A$5:$A$304,0)),""))</f>
        <v/>
      </c>
      <c r="E856" s="35" t="str">
        <f>IF(B856="","",IFERROR(INDEX(DM_NL!$C$5:$C$304,MATCH(C856,DM_NL!$A$5:$A$304,0)),""))</f>
        <v/>
      </c>
      <c r="F856" s="39" t="str">
        <f>IF(B856="","",SUMIFS(Mau15a!$F$11:$F$310,Mau15a!$B$11:$B$310,B856))</f>
        <v/>
      </c>
      <c r="G856" s="39" t="str">
        <f>IF(B856="","",IF(OR(M856="KXDDM",BOM!F856=""),0,BOM!F856))</f>
        <v/>
      </c>
      <c r="H856" s="39" t="str">
        <f t="shared" si="66"/>
        <v/>
      </c>
      <c r="I856" s="39" t="str">
        <f>IF(B856="","",SUMIFS(Mau15a!$H$11:$H$310,Mau15a!$B$11:$B$310,B856)+SUMIFS(Mau15a!$I$11:$I$310,Mau15a!$B$11:$B$310,B856)+SUMIFS(Mau15a!$J$11:$J$310,Mau15a!$B$11:$B$310,B856)-SUMIFS(Mau15a!$G$11:$G$310,Mau15a!$B$11:$B$310,B856))</f>
        <v/>
      </c>
      <c r="J856" s="39" t="str">
        <f t="shared" si="67"/>
        <v/>
      </c>
      <c r="K856" s="39" t="str">
        <f>IF(B856="","",(SUMIFS(Mau15a!$K$11:$K$310,Mau15a!$B$11:$B$310,B856)-SUMIFS(Mau15a!$E$11:$E$310,Mau15a!$B$11:$B$310,B856))*G856)</f>
        <v/>
      </c>
      <c r="L856" s="36" t="str">
        <f t="shared" si="68"/>
        <v/>
      </c>
      <c r="M856" s="36" t="str">
        <f>IF(B856="","",BOM!G856&amp;"")</f>
        <v/>
      </c>
      <c r="N856" s="36" t="str">
        <f t="shared" si="69"/>
        <v/>
      </c>
    </row>
    <row r="857" spans="1:14" x14ac:dyDescent="0.25">
      <c r="A857" s="35" t="str">
        <f t="shared" si="65"/>
        <v/>
      </c>
      <c r="B857" s="35" t="str">
        <f>IF(BOM!A857="","",BOM!A857)</f>
        <v/>
      </c>
      <c r="C857" s="35" t="str">
        <f>IF(B857="","",BOM!B857)</f>
        <v/>
      </c>
      <c r="D857" s="35" t="str">
        <f>IF(B857="","",IFERROR(INDEX(DM_NL!$B$5:$B$304,MATCH(C857,DM_NL!$A$5:$A$304,0)),""))</f>
        <v/>
      </c>
      <c r="E857" s="35" t="str">
        <f>IF(B857="","",IFERROR(INDEX(DM_NL!$C$5:$C$304,MATCH(C857,DM_NL!$A$5:$A$304,0)),""))</f>
        <v/>
      </c>
      <c r="F857" s="39" t="str">
        <f>IF(B857="","",SUMIFS(Mau15a!$F$11:$F$310,Mau15a!$B$11:$B$310,B857))</f>
        <v/>
      </c>
      <c r="G857" s="39" t="str">
        <f>IF(B857="","",IF(OR(M857="KXDDM",BOM!F857=""),0,BOM!F857))</f>
        <v/>
      </c>
      <c r="H857" s="39" t="str">
        <f t="shared" si="66"/>
        <v/>
      </c>
      <c r="I857" s="39" t="str">
        <f>IF(B857="","",SUMIFS(Mau15a!$H$11:$H$310,Mau15a!$B$11:$B$310,B857)+SUMIFS(Mau15a!$I$11:$I$310,Mau15a!$B$11:$B$310,B857)+SUMIFS(Mau15a!$J$11:$J$310,Mau15a!$B$11:$B$310,B857)-SUMIFS(Mau15a!$G$11:$G$310,Mau15a!$B$11:$B$310,B857))</f>
        <v/>
      </c>
      <c r="J857" s="39" t="str">
        <f t="shared" si="67"/>
        <v/>
      </c>
      <c r="K857" s="39" t="str">
        <f>IF(B857="","",(SUMIFS(Mau15a!$K$11:$K$310,Mau15a!$B$11:$B$310,B857)-SUMIFS(Mau15a!$E$11:$E$310,Mau15a!$B$11:$B$310,B857))*G857)</f>
        <v/>
      </c>
      <c r="L857" s="36" t="str">
        <f t="shared" si="68"/>
        <v/>
      </c>
      <c r="M857" s="36" t="str">
        <f>IF(B857="","",BOM!G857&amp;"")</f>
        <v/>
      </c>
      <c r="N857" s="36" t="str">
        <f t="shared" si="69"/>
        <v/>
      </c>
    </row>
    <row r="858" spans="1:14" x14ac:dyDescent="0.25">
      <c r="A858" s="35" t="str">
        <f t="shared" si="65"/>
        <v/>
      </c>
      <c r="B858" s="35" t="str">
        <f>IF(BOM!A858="","",BOM!A858)</f>
        <v/>
      </c>
      <c r="C858" s="35" t="str">
        <f>IF(B858="","",BOM!B858)</f>
        <v/>
      </c>
      <c r="D858" s="35" t="str">
        <f>IF(B858="","",IFERROR(INDEX(DM_NL!$B$5:$B$304,MATCH(C858,DM_NL!$A$5:$A$304,0)),""))</f>
        <v/>
      </c>
      <c r="E858" s="35" t="str">
        <f>IF(B858="","",IFERROR(INDEX(DM_NL!$C$5:$C$304,MATCH(C858,DM_NL!$A$5:$A$304,0)),""))</f>
        <v/>
      </c>
      <c r="F858" s="39" t="str">
        <f>IF(B858="","",SUMIFS(Mau15a!$F$11:$F$310,Mau15a!$B$11:$B$310,B858))</f>
        <v/>
      </c>
      <c r="G858" s="39" t="str">
        <f>IF(B858="","",IF(OR(M858="KXDDM",BOM!F858=""),0,BOM!F858))</f>
        <v/>
      </c>
      <c r="H858" s="39" t="str">
        <f t="shared" si="66"/>
        <v/>
      </c>
      <c r="I858" s="39" t="str">
        <f>IF(B858="","",SUMIFS(Mau15a!$H$11:$H$310,Mau15a!$B$11:$B$310,B858)+SUMIFS(Mau15a!$I$11:$I$310,Mau15a!$B$11:$B$310,B858)+SUMIFS(Mau15a!$J$11:$J$310,Mau15a!$B$11:$B$310,B858)-SUMIFS(Mau15a!$G$11:$G$310,Mau15a!$B$11:$B$310,B858))</f>
        <v/>
      </c>
      <c r="J858" s="39" t="str">
        <f t="shared" si="67"/>
        <v/>
      </c>
      <c r="K858" s="39" t="str">
        <f>IF(B858="","",(SUMIFS(Mau15a!$K$11:$K$310,Mau15a!$B$11:$B$310,B858)-SUMIFS(Mau15a!$E$11:$E$310,Mau15a!$B$11:$B$310,B858))*G858)</f>
        <v/>
      </c>
      <c r="L858" s="36" t="str">
        <f t="shared" si="68"/>
        <v/>
      </c>
      <c r="M858" s="36" t="str">
        <f>IF(B858="","",BOM!G858&amp;"")</f>
        <v/>
      </c>
      <c r="N858" s="36" t="str">
        <f t="shared" si="69"/>
        <v/>
      </c>
    </row>
    <row r="859" spans="1:14" x14ac:dyDescent="0.25">
      <c r="A859" s="35" t="str">
        <f t="shared" si="65"/>
        <v/>
      </c>
      <c r="B859" s="35" t="str">
        <f>IF(BOM!A859="","",BOM!A859)</f>
        <v/>
      </c>
      <c r="C859" s="35" t="str">
        <f>IF(B859="","",BOM!B859)</f>
        <v/>
      </c>
      <c r="D859" s="35" t="str">
        <f>IF(B859="","",IFERROR(INDEX(DM_NL!$B$5:$B$304,MATCH(C859,DM_NL!$A$5:$A$304,0)),""))</f>
        <v/>
      </c>
      <c r="E859" s="35" t="str">
        <f>IF(B859="","",IFERROR(INDEX(DM_NL!$C$5:$C$304,MATCH(C859,DM_NL!$A$5:$A$304,0)),""))</f>
        <v/>
      </c>
      <c r="F859" s="39" t="str">
        <f>IF(B859="","",SUMIFS(Mau15a!$F$11:$F$310,Mau15a!$B$11:$B$310,B859))</f>
        <v/>
      </c>
      <c r="G859" s="39" t="str">
        <f>IF(B859="","",IF(OR(M859="KXDDM",BOM!F859=""),0,BOM!F859))</f>
        <v/>
      </c>
      <c r="H859" s="39" t="str">
        <f t="shared" si="66"/>
        <v/>
      </c>
      <c r="I859" s="39" t="str">
        <f>IF(B859="","",SUMIFS(Mau15a!$H$11:$H$310,Mau15a!$B$11:$B$310,B859)+SUMIFS(Mau15a!$I$11:$I$310,Mau15a!$B$11:$B$310,B859)+SUMIFS(Mau15a!$J$11:$J$310,Mau15a!$B$11:$B$310,B859)-SUMIFS(Mau15a!$G$11:$G$310,Mau15a!$B$11:$B$310,B859))</f>
        <v/>
      </c>
      <c r="J859" s="39" t="str">
        <f t="shared" si="67"/>
        <v/>
      </c>
      <c r="K859" s="39" t="str">
        <f>IF(B859="","",(SUMIFS(Mau15a!$K$11:$K$310,Mau15a!$B$11:$B$310,B859)-SUMIFS(Mau15a!$E$11:$E$310,Mau15a!$B$11:$B$310,B859))*G859)</f>
        <v/>
      </c>
      <c r="L859" s="36" t="str">
        <f t="shared" si="68"/>
        <v/>
      </c>
      <c r="M859" s="36" t="str">
        <f>IF(B859="","",BOM!G859&amp;"")</f>
        <v/>
      </c>
      <c r="N859" s="36" t="str">
        <f t="shared" si="69"/>
        <v/>
      </c>
    </row>
    <row r="860" spans="1:14" x14ac:dyDescent="0.25">
      <c r="A860" s="35" t="str">
        <f t="shared" si="65"/>
        <v/>
      </c>
      <c r="B860" s="35" t="str">
        <f>IF(BOM!A860="","",BOM!A860)</f>
        <v/>
      </c>
      <c r="C860" s="35" t="str">
        <f>IF(B860="","",BOM!B860)</f>
        <v/>
      </c>
      <c r="D860" s="35" t="str">
        <f>IF(B860="","",IFERROR(INDEX(DM_NL!$B$5:$B$304,MATCH(C860,DM_NL!$A$5:$A$304,0)),""))</f>
        <v/>
      </c>
      <c r="E860" s="35" t="str">
        <f>IF(B860="","",IFERROR(INDEX(DM_NL!$C$5:$C$304,MATCH(C860,DM_NL!$A$5:$A$304,0)),""))</f>
        <v/>
      </c>
      <c r="F860" s="39" t="str">
        <f>IF(B860="","",SUMIFS(Mau15a!$F$11:$F$310,Mau15a!$B$11:$B$310,B860))</f>
        <v/>
      </c>
      <c r="G860" s="39" t="str">
        <f>IF(B860="","",IF(OR(M860="KXDDM",BOM!F860=""),0,BOM!F860))</f>
        <v/>
      </c>
      <c r="H860" s="39" t="str">
        <f t="shared" si="66"/>
        <v/>
      </c>
      <c r="I860" s="39" t="str">
        <f>IF(B860="","",SUMIFS(Mau15a!$H$11:$H$310,Mau15a!$B$11:$B$310,B860)+SUMIFS(Mau15a!$I$11:$I$310,Mau15a!$B$11:$B$310,B860)+SUMIFS(Mau15a!$J$11:$J$310,Mau15a!$B$11:$B$310,B860)-SUMIFS(Mau15a!$G$11:$G$310,Mau15a!$B$11:$B$310,B860))</f>
        <v/>
      </c>
      <c r="J860" s="39" t="str">
        <f t="shared" si="67"/>
        <v/>
      </c>
      <c r="K860" s="39" t="str">
        <f>IF(B860="","",(SUMIFS(Mau15a!$K$11:$K$310,Mau15a!$B$11:$B$310,B860)-SUMIFS(Mau15a!$E$11:$E$310,Mau15a!$B$11:$B$310,B860))*G860)</f>
        <v/>
      </c>
      <c r="L860" s="36" t="str">
        <f t="shared" si="68"/>
        <v/>
      </c>
      <c r="M860" s="36" t="str">
        <f>IF(B860="","",BOM!G860&amp;"")</f>
        <v/>
      </c>
      <c r="N860" s="36" t="str">
        <f t="shared" si="69"/>
        <v/>
      </c>
    </row>
    <row r="861" spans="1:14" x14ac:dyDescent="0.25">
      <c r="A861" s="35" t="str">
        <f t="shared" si="65"/>
        <v/>
      </c>
      <c r="B861" s="35" t="str">
        <f>IF(BOM!A861="","",BOM!A861)</f>
        <v/>
      </c>
      <c r="C861" s="35" t="str">
        <f>IF(B861="","",BOM!B861)</f>
        <v/>
      </c>
      <c r="D861" s="35" t="str">
        <f>IF(B861="","",IFERROR(INDEX(DM_NL!$B$5:$B$304,MATCH(C861,DM_NL!$A$5:$A$304,0)),""))</f>
        <v/>
      </c>
      <c r="E861" s="35" t="str">
        <f>IF(B861="","",IFERROR(INDEX(DM_NL!$C$5:$C$304,MATCH(C861,DM_NL!$A$5:$A$304,0)),""))</f>
        <v/>
      </c>
      <c r="F861" s="39" t="str">
        <f>IF(B861="","",SUMIFS(Mau15a!$F$11:$F$310,Mau15a!$B$11:$B$310,B861))</f>
        <v/>
      </c>
      <c r="G861" s="39" t="str">
        <f>IF(B861="","",IF(OR(M861="KXDDM",BOM!F861=""),0,BOM!F861))</f>
        <v/>
      </c>
      <c r="H861" s="39" t="str">
        <f t="shared" si="66"/>
        <v/>
      </c>
      <c r="I861" s="39" t="str">
        <f>IF(B861="","",SUMIFS(Mau15a!$H$11:$H$310,Mau15a!$B$11:$B$310,B861)+SUMIFS(Mau15a!$I$11:$I$310,Mau15a!$B$11:$B$310,B861)+SUMIFS(Mau15a!$J$11:$J$310,Mau15a!$B$11:$B$310,B861)-SUMIFS(Mau15a!$G$11:$G$310,Mau15a!$B$11:$B$310,B861))</f>
        <v/>
      </c>
      <c r="J861" s="39" t="str">
        <f t="shared" si="67"/>
        <v/>
      </c>
      <c r="K861" s="39" t="str">
        <f>IF(B861="","",(SUMIFS(Mau15a!$K$11:$K$310,Mau15a!$B$11:$B$310,B861)-SUMIFS(Mau15a!$E$11:$E$310,Mau15a!$B$11:$B$310,B861))*G861)</f>
        <v/>
      </c>
      <c r="L861" s="36" t="str">
        <f t="shared" si="68"/>
        <v/>
      </c>
      <c r="M861" s="36" t="str">
        <f>IF(B861="","",BOM!G861&amp;"")</f>
        <v/>
      </c>
      <c r="N861" s="36" t="str">
        <f t="shared" si="69"/>
        <v/>
      </c>
    </row>
    <row r="862" spans="1:14" x14ac:dyDescent="0.25">
      <c r="A862" s="35" t="str">
        <f t="shared" si="65"/>
        <v/>
      </c>
      <c r="B862" s="35" t="str">
        <f>IF(BOM!A862="","",BOM!A862)</f>
        <v/>
      </c>
      <c r="C862" s="35" t="str">
        <f>IF(B862="","",BOM!B862)</f>
        <v/>
      </c>
      <c r="D862" s="35" t="str">
        <f>IF(B862="","",IFERROR(INDEX(DM_NL!$B$5:$B$304,MATCH(C862,DM_NL!$A$5:$A$304,0)),""))</f>
        <v/>
      </c>
      <c r="E862" s="35" t="str">
        <f>IF(B862="","",IFERROR(INDEX(DM_NL!$C$5:$C$304,MATCH(C862,DM_NL!$A$5:$A$304,0)),""))</f>
        <v/>
      </c>
      <c r="F862" s="39" t="str">
        <f>IF(B862="","",SUMIFS(Mau15a!$F$11:$F$310,Mau15a!$B$11:$B$310,B862))</f>
        <v/>
      </c>
      <c r="G862" s="39" t="str">
        <f>IF(B862="","",IF(OR(M862="KXDDM",BOM!F862=""),0,BOM!F862))</f>
        <v/>
      </c>
      <c r="H862" s="39" t="str">
        <f t="shared" si="66"/>
        <v/>
      </c>
      <c r="I862" s="39" t="str">
        <f>IF(B862="","",SUMIFS(Mau15a!$H$11:$H$310,Mau15a!$B$11:$B$310,B862)+SUMIFS(Mau15a!$I$11:$I$310,Mau15a!$B$11:$B$310,B862)+SUMIFS(Mau15a!$J$11:$J$310,Mau15a!$B$11:$B$310,B862)-SUMIFS(Mau15a!$G$11:$G$310,Mau15a!$B$11:$B$310,B862))</f>
        <v/>
      </c>
      <c r="J862" s="39" t="str">
        <f t="shared" si="67"/>
        <v/>
      </c>
      <c r="K862" s="39" t="str">
        <f>IF(B862="","",(SUMIFS(Mau15a!$K$11:$K$310,Mau15a!$B$11:$B$310,B862)-SUMIFS(Mau15a!$E$11:$E$310,Mau15a!$B$11:$B$310,B862))*G862)</f>
        <v/>
      </c>
      <c r="L862" s="36" t="str">
        <f t="shared" si="68"/>
        <v/>
      </c>
      <c r="M862" s="36" t="str">
        <f>IF(B862="","",BOM!G862&amp;"")</f>
        <v/>
      </c>
      <c r="N862" s="36" t="str">
        <f t="shared" si="69"/>
        <v/>
      </c>
    </row>
    <row r="863" spans="1:14" x14ac:dyDescent="0.25">
      <c r="A863" s="35" t="str">
        <f t="shared" si="65"/>
        <v/>
      </c>
      <c r="B863" s="35" t="str">
        <f>IF(BOM!A863="","",BOM!A863)</f>
        <v/>
      </c>
      <c r="C863" s="35" t="str">
        <f>IF(B863="","",BOM!B863)</f>
        <v/>
      </c>
      <c r="D863" s="35" t="str">
        <f>IF(B863="","",IFERROR(INDEX(DM_NL!$B$5:$B$304,MATCH(C863,DM_NL!$A$5:$A$304,0)),""))</f>
        <v/>
      </c>
      <c r="E863" s="35" t="str">
        <f>IF(B863="","",IFERROR(INDEX(DM_NL!$C$5:$C$304,MATCH(C863,DM_NL!$A$5:$A$304,0)),""))</f>
        <v/>
      </c>
      <c r="F863" s="39" t="str">
        <f>IF(B863="","",SUMIFS(Mau15a!$F$11:$F$310,Mau15a!$B$11:$B$310,B863))</f>
        <v/>
      </c>
      <c r="G863" s="39" t="str">
        <f>IF(B863="","",IF(OR(M863="KXDDM",BOM!F863=""),0,BOM!F863))</f>
        <v/>
      </c>
      <c r="H863" s="39" t="str">
        <f t="shared" si="66"/>
        <v/>
      </c>
      <c r="I863" s="39" t="str">
        <f>IF(B863="","",SUMIFS(Mau15a!$H$11:$H$310,Mau15a!$B$11:$B$310,B863)+SUMIFS(Mau15a!$I$11:$I$310,Mau15a!$B$11:$B$310,B863)+SUMIFS(Mau15a!$J$11:$J$310,Mau15a!$B$11:$B$310,B863)-SUMIFS(Mau15a!$G$11:$G$310,Mau15a!$B$11:$B$310,B863))</f>
        <v/>
      </c>
      <c r="J863" s="39" t="str">
        <f t="shared" si="67"/>
        <v/>
      </c>
      <c r="K863" s="39" t="str">
        <f>IF(B863="","",(SUMIFS(Mau15a!$K$11:$K$310,Mau15a!$B$11:$B$310,B863)-SUMIFS(Mau15a!$E$11:$E$310,Mau15a!$B$11:$B$310,B863))*G863)</f>
        <v/>
      </c>
      <c r="L863" s="36" t="str">
        <f t="shared" si="68"/>
        <v/>
      </c>
      <c r="M863" s="36" t="str">
        <f>IF(B863="","",BOM!G863&amp;"")</f>
        <v/>
      </c>
      <c r="N863" s="36" t="str">
        <f t="shared" si="69"/>
        <v/>
      </c>
    </row>
    <row r="864" spans="1:14" x14ac:dyDescent="0.25">
      <c r="A864" s="35" t="str">
        <f t="shared" si="65"/>
        <v/>
      </c>
      <c r="B864" s="35" t="str">
        <f>IF(BOM!A864="","",BOM!A864)</f>
        <v/>
      </c>
      <c r="C864" s="35" t="str">
        <f>IF(B864="","",BOM!B864)</f>
        <v/>
      </c>
      <c r="D864" s="35" t="str">
        <f>IF(B864="","",IFERROR(INDEX(DM_NL!$B$5:$B$304,MATCH(C864,DM_NL!$A$5:$A$304,0)),""))</f>
        <v/>
      </c>
      <c r="E864" s="35" t="str">
        <f>IF(B864="","",IFERROR(INDEX(DM_NL!$C$5:$C$304,MATCH(C864,DM_NL!$A$5:$A$304,0)),""))</f>
        <v/>
      </c>
      <c r="F864" s="39" t="str">
        <f>IF(B864="","",SUMIFS(Mau15a!$F$11:$F$310,Mau15a!$B$11:$B$310,B864))</f>
        <v/>
      </c>
      <c r="G864" s="39" t="str">
        <f>IF(B864="","",IF(OR(M864="KXDDM",BOM!F864=""),0,BOM!F864))</f>
        <v/>
      </c>
      <c r="H864" s="39" t="str">
        <f t="shared" si="66"/>
        <v/>
      </c>
      <c r="I864" s="39" t="str">
        <f>IF(B864="","",SUMIFS(Mau15a!$H$11:$H$310,Mau15a!$B$11:$B$310,B864)+SUMIFS(Mau15a!$I$11:$I$310,Mau15a!$B$11:$B$310,B864)+SUMIFS(Mau15a!$J$11:$J$310,Mau15a!$B$11:$B$310,B864)-SUMIFS(Mau15a!$G$11:$G$310,Mau15a!$B$11:$B$310,B864))</f>
        <v/>
      </c>
      <c r="J864" s="39" t="str">
        <f t="shared" si="67"/>
        <v/>
      </c>
      <c r="K864" s="39" t="str">
        <f>IF(B864="","",(SUMIFS(Mau15a!$K$11:$K$310,Mau15a!$B$11:$B$310,B864)-SUMIFS(Mau15a!$E$11:$E$310,Mau15a!$B$11:$B$310,B864))*G864)</f>
        <v/>
      </c>
      <c r="L864" s="36" t="str">
        <f t="shared" si="68"/>
        <v/>
      </c>
      <c r="M864" s="36" t="str">
        <f>IF(B864="","",BOM!G864&amp;"")</f>
        <v/>
      </c>
      <c r="N864" s="36" t="str">
        <f t="shared" si="69"/>
        <v/>
      </c>
    </row>
    <row r="865" spans="1:14" x14ac:dyDescent="0.25">
      <c r="A865" s="35" t="str">
        <f t="shared" si="65"/>
        <v/>
      </c>
      <c r="B865" s="35" t="str">
        <f>IF(BOM!A865="","",BOM!A865)</f>
        <v/>
      </c>
      <c r="C865" s="35" t="str">
        <f>IF(B865="","",BOM!B865)</f>
        <v/>
      </c>
      <c r="D865" s="35" t="str">
        <f>IF(B865="","",IFERROR(INDEX(DM_NL!$B$5:$B$304,MATCH(C865,DM_NL!$A$5:$A$304,0)),""))</f>
        <v/>
      </c>
      <c r="E865" s="35" t="str">
        <f>IF(B865="","",IFERROR(INDEX(DM_NL!$C$5:$C$304,MATCH(C865,DM_NL!$A$5:$A$304,0)),""))</f>
        <v/>
      </c>
      <c r="F865" s="39" t="str">
        <f>IF(B865="","",SUMIFS(Mau15a!$F$11:$F$310,Mau15a!$B$11:$B$310,B865))</f>
        <v/>
      </c>
      <c r="G865" s="39" t="str">
        <f>IF(B865="","",IF(OR(M865="KXDDM",BOM!F865=""),0,BOM!F865))</f>
        <v/>
      </c>
      <c r="H865" s="39" t="str">
        <f t="shared" si="66"/>
        <v/>
      </c>
      <c r="I865" s="39" t="str">
        <f>IF(B865="","",SUMIFS(Mau15a!$H$11:$H$310,Mau15a!$B$11:$B$310,B865)+SUMIFS(Mau15a!$I$11:$I$310,Mau15a!$B$11:$B$310,B865)+SUMIFS(Mau15a!$J$11:$J$310,Mau15a!$B$11:$B$310,B865)-SUMIFS(Mau15a!$G$11:$G$310,Mau15a!$B$11:$B$310,B865))</f>
        <v/>
      </c>
      <c r="J865" s="39" t="str">
        <f t="shared" si="67"/>
        <v/>
      </c>
      <c r="K865" s="39" t="str">
        <f>IF(B865="","",(SUMIFS(Mau15a!$K$11:$K$310,Mau15a!$B$11:$B$310,B865)-SUMIFS(Mau15a!$E$11:$E$310,Mau15a!$B$11:$B$310,B865))*G865)</f>
        <v/>
      </c>
      <c r="L865" s="36" t="str">
        <f t="shared" si="68"/>
        <v/>
      </c>
      <c r="M865" s="36" t="str">
        <f>IF(B865="","",BOM!G865&amp;"")</f>
        <v/>
      </c>
      <c r="N865" s="36" t="str">
        <f t="shared" si="69"/>
        <v/>
      </c>
    </row>
    <row r="866" spans="1:14" x14ac:dyDescent="0.25">
      <c r="A866" s="35" t="str">
        <f t="shared" si="65"/>
        <v/>
      </c>
      <c r="B866" s="35" t="str">
        <f>IF(BOM!A866="","",BOM!A866)</f>
        <v/>
      </c>
      <c r="C866" s="35" t="str">
        <f>IF(B866="","",BOM!B866)</f>
        <v/>
      </c>
      <c r="D866" s="35" t="str">
        <f>IF(B866="","",IFERROR(INDEX(DM_NL!$B$5:$B$304,MATCH(C866,DM_NL!$A$5:$A$304,0)),""))</f>
        <v/>
      </c>
      <c r="E866" s="35" t="str">
        <f>IF(B866="","",IFERROR(INDEX(DM_NL!$C$5:$C$304,MATCH(C866,DM_NL!$A$5:$A$304,0)),""))</f>
        <v/>
      </c>
      <c r="F866" s="39" t="str">
        <f>IF(B866="","",SUMIFS(Mau15a!$F$11:$F$310,Mau15a!$B$11:$B$310,B866))</f>
        <v/>
      </c>
      <c r="G866" s="39" t="str">
        <f>IF(B866="","",IF(OR(M866="KXDDM",BOM!F866=""),0,BOM!F866))</f>
        <v/>
      </c>
      <c r="H866" s="39" t="str">
        <f t="shared" si="66"/>
        <v/>
      </c>
      <c r="I866" s="39" t="str">
        <f>IF(B866="","",SUMIFS(Mau15a!$H$11:$H$310,Mau15a!$B$11:$B$310,B866)+SUMIFS(Mau15a!$I$11:$I$310,Mau15a!$B$11:$B$310,B866)+SUMIFS(Mau15a!$J$11:$J$310,Mau15a!$B$11:$B$310,B866)-SUMIFS(Mau15a!$G$11:$G$310,Mau15a!$B$11:$B$310,B866))</f>
        <v/>
      </c>
      <c r="J866" s="39" t="str">
        <f t="shared" si="67"/>
        <v/>
      </c>
      <c r="K866" s="39" t="str">
        <f>IF(B866="","",(SUMIFS(Mau15a!$K$11:$K$310,Mau15a!$B$11:$B$310,B866)-SUMIFS(Mau15a!$E$11:$E$310,Mau15a!$B$11:$B$310,B866))*G866)</f>
        <v/>
      </c>
      <c r="L866" s="36" t="str">
        <f t="shared" si="68"/>
        <v/>
      </c>
      <c r="M866" s="36" t="str">
        <f>IF(B866="","",BOM!G866&amp;"")</f>
        <v/>
      </c>
      <c r="N866" s="36" t="str">
        <f t="shared" si="69"/>
        <v/>
      </c>
    </row>
    <row r="867" spans="1:14" x14ac:dyDescent="0.25">
      <c r="A867" s="35" t="str">
        <f t="shared" si="65"/>
        <v/>
      </c>
      <c r="B867" s="35" t="str">
        <f>IF(BOM!A867="","",BOM!A867)</f>
        <v/>
      </c>
      <c r="C867" s="35" t="str">
        <f>IF(B867="","",BOM!B867)</f>
        <v/>
      </c>
      <c r="D867" s="35" t="str">
        <f>IF(B867="","",IFERROR(INDEX(DM_NL!$B$5:$B$304,MATCH(C867,DM_NL!$A$5:$A$304,0)),""))</f>
        <v/>
      </c>
      <c r="E867" s="35" t="str">
        <f>IF(B867="","",IFERROR(INDEX(DM_NL!$C$5:$C$304,MATCH(C867,DM_NL!$A$5:$A$304,0)),""))</f>
        <v/>
      </c>
      <c r="F867" s="39" t="str">
        <f>IF(B867="","",SUMIFS(Mau15a!$F$11:$F$310,Mau15a!$B$11:$B$310,B867))</f>
        <v/>
      </c>
      <c r="G867" s="39" t="str">
        <f>IF(B867="","",IF(OR(M867="KXDDM",BOM!F867=""),0,BOM!F867))</f>
        <v/>
      </c>
      <c r="H867" s="39" t="str">
        <f t="shared" si="66"/>
        <v/>
      </c>
      <c r="I867" s="39" t="str">
        <f>IF(B867="","",SUMIFS(Mau15a!$H$11:$H$310,Mau15a!$B$11:$B$310,B867)+SUMIFS(Mau15a!$I$11:$I$310,Mau15a!$B$11:$B$310,B867)+SUMIFS(Mau15a!$J$11:$J$310,Mau15a!$B$11:$B$310,B867)-SUMIFS(Mau15a!$G$11:$G$310,Mau15a!$B$11:$B$310,B867))</f>
        <v/>
      </c>
      <c r="J867" s="39" t="str">
        <f t="shared" si="67"/>
        <v/>
      </c>
      <c r="K867" s="39" t="str">
        <f>IF(B867="","",(SUMIFS(Mau15a!$K$11:$K$310,Mau15a!$B$11:$B$310,B867)-SUMIFS(Mau15a!$E$11:$E$310,Mau15a!$B$11:$B$310,B867))*G867)</f>
        <v/>
      </c>
      <c r="L867" s="36" t="str">
        <f t="shared" si="68"/>
        <v/>
      </c>
      <c r="M867" s="36" t="str">
        <f>IF(B867="","",BOM!G867&amp;"")</f>
        <v/>
      </c>
      <c r="N867" s="36" t="str">
        <f t="shared" si="69"/>
        <v/>
      </c>
    </row>
    <row r="868" spans="1:14" x14ac:dyDescent="0.25">
      <c r="A868" s="35" t="str">
        <f t="shared" si="65"/>
        <v/>
      </c>
      <c r="B868" s="35" t="str">
        <f>IF(BOM!A868="","",BOM!A868)</f>
        <v/>
      </c>
      <c r="C868" s="35" t="str">
        <f>IF(B868="","",BOM!B868)</f>
        <v/>
      </c>
      <c r="D868" s="35" t="str">
        <f>IF(B868="","",IFERROR(INDEX(DM_NL!$B$5:$B$304,MATCH(C868,DM_NL!$A$5:$A$304,0)),""))</f>
        <v/>
      </c>
      <c r="E868" s="35" t="str">
        <f>IF(B868="","",IFERROR(INDEX(DM_NL!$C$5:$C$304,MATCH(C868,DM_NL!$A$5:$A$304,0)),""))</f>
        <v/>
      </c>
      <c r="F868" s="39" t="str">
        <f>IF(B868="","",SUMIFS(Mau15a!$F$11:$F$310,Mau15a!$B$11:$B$310,B868))</f>
        <v/>
      </c>
      <c r="G868" s="39" t="str">
        <f>IF(B868="","",IF(OR(M868="KXDDM",BOM!F868=""),0,BOM!F868))</f>
        <v/>
      </c>
      <c r="H868" s="39" t="str">
        <f t="shared" si="66"/>
        <v/>
      </c>
      <c r="I868" s="39" t="str">
        <f>IF(B868="","",SUMIFS(Mau15a!$H$11:$H$310,Mau15a!$B$11:$B$310,B868)+SUMIFS(Mau15a!$I$11:$I$310,Mau15a!$B$11:$B$310,B868)+SUMIFS(Mau15a!$J$11:$J$310,Mau15a!$B$11:$B$310,B868)-SUMIFS(Mau15a!$G$11:$G$310,Mau15a!$B$11:$B$310,B868))</f>
        <v/>
      </c>
      <c r="J868" s="39" t="str">
        <f t="shared" si="67"/>
        <v/>
      </c>
      <c r="K868" s="39" t="str">
        <f>IF(B868="","",(SUMIFS(Mau15a!$K$11:$K$310,Mau15a!$B$11:$B$310,B868)-SUMIFS(Mau15a!$E$11:$E$310,Mau15a!$B$11:$B$310,B868))*G868)</f>
        <v/>
      </c>
      <c r="L868" s="36" t="str">
        <f t="shared" si="68"/>
        <v/>
      </c>
      <c r="M868" s="36" t="str">
        <f>IF(B868="","",BOM!G868&amp;"")</f>
        <v/>
      </c>
      <c r="N868" s="36" t="str">
        <f t="shared" si="69"/>
        <v/>
      </c>
    </row>
    <row r="869" spans="1:14" x14ac:dyDescent="0.25">
      <c r="A869" s="35" t="str">
        <f t="shared" si="65"/>
        <v/>
      </c>
      <c r="B869" s="35" t="str">
        <f>IF(BOM!A869="","",BOM!A869)</f>
        <v/>
      </c>
      <c r="C869" s="35" t="str">
        <f>IF(B869="","",BOM!B869)</f>
        <v/>
      </c>
      <c r="D869" s="35" t="str">
        <f>IF(B869="","",IFERROR(INDEX(DM_NL!$B$5:$B$304,MATCH(C869,DM_NL!$A$5:$A$304,0)),""))</f>
        <v/>
      </c>
      <c r="E869" s="35" t="str">
        <f>IF(B869="","",IFERROR(INDEX(DM_NL!$C$5:$C$304,MATCH(C869,DM_NL!$A$5:$A$304,0)),""))</f>
        <v/>
      </c>
      <c r="F869" s="39" t="str">
        <f>IF(B869="","",SUMIFS(Mau15a!$F$11:$F$310,Mau15a!$B$11:$B$310,B869))</f>
        <v/>
      </c>
      <c r="G869" s="39" t="str">
        <f>IF(B869="","",IF(OR(M869="KXDDM",BOM!F869=""),0,BOM!F869))</f>
        <v/>
      </c>
      <c r="H869" s="39" t="str">
        <f t="shared" si="66"/>
        <v/>
      </c>
      <c r="I869" s="39" t="str">
        <f>IF(B869="","",SUMIFS(Mau15a!$H$11:$H$310,Mau15a!$B$11:$B$310,B869)+SUMIFS(Mau15a!$I$11:$I$310,Mau15a!$B$11:$B$310,B869)+SUMIFS(Mau15a!$J$11:$J$310,Mau15a!$B$11:$B$310,B869)-SUMIFS(Mau15a!$G$11:$G$310,Mau15a!$B$11:$B$310,B869))</f>
        <v/>
      </c>
      <c r="J869" s="39" t="str">
        <f t="shared" si="67"/>
        <v/>
      </c>
      <c r="K869" s="39" t="str">
        <f>IF(B869="","",(SUMIFS(Mau15a!$K$11:$K$310,Mau15a!$B$11:$B$310,B869)-SUMIFS(Mau15a!$E$11:$E$310,Mau15a!$B$11:$B$310,B869))*G869)</f>
        <v/>
      </c>
      <c r="L869" s="36" t="str">
        <f t="shared" si="68"/>
        <v/>
      </c>
      <c r="M869" s="36" t="str">
        <f>IF(B869="","",BOM!G869&amp;"")</f>
        <v/>
      </c>
      <c r="N869" s="36" t="str">
        <f t="shared" si="69"/>
        <v/>
      </c>
    </row>
    <row r="870" spans="1:14" x14ac:dyDescent="0.25">
      <c r="A870" s="35" t="str">
        <f t="shared" si="65"/>
        <v/>
      </c>
      <c r="B870" s="35" t="str">
        <f>IF(BOM!A870="","",BOM!A870)</f>
        <v/>
      </c>
      <c r="C870" s="35" t="str">
        <f>IF(B870="","",BOM!B870)</f>
        <v/>
      </c>
      <c r="D870" s="35" t="str">
        <f>IF(B870="","",IFERROR(INDEX(DM_NL!$B$5:$B$304,MATCH(C870,DM_NL!$A$5:$A$304,0)),""))</f>
        <v/>
      </c>
      <c r="E870" s="35" t="str">
        <f>IF(B870="","",IFERROR(INDEX(DM_NL!$C$5:$C$304,MATCH(C870,DM_NL!$A$5:$A$304,0)),""))</f>
        <v/>
      </c>
      <c r="F870" s="39" t="str">
        <f>IF(B870="","",SUMIFS(Mau15a!$F$11:$F$310,Mau15a!$B$11:$B$310,B870))</f>
        <v/>
      </c>
      <c r="G870" s="39" t="str">
        <f>IF(B870="","",IF(OR(M870="KXDDM",BOM!F870=""),0,BOM!F870))</f>
        <v/>
      </c>
      <c r="H870" s="39" t="str">
        <f t="shared" si="66"/>
        <v/>
      </c>
      <c r="I870" s="39" t="str">
        <f>IF(B870="","",SUMIFS(Mau15a!$H$11:$H$310,Mau15a!$B$11:$B$310,B870)+SUMIFS(Mau15a!$I$11:$I$310,Mau15a!$B$11:$B$310,B870)+SUMIFS(Mau15a!$J$11:$J$310,Mau15a!$B$11:$B$310,B870)-SUMIFS(Mau15a!$G$11:$G$310,Mau15a!$B$11:$B$310,B870))</f>
        <v/>
      </c>
      <c r="J870" s="39" t="str">
        <f t="shared" si="67"/>
        <v/>
      </c>
      <c r="K870" s="39" t="str">
        <f>IF(B870="","",(SUMIFS(Mau15a!$K$11:$K$310,Mau15a!$B$11:$B$310,B870)-SUMIFS(Mau15a!$E$11:$E$310,Mau15a!$B$11:$B$310,B870))*G870)</f>
        <v/>
      </c>
      <c r="L870" s="36" t="str">
        <f t="shared" si="68"/>
        <v/>
      </c>
      <c r="M870" s="36" t="str">
        <f>IF(B870="","",BOM!G870&amp;"")</f>
        <v/>
      </c>
      <c r="N870" s="36" t="str">
        <f t="shared" si="69"/>
        <v/>
      </c>
    </row>
    <row r="871" spans="1:14" x14ac:dyDescent="0.25">
      <c r="A871" s="35" t="str">
        <f t="shared" si="65"/>
        <v/>
      </c>
      <c r="B871" s="35" t="str">
        <f>IF(BOM!A871="","",BOM!A871)</f>
        <v/>
      </c>
      <c r="C871" s="35" t="str">
        <f>IF(B871="","",BOM!B871)</f>
        <v/>
      </c>
      <c r="D871" s="35" t="str">
        <f>IF(B871="","",IFERROR(INDEX(DM_NL!$B$5:$B$304,MATCH(C871,DM_NL!$A$5:$A$304,0)),""))</f>
        <v/>
      </c>
      <c r="E871" s="35" t="str">
        <f>IF(B871="","",IFERROR(INDEX(DM_NL!$C$5:$C$304,MATCH(C871,DM_NL!$A$5:$A$304,0)),""))</f>
        <v/>
      </c>
      <c r="F871" s="39" t="str">
        <f>IF(B871="","",SUMIFS(Mau15a!$F$11:$F$310,Mau15a!$B$11:$B$310,B871))</f>
        <v/>
      </c>
      <c r="G871" s="39" t="str">
        <f>IF(B871="","",IF(OR(M871="KXDDM",BOM!F871=""),0,BOM!F871))</f>
        <v/>
      </c>
      <c r="H871" s="39" t="str">
        <f t="shared" si="66"/>
        <v/>
      </c>
      <c r="I871" s="39" t="str">
        <f>IF(B871="","",SUMIFS(Mau15a!$H$11:$H$310,Mau15a!$B$11:$B$310,B871)+SUMIFS(Mau15a!$I$11:$I$310,Mau15a!$B$11:$B$310,B871)+SUMIFS(Mau15a!$J$11:$J$310,Mau15a!$B$11:$B$310,B871)-SUMIFS(Mau15a!$G$11:$G$310,Mau15a!$B$11:$B$310,B871))</f>
        <v/>
      </c>
      <c r="J871" s="39" t="str">
        <f t="shared" si="67"/>
        <v/>
      </c>
      <c r="K871" s="39" t="str">
        <f>IF(B871="","",(SUMIFS(Mau15a!$K$11:$K$310,Mau15a!$B$11:$B$310,B871)-SUMIFS(Mau15a!$E$11:$E$310,Mau15a!$B$11:$B$310,B871))*G871)</f>
        <v/>
      </c>
      <c r="L871" s="36" t="str">
        <f t="shared" si="68"/>
        <v/>
      </c>
      <c r="M871" s="36" t="str">
        <f>IF(B871="","",BOM!G871&amp;"")</f>
        <v/>
      </c>
      <c r="N871" s="36" t="str">
        <f t="shared" si="69"/>
        <v/>
      </c>
    </row>
    <row r="872" spans="1:14" x14ac:dyDescent="0.25">
      <c r="A872" s="35" t="str">
        <f t="shared" si="65"/>
        <v/>
      </c>
      <c r="B872" s="35" t="str">
        <f>IF(BOM!A872="","",BOM!A872)</f>
        <v/>
      </c>
      <c r="C872" s="35" t="str">
        <f>IF(B872="","",BOM!B872)</f>
        <v/>
      </c>
      <c r="D872" s="35" t="str">
        <f>IF(B872="","",IFERROR(INDEX(DM_NL!$B$5:$B$304,MATCH(C872,DM_NL!$A$5:$A$304,0)),""))</f>
        <v/>
      </c>
      <c r="E872" s="35" t="str">
        <f>IF(B872="","",IFERROR(INDEX(DM_NL!$C$5:$C$304,MATCH(C872,DM_NL!$A$5:$A$304,0)),""))</f>
        <v/>
      </c>
      <c r="F872" s="39" t="str">
        <f>IF(B872="","",SUMIFS(Mau15a!$F$11:$F$310,Mau15a!$B$11:$B$310,B872))</f>
        <v/>
      </c>
      <c r="G872" s="39" t="str">
        <f>IF(B872="","",IF(OR(M872="KXDDM",BOM!F872=""),0,BOM!F872))</f>
        <v/>
      </c>
      <c r="H872" s="39" t="str">
        <f t="shared" si="66"/>
        <v/>
      </c>
      <c r="I872" s="39" t="str">
        <f>IF(B872="","",SUMIFS(Mau15a!$H$11:$H$310,Mau15a!$B$11:$B$310,B872)+SUMIFS(Mau15a!$I$11:$I$310,Mau15a!$B$11:$B$310,B872)+SUMIFS(Mau15a!$J$11:$J$310,Mau15a!$B$11:$B$310,B872)-SUMIFS(Mau15a!$G$11:$G$310,Mau15a!$B$11:$B$310,B872))</f>
        <v/>
      </c>
      <c r="J872" s="39" t="str">
        <f t="shared" si="67"/>
        <v/>
      </c>
      <c r="K872" s="39" t="str">
        <f>IF(B872="","",(SUMIFS(Mau15a!$K$11:$K$310,Mau15a!$B$11:$B$310,B872)-SUMIFS(Mau15a!$E$11:$E$310,Mau15a!$B$11:$B$310,B872))*G872)</f>
        <v/>
      </c>
      <c r="L872" s="36" t="str">
        <f t="shared" si="68"/>
        <v/>
      </c>
      <c r="M872" s="36" t="str">
        <f>IF(B872="","",BOM!G872&amp;"")</f>
        <v/>
      </c>
      <c r="N872" s="36" t="str">
        <f t="shared" si="69"/>
        <v/>
      </c>
    </row>
    <row r="873" spans="1:14" x14ac:dyDescent="0.25">
      <c r="A873" s="35" t="str">
        <f t="shared" si="65"/>
        <v/>
      </c>
      <c r="B873" s="35" t="str">
        <f>IF(BOM!A873="","",BOM!A873)</f>
        <v/>
      </c>
      <c r="C873" s="35" t="str">
        <f>IF(B873="","",BOM!B873)</f>
        <v/>
      </c>
      <c r="D873" s="35" t="str">
        <f>IF(B873="","",IFERROR(INDEX(DM_NL!$B$5:$B$304,MATCH(C873,DM_NL!$A$5:$A$304,0)),""))</f>
        <v/>
      </c>
      <c r="E873" s="35" t="str">
        <f>IF(B873="","",IFERROR(INDEX(DM_NL!$C$5:$C$304,MATCH(C873,DM_NL!$A$5:$A$304,0)),""))</f>
        <v/>
      </c>
      <c r="F873" s="39" t="str">
        <f>IF(B873="","",SUMIFS(Mau15a!$F$11:$F$310,Mau15a!$B$11:$B$310,B873))</f>
        <v/>
      </c>
      <c r="G873" s="39" t="str">
        <f>IF(B873="","",IF(OR(M873="KXDDM",BOM!F873=""),0,BOM!F873))</f>
        <v/>
      </c>
      <c r="H873" s="39" t="str">
        <f t="shared" si="66"/>
        <v/>
      </c>
      <c r="I873" s="39" t="str">
        <f>IF(B873="","",SUMIFS(Mau15a!$H$11:$H$310,Mau15a!$B$11:$B$310,B873)+SUMIFS(Mau15a!$I$11:$I$310,Mau15a!$B$11:$B$310,B873)+SUMIFS(Mau15a!$J$11:$J$310,Mau15a!$B$11:$B$310,B873)-SUMIFS(Mau15a!$G$11:$G$310,Mau15a!$B$11:$B$310,B873))</f>
        <v/>
      </c>
      <c r="J873" s="39" t="str">
        <f t="shared" si="67"/>
        <v/>
      </c>
      <c r="K873" s="39" t="str">
        <f>IF(B873="","",(SUMIFS(Mau15a!$K$11:$K$310,Mau15a!$B$11:$B$310,B873)-SUMIFS(Mau15a!$E$11:$E$310,Mau15a!$B$11:$B$310,B873))*G873)</f>
        <v/>
      </c>
      <c r="L873" s="36" t="str">
        <f t="shared" si="68"/>
        <v/>
      </c>
      <c r="M873" s="36" t="str">
        <f>IF(B873="","",BOM!G873&amp;"")</f>
        <v/>
      </c>
      <c r="N873" s="36" t="str">
        <f t="shared" si="69"/>
        <v/>
      </c>
    </row>
    <row r="874" spans="1:14" x14ac:dyDescent="0.25">
      <c r="A874" s="35" t="str">
        <f t="shared" si="65"/>
        <v/>
      </c>
      <c r="B874" s="35" t="str">
        <f>IF(BOM!A874="","",BOM!A874)</f>
        <v/>
      </c>
      <c r="C874" s="35" t="str">
        <f>IF(B874="","",BOM!B874)</f>
        <v/>
      </c>
      <c r="D874" s="35" t="str">
        <f>IF(B874="","",IFERROR(INDEX(DM_NL!$B$5:$B$304,MATCH(C874,DM_NL!$A$5:$A$304,0)),""))</f>
        <v/>
      </c>
      <c r="E874" s="35" t="str">
        <f>IF(B874="","",IFERROR(INDEX(DM_NL!$C$5:$C$304,MATCH(C874,DM_NL!$A$5:$A$304,0)),""))</f>
        <v/>
      </c>
      <c r="F874" s="39" t="str">
        <f>IF(B874="","",SUMIFS(Mau15a!$F$11:$F$310,Mau15a!$B$11:$B$310,B874))</f>
        <v/>
      </c>
      <c r="G874" s="39" t="str">
        <f>IF(B874="","",IF(OR(M874="KXDDM",BOM!F874=""),0,BOM!F874))</f>
        <v/>
      </c>
      <c r="H874" s="39" t="str">
        <f t="shared" si="66"/>
        <v/>
      </c>
      <c r="I874" s="39" t="str">
        <f>IF(B874="","",SUMIFS(Mau15a!$H$11:$H$310,Mau15a!$B$11:$B$310,B874)+SUMIFS(Mau15a!$I$11:$I$310,Mau15a!$B$11:$B$310,B874)+SUMIFS(Mau15a!$J$11:$J$310,Mau15a!$B$11:$B$310,B874)-SUMIFS(Mau15a!$G$11:$G$310,Mau15a!$B$11:$B$310,B874))</f>
        <v/>
      </c>
      <c r="J874" s="39" t="str">
        <f t="shared" si="67"/>
        <v/>
      </c>
      <c r="K874" s="39" t="str">
        <f>IF(B874="","",(SUMIFS(Mau15a!$K$11:$K$310,Mau15a!$B$11:$B$310,B874)-SUMIFS(Mau15a!$E$11:$E$310,Mau15a!$B$11:$B$310,B874))*G874)</f>
        <v/>
      </c>
      <c r="L874" s="36" t="str">
        <f t="shared" si="68"/>
        <v/>
      </c>
      <c r="M874" s="36" t="str">
        <f>IF(B874="","",BOM!G874&amp;"")</f>
        <v/>
      </c>
      <c r="N874" s="36" t="str">
        <f t="shared" si="69"/>
        <v/>
      </c>
    </row>
    <row r="875" spans="1:14" x14ac:dyDescent="0.25">
      <c r="A875" s="35" t="str">
        <f t="shared" si="65"/>
        <v/>
      </c>
      <c r="B875" s="35" t="str">
        <f>IF(BOM!A875="","",BOM!A875)</f>
        <v/>
      </c>
      <c r="C875" s="35" t="str">
        <f>IF(B875="","",BOM!B875)</f>
        <v/>
      </c>
      <c r="D875" s="35" t="str">
        <f>IF(B875="","",IFERROR(INDEX(DM_NL!$B$5:$B$304,MATCH(C875,DM_NL!$A$5:$A$304,0)),""))</f>
        <v/>
      </c>
      <c r="E875" s="35" t="str">
        <f>IF(B875="","",IFERROR(INDEX(DM_NL!$C$5:$C$304,MATCH(C875,DM_NL!$A$5:$A$304,0)),""))</f>
        <v/>
      </c>
      <c r="F875" s="39" t="str">
        <f>IF(B875="","",SUMIFS(Mau15a!$F$11:$F$310,Mau15a!$B$11:$B$310,B875))</f>
        <v/>
      </c>
      <c r="G875" s="39" t="str">
        <f>IF(B875="","",IF(OR(M875="KXDDM",BOM!F875=""),0,BOM!F875))</f>
        <v/>
      </c>
      <c r="H875" s="39" t="str">
        <f t="shared" si="66"/>
        <v/>
      </c>
      <c r="I875" s="39" t="str">
        <f>IF(B875="","",SUMIFS(Mau15a!$H$11:$H$310,Mau15a!$B$11:$B$310,B875)+SUMIFS(Mau15a!$I$11:$I$310,Mau15a!$B$11:$B$310,B875)+SUMIFS(Mau15a!$J$11:$J$310,Mau15a!$B$11:$B$310,B875)-SUMIFS(Mau15a!$G$11:$G$310,Mau15a!$B$11:$B$310,B875))</f>
        <v/>
      </c>
      <c r="J875" s="39" t="str">
        <f t="shared" si="67"/>
        <v/>
      </c>
      <c r="K875" s="39" t="str">
        <f>IF(B875="","",(SUMIFS(Mau15a!$K$11:$K$310,Mau15a!$B$11:$B$310,B875)-SUMIFS(Mau15a!$E$11:$E$310,Mau15a!$B$11:$B$310,B875))*G875)</f>
        <v/>
      </c>
      <c r="L875" s="36" t="str">
        <f t="shared" si="68"/>
        <v/>
      </c>
      <c r="M875" s="36" t="str">
        <f>IF(B875="","",BOM!G875&amp;"")</f>
        <v/>
      </c>
      <c r="N875" s="36" t="str">
        <f t="shared" si="69"/>
        <v/>
      </c>
    </row>
    <row r="876" spans="1:14" x14ac:dyDescent="0.25">
      <c r="A876" s="35" t="str">
        <f t="shared" si="65"/>
        <v/>
      </c>
      <c r="B876" s="35" t="str">
        <f>IF(BOM!A876="","",BOM!A876)</f>
        <v/>
      </c>
      <c r="C876" s="35" t="str">
        <f>IF(B876="","",BOM!B876)</f>
        <v/>
      </c>
      <c r="D876" s="35" t="str">
        <f>IF(B876="","",IFERROR(INDEX(DM_NL!$B$5:$B$304,MATCH(C876,DM_NL!$A$5:$A$304,0)),""))</f>
        <v/>
      </c>
      <c r="E876" s="35" t="str">
        <f>IF(B876="","",IFERROR(INDEX(DM_NL!$C$5:$C$304,MATCH(C876,DM_NL!$A$5:$A$304,0)),""))</f>
        <v/>
      </c>
      <c r="F876" s="39" t="str">
        <f>IF(B876="","",SUMIFS(Mau15a!$F$11:$F$310,Mau15a!$B$11:$B$310,B876))</f>
        <v/>
      </c>
      <c r="G876" s="39" t="str">
        <f>IF(B876="","",IF(OR(M876="KXDDM",BOM!F876=""),0,BOM!F876))</f>
        <v/>
      </c>
      <c r="H876" s="39" t="str">
        <f t="shared" si="66"/>
        <v/>
      </c>
      <c r="I876" s="39" t="str">
        <f>IF(B876="","",SUMIFS(Mau15a!$H$11:$H$310,Mau15a!$B$11:$B$310,B876)+SUMIFS(Mau15a!$I$11:$I$310,Mau15a!$B$11:$B$310,B876)+SUMIFS(Mau15a!$J$11:$J$310,Mau15a!$B$11:$B$310,B876)-SUMIFS(Mau15a!$G$11:$G$310,Mau15a!$B$11:$B$310,B876))</f>
        <v/>
      </c>
      <c r="J876" s="39" t="str">
        <f t="shared" si="67"/>
        <v/>
      </c>
      <c r="K876" s="39" t="str">
        <f>IF(B876="","",(SUMIFS(Mau15a!$K$11:$K$310,Mau15a!$B$11:$B$310,B876)-SUMIFS(Mau15a!$E$11:$E$310,Mau15a!$B$11:$B$310,B876))*G876)</f>
        <v/>
      </c>
      <c r="L876" s="36" t="str">
        <f t="shared" si="68"/>
        <v/>
      </c>
      <c r="M876" s="36" t="str">
        <f>IF(B876="","",BOM!G876&amp;"")</f>
        <v/>
      </c>
      <c r="N876" s="36" t="str">
        <f t="shared" si="69"/>
        <v/>
      </c>
    </row>
    <row r="877" spans="1:14" x14ac:dyDescent="0.25">
      <c r="A877" s="35" t="str">
        <f t="shared" si="65"/>
        <v/>
      </c>
      <c r="B877" s="35" t="str">
        <f>IF(BOM!A877="","",BOM!A877)</f>
        <v/>
      </c>
      <c r="C877" s="35" t="str">
        <f>IF(B877="","",BOM!B877)</f>
        <v/>
      </c>
      <c r="D877" s="35" t="str">
        <f>IF(B877="","",IFERROR(INDEX(DM_NL!$B$5:$B$304,MATCH(C877,DM_NL!$A$5:$A$304,0)),""))</f>
        <v/>
      </c>
      <c r="E877" s="35" t="str">
        <f>IF(B877="","",IFERROR(INDEX(DM_NL!$C$5:$C$304,MATCH(C877,DM_NL!$A$5:$A$304,0)),""))</f>
        <v/>
      </c>
      <c r="F877" s="39" t="str">
        <f>IF(B877="","",SUMIFS(Mau15a!$F$11:$F$310,Mau15a!$B$11:$B$310,B877))</f>
        <v/>
      </c>
      <c r="G877" s="39" t="str">
        <f>IF(B877="","",IF(OR(M877="KXDDM",BOM!F877=""),0,BOM!F877))</f>
        <v/>
      </c>
      <c r="H877" s="39" t="str">
        <f t="shared" si="66"/>
        <v/>
      </c>
      <c r="I877" s="39" t="str">
        <f>IF(B877="","",SUMIFS(Mau15a!$H$11:$H$310,Mau15a!$B$11:$B$310,B877)+SUMIFS(Mau15a!$I$11:$I$310,Mau15a!$B$11:$B$310,B877)+SUMIFS(Mau15a!$J$11:$J$310,Mau15a!$B$11:$B$310,B877)-SUMIFS(Mau15a!$G$11:$G$310,Mau15a!$B$11:$B$310,B877))</f>
        <v/>
      </c>
      <c r="J877" s="39" t="str">
        <f t="shared" si="67"/>
        <v/>
      </c>
      <c r="K877" s="39" t="str">
        <f>IF(B877="","",(SUMIFS(Mau15a!$K$11:$K$310,Mau15a!$B$11:$B$310,B877)-SUMIFS(Mau15a!$E$11:$E$310,Mau15a!$B$11:$B$310,B877))*G877)</f>
        <v/>
      </c>
      <c r="L877" s="36" t="str">
        <f t="shared" si="68"/>
        <v/>
      </c>
      <c r="M877" s="36" t="str">
        <f>IF(B877="","",BOM!G877&amp;"")</f>
        <v/>
      </c>
      <c r="N877" s="36" t="str">
        <f t="shared" si="69"/>
        <v/>
      </c>
    </row>
    <row r="878" spans="1:14" x14ac:dyDescent="0.25">
      <c r="A878" s="35" t="str">
        <f t="shared" si="65"/>
        <v/>
      </c>
      <c r="B878" s="35" t="str">
        <f>IF(BOM!A878="","",BOM!A878)</f>
        <v/>
      </c>
      <c r="C878" s="35" t="str">
        <f>IF(B878="","",BOM!B878)</f>
        <v/>
      </c>
      <c r="D878" s="35" t="str">
        <f>IF(B878="","",IFERROR(INDEX(DM_NL!$B$5:$B$304,MATCH(C878,DM_NL!$A$5:$A$304,0)),""))</f>
        <v/>
      </c>
      <c r="E878" s="35" t="str">
        <f>IF(B878="","",IFERROR(INDEX(DM_NL!$C$5:$C$304,MATCH(C878,DM_NL!$A$5:$A$304,0)),""))</f>
        <v/>
      </c>
      <c r="F878" s="39" t="str">
        <f>IF(B878="","",SUMIFS(Mau15a!$F$11:$F$310,Mau15a!$B$11:$B$310,B878))</f>
        <v/>
      </c>
      <c r="G878" s="39" t="str">
        <f>IF(B878="","",IF(OR(M878="KXDDM",BOM!F878=""),0,BOM!F878))</f>
        <v/>
      </c>
      <c r="H878" s="39" t="str">
        <f t="shared" si="66"/>
        <v/>
      </c>
      <c r="I878" s="39" t="str">
        <f>IF(B878="","",SUMIFS(Mau15a!$H$11:$H$310,Mau15a!$B$11:$B$310,B878)+SUMIFS(Mau15a!$I$11:$I$310,Mau15a!$B$11:$B$310,B878)+SUMIFS(Mau15a!$J$11:$J$310,Mau15a!$B$11:$B$310,B878)-SUMIFS(Mau15a!$G$11:$G$310,Mau15a!$B$11:$B$310,B878))</f>
        <v/>
      </c>
      <c r="J878" s="39" t="str">
        <f t="shared" si="67"/>
        <v/>
      </c>
      <c r="K878" s="39" t="str">
        <f>IF(B878="","",(SUMIFS(Mau15a!$K$11:$K$310,Mau15a!$B$11:$B$310,B878)-SUMIFS(Mau15a!$E$11:$E$310,Mau15a!$B$11:$B$310,B878))*G878)</f>
        <v/>
      </c>
      <c r="L878" s="36" t="str">
        <f t="shared" si="68"/>
        <v/>
      </c>
      <c r="M878" s="36" t="str">
        <f>IF(B878="","",BOM!G878&amp;"")</f>
        <v/>
      </c>
      <c r="N878" s="36" t="str">
        <f t="shared" si="69"/>
        <v/>
      </c>
    </row>
    <row r="879" spans="1:14" x14ac:dyDescent="0.25">
      <c r="A879" s="35" t="str">
        <f t="shared" si="65"/>
        <v/>
      </c>
      <c r="B879" s="35" t="str">
        <f>IF(BOM!A879="","",BOM!A879)</f>
        <v/>
      </c>
      <c r="C879" s="35" t="str">
        <f>IF(B879="","",BOM!B879)</f>
        <v/>
      </c>
      <c r="D879" s="35" t="str">
        <f>IF(B879="","",IFERROR(INDEX(DM_NL!$B$5:$B$304,MATCH(C879,DM_NL!$A$5:$A$304,0)),""))</f>
        <v/>
      </c>
      <c r="E879" s="35" t="str">
        <f>IF(B879="","",IFERROR(INDEX(DM_NL!$C$5:$C$304,MATCH(C879,DM_NL!$A$5:$A$304,0)),""))</f>
        <v/>
      </c>
      <c r="F879" s="39" t="str">
        <f>IF(B879="","",SUMIFS(Mau15a!$F$11:$F$310,Mau15a!$B$11:$B$310,B879))</f>
        <v/>
      </c>
      <c r="G879" s="39" t="str">
        <f>IF(B879="","",IF(OR(M879="KXDDM",BOM!F879=""),0,BOM!F879))</f>
        <v/>
      </c>
      <c r="H879" s="39" t="str">
        <f t="shared" si="66"/>
        <v/>
      </c>
      <c r="I879" s="39" t="str">
        <f>IF(B879="","",SUMIFS(Mau15a!$H$11:$H$310,Mau15a!$B$11:$B$310,B879)+SUMIFS(Mau15a!$I$11:$I$310,Mau15a!$B$11:$B$310,B879)+SUMIFS(Mau15a!$J$11:$J$310,Mau15a!$B$11:$B$310,B879)-SUMIFS(Mau15a!$G$11:$G$310,Mau15a!$B$11:$B$310,B879))</f>
        <v/>
      </c>
      <c r="J879" s="39" t="str">
        <f t="shared" si="67"/>
        <v/>
      </c>
      <c r="K879" s="39" t="str">
        <f>IF(B879="","",(SUMIFS(Mau15a!$K$11:$K$310,Mau15a!$B$11:$B$310,B879)-SUMIFS(Mau15a!$E$11:$E$310,Mau15a!$B$11:$B$310,B879))*G879)</f>
        <v/>
      </c>
      <c r="L879" s="36" t="str">
        <f t="shared" si="68"/>
        <v/>
      </c>
      <c r="M879" s="36" t="str">
        <f>IF(B879="","",BOM!G879&amp;"")</f>
        <v/>
      </c>
      <c r="N879" s="36" t="str">
        <f t="shared" si="69"/>
        <v/>
      </c>
    </row>
    <row r="880" spans="1:14" x14ac:dyDescent="0.25">
      <c r="A880" s="35" t="str">
        <f t="shared" si="65"/>
        <v/>
      </c>
      <c r="B880" s="35" t="str">
        <f>IF(BOM!A880="","",BOM!A880)</f>
        <v/>
      </c>
      <c r="C880" s="35" t="str">
        <f>IF(B880="","",BOM!B880)</f>
        <v/>
      </c>
      <c r="D880" s="35" t="str">
        <f>IF(B880="","",IFERROR(INDEX(DM_NL!$B$5:$B$304,MATCH(C880,DM_NL!$A$5:$A$304,0)),""))</f>
        <v/>
      </c>
      <c r="E880" s="35" t="str">
        <f>IF(B880="","",IFERROR(INDEX(DM_NL!$C$5:$C$304,MATCH(C880,DM_NL!$A$5:$A$304,0)),""))</f>
        <v/>
      </c>
      <c r="F880" s="39" t="str">
        <f>IF(B880="","",SUMIFS(Mau15a!$F$11:$F$310,Mau15a!$B$11:$B$310,B880))</f>
        <v/>
      </c>
      <c r="G880" s="39" t="str">
        <f>IF(B880="","",IF(OR(M880="KXDDM",BOM!F880=""),0,BOM!F880))</f>
        <v/>
      </c>
      <c r="H880" s="39" t="str">
        <f t="shared" si="66"/>
        <v/>
      </c>
      <c r="I880" s="39" t="str">
        <f>IF(B880="","",SUMIFS(Mau15a!$H$11:$H$310,Mau15a!$B$11:$B$310,B880)+SUMIFS(Mau15a!$I$11:$I$310,Mau15a!$B$11:$B$310,B880)+SUMIFS(Mau15a!$J$11:$J$310,Mau15a!$B$11:$B$310,B880)-SUMIFS(Mau15a!$G$11:$G$310,Mau15a!$B$11:$B$310,B880))</f>
        <v/>
      </c>
      <c r="J880" s="39" t="str">
        <f t="shared" si="67"/>
        <v/>
      </c>
      <c r="K880" s="39" t="str">
        <f>IF(B880="","",(SUMIFS(Mau15a!$K$11:$K$310,Mau15a!$B$11:$B$310,B880)-SUMIFS(Mau15a!$E$11:$E$310,Mau15a!$B$11:$B$310,B880))*G880)</f>
        <v/>
      </c>
      <c r="L880" s="36" t="str">
        <f t="shared" si="68"/>
        <v/>
      </c>
      <c r="M880" s="36" t="str">
        <f>IF(B880="","",BOM!G880&amp;"")</f>
        <v/>
      </c>
      <c r="N880" s="36" t="str">
        <f t="shared" si="69"/>
        <v/>
      </c>
    </row>
    <row r="881" spans="1:14" x14ac:dyDescent="0.25">
      <c r="A881" s="35" t="str">
        <f t="shared" si="65"/>
        <v/>
      </c>
      <c r="B881" s="35" t="str">
        <f>IF(BOM!A881="","",BOM!A881)</f>
        <v/>
      </c>
      <c r="C881" s="35" t="str">
        <f>IF(B881="","",BOM!B881)</f>
        <v/>
      </c>
      <c r="D881" s="35" t="str">
        <f>IF(B881="","",IFERROR(INDEX(DM_NL!$B$5:$B$304,MATCH(C881,DM_NL!$A$5:$A$304,0)),""))</f>
        <v/>
      </c>
      <c r="E881" s="35" t="str">
        <f>IF(B881="","",IFERROR(INDEX(DM_NL!$C$5:$C$304,MATCH(C881,DM_NL!$A$5:$A$304,0)),""))</f>
        <v/>
      </c>
      <c r="F881" s="39" t="str">
        <f>IF(B881="","",SUMIFS(Mau15a!$F$11:$F$310,Mau15a!$B$11:$B$310,B881))</f>
        <v/>
      </c>
      <c r="G881" s="39" t="str">
        <f>IF(B881="","",IF(OR(M881="KXDDM",BOM!F881=""),0,BOM!F881))</f>
        <v/>
      </c>
      <c r="H881" s="39" t="str">
        <f t="shared" si="66"/>
        <v/>
      </c>
      <c r="I881" s="39" t="str">
        <f>IF(B881="","",SUMIFS(Mau15a!$H$11:$H$310,Mau15a!$B$11:$B$310,B881)+SUMIFS(Mau15a!$I$11:$I$310,Mau15a!$B$11:$B$310,B881)+SUMIFS(Mau15a!$J$11:$J$310,Mau15a!$B$11:$B$310,B881)-SUMIFS(Mau15a!$G$11:$G$310,Mau15a!$B$11:$B$310,B881))</f>
        <v/>
      </c>
      <c r="J881" s="39" t="str">
        <f t="shared" si="67"/>
        <v/>
      </c>
      <c r="K881" s="39" t="str">
        <f>IF(B881="","",(SUMIFS(Mau15a!$K$11:$K$310,Mau15a!$B$11:$B$310,B881)-SUMIFS(Mau15a!$E$11:$E$310,Mau15a!$B$11:$B$310,B881))*G881)</f>
        <v/>
      </c>
      <c r="L881" s="36" t="str">
        <f t="shared" si="68"/>
        <v/>
      </c>
      <c r="M881" s="36" t="str">
        <f>IF(B881="","",BOM!G881&amp;"")</f>
        <v/>
      </c>
      <c r="N881" s="36" t="str">
        <f t="shared" si="69"/>
        <v/>
      </c>
    </row>
    <row r="882" spans="1:14" x14ac:dyDescent="0.25">
      <c r="A882" s="35" t="str">
        <f t="shared" si="65"/>
        <v/>
      </c>
      <c r="B882" s="35" t="str">
        <f>IF(BOM!A882="","",BOM!A882)</f>
        <v/>
      </c>
      <c r="C882" s="35" t="str">
        <f>IF(B882="","",BOM!B882)</f>
        <v/>
      </c>
      <c r="D882" s="35" t="str">
        <f>IF(B882="","",IFERROR(INDEX(DM_NL!$B$5:$B$304,MATCH(C882,DM_NL!$A$5:$A$304,0)),""))</f>
        <v/>
      </c>
      <c r="E882" s="35" t="str">
        <f>IF(B882="","",IFERROR(INDEX(DM_NL!$C$5:$C$304,MATCH(C882,DM_NL!$A$5:$A$304,0)),""))</f>
        <v/>
      </c>
      <c r="F882" s="39" t="str">
        <f>IF(B882="","",SUMIFS(Mau15a!$F$11:$F$310,Mau15a!$B$11:$B$310,B882))</f>
        <v/>
      </c>
      <c r="G882" s="39" t="str">
        <f>IF(B882="","",IF(OR(M882="KXDDM",BOM!F882=""),0,BOM!F882))</f>
        <v/>
      </c>
      <c r="H882" s="39" t="str">
        <f t="shared" si="66"/>
        <v/>
      </c>
      <c r="I882" s="39" t="str">
        <f>IF(B882="","",SUMIFS(Mau15a!$H$11:$H$310,Mau15a!$B$11:$B$310,B882)+SUMIFS(Mau15a!$I$11:$I$310,Mau15a!$B$11:$B$310,B882)+SUMIFS(Mau15a!$J$11:$J$310,Mau15a!$B$11:$B$310,B882)-SUMIFS(Mau15a!$G$11:$G$310,Mau15a!$B$11:$B$310,B882))</f>
        <v/>
      </c>
      <c r="J882" s="39" t="str">
        <f t="shared" si="67"/>
        <v/>
      </c>
      <c r="K882" s="39" t="str">
        <f>IF(B882="","",(SUMIFS(Mau15a!$K$11:$K$310,Mau15a!$B$11:$B$310,B882)-SUMIFS(Mau15a!$E$11:$E$310,Mau15a!$B$11:$B$310,B882))*G882)</f>
        <v/>
      </c>
      <c r="L882" s="36" t="str">
        <f t="shared" si="68"/>
        <v/>
      </c>
      <c r="M882" s="36" t="str">
        <f>IF(B882="","",BOM!G882&amp;"")</f>
        <v/>
      </c>
      <c r="N882" s="36" t="str">
        <f t="shared" si="69"/>
        <v/>
      </c>
    </row>
    <row r="883" spans="1:14" x14ac:dyDescent="0.25">
      <c r="A883" s="35" t="str">
        <f t="shared" si="65"/>
        <v/>
      </c>
      <c r="B883" s="35" t="str">
        <f>IF(BOM!A883="","",BOM!A883)</f>
        <v/>
      </c>
      <c r="C883" s="35" t="str">
        <f>IF(B883="","",BOM!B883)</f>
        <v/>
      </c>
      <c r="D883" s="35" t="str">
        <f>IF(B883="","",IFERROR(INDEX(DM_NL!$B$5:$B$304,MATCH(C883,DM_NL!$A$5:$A$304,0)),""))</f>
        <v/>
      </c>
      <c r="E883" s="35" t="str">
        <f>IF(B883="","",IFERROR(INDEX(DM_NL!$C$5:$C$304,MATCH(C883,DM_NL!$A$5:$A$304,0)),""))</f>
        <v/>
      </c>
      <c r="F883" s="39" t="str">
        <f>IF(B883="","",SUMIFS(Mau15a!$F$11:$F$310,Mau15a!$B$11:$B$310,B883))</f>
        <v/>
      </c>
      <c r="G883" s="39" t="str">
        <f>IF(B883="","",IF(OR(M883="KXDDM",BOM!F883=""),0,BOM!F883))</f>
        <v/>
      </c>
      <c r="H883" s="39" t="str">
        <f t="shared" si="66"/>
        <v/>
      </c>
      <c r="I883" s="39" t="str">
        <f>IF(B883="","",SUMIFS(Mau15a!$H$11:$H$310,Mau15a!$B$11:$B$310,B883)+SUMIFS(Mau15a!$I$11:$I$310,Mau15a!$B$11:$B$310,B883)+SUMIFS(Mau15a!$J$11:$J$310,Mau15a!$B$11:$B$310,B883)-SUMIFS(Mau15a!$G$11:$G$310,Mau15a!$B$11:$B$310,B883))</f>
        <v/>
      </c>
      <c r="J883" s="39" t="str">
        <f t="shared" si="67"/>
        <v/>
      </c>
      <c r="K883" s="39" t="str">
        <f>IF(B883="","",(SUMIFS(Mau15a!$K$11:$K$310,Mau15a!$B$11:$B$310,B883)-SUMIFS(Mau15a!$E$11:$E$310,Mau15a!$B$11:$B$310,B883))*G883)</f>
        <v/>
      </c>
      <c r="L883" s="36" t="str">
        <f t="shared" si="68"/>
        <v/>
      </c>
      <c r="M883" s="36" t="str">
        <f>IF(B883="","",BOM!G883&amp;"")</f>
        <v/>
      </c>
      <c r="N883" s="36" t="str">
        <f t="shared" si="69"/>
        <v/>
      </c>
    </row>
    <row r="884" spans="1:14" x14ac:dyDescent="0.25">
      <c r="A884" s="35" t="str">
        <f t="shared" si="65"/>
        <v/>
      </c>
      <c r="B884" s="35" t="str">
        <f>IF(BOM!A884="","",BOM!A884)</f>
        <v/>
      </c>
      <c r="C884" s="35" t="str">
        <f>IF(B884="","",BOM!B884)</f>
        <v/>
      </c>
      <c r="D884" s="35" t="str">
        <f>IF(B884="","",IFERROR(INDEX(DM_NL!$B$5:$B$304,MATCH(C884,DM_NL!$A$5:$A$304,0)),""))</f>
        <v/>
      </c>
      <c r="E884" s="35" t="str">
        <f>IF(B884="","",IFERROR(INDEX(DM_NL!$C$5:$C$304,MATCH(C884,DM_NL!$A$5:$A$304,0)),""))</f>
        <v/>
      </c>
      <c r="F884" s="39" t="str">
        <f>IF(B884="","",SUMIFS(Mau15a!$F$11:$F$310,Mau15a!$B$11:$B$310,B884))</f>
        <v/>
      </c>
      <c r="G884" s="39" t="str">
        <f>IF(B884="","",IF(OR(M884="KXDDM",BOM!F884=""),0,BOM!F884))</f>
        <v/>
      </c>
      <c r="H884" s="39" t="str">
        <f t="shared" si="66"/>
        <v/>
      </c>
      <c r="I884" s="39" t="str">
        <f>IF(B884="","",SUMIFS(Mau15a!$H$11:$H$310,Mau15a!$B$11:$B$310,B884)+SUMIFS(Mau15a!$I$11:$I$310,Mau15a!$B$11:$B$310,B884)+SUMIFS(Mau15a!$J$11:$J$310,Mau15a!$B$11:$B$310,B884)-SUMIFS(Mau15a!$G$11:$G$310,Mau15a!$B$11:$B$310,B884))</f>
        <v/>
      </c>
      <c r="J884" s="39" t="str">
        <f t="shared" si="67"/>
        <v/>
      </c>
      <c r="K884" s="39" t="str">
        <f>IF(B884="","",(SUMIFS(Mau15a!$K$11:$K$310,Mau15a!$B$11:$B$310,B884)-SUMIFS(Mau15a!$E$11:$E$310,Mau15a!$B$11:$B$310,B884))*G884)</f>
        <v/>
      </c>
      <c r="L884" s="36" t="str">
        <f t="shared" si="68"/>
        <v/>
      </c>
      <c r="M884" s="36" t="str">
        <f>IF(B884="","",BOM!G884&amp;"")</f>
        <v/>
      </c>
      <c r="N884" s="36" t="str">
        <f t="shared" si="69"/>
        <v/>
      </c>
    </row>
    <row r="885" spans="1:14" x14ac:dyDescent="0.25">
      <c r="A885" s="35" t="str">
        <f t="shared" si="65"/>
        <v/>
      </c>
      <c r="B885" s="35" t="str">
        <f>IF(BOM!A885="","",BOM!A885)</f>
        <v/>
      </c>
      <c r="C885" s="35" t="str">
        <f>IF(B885="","",BOM!B885)</f>
        <v/>
      </c>
      <c r="D885" s="35" t="str">
        <f>IF(B885="","",IFERROR(INDEX(DM_NL!$B$5:$B$304,MATCH(C885,DM_NL!$A$5:$A$304,0)),""))</f>
        <v/>
      </c>
      <c r="E885" s="35" t="str">
        <f>IF(B885="","",IFERROR(INDEX(DM_NL!$C$5:$C$304,MATCH(C885,DM_NL!$A$5:$A$304,0)),""))</f>
        <v/>
      </c>
      <c r="F885" s="39" t="str">
        <f>IF(B885="","",SUMIFS(Mau15a!$F$11:$F$310,Mau15a!$B$11:$B$310,B885))</f>
        <v/>
      </c>
      <c r="G885" s="39" t="str">
        <f>IF(B885="","",IF(OR(M885="KXDDM",BOM!F885=""),0,BOM!F885))</f>
        <v/>
      </c>
      <c r="H885" s="39" t="str">
        <f t="shared" si="66"/>
        <v/>
      </c>
      <c r="I885" s="39" t="str">
        <f>IF(B885="","",SUMIFS(Mau15a!$H$11:$H$310,Mau15a!$B$11:$B$310,B885)+SUMIFS(Mau15a!$I$11:$I$310,Mau15a!$B$11:$B$310,B885)+SUMIFS(Mau15a!$J$11:$J$310,Mau15a!$B$11:$B$310,B885)-SUMIFS(Mau15a!$G$11:$G$310,Mau15a!$B$11:$B$310,B885))</f>
        <v/>
      </c>
      <c r="J885" s="39" t="str">
        <f t="shared" si="67"/>
        <v/>
      </c>
      <c r="K885" s="39" t="str">
        <f>IF(B885="","",(SUMIFS(Mau15a!$K$11:$K$310,Mau15a!$B$11:$B$310,B885)-SUMIFS(Mau15a!$E$11:$E$310,Mau15a!$B$11:$B$310,B885))*G885)</f>
        <v/>
      </c>
      <c r="L885" s="36" t="str">
        <f t="shared" si="68"/>
        <v/>
      </c>
      <c r="M885" s="36" t="str">
        <f>IF(B885="","",BOM!G885&amp;"")</f>
        <v/>
      </c>
      <c r="N885" s="36" t="str">
        <f t="shared" si="69"/>
        <v/>
      </c>
    </row>
    <row r="886" spans="1:14" x14ac:dyDescent="0.25">
      <c r="A886" s="35" t="str">
        <f t="shared" si="65"/>
        <v/>
      </c>
      <c r="B886" s="35" t="str">
        <f>IF(BOM!A886="","",BOM!A886)</f>
        <v/>
      </c>
      <c r="C886" s="35" t="str">
        <f>IF(B886="","",BOM!B886)</f>
        <v/>
      </c>
      <c r="D886" s="35" t="str">
        <f>IF(B886="","",IFERROR(INDEX(DM_NL!$B$5:$B$304,MATCH(C886,DM_NL!$A$5:$A$304,0)),""))</f>
        <v/>
      </c>
      <c r="E886" s="35" t="str">
        <f>IF(B886="","",IFERROR(INDEX(DM_NL!$C$5:$C$304,MATCH(C886,DM_NL!$A$5:$A$304,0)),""))</f>
        <v/>
      </c>
      <c r="F886" s="39" t="str">
        <f>IF(B886="","",SUMIFS(Mau15a!$F$11:$F$310,Mau15a!$B$11:$B$310,B886))</f>
        <v/>
      </c>
      <c r="G886" s="39" t="str">
        <f>IF(B886="","",IF(OR(M886="KXDDM",BOM!F886=""),0,BOM!F886))</f>
        <v/>
      </c>
      <c r="H886" s="39" t="str">
        <f t="shared" si="66"/>
        <v/>
      </c>
      <c r="I886" s="39" t="str">
        <f>IF(B886="","",SUMIFS(Mau15a!$H$11:$H$310,Mau15a!$B$11:$B$310,B886)+SUMIFS(Mau15a!$I$11:$I$310,Mau15a!$B$11:$B$310,B886)+SUMIFS(Mau15a!$J$11:$J$310,Mau15a!$B$11:$B$310,B886)-SUMIFS(Mau15a!$G$11:$G$310,Mau15a!$B$11:$B$310,B886))</f>
        <v/>
      </c>
      <c r="J886" s="39" t="str">
        <f t="shared" si="67"/>
        <v/>
      </c>
      <c r="K886" s="39" t="str">
        <f>IF(B886="","",(SUMIFS(Mau15a!$K$11:$K$310,Mau15a!$B$11:$B$310,B886)-SUMIFS(Mau15a!$E$11:$E$310,Mau15a!$B$11:$B$310,B886))*G886)</f>
        <v/>
      </c>
      <c r="L886" s="36" t="str">
        <f t="shared" si="68"/>
        <v/>
      </c>
      <c r="M886" s="36" t="str">
        <f>IF(B886="","",BOM!G886&amp;"")</f>
        <v/>
      </c>
      <c r="N886" s="36" t="str">
        <f t="shared" si="69"/>
        <v/>
      </c>
    </row>
    <row r="887" spans="1:14" x14ac:dyDescent="0.25">
      <c r="A887" s="35" t="str">
        <f t="shared" si="65"/>
        <v/>
      </c>
      <c r="B887" s="35" t="str">
        <f>IF(BOM!A887="","",BOM!A887)</f>
        <v/>
      </c>
      <c r="C887" s="35" t="str">
        <f>IF(B887="","",BOM!B887)</f>
        <v/>
      </c>
      <c r="D887" s="35" t="str">
        <f>IF(B887="","",IFERROR(INDEX(DM_NL!$B$5:$B$304,MATCH(C887,DM_NL!$A$5:$A$304,0)),""))</f>
        <v/>
      </c>
      <c r="E887" s="35" t="str">
        <f>IF(B887="","",IFERROR(INDEX(DM_NL!$C$5:$C$304,MATCH(C887,DM_NL!$A$5:$A$304,0)),""))</f>
        <v/>
      </c>
      <c r="F887" s="39" t="str">
        <f>IF(B887="","",SUMIFS(Mau15a!$F$11:$F$310,Mau15a!$B$11:$B$310,B887))</f>
        <v/>
      </c>
      <c r="G887" s="39" t="str">
        <f>IF(B887="","",IF(OR(M887="KXDDM",BOM!F887=""),0,BOM!F887))</f>
        <v/>
      </c>
      <c r="H887" s="39" t="str">
        <f t="shared" si="66"/>
        <v/>
      </c>
      <c r="I887" s="39" t="str">
        <f>IF(B887="","",SUMIFS(Mau15a!$H$11:$H$310,Mau15a!$B$11:$B$310,B887)+SUMIFS(Mau15a!$I$11:$I$310,Mau15a!$B$11:$B$310,B887)+SUMIFS(Mau15a!$J$11:$J$310,Mau15a!$B$11:$B$310,B887)-SUMIFS(Mau15a!$G$11:$G$310,Mau15a!$B$11:$B$310,B887))</f>
        <v/>
      </c>
      <c r="J887" s="39" t="str">
        <f t="shared" si="67"/>
        <v/>
      </c>
      <c r="K887" s="39" t="str">
        <f>IF(B887="","",(SUMIFS(Mau15a!$K$11:$K$310,Mau15a!$B$11:$B$310,B887)-SUMIFS(Mau15a!$E$11:$E$310,Mau15a!$B$11:$B$310,B887))*G887)</f>
        <v/>
      </c>
      <c r="L887" s="36" t="str">
        <f t="shared" si="68"/>
        <v/>
      </c>
      <c r="M887" s="36" t="str">
        <f>IF(B887="","",BOM!G887&amp;"")</f>
        <v/>
      </c>
      <c r="N887" s="36" t="str">
        <f t="shared" si="69"/>
        <v/>
      </c>
    </row>
    <row r="888" spans="1:14" x14ac:dyDescent="0.25">
      <c r="A888" s="35" t="str">
        <f t="shared" si="65"/>
        <v/>
      </c>
      <c r="B888" s="35" t="str">
        <f>IF(BOM!A888="","",BOM!A888)</f>
        <v/>
      </c>
      <c r="C888" s="35" t="str">
        <f>IF(B888="","",BOM!B888)</f>
        <v/>
      </c>
      <c r="D888" s="35" t="str">
        <f>IF(B888="","",IFERROR(INDEX(DM_NL!$B$5:$B$304,MATCH(C888,DM_NL!$A$5:$A$304,0)),""))</f>
        <v/>
      </c>
      <c r="E888" s="35" t="str">
        <f>IF(B888="","",IFERROR(INDEX(DM_NL!$C$5:$C$304,MATCH(C888,DM_NL!$A$5:$A$304,0)),""))</f>
        <v/>
      </c>
      <c r="F888" s="39" t="str">
        <f>IF(B888="","",SUMIFS(Mau15a!$F$11:$F$310,Mau15a!$B$11:$B$310,B888))</f>
        <v/>
      </c>
      <c r="G888" s="39" t="str">
        <f>IF(B888="","",IF(OR(M888="KXDDM",BOM!F888=""),0,BOM!F888))</f>
        <v/>
      </c>
      <c r="H888" s="39" t="str">
        <f t="shared" si="66"/>
        <v/>
      </c>
      <c r="I888" s="39" t="str">
        <f>IF(B888="","",SUMIFS(Mau15a!$H$11:$H$310,Mau15a!$B$11:$B$310,B888)+SUMIFS(Mau15a!$I$11:$I$310,Mau15a!$B$11:$B$310,B888)+SUMIFS(Mau15a!$J$11:$J$310,Mau15a!$B$11:$B$310,B888)-SUMIFS(Mau15a!$G$11:$G$310,Mau15a!$B$11:$B$310,B888))</f>
        <v/>
      </c>
      <c r="J888" s="39" t="str">
        <f t="shared" si="67"/>
        <v/>
      </c>
      <c r="K888" s="39" t="str">
        <f>IF(B888="","",(SUMIFS(Mau15a!$K$11:$K$310,Mau15a!$B$11:$B$310,B888)-SUMIFS(Mau15a!$E$11:$E$310,Mau15a!$B$11:$B$310,B888))*G888)</f>
        <v/>
      </c>
      <c r="L888" s="36" t="str">
        <f t="shared" si="68"/>
        <v/>
      </c>
      <c r="M888" s="36" t="str">
        <f>IF(B888="","",BOM!G888&amp;"")</f>
        <v/>
      </c>
      <c r="N888" s="36" t="str">
        <f t="shared" si="69"/>
        <v/>
      </c>
    </row>
    <row r="889" spans="1:14" x14ac:dyDescent="0.25">
      <c r="A889" s="35" t="str">
        <f t="shared" si="65"/>
        <v/>
      </c>
      <c r="B889" s="35" t="str">
        <f>IF(BOM!A889="","",BOM!A889)</f>
        <v/>
      </c>
      <c r="C889" s="35" t="str">
        <f>IF(B889="","",BOM!B889)</f>
        <v/>
      </c>
      <c r="D889" s="35" t="str">
        <f>IF(B889="","",IFERROR(INDEX(DM_NL!$B$5:$B$304,MATCH(C889,DM_NL!$A$5:$A$304,0)),""))</f>
        <v/>
      </c>
      <c r="E889" s="35" t="str">
        <f>IF(B889="","",IFERROR(INDEX(DM_NL!$C$5:$C$304,MATCH(C889,DM_NL!$A$5:$A$304,0)),""))</f>
        <v/>
      </c>
      <c r="F889" s="39" t="str">
        <f>IF(B889="","",SUMIFS(Mau15a!$F$11:$F$310,Mau15a!$B$11:$B$310,B889))</f>
        <v/>
      </c>
      <c r="G889" s="39" t="str">
        <f>IF(B889="","",IF(OR(M889="KXDDM",BOM!F889=""),0,BOM!F889))</f>
        <v/>
      </c>
      <c r="H889" s="39" t="str">
        <f t="shared" si="66"/>
        <v/>
      </c>
      <c r="I889" s="39" t="str">
        <f>IF(B889="","",SUMIFS(Mau15a!$H$11:$H$310,Mau15a!$B$11:$B$310,B889)+SUMIFS(Mau15a!$I$11:$I$310,Mau15a!$B$11:$B$310,B889)+SUMIFS(Mau15a!$J$11:$J$310,Mau15a!$B$11:$B$310,B889)-SUMIFS(Mau15a!$G$11:$G$310,Mau15a!$B$11:$B$310,B889))</f>
        <v/>
      </c>
      <c r="J889" s="39" t="str">
        <f t="shared" si="67"/>
        <v/>
      </c>
      <c r="K889" s="39" t="str">
        <f>IF(B889="","",(SUMIFS(Mau15a!$K$11:$K$310,Mau15a!$B$11:$B$310,B889)-SUMIFS(Mau15a!$E$11:$E$310,Mau15a!$B$11:$B$310,B889))*G889)</f>
        <v/>
      </c>
      <c r="L889" s="36" t="str">
        <f t="shared" si="68"/>
        <v/>
      </c>
      <c r="M889" s="36" t="str">
        <f>IF(B889="","",BOM!G889&amp;"")</f>
        <v/>
      </c>
      <c r="N889" s="36" t="str">
        <f t="shared" si="69"/>
        <v/>
      </c>
    </row>
    <row r="890" spans="1:14" x14ac:dyDescent="0.25">
      <c r="A890" s="35" t="str">
        <f t="shared" si="65"/>
        <v/>
      </c>
      <c r="B890" s="35" t="str">
        <f>IF(BOM!A890="","",BOM!A890)</f>
        <v/>
      </c>
      <c r="C890" s="35" t="str">
        <f>IF(B890="","",BOM!B890)</f>
        <v/>
      </c>
      <c r="D890" s="35" t="str">
        <f>IF(B890="","",IFERROR(INDEX(DM_NL!$B$5:$B$304,MATCH(C890,DM_NL!$A$5:$A$304,0)),""))</f>
        <v/>
      </c>
      <c r="E890" s="35" t="str">
        <f>IF(B890="","",IFERROR(INDEX(DM_NL!$C$5:$C$304,MATCH(C890,DM_NL!$A$5:$A$304,0)),""))</f>
        <v/>
      </c>
      <c r="F890" s="39" t="str">
        <f>IF(B890="","",SUMIFS(Mau15a!$F$11:$F$310,Mau15a!$B$11:$B$310,B890))</f>
        <v/>
      </c>
      <c r="G890" s="39" t="str">
        <f>IF(B890="","",IF(OR(M890="KXDDM",BOM!F890=""),0,BOM!F890))</f>
        <v/>
      </c>
      <c r="H890" s="39" t="str">
        <f t="shared" si="66"/>
        <v/>
      </c>
      <c r="I890" s="39" t="str">
        <f>IF(B890="","",SUMIFS(Mau15a!$H$11:$H$310,Mau15a!$B$11:$B$310,B890)+SUMIFS(Mau15a!$I$11:$I$310,Mau15a!$B$11:$B$310,B890)+SUMIFS(Mau15a!$J$11:$J$310,Mau15a!$B$11:$B$310,B890)-SUMIFS(Mau15a!$G$11:$G$310,Mau15a!$B$11:$B$310,B890))</f>
        <v/>
      </c>
      <c r="J890" s="39" t="str">
        <f t="shared" si="67"/>
        <v/>
      </c>
      <c r="K890" s="39" t="str">
        <f>IF(B890="","",(SUMIFS(Mau15a!$K$11:$K$310,Mau15a!$B$11:$B$310,B890)-SUMIFS(Mau15a!$E$11:$E$310,Mau15a!$B$11:$B$310,B890))*G890)</f>
        <v/>
      </c>
      <c r="L890" s="36" t="str">
        <f t="shared" si="68"/>
        <v/>
      </c>
      <c r="M890" s="36" t="str">
        <f>IF(B890="","",BOM!G890&amp;"")</f>
        <v/>
      </c>
      <c r="N890" s="36" t="str">
        <f t="shared" si="69"/>
        <v/>
      </c>
    </row>
    <row r="891" spans="1:14" x14ac:dyDescent="0.25">
      <c r="A891" s="35" t="str">
        <f t="shared" si="65"/>
        <v/>
      </c>
      <c r="B891" s="35" t="str">
        <f>IF(BOM!A891="","",BOM!A891)</f>
        <v/>
      </c>
      <c r="C891" s="35" t="str">
        <f>IF(B891="","",BOM!B891)</f>
        <v/>
      </c>
      <c r="D891" s="35" t="str">
        <f>IF(B891="","",IFERROR(INDEX(DM_NL!$B$5:$B$304,MATCH(C891,DM_NL!$A$5:$A$304,0)),""))</f>
        <v/>
      </c>
      <c r="E891" s="35" t="str">
        <f>IF(B891="","",IFERROR(INDEX(DM_NL!$C$5:$C$304,MATCH(C891,DM_NL!$A$5:$A$304,0)),""))</f>
        <v/>
      </c>
      <c r="F891" s="39" t="str">
        <f>IF(B891="","",SUMIFS(Mau15a!$F$11:$F$310,Mau15a!$B$11:$B$310,B891))</f>
        <v/>
      </c>
      <c r="G891" s="39" t="str">
        <f>IF(B891="","",IF(OR(M891="KXDDM",BOM!F891=""),0,BOM!F891))</f>
        <v/>
      </c>
      <c r="H891" s="39" t="str">
        <f t="shared" si="66"/>
        <v/>
      </c>
      <c r="I891" s="39" t="str">
        <f>IF(B891="","",SUMIFS(Mau15a!$H$11:$H$310,Mau15a!$B$11:$B$310,B891)+SUMIFS(Mau15a!$I$11:$I$310,Mau15a!$B$11:$B$310,B891)+SUMIFS(Mau15a!$J$11:$J$310,Mau15a!$B$11:$B$310,B891)-SUMIFS(Mau15a!$G$11:$G$310,Mau15a!$B$11:$B$310,B891))</f>
        <v/>
      </c>
      <c r="J891" s="39" t="str">
        <f t="shared" si="67"/>
        <v/>
      </c>
      <c r="K891" s="39" t="str">
        <f>IF(B891="","",(SUMIFS(Mau15a!$K$11:$K$310,Mau15a!$B$11:$B$310,B891)-SUMIFS(Mau15a!$E$11:$E$310,Mau15a!$B$11:$B$310,B891))*G891)</f>
        <v/>
      </c>
      <c r="L891" s="36" t="str">
        <f t="shared" si="68"/>
        <v/>
      </c>
      <c r="M891" s="36" t="str">
        <f>IF(B891="","",BOM!G891&amp;"")</f>
        <v/>
      </c>
      <c r="N891" s="36" t="str">
        <f t="shared" si="69"/>
        <v/>
      </c>
    </row>
    <row r="892" spans="1:14" x14ac:dyDescent="0.25">
      <c r="A892" s="35" t="str">
        <f t="shared" si="65"/>
        <v/>
      </c>
      <c r="B892" s="35" t="str">
        <f>IF(BOM!A892="","",BOM!A892)</f>
        <v/>
      </c>
      <c r="C892" s="35" t="str">
        <f>IF(B892="","",BOM!B892)</f>
        <v/>
      </c>
      <c r="D892" s="35" t="str">
        <f>IF(B892="","",IFERROR(INDEX(DM_NL!$B$5:$B$304,MATCH(C892,DM_NL!$A$5:$A$304,0)),""))</f>
        <v/>
      </c>
      <c r="E892" s="35" t="str">
        <f>IF(B892="","",IFERROR(INDEX(DM_NL!$C$5:$C$304,MATCH(C892,DM_NL!$A$5:$A$304,0)),""))</f>
        <v/>
      </c>
      <c r="F892" s="39" t="str">
        <f>IF(B892="","",SUMIFS(Mau15a!$F$11:$F$310,Mau15a!$B$11:$B$310,B892))</f>
        <v/>
      </c>
      <c r="G892" s="39" t="str">
        <f>IF(B892="","",IF(OR(M892="KXDDM",BOM!F892=""),0,BOM!F892))</f>
        <v/>
      </c>
      <c r="H892" s="39" t="str">
        <f t="shared" si="66"/>
        <v/>
      </c>
      <c r="I892" s="39" t="str">
        <f>IF(B892="","",SUMIFS(Mau15a!$H$11:$H$310,Mau15a!$B$11:$B$310,B892)+SUMIFS(Mau15a!$I$11:$I$310,Mau15a!$B$11:$B$310,B892)+SUMIFS(Mau15a!$J$11:$J$310,Mau15a!$B$11:$B$310,B892)-SUMIFS(Mau15a!$G$11:$G$310,Mau15a!$B$11:$B$310,B892))</f>
        <v/>
      </c>
      <c r="J892" s="39" t="str">
        <f t="shared" si="67"/>
        <v/>
      </c>
      <c r="K892" s="39" t="str">
        <f>IF(B892="","",(SUMIFS(Mau15a!$K$11:$K$310,Mau15a!$B$11:$B$310,B892)-SUMIFS(Mau15a!$E$11:$E$310,Mau15a!$B$11:$B$310,B892))*G892)</f>
        <v/>
      </c>
      <c r="L892" s="36" t="str">
        <f t="shared" si="68"/>
        <v/>
      </c>
      <c r="M892" s="36" t="str">
        <f>IF(B892="","",BOM!G892&amp;"")</f>
        <v/>
      </c>
      <c r="N892" s="36" t="str">
        <f t="shared" si="69"/>
        <v/>
      </c>
    </row>
    <row r="893" spans="1:14" x14ac:dyDescent="0.25">
      <c r="A893" s="35" t="str">
        <f t="shared" si="65"/>
        <v/>
      </c>
      <c r="B893" s="35" t="str">
        <f>IF(BOM!A893="","",BOM!A893)</f>
        <v/>
      </c>
      <c r="C893" s="35" t="str">
        <f>IF(B893="","",BOM!B893)</f>
        <v/>
      </c>
      <c r="D893" s="35" t="str">
        <f>IF(B893="","",IFERROR(INDEX(DM_NL!$B$5:$B$304,MATCH(C893,DM_NL!$A$5:$A$304,0)),""))</f>
        <v/>
      </c>
      <c r="E893" s="35" t="str">
        <f>IF(B893="","",IFERROR(INDEX(DM_NL!$C$5:$C$304,MATCH(C893,DM_NL!$A$5:$A$304,0)),""))</f>
        <v/>
      </c>
      <c r="F893" s="39" t="str">
        <f>IF(B893="","",SUMIFS(Mau15a!$F$11:$F$310,Mau15a!$B$11:$B$310,B893))</f>
        <v/>
      </c>
      <c r="G893" s="39" t="str">
        <f>IF(B893="","",IF(OR(M893="KXDDM",BOM!F893=""),0,BOM!F893))</f>
        <v/>
      </c>
      <c r="H893" s="39" t="str">
        <f t="shared" si="66"/>
        <v/>
      </c>
      <c r="I893" s="39" t="str">
        <f>IF(B893="","",SUMIFS(Mau15a!$H$11:$H$310,Mau15a!$B$11:$B$310,B893)+SUMIFS(Mau15a!$I$11:$I$310,Mau15a!$B$11:$B$310,B893)+SUMIFS(Mau15a!$J$11:$J$310,Mau15a!$B$11:$B$310,B893)-SUMIFS(Mau15a!$G$11:$G$310,Mau15a!$B$11:$B$310,B893))</f>
        <v/>
      </c>
      <c r="J893" s="39" t="str">
        <f t="shared" si="67"/>
        <v/>
      </c>
      <c r="K893" s="39" t="str">
        <f>IF(B893="","",(SUMIFS(Mau15a!$K$11:$K$310,Mau15a!$B$11:$B$310,B893)-SUMIFS(Mau15a!$E$11:$E$310,Mau15a!$B$11:$B$310,B893))*G893)</f>
        <v/>
      </c>
      <c r="L893" s="36" t="str">
        <f t="shared" si="68"/>
        <v/>
      </c>
      <c r="M893" s="36" t="str">
        <f>IF(B893="","",BOM!G893&amp;"")</f>
        <v/>
      </c>
      <c r="N893" s="36" t="str">
        <f t="shared" si="69"/>
        <v/>
      </c>
    </row>
    <row r="894" spans="1:14" x14ac:dyDescent="0.25">
      <c r="A894" s="35" t="str">
        <f t="shared" si="65"/>
        <v/>
      </c>
      <c r="B894" s="35" t="str">
        <f>IF(BOM!A894="","",BOM!A894)</f>
        <v/>
      </c>
      <c r="C894" s="35" t="str">
        <f>IF(B894="","",BOM!B894)</f>
        <v/>
      </c>
      <c r="D894" s="35" t="str">
        <f>IF(B894="","",IFERROR(INDEX(DM_NL!$B$5:$B$304,MATCH(C894,DM_NL!$A$5:$A$304,0)),""))</f>
        <v/>
      </c>
      <c r="E894" s="35" t="str">
        <f>IF(B894="","",IFERROR(INDEX(DM_NL!$C$5:$C$304,MATCH(C894,DM_NL!$A$5:$A$304,0)),""))</f>
        <v/>
      </c>
      <c r="F894" s="39" t="str">
        <f>IF(B894="","",SUMIFS(Mau15a!$F$11:$F$310,Mau15a!$B$11:$B$310,B894))</f>
        <v/>
      </c>
      <c r="G894" s="39" t="str">
        <f>IF(B894="","",IF(OR(M894="KXDDM",BOM!F894=""),0,BOM!F894))</f>
        <v/>
      </c>
      <c r="H894" s="39" t="str">
        <f t="shared" si="66"/>
        <v/>
      </c>
      <c r="I894" s="39" t="str">
        <f>IF(B894="","",SUMIFS(Mau15a!$H$11:$H$310,Mau15a!$B$11:$B$310,B894)+SUMIFS(Mau15a!$I$11:$I$310,Mau15a!$B$11:$B$310,B894)+SUMIFS(Mau15a!$J$11:$J$310,Mau15a!$B$11:$B$310,B894)-SUMIFS(Mau15a!$G$11:$G$310,Mau15a!$B$11:$B$310,B894))</f>
        <v/>
      </c>
      <c r="J894" s="39" t="str">
        <f t="shared" si="67"/>
        <v/>
      </c>
      <c r="K894" s="39" t="str">
        <f>IF(B894="","",(SUMIFS(Mau15a!$K$11:$K$310,Mau15a!$B$11:$B$310,B894)-SUMIFS(Mau15a!$E$11:$E$310,Mau15a!$B$11:$B$310,B894))*G894)</f>
        <v/>
      </c>
      <c r="L894" s="36" t="str">
        <f t="shared" si="68"/>
        <v/>
      </c>
      <c r="M894" s="36" t="str">
        <f>IF(B894="","",BOM!G894&amp;"")</f>
        <v/>
      </c>
      <c r="N894" s="36" t="str">
        <f t="shared" si="69"/>
        <v/>
      </c>
    </row>
    <row r="895" spans="1:14" x14ac:dyDescent="0.25">
      <c r="A895" s="35" t="str">
        <f t="shared" si="65"/>
        <v/>
      </c>
      <c r="B895" s="35" t="str">
        <f>IF(BOM!A895="","",BOM!A895)</f>
        <v/>
      </c>
      <c r="C895" s="35" t="str">
        <f>IF(B895="","",BOM!B895)</f>
        <v/>
      </c>
      <c r="D895" s="35" t="str">
        <f>IF(B895="","",IFERROR(INDEX(DM_NL!$B$5:$B$304,MATCH(C895,DM_NL!$A$5:$A$304,0)),""))</f>
        <v/>
      </c>
      <c r="E895" s="35" t="str">
        <f>IF(B895="","",IFERROR(INDEX(DM_NL!$C$5:$C$304,MATCH(C895,DM_NL!$A$5:$A$304,0)),""))</f>
        <v/>
      </c>
      <c r="F895" s="39" t="str">
        <f>IF(B895="","",SUMIFS(Mau15a!$F$11:$F$310,Mau15a!$B$11:$B$310,B895))</f>
        <v/>
      </c>
      <c r="G895" s="39" t="str">
        <f>IF(B895="","",IF(OR(M895="KXDDM",BOM!F895=""),0,BOM!F895))</f>
        <v/>
      </c>
      <c r="H895" s="39" t="str">
        <f t="shared" si="66"/>
        <v/>
      </c>
      <c r="I895" s="39" t="str">
        <f>IF(B895="","",SUMIFS(Mau15a!$H$11:$H$310,Mau15a!$B$11:$B$310,B895)+SUMIFS(Mau15a!$I$11:$I$310,Mau15a!$B$11:$B$310,B895)+SUMIFS(Mau15a!$J$11:$J$310,Mau15a!$B$11:$B$310,B895)-SUMIFS(Mau15a!$G$11:$G$310,Mau15a!$B$11:$B$310,B895))</f>
        <v/>
      </c>
      <c r="J895" s="39" t="str">
        <f t="shared" si="67"/>
        <v/>
      </c>
      <c r="K895" s="39" t="str">
        <f>IF(B895="","",(SUMIFS(Mau15a!$K$11:$K$310,Mau15a!$B$11:$B$310,B895)-SUMIFS(Mau15a!$E$11:$E$310,Mau15a!$B$11:$B$310,B895))*G895)</f>
        <v/>
      </c>
      <c r="L895" s="36" t="str">
        <f t="shared" si="68"/>
        <v/>
      </c>
      <c r="M895" s="36" t="str">
        <f>IF(B895="","",BOM!G895&amp;"")</f>
        <v/>
      </c>
      <c r="N895" s="36" t="str">
        <f t="shared" si="69"/>
        <v/>
      </c>
    </row>
    <row r="896" spans="1:14" x14ac:dyDescent="0.25">
      <c r="A896" s="35" t="str">
        <f t="shared" si="65"/>
        <v/>
      </c>
      <c r="B896" s="35" t="str">
        <f>IF(BOM!A896="","",BOM!A896)</f>
        <v/>
      </c>
      <c r="C896" s="35" t="str">
        <f>IF(B896="","",BOM!B896)</f>
        <v/>
      </c>
      <c r="D896" s="35" t="str">
        <f>IF(B896="","",IFERROR(INDEX(DM_NL!$B$5:$B$304,MATCH(C896,DM_NL!$A$5:$A$304,0)),""))</f>
        <v/>
      </c>
      <c r="E896" s="35" t="str">
        <f>IF(B896="","",IFERROR(INDEX(DM_NL!$C$5:$C$304,MATCH(C896,DM_NL!$A$5:$A$304,0)),""))</f>
        <v/>
      </c>
      <c r="F896" s="39" t="str">
        <f>IF(B896="","",SUMIFS(Mau15a!$F$11:$F$310,Mau15a!$B$11:$B$310,B896))</f>
        <v/>
      </c>
      <c r="G896" s="39" t="str">
        <f>IF(B896="","",IF(OR(M896="KXDDM",BOM!F896=""),0,BOM!F896))</f>
        <v/>
      </c>
      <c r="H896" s="39" t="str">
        <f t="shared" si="66"/>
        <v/>
      </c>
      <c r="I896" s="39" t="str">
        <f>IF(B896="","",SUMIFS(Mau15a!$H$11:$H$310,Mau15a!$B$11:$B$310,B896)+SUMIFS(Mau15a!$I$11:$I$310,Mau15a!$B$11:$B$310,B896)+SUMIFS(Mau15a!$J$11:$J$310,Mau15a!$B$11:$B$310,B896)-SUMIFS(Mau15a!$G$11:$G$310,Mau15a!$B$11:$B$310,B896))</f>
        <v/>
      </c>
      <c r="J896" s="39" t="str">
        <f t="shared" si="67"/>
        <v/>
      </c>
      <c r="K896" s="39" t="str">
        <f>IF(B896="","",(SUMIFS(Mau15a!$K$11:$K$310,Mau15a!$B$11:$B$310,B896)-SUMIFS(Mau15a!$E$11:$E$310,Mau15a!$B$11:$B$310,B896))*G896)</f>
        <v/>
      </c>
      <c r="L896" s="36" t="str">
        <f t="shared" si="68"/>
        <v/>
      </c>
      <c r="M896" s="36" t="str">
        <f>IF(B896="","",BOM!G896&amp;"")</f>
        <v/>
      </c>
      <c r="N896" s="36" t="str">
        <f t="shared" si="69"/>
        <v/>
      </c>
    </row>
    <row r="897" spans="1:14" x14ac:dyDescent="0.25">
      <c r="A897" s="35" t="str">
        <f t="shared" si="65"/>
        <v/>
      </c>
      <c r="B897" s="35" t="str">
        <f>IF(BOM!A897="","",BOM!A897)</f>
        <v/>
      </c>
      <c r="C897" s="35" t="str">
        <f>IF(B897="","",BOM!B897)</f>
        <v/>
      </c>
      <c r="D897" s="35" t="str">
        <f>IF(B897="","",IFERROR(INDEX(DM_NL!$B$5:$B$304,MATCH(C897,DM_NL!$A$5:$A$304,0)),""))</f>
        <v/>
      </c>
      <c r="E897" s="35" t="str">
        <f>IF(B897="","",IFERROR(INDEX(DM_NL!$C$5:$C$304,MATCH(C897,DM_NL!$A$5:$A$304,0)),""))</f>
        <v/>
      </c>
      <c r="F897" s="39" t="str">
        <f>IF(B897="","",SUMIFS(Mau15a!$F$11:$F$310,Mau15a!$B$11:$B$310,B897))</f>
        <v/>
      </c>
      <c r="G897" s="39" t="str">
        <f>IF(B897="","",IF(OR(M897="KXDDM",BOM!F897=""),0,BOM!F897))</f>
        <v/>
      </c>
      <c r="H897" s="39" t="str">
        <f t="shared" si="66"/>
        <v/>
      </c>
      <c r="I897" s="39" t="str">
        <f>IF(B897="","",SUMIFS(Mau15a!$H$11:$H$310,Mau15a!$B$11:$B$310,B897)+SUMIFS(Mau15a!$I$11:$I$310,Mau15a!$B$11:$B$310,B897)+SUMIFS(Mau15a!$J$11:$J$310,Mau15a!$B$11:$B$310,B897)-SUMIFS(Mau15a!$G$11:$G$310,Mau15a!$B$11:$B$310,B897))</f>
        <v/>
      </c>
      <c r="J897" s="39" t="str">
        <f t="shared" si="67"/>
        <v/>
      </c>
      <c r="K897" s="39" t="str">
        <f>IF(B897="","",(SUMIFS(Mau15a!$K$11:$K$310,Mau15a!$B$11:$B$310,B897)-SUMIFS(Mau15a!$E$11:$E$310,Mau15a!$B$11:$B$310,B897))*G897)</f>
        <v/>
      </c>
      <c r="L897" s="36" t="str">
        <f t="shared" si="68"/>
        <v/>
      </c>
      <c r="M897" s="36" t="str">
        <f>IF(B897="","",BOM!G897&amp;"")</f>
        <v/>
      </c>
      <c r="N897" s="36" t="str">
        <f t="shared" si="69"/>
        <v/>
      </c>
    </row>
    <row r="898" spans="1:14" x14ac:dyDescent="0.25">
      <c r="A898" s="35" t="str">
        <f t="shared" si="65"/>
        <v/>
      </c>
      <c r="B898" s="35" t="str">
        <f>IF(BOM!A898="","",BOM!A898)</f>
        <v/>
      </c>
      <c r="C898" s="35" t="str">
        <f>IF(B898="","",BOM!B898)</f>
        <v/>
      </c>
      <c r="D898" s="35" t="str">
        <f>IF(B898="","",IFERROR(INDEX(DM_NL!$B$5:$B$304,MATCH(C898,DM_NL!$A$5:$A$304,0)),""))</f>
        <v/>
      </c>
      <c r="E898" s="35" t="str">
        <f>IF(B898="","",IFERROR(INDEX(DM_NL!$C$5:$C$304,MATCH(C898,DM_NL!$A$5:$A$304,0)),""))</f>
        <v/>
      </c>
      <c r="F898" s="39" t="str">
        <f>IF(B898="","",SUMIFS(Mau15a!$F$11:$F$310,Mau15a!$B$11:$B$310,B898))</f>
        <v/>
      </c>
      <c r="G898" s="39" t="str">
        <f>IF(B898="","",IF(OR(M898="KXDDM",BOM!F898=""),0,BOM!F898))</f>
        <v/>
      </c>
      <c r="H898" s="39" t="str">
        <f t="shared" si="66"/>
        <v/>
      </c>
      <c r="I898" s="39" t="str">
        <f>IF(B898="","",SUMIFS(Mau15a!$H$11:$H$310,Mau15a!$B$11:$B$310,B898)+SUMIFS(Mau15a!$I$11:$I$310,Mau15a!$B$11:$B$310,B898)+SUMIFS(Mau15a!$J$11:$J$310,Mau15a!$B$11:$B$310,B898)-SUMIFS(Mau15a!$G$11:$G$310,Mau15a!$B$11:$B$310,B898))</f>
        <v/>
      </c>
      <c r="J898" s="39" t="str">
        <f t="shared" si="67"/>
        <v/>
      </c>
      <c r="K898" s="39" t="str">
        <f>IF(B898="","",(SUMIFS(Mau15a!$K$11:$K$310,Mau15a!$B$11:$B$310,B898)-SUMIFS(Mau15a!$E$11:$E$310,Mau15a!$B$11:$B$310,B898))*G898)</f>
        <v/>
      </c>
      <c r="L898" s="36" t="str">
        <f t="shared" si="68"/>
        <v/>
      </c>
      <c r="M898" s="36" t="str">
        <f>IF(B898="","",BOM!G898&amp;"")</f>
        <v/>
      </c>
      <c r="N898" s="36" t="str">
        <f t="shared" si="69"/>
        <v/>
      </c>
    </row>
    <row r="899" spans="1:14" x14ac:dyDescent="0.25">
      <c r="A899" s="35" t="str">
        <f t="shared" si="65"/>
        <v/>
      </c>
      <c r="B899" s="35" t="str">
        <f>IF(BOM!A899="","",BOM!A899)</f>
        <v/>
      </c>
      <c r="C899" s="35" t="str">
        <f>IF(B899="","",BOM!B899)</f>
        <v/>
      </c>
      <c r="D899" s="35" t="str">
        <f>IF(B899="","",IFERROR(INDEX(DM_NL!$B$5:$B$304,MATCH(C899,DM_NL!$A$5:$A$304,0)),""))</f>
        <v/>
      </c>
      <c r="E899" s="35" t="str">
        <f>IF(B899="","",IFERROR(INDEX(DM_NL!$C$5:$C$304,MATCH(C899,DM_NL!$A$5:$A$304,0)),""))</f>
        <v/>
      </c>
      <c r="F899" s="39" t="str">
        <f>IF(B899="","",SUMIFS(Mau15a!$F$11:$F$310,Mau15a!$B$11:$B$310,B899))</f>
        <v/>
      </c>
      <c r="G899" s="39" t="str">
        <f>IF(B899="","",IF(OR(M899="KXDDM",BOM!F899=""),0,BOM!F899))</f>
        <v/>
      </c>
      <c r="H899" s="39" t="str">
        <f t="shared" si="66"/>
        <v/>
      </c>
      <c r="I899" s="39" t="str">
        <f>IF(B899="","",SUMIFS(Mau15a!$H$11:$H$310,Mau15a!$B$11:$B$310,B899)+SUMIFS(Mau15a!$I$11:$I$310,Mau15a!$B$11:$B$310,B899)+SUMIFS(Mau15a!$J$11:$J$310,Mau15a!$B$11:$B$310,B899)-SUMIFS(Mau15a!$G$11:$G$310,Mau15a!$B$11:$B$310,B899))</f>
        <v/>
      </c>
      <c r="J899" s="39" t="str">
        <f t="shared" si="67"/>
        <v/>
      </c>
      <c r="K899" s="39" t="str">
        <f>IF(B899="","",(SUMIFS(Mau15a!$K$11:$K$310,Mau15a!$B$11:$B$310,B899)-SUMIFS(Mau15a!$E$11:$E$310,Mau15a!$B$11:$B$310,B899))*G899)</f>
        <v/>
      </c>
      <c r="L899" s="36" t="str">
        <f t="shared" si="68"/>
        <v/>
      </c>
      <c r="M899" s="36" t="str">
        <f>IF(B899="","",BOM!G899&amp;"")</f>
        <v/>
      </c>
      <c r="N899" s="36" t="str">
        <f t="shared" si="69"/>
        <v/>
      </c>
    </row>
    <row r="900" spans="1:14" x14ac:dyDescent="0.25">
      <c r="A900" s="35" t="str">
        <f t="shared" si="65"/>
        <v/>
      </c>
      <c r="B900" s="35" t="str">
        <f>IF(BOM!A900="","",BOM!A900)</f>
        <v/>
      </c>
      <c r="C900" s="35" t="str">
        <f>IF(B900="","",BOM!B900)</f>
        <v/>
      </c>
      <c r="D900" s="35" t="str">
        <f>IF(B900="","",IFERROR(INDEX(DM_NL!$B$5:$B$304,MATCH(C900,DM_NL!$A$5:$A$304,0)),""))</f>
        <v/>
      </c>
      <c r="E900" s="35" t="str">
        <f>IF(B900="","",IFERROR(INDEX(DM_NL!$C$5:$C$304,MATCH(C900,DM_NL!$A$5:$A$304,0)),""))</f>
        <v/>
      </c>
      <c r="F900" s="39" t="str">
        <f>IF(B900="","",SUMIFS(Mau15a!$F$11:$F$310,Mau15a!$B$11:$B$310,B900))</f>
        <v/>
      </c>
      <c r="G900" s="39" t="str">
        <f>IF(B900="","",IF(OR(M900="KXDDM",BOM!F900=""),0,BOM!F900))</f>
        <v/>
      </c>
      <c r="H900" s="39" t="str">
        <f t="shared" si="66"/>
        <v/>
      </c>
      <c r="I900" s="39" t="str">
        <f>IF(B900="","",SUMIFS(Mau15a!$H$11:$H$310,Mau15a!$B$11:$B$310,B900)+SUMIFS(Mau15a!$I$11:$I$310,Mau15a!$B$11:$B$310,B900)+SUMIFS(Mau15a!$J$11:$J$310,Mau15a!$B$11:$B$310,B900)-SUMIFS(Mau15a!$G$11:$G$310,Mau15a!$B$11:$B$310,B900))</f>
        <v/>
      </c>
      <c r="J900" s="39" t="str">
        <f t="shared" si="67"/>
        <v/>
      </c>
      <c r="K900" s="39" t="str">
        <f>IF(B900="","",(SUMIFS(Mau15a!$K$11:$K$310,Mau15a!$B$11:$B$310,B900)-SUMIFS(Mau15a!$E$11:$E$310,Mau15a!$B$11:$B$310,B900))*G900)</f>
        <v/>
      </c>
      <c r="L900" s="36" t="str">
        <f t="shared" si="68"/>
        <v/>
      </c>
      <c r="M900" s="36" t="str">
        <f>IF(B900="","",BOM!G900&amp;"")</f>
        <v/>
      </c>
      <c r="N900" s="36" t="str">
        <f t="shared" si="69"/>
        <v/>
      </c>
    </row>
    <row r="901" spans="1:14" x14ac:dyDescent="0.25">
      <c r="A901" s="35" t="str">
        <f t="shared" ref="A901:A964" si="70">IF(B901="","",ROW()-4)</f>
        <v/>
      </c>
      <c r="B901" s="35" t="str">
        <f>IF(BOM!A901="","",BOM!A901)</f>
        <v/>
      </c>
      <c r="C901" s="35" t="str">
        <f>IF(B901="","",BOM!B901)</f>
        <v/>
      </c>
      <c r="D901" s="35" t="str">
        <f>IF(B901="","",IFERROR(INDEX(DM_NL!$B$5:$B$304,MATCH(C901,DM_NL!$A$5:$A$304,0)),""))</f>
        <v/>
      </c>
      <c r="E901" s="35" t="str">
        <f>IF(B901="","",IFERROR(INDEX(DM_NL!$C$5:$C$304,MATCH(C901,DM_NL!$A$5:$A$304,0)),""))</f>
        <v/>
      </c>
      <c r="F901" s="39" t="str">
        <f>IF(B901="","",SUMIFS(Mau15a!$F$11:$F$310,Mau15a!$B$11:$B$310,B901))</f>
        <v/>
      </c>
      <c r="G901" s="39" t="str">
        <f>IF(B901="","",IF(OR(M901="KXDDM",BOM!F901=""),0,BOM!F901))</f>
        <v/>
      </c>
      <c r="H901" s="39" t="str">
        <f t="shared" ref="H901:H964" si="71">IF(B901="","",F901*G901)</f>
        <v/>
      </c>
      <c r="I901" s="39" t="str">
        <f>IF(B901="","",SUMIFS(Mau15a!$H$11:$H$310,Mau15a!$B$11:$B$310,B901)+SUMIFS(Mau15a!$I$11:$I$310,Mau15a!$B$11:$B$310,B901)+SUMIFS(Mau15a!$J$11:$J$310,Mau15a!$B$11:$B$310,B901)-SUMIFS(Mau15a!$G$11:$G$310,Mau15a!$B$11:$B$310,B901))</f>
        <v/>
      </c>
      <c r="J901" s="39" t="str">
        <f t="shared" ref="J901:J964" si="72">IF(B901="","",I901*G901)</f>
        <v/>
      </c>
      <c r="K901" s="39" t="str">
        <f>IF(B901="","",(SUMIFS(Mau15a!$K$11:$K$310,Mau15a!$B$11:$B$310,B901)-SUMIFS(Mau15a!$E$11:$E$310,Mau15a!$B$11:$B$310,B901))*G901)</f>
        <v/>
      </c>
      <c r="L901" s="36" t="str">
        <f t="shared" ref="L901:L964" si="73">IF(B901="","",IF(ABS(H901-J901-K901)&lt;0.000001,"Khớp","Lệch"))</f>
        <v/>
      </c>
      <c r="M901" s="36" t="str">
        <f>IF(B901="","",BOM!G901&amp;"")</f>
        <v/>
      </c>
      <c r="N901" s="36" t="str">
        <f t="shared" ref="N901:N964" si="74">IF(B901="","",IF(M901="",1,0))</f>
        <v/>
      </c>
    </row>
    <row r="902" spans="1:14" x14ac:dyDescent="0.25">
      <c r="A902" s="35" t="str">
        <f t="shared" si="70"/>
        <v/>
      </c>
      <c r="B902" s="35" t="str">
        <f>IF(BOM!A902="","",BOM!A902)</f>
        <v/>
      </c>
      <c r="C902" s="35" t="str">
        <f>IF(B902="","",BOM!B902)</f>
        <v/>
      </c>
      <c r="D902" s="35" t="str">
        <f>IF(B902="","",IFERROR(INDEX(DM_NL!$B$5:$B$304,MATCH(C902,DM_NL!$A$5:$A$304,0)),""))</f>
        <v/>
      </c>
      <c r="E902" s="35" t="str">
        <f>IF(B902="","",IFERROR(INDEX(DM_NL!$C$5:$C$304,MATCH(C902,DM_NL!$A$5:$A$304,0)),""))</f>
        <v/>
      </c>
      <c r="F902" s="39" t="str">
        <f>IF(B902="","",SUMIFS(Mau15a!$F$11:$F$310,Mau15a!$B$11:$B$310,B902))</f>
        <v/>
      </c>
      <c r="G902" s="39" t="str">
        <f>IF(B902="","",IF(OR(M902="KXDDM",BOM!F902=""),0,BOM!F902))</f>
        <v/>
      </c>
      <c r="H902" s="39" t="str">
        <f t="shared" si="71"/>
        <v/>
      </c>
      <c r="I902" s="39" t="str">
        <f>IF(B902="","",SUMIFS(Mau15a!$H$11:$H$310,Mau15a!$B$11:$B$310,B902)+SUMIFS(Mau15a!$I$11:$I$310,Mau15a!$B$11:$B$310,B902)+SUMIFS(Mau15a!$J$11:$J$310,Mau15a!$B$11:$B$310,B902)-SUMIFS(Mau15a!$G$11:$G$310,Mau15a!$B$11:$B$310,B902))</f>
        <v/>
      </c>
      <c r="J902" s="39" t="str">
        <f t="shared" si="72"/>
        <v/>
      </c>
      <c r="K902" s="39" t="str">
        <f>IF(B902="","",(SUMIFS(Mau15a!$K$11:$K$310,Mau15a!$B$11:$B$310,B902)-SUMIFS(Mau15a!$E$11:$E$310,Mau15a!$B$11:$B$310,B902))*G902)</f>
        <v/>
      </c>
      <c r="L902" s="36" t="str">
        <f t="shared" si="73"/>
        <v/>
      </c>
      <c r="M902" s="36" t="str">
        <f>IF(B902="","",BOM!G902&amp;"")</f>
        <v/>
      </c>
      <c r="N902" s="36" t="str">
        <f t="shared" si="74"/>
        <v/>
      </c>
    </row>
    <row r="903" spans="1:14" x14ac:dyDescent="0.25">
      <c r="A903" s="35" t="str">
        <f t="shared" si="70"/>
        <v/>
      </c>
      <c r="B903" s="35" t="str">
        <f>IF(BOM!A903="","",BOM!A903)</f>
        <v/>
      </c>
      <c r="C903" s="35" t="str">
        <f>IF(B903="","",BOM!B903)</f>
        <v/>
      </c>
      <c r="D903" s="35" t="str">
        <f>IF(B903="","",IFERROR(INDEX(DM_NL!$B$5:$B$304,MATCH(C903,DM_NL!$A$5:$A$304,0)),""))</f>
        <v/>
      </c>
      <c r="E903" s="35" t="str">
        <f>IF(B903="","",IFERROR(INDEX(DM_NL!$C$5:$C$304,MATCH(C903,DM_NL!$A$5:$A$304,0)),""))</f>
        <v/>
      </c>
      <c r="F903" s="39" t="str">
        <f>IF(B903="","",SUMIFS(Mau15a!$F$11:$F$310,Mau15a!$B$11:$B$310,B903))</f>
        <v/>
      </c>
      <c r="G903" s="39" t="str">
        <f>IF(B903="","",IF(OR(M903="KXDDM",BOM!F903=""),0,BOM!F903))</f>
        <v/>
      </c>
      <c r="H903" s="39" t="str">
        <f t="shared" si="71"/>
        <v/>
      </c>
      <c r="I903" s="39" t="str">
        <f>IF(B903="","",SUMIFS(Mau15a!$H$11:$H$310,Mau15a!$B$11:$B$310,B903)+SUMIFS(Mau15a!$I$11:$I$310,Mau15a!$B$11:$B$310,B903)+SUMIFS(Mau15a!$J$11:$J$310,Mau15a!$B$11:$B$310,B903)-SUMIFS(Mau15a!$G$11:$G$310,Mau15a!$B$11:$B$310,B903))</f>
        <v/>
      </c>
      <c r="J903" s="39" t="str">
        <f t="shared" si="72"/>
        <v/>
      </c>
      <c r="K903" s="39" t="str">
        <f>IF(B903="","",(SUMIFS(Mau15a!$K$11:$K$310,Mau15a!$B$11:$B$310,B903)-SUMIFS(Mau15a!$E$11:$E$310,Mau15a!$B$11:$B$310,B903))*G903)</f>
        <v/>
      </c>
      <c r="L903" s="36" t="str">
        <f t="shared" si="73"/>
        <v/>
      </c>
      <c r="M903" s="36" t="str">
        <f>IF(B903="","",BOM!G903&amp;"")</f>
        <v/>
      </c>
      <c r="N903" s="36" t="str">
        <f t="shared" si="74"/>
        <v/>
      </c>
    </row>
    <row r="904" spans="1:14" x14ac:dyDescent="0.25">
      <c r="A904" s="35" t="str">
        <f t="shared" si="70"/>
        <v/>
      </c>
      <c r="B904" s="35" t="str">
        <f>IF(BOM!A904="","",BOM!A904)</f>
        <v/>
      </c>
      <c r="C904" s="35" t="str">
        <f>IF(B904="","",BOM!B904)</f>
        <v/>
      </c>
      <c r="D904" s="35" t="str">
        <f>IF(B904="","",IFERROR(INDEX(DM_NL!$B$5:$B$304,MATCH(C904,DM_NL!$A$5:$A$304,0)),""))</f>
        <v/>
      </c>
      <c r="E904" s="35" t="str">
        <f>IF(B904="","",IFERROR(INDEX(DM_NL!$C$5:$C$304,MATCH(C904,DM_NL!$A$5:$A$304,0)),""))</f>
        <v/>
      </c>
      <c r="F904" s="39" t="str">
        <f>IF(B904="","",SUMIFS(Mau15a!$F$11:$F$310,Mau15a!$B$11:$B$310,B904))</f>
        <v/>
      </c>
      <c r="G904" s="39" t="str">
        <f>IF(B904="","",IF(OR(M904="KXDDM",BOM!F904=""),0,BOM!F904))</f>
        <v/>
      </c>
      <c r="H904" s="39" t="str">
        <f t="shared" si="71"/>
        <v/>
      </c>
      <c r="I904" s="39" t="str">
        <f>IF(B904="","",SUMIFS(Mau15a!$H$11:$H$310,Mau15a!$B$11:$B$310,B904)+SUMIFS(Mau15a!$I$11:$I$310,Mau15a!$B$11:$B$310,B904)+SUMIFS(Mau15a!$J$11:$J$310,Mau15a!$B$11:$B$310,B904)-SUMIFS(Mau15a!$G$11:$G$310,Mau15a!$B$11:$B$310,B904))</f>
        <v/>
      </c>
      <c r="J904" s="39" t="str">
        <f t="shared" si="72"/>
        <v/>
      </c>
      <c r="K904" s="39" t="str">
        <f>IF(B904="","",(SUMIFS(Mau15a!$K$11:$K$310,Mau15a!$B$11:$B$310,B904)-SUMIFS(Mau15a!$E$11:$E$310,Mau15a!$B$11:$B$310,B904))*G904)</f>
        <v/>
      </c>
      <c r="L904" s="36" t="str">
        <f t="shared" si="73"/>
        <v/>
      </c>
      <c r="M904" s="36" t="str">
        <f>IF(B904="","",BOM!G904&amp;"")</f>
        <v/>
      </c>
      <c r="N904" s="36" t="str">
        <f t="shared" si="74"/>
        <v/>
      </c>
    </row>
    <row r="905" spans="1:14" x14ac:dyDescent="0.25">
      <c r="A905" s="35" t="str">
        <f t="shared" si="70"/>
        <v/>
      </c>
      <c r="B905" s="35" t="str">
        <f>IF(BOM!A905="","",BOM!A905)</f>
        <v/>
      </c>
      <c r="C905" s="35" t="str">
        <f>IF(B905="","",BOM!B905)</f>
        <v/>
      </c>
      <c r="D905" s="35" t="str">
        <f>IF(B905="","",IFERROR(INDEX(DM_NL!$B$5:$B$304,MATCH(C905,DM_NL!$A$5:$A$304,0)),""))</f>
        <v/>
      </c>
      <c r="E905" s="35" t="str">
        <f>IF(B905="","",IFERROR(INDEX(DM_NL!$C$5:$C$304,MATCH(C905,DM_NL!$A$5:$A$304,0)),""))</f>
        <v/>
      </c>
      <c r="F905" s="39" t="str">
        <f>IF(B905="","",SUMIFS(Mau15a!$F$11:$F$310,Mau15a!$B$11:$B$310,B905))</f>
        <v/>
      </c>
      <c r="G905" s="39" t="str">
        <f>IF(B905="","",IF(OR(M905="KXDDM",BOM!F905=""),0,BOM!F905))</f>
        <v/>
      </c>
      <c r="H905" s="39" t="str">
        <f t="shared" si="71"/>
        <v/>
      </c>
      <c r="I905" s="39" t="str">
        <f>IF(B905="","",SUMIFS(Mau15a!$H$11:$H$310,Mau15a!$B$11:$B$310,B905)+SUMIFS(Mau15a!$I$11:$I$310,Mau15a!$B$11:$B$310,B905)+SUMIFS(Mau15a!$J$11:$J$310,Mau15a!$B$11:$B$310,B905)-SUMIFS(Mau15a!$G$11:$G$310,Mau15a!$B$11:$B$310,B905))</f>
        <v/>
      </c>
      <c r="J905" s="39" t="str">
        <f t="shared" si="72"/>
        <v/>
      </c>
      <c r="K905" s="39" t="str">
        <f>IF(B905="","",(SUMIFS(Mau15a!$K$11:$K$310,Mau15a!$B$11:$B$310,B905)-SUMIFS(Mau15a!$E$11:$E$310,Mau15a!$B$11:$B$310,B905))*G905)</f>
        <v/>
      </c>
      <c r="L905" s="36" t="str">
        <f t="shared" si="73"/>
        <v/>
      </c>
      <c r="M905" s="36" t="str">
        <f>IF(B905="","",BOM!G905&amp;"")</f>
        <v/>
      </c>
      <c r="N905" s="36" t="str">
        <f t="shared" si="74"/>
        <v/>
      </c>
    </row>
    <row r="906" spans="1:14" x14ac:dyDescent="0.25">
      <c r="A906" s="35" t="str">
        <f t="shared" si="70"/>
        <v/>
      </c>
      <c r="B906" s="35" t="str">
        <f>IF(BOM!A906="","",BOM!A906)</f>
        <v/>
      </c>
      <c r="C906" s="35" t="str">
        <f>IF(B906="","",BOM!B906)</f>
        <v/>
      </c>
      <c r="D906" s="35" t="str">
        <f>IF(B906="","",IFERROR(INDEX(DM_NL!$B$5:$B$304,MATCH(C906,DM_NL!$A$5:$A$304,0)),""))</f>
        <v/>
      </c>
      <c r="E906" s="35" t="str">
        <f>IF(B906="","",IFERROR(INDEX(DM_NL!$C$5:$C$304,MATCH(C906,DM_NL!$A$5:$A$304,0)),""))</f>
        <v/>
      </c>
      <c r="F906" s="39" t="str">
        <f>IF(B906="","",SUMIFS(Mau15a!$F$11:$F$310,Mau15a!$B$11:$B$310,B906))</f>
        <v/>
      </c>
      <c r="G906" s="39" t="str">
        <f>IF(B906="","",IF(OR(M906="KXDDM",BOM!F906=""),0,BOM!F906))</f>
        <v/>
      </c>
      <c r="H906" s="39" t="str">
        <f t="shared" si="71"/>
        <v/>
      </c>
      <c r="I906" s="39" t="str">
        <f>IF(B906="","",SUMIFS(Mau15a!$H$11:$H$310,Mau15a!$B$11:$B$310,B906)+SUMIFS(Mau15a!$I$11:$I$310,Mau15a!$B$11:$B$310,B906)+SUMIFS(Mau15a!$J$11:$J$310,Mau15a!$B$11:$B$310,B906)-SUMIFS(Mau15a!$G$11:$G$310,Mau15a!$B$11:$B$310,B906))</f>
        <v/>
      </c>
      <c r="J906" s="39" t="str">
        <f t="shared" si="72"/>
        <v/>
      </c>
      <c r="K906" s="39" t="str">
        <f>IF(B906="","",(SUMIFS(Mau15a!$K$11:$K$310,Mau15a!$B$11:$B$310,B906)-SUMIFS(Mau15a!$E$11:$E$310,Mau15a!$B$11:$B$310,B906))*G906)</f>
        <v/>
      </c>
      <c r="L906" s="36" t="str">
        <f t="shared" si="73"/>
        <v/>
      </c>
      <c r="M906" s="36" t="str">
        <f>IF(B906="","",BOM!G906&amp;"")</f>
        <v/>
      </c>
      <c r="N906" s="36" t="str">
        <f t="shared" si="74"/>
        <v/>
      </c>
    </row>
    <row r="907" spans="1:14" x14ac:dyDescent="0.25">
      <c r="A907" s="35" t="str">
        <f t="shared" si="70"/>
        <v/>
      </c>
      <c r="B907" s="35" t="str">
        <f>IF(BOM!A907="","",BOM!A907)</f>
        <v/>
      </c>
      <c r="C907" s="35" t="str">
        <f>IF(B907="","",BOM!B907)</f>
        <v/>
      </c>
      <c r="D907" s="35" t="str">
        <f>IF(B907="","",IFERROR(INDEX(DM_NL!$B$5:$B$304,MATCH(C907,DM_NL!$A$5:$A$304,0)),""))</f>
        <v/>
      </c>
      <c r="E907" s="35" t="str">
        <f>IF(B907="","",IFERROR(INDEX(DM_NL!$C$5:$C$304,MATCH(C907,DM_NL!$A$5:$A$304,0)),""))</f>
        <v/>
      </c>
      <c r="F907" s="39" t="str">
        <f>IF(B907="","",SUMIFS(Mau15a!$F$11:$F$310,Mau15a!$B$11:$B$310,B907))</f>
        <v/>
      </c>
      <c r="G907" s="39" t="str">
        <f>IF(B907="","",IF(OR(M907="KXDDM",BOM!F907=""),0,BOM!F907))</f>
        <v/>
      </c>
      <c r="H907" s="39" t="str">
        <f t="shared" si="71"/>
        <v/>
      </c>
      <c r="I907" s="39" t="str">
        <f>IF(B907="","",SUMIFS(Mau15a!$H$11:$H$310,Mau15a!$B$11:$B$310,B907)+SUMIFS(Mau15a!$I$11:$I$310,Mau15a!$B$11:$B$310,B907)+SUMIFS(Mau15a!$J$11:$J$310,Mau15a!$B$11:$B$310,B907)-SUMIFS(Mau15a!$G$11:$G$310,Mau15a!$B$11:$B$310,B907))</f>
        <v/>
      </c>
      <c r="J907" s="39" t="str">
        <f t="shared" si="72"/>
        <v/>
      </c>
      <c r="K907" s="39" t="str">
        <f>IF(B907="","",(SUMIFS(Mau15a!$K$11:$K$310,Mau15a!$B$11:$B$310,B907)-SUMIFS(Mau15a!$E$11:$E$310,Mau15a!$B$11:$B$310,B907))*G907)</f>
        <v/>
      </c>
      <c r="L907" s="36" t="str">
        <f t="shared" si="73"/>
        <v/>
      </c>
      <c r="M907" s="36" t="str">
        <f>IF(B907="","",BOM!G907&amp;"")</f>
        <v/>
      </c>
      <c r="N907" s="36" t="str">
        <f t="shared" si="74"/>
        <v/>
      </c>
    </row>
    <row r="908" spans="1:14" x14ac:dyDescent="0.25">
      <c r="A908" s="35" t="str">
        <f t="shared" si="70"/>
        <v/>
      </c>
      <c r="B908" s="35" t="str">
        <f>IF(BOM!A908="","",BOM!A908)</f>
        <v/>
      </c>
      <c r="C908" s="35" t="str">
        <f>IF(B908="","",BOM!B908)</f>
        <v/>
      </c>
      <c r="D908" s="35" t="str">
        <f>IF(B908="","",IFERROR(INDEX(DM_NL!$B$5:$B$304,MATCH(C908,DM_NL!$A$5:$A$304,0)),""))</f>
        <v/>
      </c>
      <c r="E908" s="35" t="str">
        <f>IF(B908="","",IFERROR(INDEX(DM_NL!$C$5:$C$304,MATCH(C908,DM_NL!$A$5:$A$304,0)),""))</f>
        <v/>
      </c>
      <c r="F908" s="39" t="str">
        <f>IF(B908="","",SUMIFS(Mau15a!$F$11:$F$310,Mau15a!$B$11:$B$310,B908))</f>
        <v/>
      </c>
      <c r="G908" s="39" t="str">
        <f>IF(B908="","",IF(OR(M908="KXDDM",BOM!F908=""),0,BOM!F908))</f>
        <v/>
      </c>
      <c r="H908" s="39" t="str">
        <f t="shared" si="71"/>
        <v/>
      </c>
      <c r="I908" s="39" t="str">
        <f>IF(B908="","",SUMIFS(Mau15a!$H$11:$H$310,Mau15a!$B$11:$B$310,B908)+SUMIFS(Mau15a!$I$11:$I$310,Mau15a!$B$11:$B$310,B908)+SUMIFS(Mau15a!$J$11:$J$310,Mau15a!$B$11:$B$310,B908)-SUMIFS(Mau15a!$G$11:$G$310,Mau15a!$B$11:$B$310,B908))</f>
        <v/>
      </c>
      <c r="J908" s="39" t="str">
        <f t="shared" si="72"/>
        <v/>
      </c>
      <c r="K908" s="39" t="str">
        <f>IF(B908="","",(SUMIFS(Mau15a!$K$11:$K$310,Mau15a!$B$11:$B$310,B908)-SUMIFS(Mau15a!$E$11:$E$310,Mau15a!$B$11:$B$310,B908))*G908)</f>
        <v/>
      </c>
      <c r="L908" s="36" t="str">
        <f t="shared" si="73"/>
        <v/>
      </c>
      <c r="M908" s="36" t="str">
        <f>IF(B908="","",BOM!G908&amp;"")</f>
        <v/>
      </c>
      <c r="N908" s="36" t="str">
        <f t="shared" si="74"/>
        <v/>
      </c>
    </row>
    <row r="909" spans="1:14" x14ac:dyDescent="0.25">
      <c r="A909" s="35" t="str">
        <f t="shared" si="70"/>
        <v/>
      </c>
      <c r="B909" s="35" t="str">
        <f>IF(BOM!A909="","",BOM!A909)</f>
        <v/>
      </c>
      <c r="C909" s="35" t="str">
        <f>IF(B909="","",BOM!B909)</f>
        <v/>
      </c>
      <c r="D909" s="35" t="str">
        <f>IF(B909="","",IFERROR(INDEX(DM_NL!$B$5:$B$304,MATCH(C909,DM_NL!$A$5:$A$304,0)),""))</f>
        <v/>
      </c>
      <c r="E909" s="35" t="str">
        <f>IF(B909="","",IFERROR(INDEX(DM_NL!$C$5:$C$304,MATCH(C909,DM_NL!$A$5:$A$304,0)),""))</f>
        <v/>
      </c>
      <c r="F909" s="39" t="str">
        <f>IF(B909="","",SUMIFS(Mau15a!$F$11:$F$310,Mau15a!$B$11:$B$310,B909))</f>
        <v/>
      </c>
      <c r="G909" s="39" t="str">
        <f>IF(B909="","",IF(OR(M909="KXDDM",BOM!F909=""),0,BOM!F909))</f>
        <v/>
      </c>
      <c r="H909" s="39" t="str">
        <f t="shared" si="71"/>
        <v/>
      </c>
      <c r="I909" s="39" t="str">
        <f>IF(B909="","",SUMIFS(Mau15a!$H$11:$H$310,Mau15a!$B$11:$B$310,B909)+SUMIFS(Mau15a!$I$11:$I$310,Mau15a!$B$11:$B$310,B909)+SUMIFS(Mau15a!$J$11:$J$310,Mau15a!$B$11:$B$310,B909)-SUMIFS(Mau15a!$G$11:$G$310,Mau15a!$B$11:$B$310,B909))</f>
        <v/>
      </c>
      <c r="J909" s="39" t="str">
        <f t="shared" si="72"/>
        <v/>
      </c>
      <c r="K909" s="39" t="str">
        <f>IF(B909="","",(SUMIFS(Mau15a!$K$11:$K$310,Mau15a!$B$11:$B$310,B909)-SUMIFS(Mau15a!$E$11:$E$310,Mau15a!$B$11:$B$310,B909))*G909)</f>
        <v/>
      </c>
      <c r="L909" s="36" t="str">
        <f t="shared" si="73"/>
        <v/>
      </c>
      <c r="M909" s="36" t="str">
        <f>IF(B909="","",BOM!G909&amp;"")</f>
        <v/>
      </c>
      <c r="N909" s="36" t="str">
        <f t="shared" si="74"/>
        <v/>
      </c>
    </row>
    <row r="910" spans="1:14" x14ac:dyDescent="0.25">
      <c r="A910" s="35" t="str">
        <f t="shared" si="70"/>
        <v/>
      </c>
      <c r="B910" s="35" t="str">
        <f>IF(BOM!A910="","",BOM!A910)</f>
        <v/>
      </c>
      <c r="C910" s="35" t="str">
        <f>IF(B910="","",BOM!B910)</f>
        <v/>
      </c>
      <c r="D910" s="35" t="str">
        <f>IF(B910="","",IFERROR(INDEX(DM_NL!$B$5:$B$304,MATCH(C910,DM_NL!$A$5:$A$304,0)),""))</f>
        <v/>
      </c>
      <c r="E910" s="35" t="str">
        <f>IF(B910="","",IFERROR(INDEX(DM_NL!$C$5:$C$304,MATCH(C910,DM_NL!$A$5:$A$304,0)),""))</f>
        <v/>
      </c>
      <c r="F910" s="39" t="str">
        <f>IF(B910="","",SUMIFS(Mau15a!$F$11:$F$310,Mau15a!$B$11:$B$310,B910))</f>
        <v/>
      </c>
      <c r="G910" s="39" t="str">
        <f>IF(B910="","",IF(OR(M910="KXDDM",BOM!F910=""),0,BOM!F910))</f>
        <v/>
      </c>
      <c r="H910" s="39" t="str">
        <f t="shared" si="71"/>
        <v/>
      </c>
      <c r="I910" s="39" t="str">
        <f>IF(B910="","",SUMIFS(Mau15a!$H$11:$H$310,Mau15a!$B$11:$B$310,B910)+SUMIFS(Mau15a!$I$11:$I$310,Mau15a!$B$11:$B$310,B910)+SUMIFS(Mau15a!$J$11:$J$310,Mau15a!$B$11:$B$310,B910)-SUMIFS(Mau15a!$G$11:$G$310,Mau15a!$B$11:$B$310,B910))</f>
        <v/>
      </c>
      <c r="J910" s="39" t="str">
        <f t="shared" si="72"/>
        <v/>
      </c>
      <c r="K910" s="39" t="str">
        <f>IF(B910="","",(SUMIFS(Mau15a!$K$11:$K$310,Mau15a!$B$11:$B$310,B910)-SUMIFS(Mau15a!$E$11:$E$310,Mau15a!$B$11:$B$310,B910))*G910)</f>
        <v/>
      </c>
      <c r="L910" s="36" t="str">
        <f t="shared" si="73"/>
        <v/>
      </c>
      <c r="M910" s="36" t="str">
        <f>IF(B910="","",BOM!G910&amp;"")</f>
        <v/>
      </c>
      <c r="N910" s="36" t="str">
        <f t="shared" si="74"/>
        <v/>
      </c>
    </row>
    <row r="911" spans="1:14" x14ac:dyDescent="0.25">
      <c r="A911" s="35" t="str">
        <f t="shared" si="70"/>
        <v/>
      </c>
      <c r="B911" s="35" t="str">
        <f>IF(BOM!A911="","",BOM!A911)</f>
        <v/>
      </c>
      <c r="C911" s="35" t="str">
        <f>IF(B911="","",BOM!B911)</f>
        <v/>
      </c>
      <c r="D911" s="35" t="str">
        <f>IF(B911="","",IFERROR(INDEX(DM_NL!$B$5:$B$304,MATCH(C911,DM_NL!$A$5:$A$304,0)),""))</f>
        <v/>
      </c>
      <c r="E911" s="35" t="str">
        <f>IF(B911="","",IFERROR(INDEX(DM_NL!$C$5:$C$304,MATCH(C911,DM_NL!$A$5:$A$304,0)),""))</f>
        <v/>
      </c>
      <c r="F911" s="39" t="str">
        <f>IF(B911="","",SUMIFS(Mau15a!$F$11:$F$310,Mau15a!$B$11:$B$310,B911))</f>
        <v/>
      </c>
      <c r="G911" s="39" t="str">
        <f>IF(B911="","",IF(OR(M911="KXDDM",BOM!F911=""),0,BOM!F911))</f>
        <v/>
      </c>
      <c r="H911" s="39" t="str">
        <f t="shared" si="71"/>
        <v/>
      </c>
      <c r="I911" s="39" t="str">
        <f>IF(B911="","",SUMIFS(Mau15a!$H$11:$H$310,Mau15a!$B$11:$B$310,B911)+SUMIFS(Mau15a!$I$11:$I$310,Mau15a!$B$11:$B$310,B911)+SUMIFS(Mau15a!$J$11:$J$310,Mau15a!$B$11:$B$310,B911)-SUMIFS(Mau15a!$G$11:$G$310,Mau15a!$B$11:$B$310,B911))</f>
        <v/>
      </c>
      <c r="J911" s="39" t="str">
        <f t="shared" si="72"/>
        <v/>
      </c>
      <c r="K911" s="39" t="str">
        <f>IF(B911="","",(SUMIFS(Mau15a!$K$11:$K$310,Mau15a!$B$11:$B$310,B911)-SUMIFS(Mau15a!$E$11:$E$310,Mau15a!$B$11:$B$310,B911))*G911)</f>
        <v/>
      </c>
      <c r="L911" s="36" t="str">
        <f t="shared" si="73"/>
        <v/>
      </c>
      <c r="M911" s="36" t="str">
        <f>IF(B911="","",BOM!G911&amp;"")</f>
        <v/>
      </c>
      <c r="N911" s="36" t="str">
        <f t="shared" si="74"/>
        <v/>
      </c>
    </row>
    <row r="912" spans="1:14" x14ac:dyDescent="0.25">
      <c r="A912" s="35" t="str">
        <f t="shared" si="70"/>
        <v/>
      </c>
      <c r="B912" s="35" t="str">
        <f>IF(BOM!A912="","",BOM!A912)</f>
        <v/>
      </c>
      <c r="C912" s="35" t="str">
        <f>IF(B912="","",BOM!B912)</f>
        <v/>
      </c>
      <c r="D912" s="35" t="str">
        <f>IF(B912="","",IFERROR(INDEX(DM_NL!$B$5:$B$304,MATCH(C912,DM_NL!$A$5:$A$304,0)),""))</f>
        <v/>
      </c>
      <c r="E912" s="35" t="str">
        <f>IF(B912="","",IFERROR(INDEX(DM_NL!$C$5:$C$304,MATCH(C912,DM_NL!$A$5:$A$304,0)),""))</f>
        <v/>
      </c>
      <c r="F912" s="39" t="str">
        <f>IF(B912="","",SUMIFS(Mau15a!$F$11:$F$310,Mau15a!$B$11:$B$310,B912))</f>
        <v/>
      </c>
      <c r="G912" s="39" t="str">
        <f>IF(B912="","",IF(OR(M912="KXDDM",BOM!F912=""),0,BOM!F912))</f>
        <v/>
      </c>
      <c r="H912" s="39" t="str">
        <f t="shared" si="71"/>
        <v/>
      </c>
      <c r="I912" s="39" t="str">
        <f>IF(B912="","",SUMIFS(Mau15a!$H$11:$H$310,Mau15a!$B$11:$B$310,B912)+SUMIFS(Mau15a!$I$11:$I$310,Mau15a!$B$11:$B$310,B912)+SUMIFS(Mau15a!$J$11:$J$310,Mau15a!$B$11:$B$310,B912)-SUMIFS(Mau15a!$G$11:$G$310,Mau15a!$B$11:$B$310,B912))</f>
        <v/>
      </c>
      <c r="J912" s="39" t="str">
        <f t="shared" si="72"/>
        <v/>
      </c>
      <c r="K912" s="39" t="str">
        <f>IF(B912="","",(SUMIFS(Mau15a!$K$11:$K$310,Mau15a!$B$11:$B$310,B912)-SUMIFS(Mau15a!$E$11:$E$310,Mau15a!$B$11:$B$310,B912))*G912)</f>
        <v/>
      </c>
      <c r="L912" s="36" t="str">
        <f t="shared" si="73"/>
        <v/>
      </c>
      <c r="M912" s="36" t="str">
        <f>IF(B912="","",BOM!G912&amp;"")</f>
        <v/>
      </c>
      <c r="N912" s="36" t="str">
        <f t="shared" si="74"/>
        <v/>
      </c>
    </row>
    <row r="913" spans="1:14" x14ac:dyDescent="0.25">
      <c r="A913" s="35" t="str">
        <f t="shared" si="70"/>
        <v/>
      </c>
      <c r="B913" s="35" t="str">
        <f>IF(BOM!A913="","",BOM!A913)</f>
        <v/>
      </c>
      <c r="C913" s="35" t="str">
        <f>IF(B913="","",BOM!B913)</f>
        <v/>
      </c>
      <c r="D913" s="35" t="str">
        <f>IF(B913="","",IFERROR(INDEX(DM_NL!$B$5:$B$304,MATCH(C913,DM_NL!$A$5:$A$304,0)),""))</f>
        <v/>
      </c>
      <c r="E913" s="35" t="str">
        <f>IF(B913="","",IFERROR(INDEX(DM_NL!$C$5:$C$304,MATCH(C913,DM_NL!$A$5:$A$304,0)),""))</f>
        <v/>
      </c>
      <c r="F913" s="39" t="str">
        <f>IF(B913="","",SUMIFS(Mau15a!$F$11:$F$310,Mau15a!$B$11:$B$310,B913))</f>
        <v/>
      </c>
      <c r="G913" s="39" t="str">
        <f>IF(B913="","",IF(OR(M913="KXDDM",BOM!F913=""),0,BOM!F913))</f>
        <v/>
      </c>
      <c r="H913" s="39" t="str">
        <f t="shared" si="71"/>
        <v/>
      </c>
      <c r="I913" s="39" t="str">
        <f>IF(B913="","",SUMIFS(Mau15a!$H$11:$H$310,Mau15a!$B$11:$B$310,B913)+SUMIFS(Mau15a!$I$11:$I$310,Mau15a!$B$11:$B$310,B913)+SUMIFS(Mau15a!$J$11:$J$310,Mau15a!$B$11:$B$310,B913)-SUMIFS(Mau15a!$G$11:$G$310,Mau15a!$B$11:$B$310,B913))</f>
        <v/>
      </c>
      <c r="J913" s="39" t="str">
        <f t="shared" si="72"/>
        <v/>
      </c>
      <c r="K913" s="39" t="str">
        <f>IF(B913="","",(SUMIFS(Mau15a!$K$11:$K$310,Mau15a!$B$11:$B$310,B913)-SUMIFS(Mau15a!$E$11:$E$310,Mau15a!$B$11:$B$310,B913))*G913)</f>
        <v/>
      </c>
      <c r="L913" s="36" t="str">
        <f t="shared" si="73"/>
        <v/>
      </c>
      <c r="M913" s="36" t="str">
        <f>IF(B913="","",BOM!G913&amp;"")</f>
        <v/>
      </c>
      <c r="N913" s="36" t="str">
        <f t="shared" si="74"/>
        <v/>
      </c>
    </row>
    <row r="914" spans="1:14" x14ac:dyDescent="0.25">
      <c r="A914" s="35" t="str">
        <f t="shared" si="70"/>
        <v/>
      </c>
      <c r="B914" s="35" t="str">
        <f>IF(BOM!A914="","",BOM!A914)</f>
        <v/>
      </c>
      <c r="C914" s="35" t="str">
        <f>IF(B914="","",BOM!B914)</f>
        <v/>
      </c>
      <c r="D914" s="35" t="str">
        <f>IF(B914="","",IFERROR(INDEX(DM_NL!$B$5:$B$304,MATCH(C914,DM_NL!$A$5:$A$304,0)),""))</f>
        <v/>
      </c>
      <c r="E914" s="35" t="str">
        <f>IF(B914="","",IFERROR(INDEX(DM_NL!$C$5:$C$304,MATCH(C914,DM_NL!$A$5:$A$304,0)),""))</f>
        <v/>
      </c>
      <c r="F914" s="39" t="str">
        <f>IF(B914="","",SUMIFS(Mau15a!$F$11:$F$310,Mau15a!$B$11:$B$310,B914))</f>
        <v/>
      </c>
      <c r="G914" s="39" t="str">
        <f>IF(B914="","",IF(OR(M914="KXDDM",BOM!F914=""),0,BOM!F914))</f>
        <v/>
      </c>
      <c r="H914" s="39" t="str">
        <f t="shared" si="71"/>
        <v/>
      </c>
      <c r="I914" s="39" t="str">
        <f>IF(B914="","",SUMIFS(Mau15a!$H$11:$H$310,Mau15a!$B$11:$B$310,B914)+SUMIFS(Mau15a!$I$11:$I$310,Mau15a!$B$11:$B$310,B914)+SUMIFS(Mau15a!$J$11:$J$310,Mau15a!$B$11:$B$310,B914)-SUMIFS(Mau15a!$G$11:$G$310,Mau15a!$B$11:$B$310,B914))</f>
        <v/>
      </c>
      <c r="J914" s="39" t="str">
        <f t="shared" si="72"/>
        <v/>
      </c>
      <c r="K914" s="39" t="str">
        <f>IF(B914="","",(SUMIFS(Mau15a!$K$11:$K$310,Mau15a!$B$11:$B$310,B914)-SUMIFS(Mau15a!$E$11:$E$310,Mau15a!$B$11:$B$310,B914))*G914)</f>
        <v/>
      </c>
      <c r="L914" s="36" t="str">
        <f t="shared" si="73"/>
        <v/>
      </c>
      <c r="M914" s="36" t="str">
        <f>IF(B914="","",BOM!G914&amp;"")</f>
        <v/>
      </c>
      <c r="N914" s="36" t="str">
        <f t="shared" si="74"/>
        <v/>
      </c>
    </row>
    <row r="915" spans="1:14" x14ac:dyDescent="0.25">
      <c r="A915" s="35" t="str">
        <f t="shared" si="70"/>
        <v/>
      </c>
      <c r="B915" s="35" t="str">
        <f>IF(BOM!A915="","",BOM!A915)</f>
        <v/>
      </c>
      <c r="C915" s="35" t="str">
        <f>IF(B915="","",BOM!B915)</f>
        <v/>
      </c>
      <c r="D915" s="35" t="str">
        <f>IF(B915="","",IFERROR(INDEX(DM_NL!$B$5:$B$304,MATCH(C915,DM_NL!$A$5:$A$304,0)),""))</f>
        <v/>
      </c>
      <c r="E915" s="35" t="str">
        <f>IF(B915="","",IFERROR(INDEX(DM_NL!$C$5:$C$304,MATCH(C915,DM_NL!$A$5:$A$304,0)),""))</f>
        <v/>
      </c>
      <c r="F915" s="39" t="str">
        <f>IF(B915="","",SUMIFS(Mau15a!$F$11:$F$310,Mau15a!$B$11:$B$310,B915))</f>
        <v/>
      </c>
      <c r="G915" s="39" t="str">
        <f>IF(B915="","",IF(OR(M915="KXDDM",BOM!F915=""),0,BOM!F915))</f>
        <v/>
      </c>
      <c r="H915" s="39" t="str">
        <f t="shared" si="71"/>
        <v/>
      </c>
      <c r="I915" s="39" t="str">
        <f>IF(B915="","",SUMIFS(Mau15a!$H$11:$H$310,Mau15a!$B$11:$B$310,B915)+SUMIFS(Mau15a!$I$11:$I$310,Mau15a!$B$11:$B$310,B915)+SUMIFS(Mau15a!$J$11:$J$310,Mau15a!$B$11:$B$310,B915)-SUMIFS(Mau15a!$G$11:$G$310,Mau15a!$B$11:$B$310,B915))</f>
        <v/>
      </c>
      <c r="J915" s="39" t="str">
        <f t="shared" si="72"/>
        <v/>
      </c>
      <c r="K915" s="39" t="str">
        <f>IF(B915="","",(SUMIFS(Mau15a!$K$11:$K$310,Mau15a!$B$11:$B$310,B915)-SUMIFS(Mau15a!$E$11:$E$310,Mau15a!$B$11:$B$310,B915))*G915)</f>
        <v/>
      </c>
      <c r="L915" s="36" t="str">
        <f t="shared" si="73"/>
        <v/>
      </c>
      <c r="M915" s="36" t="str">
        <f>IF(B915="","",BOM!G915&amp;"")</f>
        <v/>
      </c>
      <c r="N915" s="36" t="str">
        <f t="shared" si="74"/>
        <v/>
      </c>
    </row>
    <row r="916" spans="1:14" x14ac:dyDescent="0.25">
      <c r="A916" s="35" t="str">
        <f t="shared" si="70"/>
        <v/>
      </c>
      <c r="B916" s="35" t="str">
        <f>IF(BOM!A916="","",BOM!A916)</f>
        <v/>
      </c>
      <c r="C916" s="35" t="str">
        <f>IF(B916="","",BOM!B916)</f>
        <v/>
      </c>
      <c r="D916" s="35" t="str">
        <f>IF(B916="","",IFERROR(INDEX(DM_NL!$B$5:$B$304,MATCH(C916,DM_NL!$A$5:$A$304,0)),""))</f>
        <v/>
      </c>
      <c r="E916" s="35" t="str">
        <f>IF(B916="","",IFERROR(INDEX(DM_NL!$C$5:$C$304,MATCH(C916,DM_NL!$A$5:$A$304,0)),""))</f>
        <v/>
      </c>
      <c r="F916" s="39" t="str">
        <f>IF(B916="","",SUMIFS(Mau15a!$F$11:$F$310,Mau15a!$B$11:$B$310,B916))</f>
        <v/>
      </c>
      <c r="G916" s="39" t="str">
        <f>IF(B916="","",IF(OR(M916="KXDDM",BOM!F916=""),0,BOM!F916))</f>
        <v/>
      </c>
      <c r="H916" s="39" t="str">
        <f t="shared" si="71"/>
        <v/>
      </c>
      <c r="I916" s="39" t="str">
        <f>IF(B916="","",SUMIFS(Mau15a!$H$11:$H$310,Mau15a!$B$11:$B$310,B916)+SUMIFS(Mau15a!$I$11:$I$310,Mau15a!$B$11:$B$310,B916)+SUMIFS(Mau15a!$J$11:$J$310,Mau15a!$B$11:$B$310,B916)-SUMIFS(Mau15a!$G$11:$G$310,Mau15a!$B$11:$B$310,B916))</f>
        <v/>
      </c>
      <c r="J916" s="39" t="str">
        <f t="shared" si="72"/>
        <v/>
      </c>
      <c r="K916" s="39" t="str">
        <f>IF(B916="","",(SUMIFS(Mau15a!$K$11:$K$310,Mau15a!$B$11:$B$310,B916)-SUMIFS(Mau15a!$E$11:$E$310,Mau15a!$B$11:$B$310,B916))*G916)</f>
        <v/>
      </c>
      <c r="L916" s="36" t="str">
        <f t="shared" si="73"/>
        <v/>
      </c>
      <c r="M916" s="36" t="str">
        <f>IF(B916="","",BOM!G916&amp;"")</f>
        <v/>
      </c>
      <c r="N916" s="36" t="str">
        <f t="shared" si="74"/>
        <v/>
      </c>
    </row>
    <row r="917" spans="1:14" x14ac:dyDescent="0.25">
      <c r="A917" s="35" t="str">
        <f t="shared" si="70"/>
        <v/>
      </c>
      <c r="B917" s="35" t="str">
        <f>IF(BOM!A917="","",BOM!A917)</f>
        <v/>
      </c>
      <c r="C917" s="35" t="str">
        <f>IF(B917="","",BOM!B917)</f>
        <v/>
      </c>
      <c r="D917" s="35" t="str">
        <f>IF(B917="","",IFERROR(INDEX(DM_NL!$B$5:$B$304,MATCH(C917,DM_NL!$A$5:$A$304,0)),""))</f>
        <v/>
      </c>
      <c r="E917" s="35" t="str">
        <f>IF(B917="","",IFERROR(INDEX(DM_NL!$C$5:$C$304,MATCH(C917,DM_NL!$A$5:$A$304,0)),""))</f>
        <v/>
      </c>
      <c r="F917" s="39" t="str">
        <f>IF(B917="","",SUMIFS(Mau15a!$F$11:$F$310,Mau15a!$B$11:$B$310,B917))</f>
        <v/>
      </c>
      <c r="G917" s="39" t="str">
        <f>IF(B917="","",IF(OR(M917="KXDDM",BOM!F917=""),0,BOM!F917))</f>
        <v/>
      </c>
      <c r="H917" s="39" t="str">
        <f t="shared" si="71"/>
        <v/>
      </c>
      <c r="I917" s="39" t="str">
        <f>IF(B917="","",SUMIFS(Mau15a!$H$11:$H$310,Mau15a!$B$11:$B$310,B917)+SUMIFS(Mau15a!$I$11:$I$310,Mau15a!$B$11:$B$310,B917)+SUMIFS(Mau15a!$J$11:$J$310,Mau15a!$B$11:$B$310,B917)-SUMIFS(Mau15a!$G$11:$G$310,Mau15a!$B$11:$B$310,B917))</f>
        <v/>
      </c>
      <c r="J917" s="39" t="str">
        <f t="shared" si="72"/>
        <v/>
      </c>
      <c r="K917" s="39" t="str">
        <f>IF(B917="","",(SUMIFS(Mau15a!$K$11:$K$310,Mau15a!$B$11:$B$310,B917)-SUMIFS(Mau15a!$E$11:$E$310,Mau15a!$B$11:$B$310,B917))*G917)</f>
        <v/>
      </c>
      <c r="L917" s="36" t="str">
        <f t="shared" si="73"/>
        <v/>
      </c>
      <c r="M917" s="36" t="str">
        <f>IF(B917="","",BOM!G917&amp;"")</f>
        <v/>
      </c>
      <c r="N917" s="36" t="str">
        <f t="shared" si="74"/>
        <v/>
      </c>
    </row>
    <row r="918" spans="1:14" x14ac:dyDescent="0.25">
      <c r="A918" s="35" t="str">
        <f t="shared" si="70"/>
        <v/>
      </c>
      <c r="B918" s="35" t="str">
        <f>IF(BOM!A918="","",BOM!A918)</f>
        <v/>
      </c>
      <c r="C918" s="35" t="str">
        <f>IF(B918="","",BOM!B918)</f>
        <v/>
      </c>
      <c r="D918" s="35" t="str">
        <f>IF(B918="","",IFERROR(INDEX(DM_NL!$B$5:$B$304,MATCH(C918,DM_NL!$A$5:$A$304,0)),""))</f>
        <v/>
      </c>
      <c r="E918" s="35" t="str">
        <f>IF(B918="","",IFERROR(INDEX(DM_NL!$C$5:$C$304,MATCH(C918,DM_NL!$A$5:$A$304,0)),""))</f>
        <v/>
      </c>
      <c r="F918" s="39" t="str">
        <f>IF(B918="","",SUMIFS(Mau15a!$F$11:$F$310,Mau15a!$B$11:$B$310,B918))</f>
        <v/>
      </c>
      <c r="G918" s="39" t="str">
        <f>IF(B918="","",IF(OR(M918="KXDDM",BOM!F918=""),0,BOM!F918))</f>
        <v/>
      </c>
      <c r="H918" s="39" t="str">
        <f t="shared" si="71"/>
        <v/>
      </c>
      <c r="I918" s="39" t="str">
        <f>IF(B918="","",SUMIFS(Mau15a!$H$11:$H$310,Mau15a!$B$11:$B$310,B918)+SUMIFS(Mau15a!$I$11:$I$310,Mau15a!$B$11:$B$310,B918)+SUMIFS(Mau15a!$J$11:$J$310,Mau15a!$B$11:$B$310,B918)-SUMIFS(Mau15a!$G$11:$G$310,Mau15a!$B$11:$B$310,B918))</f>
        <v/>
      </c>
      <c r="J918" s="39" t="str">
        <f t="shared" si="72"/>
        <v/>
      </c>
      <c r="K918" s="39" t="str">
        <f>IF(B918="","",(SUMIFS(Mau15a!$K$11:$K$310,Mau15a!$B$11:$B$310,B918)-SUMIFS(Mau15a!$E$11:$E$310,Mau15a!$B$11:$B$310,B918))*G918)</f>
        <v/>
      </c>
      <c r="L918" s="36" t="str">
        <f t="shared" si="73"/>
        <v/>
      </c>
      <c r="M918" s="36" t="str">
        <f>IF(B918="","",BOM!G918&amp;"")</f>
        <v/>
      </c>
      <c r="N918" s="36" t="str">
        <f t="shared" si="74"/>
        <v/>
      </c>
    </row>
    <row r="919" spans="1:14" x14ac:dyDescent="0.25">
      <c r="A919" s="35" t="str">
        <f t="shared" si="70"/>
        <v/>
      </c>
      <c r="B919" s="35" t="str">
        <f>IF(BOM!A919="","",BOM!A919)</f>
        <v/>
      </c>
      <c r="C919" s="35" t="str">
        <f>IF(B919="","",BOM!B919)</f>
        <v/>
      </c>
      <c r="D919" s="35" t="str">
        <f>IF(B919="","",IFERROR(INDEX(DM_NL!$B$5:$B$304,MATCH(C919,DM_NL!$A$5:$A$304,0)),""))</f>
        <v/>
      </c>
      <c r="E919" s="35" t="str">
        <f>IF(B919="","",IFERROR(INDEX(DM_NL!$C$5:$C$304,MATCH(C919,DM_NL!$A$5:$A$304,0)),""))</f>
        <v/>
      </c>
      <c r="F919" s="39" t="str">
        <f>IF(B919="","",SUMIFS(Mau15a!$F$11:$F$310,Mau15a!$B$11:$B$310,B919))</f>
        <v/>
      </c>
      <c r="G919" s="39" t="str">
        <f>IF(B919="","",IF(OR(M919="KXDDM",BOM!F919=""),0,BOM!F919))</f>
        <v/>
      </c>
      <c r="H919" s="39" t="str">
        <f t="shared" si="71"/>
        <v/>
      </c>
      <c r="I919" s="39" t="str">
        <f>IF(B919="","",SUMIFS(Mau15a!$H$11:$H$310,Mau15a!$B$11:$B$310,B919)+SUMIFS(Mau15a!$I$11:$I$310,Mau15a!$B$11:$B$310,B919)+SUMIFS(Mau15a!$J$11:$J$310,Mau15a!$B$11:$B$310,B919)-SUMIFS(Mau15a!$G$11:$G$310,Mau15a!$B$11:$B$310,B919))</f>
        <v/>
      </c>
      <c r="J919" s="39" t="str">
        <f t="shared" si="72"/>
        <v/>
      </c>
      <c r="K919" s="39" t="str">
        <f>IF(B919="","",(SUMIFS(Mau15a!$K$11:$K$310,Mau15a!$B$11:$B$310,B919)-SUMIFS(Mau15a!$E$11:$E$310,Mau15a!$B$11:$B$310,B919))*G919)</f>
        <v/>
      </c>
      <c r="L919" s="36" t="str">
        <f t="shared" si="73"/>
        <v/>
      </c>
      <c r="M919" s="36" t="str">
        <f>IF(B919="","",BOM!G919&amp;"")</f>
        <v/>
      </c>
      <c r="N919" s="36" t="str">
        <f t="shared" si="74"/>
        <v/>
      </c>
    </row>
    <row r="920" spans="1:14" x14ac:dyDescent="0.25">
      <c r="A920" s="35" t="str">
        <f t="shared" si="70"/>
        <v/>
      </c>
      <c r="B920" s="35" t="str">
        <f>IF(BOM!A920="","",BOM!A920)</f>
        <v/>
      </c>
      <c r="C920" s="35" t="str">
        <f>IF(B920="","",BOM!B920)</f>
        <v/>
      </c>
      <c r="D920" s="35" t="str">
        <f>IF(B920="","",IFERROR(INDEX(DM_NL!$B$5:$B$304,MATCH(C920,DM_NL!$A$5:$A$304,0)),""))</f>
        <v/>
      </c>
      <c r="E920" s="35" t="str">
        <f>IF(B920="","",IFERROR(INDEX(DM_NL!$C$5:$C$304,MATCH(C920,DM_NL!$A$5:$A$304,0)),""))</f>
        <v/>
      </c>
      <c r="F920" s="39" t="str">
        <f>IF(B920="","",SUMIFS(Mau15a!$F$11:$F$310,Mau15a!$B$11:$B$310,B920))</f>
        <v/>
      </c>
      <c r="G920" s="39" t="str">
        <f>IF(B920="","",IF(OR(M920="KXDDM",BOM!F920=""),0,BOM!F920))</f>
        <v/>
      </c>
      <c r="H920" s="39" t="str">
        <f t="shared" si="71"/>
        <v/>
      </c>
      <c r="I920" s="39" t="str">
        <f>IF(B920="","",SUMIFS(Mau15a!$H$11:$H$310,Mau15a!$B$11:$B$310,B920)+SUMIFS(Mau15a!$I$11:$I$310,Mau15a!$B$11:$B$310,B920)+SUMIFS(Mau15a!$J$11:$J$310,Mau15a!$B$11:$B$310,B920)-SUMIFS(Mau15a!$G$11:$G$310,Mau15a!$B$11:$B$310,B920))</f>
        <v/>
      </c>
      <c r="J920" s="39" t="str">
        <f t="shared" si="72"/>
        <v/>
      </c>
      <c r="K920" s="39" t="str">
        <f>IF(B920="","",(SUMIFS(Mau15a!$K$11:$K$310,Mau15a!$B$11:$B$310,B920)-SUMIFS(Mau15a!$E$11:$E$310,Mau15a!$B$11:$B$310,B920))*G920)</f>
        <v/>
      </c>
      <c r="L920" s="36" t="str">
        <f t="shared" si="73"/>
        <v/>
      </c>
      <c r="M920" s="36" t="str">
        <f>IF(B920="","",BOM!G920&amp;"")</f>
        <v/>
      </c>
      <c r="N920" s="36" t="str">
        <f t="shared" si="74"/>
        <v/>
      </c>
    </row>
    <row r="921" spans="1:14" x14ac:dyDescent="0.25">
      <c r="A921" s="35" t="str">
        <f t="shared" si="70"/>
        <v/>
      </c>
      <c r="B921" s="35" t="str">
        <f>IF(BOM!A921="","",BOM!A921)</f>
        <v/>
      </c>
      <c r="C921" s="35" t="str">
        <f>IF(B921="","",BOM!B921)</f>
        <v/>
      </c>
      <c r="D921" s="35" t="str">
        <f>IF(B921="","",IFERROR(INDEX(DM_NL!$B$5:$B$304,MATCH(C921,DM_NL!$A$5:$A$304,0)),""))</f>
        <v/>
      </c>
      <c r="E921" s="35" t="str">
        <f>IF(B921="","",IFERROR(INDEX(DM_NL!$C$5:$C$304,MATCH(C921,DM_NL!$A$5:$A$304,0)),""))</f>
        <v/>
      </c>
      <c r="F921" s="39" t="str">
        <f>IF(B921="","",SUMIFS(Mau15a!$F$11:$F$310,Mau15a!$B$11:$B$310,B921))</f>
        <v/>
      </c>
      <c r="G921" s="39" t="str">
        <f>IF(B921="","",IF(OR(M921="KXDDM",BOM!F921=""),0,BOM!F921))</f>
        <v/>
      </c>
      <c r="H921" s="39" t="str">
        <f t="shared" si="71"/>
        <v/>
      </c>
      <c r="I921" s="39" t="str">
        <f>IF(B921="","",SUMIFS(Mau15a!$H$11:$H$310,Mau15a!$B$11:$B$310,B921)+SUMIFS(Mau15a!$I$11:$I$310,Mau15a!$B$11:$B$310,B921)+SUMIFS(Mau15a!$J$11:$J$310,Mau15a!$B$11:$B$310,B921)-SUMIFS(Mau15a!$G$11:$G$310,Mau15a!$B$11:$B$310,B921))</f>
        <v/>
      </c>
      <c r="J921" s="39" t="str">
        <f t="shared" si="72"/>
        <v/>
      </c>
      <c r="K921" s="39" t="str">
        <f>IF(B921="","",(SUMIFS(Mau15a!$K$11:$K$310,Mau15a!$B$11:$B$310,B921)-SUMIFS(Mau15a!$E$11:$E$310,Mau15a!$B$11:$B$310,B921))*G921)</f>
        <v/>
      </c>
      <c r="L921" s="36" t="str">
        <f t="shared" si="73"/>
        <v/>
      </c>
      <c r="M921" s="36" t="str">
        <f>IF(B921="","",BOM!G921&amp;"")</f>
        <v/>
      </c>
      <c r="N921" s="36" t="str">
        <f t="shared" si="74"/>
        <v/>
      </c>
    </row>
    <row r="922" spans="1:14" x14ac:dyDescent="0.25">
      <c r="A922" s="35" t="str">
        <f t="shared" si="70"/>
        <v/>
      </c>
      <c r="B922" s="35" t="str">
        <f>IF(BOM!A922="","",BOM!A922)</f>
        <v/>
      </c>
      <c r="C922" s="35" t="str">
        <f>IF(B922="","",BOM!B922)</f>
        <v/>
      </c>
      <c r="D922" s="35" t="str">
        <f>IF(B922="","",IFERROR(INDEX(DM_NL!$B$5:$B$304,MATCH(C922,DM_NL!$A$5:$A$304,0)),""))</f>
        <v/>
      </c>
      <c r="E922" s="35" t="str">
        <f>IF(B922="","",IFERROR(INDEX(DM_NL!$C$5:$C$304,MATCH(C922,DM_NL!$A$5:$A$304,0)),""))</f>
        <v/>
      </c>
      <c r="F922" s="39" t="str">
        <f>IF(B922="","",SUMIFS(Mau15a!$F$11:$F$310,Mau15a!$B$11:$B$310,B922))</f>
        <v/>
      </c>
      <c r="G922" s="39" t="str">
        <f>IF(B922="","",IF(OR(M922="KXDDM",BOM!F922=""),0,BOM!F922))</f>
        <v/>
      </c>
      <c r="H922" s="39" t="str">
        <f t="shared" si="71"/>
        <v/>
      </c>
      <c r="I922" s="39" t="str">
        <f>IF(B922="","",SUMIFS(Mau15a!$H$11:$H$310,Mau15a!$B$11:$B$310,B922)+SUMIFS(Mau15a!$I$11:$I$310,Mau15a!$B$11:$B$310,B922)+SUMIFS(Mau15a!$J$11:$J$310,Mau15a!$B$11:$B$310,B922)-SUMIFS(Mau15a!$G$11:$G$310,Mau15a!$B$11:$B$310,B922))</f>
        <v/>
      </c>
      <c r="J922" s="39" t="str">
        <f t="shared" si="72"/>
        <v/>
      </c>
      <c r="K922" s="39" t="str">
        <f>IF(B922="","",(SUMIFS(Mau15a!$K$11:$K$310,Mau15a!$B$11:$B$310,B922)-SUMIFS(Mau15a!$E$11:$E$310,Mau15a!$B$11:$B$310,B922))*G922)</f>
        <v/>
      </c>
      <c r="L922" s="36" t="str">
        <f t="shared" si="73"/>
        <v/>
      </c>
      <c r="M922" s="36" t="str">
        <f>IF(B922="","",BOM!G922&amp;"")</f>
        <v/>
      </c>
      <c r="N922" s="36" t="str">
        <f t="shared" si="74"/>
        <v/>
      </c>
    </row>
    <row r="923" spans="1:14" x14ac:dyDescent="0.25">
      <c r="A923" s="35" t="str">
        <f t="shared" si="70"/>
        <v/>
      </c>
      <c r="B923" s="35" t="str">
        <f>IF(BOM!A923="","",BOM!A923)</f>
        <v/>
      </c>
      <c r="C923" s="35" t="str">
        <f>IF(B923="","",BOM!B923)</f>
        <v/>
      </c>
      <c r="D923" s="35" t="str">
        <f>IF(B923="","",IFERROR(INDEX(DM_NL!$B$5:$B$304,MATCH(C923,DM_NL!$A$5:$A$304,0)),""))</f>
        <v/>
      </c>
      <c r="E923" s="35" t="str">
        <f>IF(B923="","",IFERROR(INDEX(DM_NL!$C$5:$C$304,MATCH(C923,DM_NL!$A$5:$A$304,0)),""))</f>
        <v/>
      </c>
      <c r="F923" s="39" t="str">
        <f>IF(B923="","",SUMIFS(Mau15a!$F$11:$F$310,Mau15a!$B$11:$B$310,B923))</f>
        <v/>
      </c>
      <c r="G923" s="39" t="str">
        <f>IF(B923="","",IF(OR(M923="KXDDM",BOM!F923=""),0,BOM!F923))</f>
        <v/>
      </c>
      <c r="H923" s="39" t="str">
        <f t="shared" si="71"/>
        <v/>
      </c>
      <c r="I923" s="39" t="str">
        <f>IF(B923="","",SUMIFS(Mau15a!$H$11:$H$310,Mau15a!$B$11:$B$310,B923)+SUMIFS(Mau15a!$I$11:$I$310,Mau15a!$B$11:$B$310,B923)+SUMIFS(Mau15a!$J$11:$J$310,Mau15a!$B$11:$B$310,B923)-SUMIFS(Mau15a!$G$11:$G$310,Mau15a!$B$11:$B$310,B923))</f>
        <v/>
      </c>
      <c r="J923" s="39" t="str">
        <f t="shared" si="72"/>
        <v/>
      </c>
      <c r="K923" s="39" t="str">
        <f>IF(B923="","",(SUMIFS(Mau15a!$K$11:$K$310,Mau15a!$B$11:$B$310,B923)-SUMIFS(Mau15a!$E$11:$E$310,Mau15a!$B$11:$B$310,B923))*G923)</f>
        <v/>
      </c>
      <c r="L923" s="36" t="str">
        <f t="shared" si="73"/>
        <v/>
      </c>
      <c r="M923" s="36" t="str">
        <f>IF(B923="","",BOM!G923&amp;"")</f>
        <v/>
      </c>
      <c r="N923" s="36" t="str">
        <f t="shared" si="74"/>
        <v/>
      </c>
    </row>
    <row r="924" spans="1:14" x14ac:dyDescent="0.25">
      <c r="A924" s="35" t="str">
        <f t="shared" si="70"/>
        <v/>
      </c>
      <c r="B924" s="35" t="str">
        <f>IF(BOM!A924="","",BOM!A924)</f>
        <v/>
      </c>
      <c r="C924" s="35" t="str">
        <f>IF(B924="","",BOM!B924)</f>
        <v/>
      </c>
      <c r="D924" s="35" t="str">
        <f>IF(B924="","",IFERROR(INDEX(DM_NL!$B$5:$B$304,MATCH(C924,DM_NL!$A$5:$A$304,0)),""))</f>
        <v/>
      </c>
      <c r="E924" s="35" t="str">
        <f>IF(B924="","",IFERROR(INDEX(DM_NL!$C$5:$C$304,MATCH(C924,DM_NL!$A$5:$A$304,0)),""))</f>
        <v/>
      </c>
      <c r="F924" s="39" t="str">
        <f>IF(B924="","",SUMIFS(Mau15a!$F$11:$F$310,Mau15a!$B$11:$B$310,B924))</f>
        <v/>
      </c>
      <c r="G924" s="39" t="str">
        <f>IF(B924="","",IF(OR(M924="KXDDM",BOM!F924=""),0,BOM!F924))</f>
        <v/>
      </c>
      <c r="H924" s="39" t="str">
        <f t="shared" si="71"/>
        <v/>
      </c>
      <c r="I924" s="39" t="str">
        <f>IF(B924="","",SUMIFS(Mau15a!$H$11:$H$310,Mau15a!$B$11:$B$310,B924)+SUMIFS(Mau15a!$I$11:$I$310,Mau15a!$B$11:$B$310,B924)+SUMIFS(Mau15a!$J$11:$J$310,Mau15a!$B$11:$B$310,B924)-SUMIFS(Mau15a!$G$11:$G$310,Mau15a!$B$11:$B$310,B924))</f>
        <v/>
      </c>
      <c r="J924" s="39" t="str">
        <f t="shared" si="72"/>
        <v/>
      </c>
      <c r="K924" s="39" t="str">
        <f>IF(B924="","",(SUMIFS(Mau15a!$K$11:$K$310,Mau15a!$B$11:$B$310,B924)-SUMIFS(Mau15a!$E$11:$E$310,Mau15a!$B$11:$B$310,B924))*G924)</f>
        <v/>
      </c>
      <c r="L924" s="36" t="str">
        <f t="shared" si="73"/>
        <v/>
      </c>
      <c r="M924" s="36" t="str">
        <f>IF(B924="","",BOM!G924&amp;"")</f>
        <v/>
      </c>
      <c r="N924" s="36" t="str">
        <f t="shared" si="74"/>
        <v/>
      </c>
    </row>
    <row r="925" spans="1:14" x14ac:dyDescent="0.25">
      <c r="A925" s="35" t="str">
        <f t="shared" si="70"/>
        <v/>
      </c>
      <c r="B925" s="35" t="str">
        <f>IF(BOM!A925="","",BOM!A925)</f>
        <v/>
      </c>
      <c r="C925" s="35" t="str">
        <f>IF(B925="","",BOM!B925)</f>
        <v/>
      </c>
      <c r="D925" s="35" t="str">
        <f>IF(B925="","",IFERROR(INDEX(DM_NL!$B$5:$B$304,MATCH(C925,DM_NL!$A$5:$A$304,0)),""))</f>
        <v/>
      </c>
      <c r="E925" s="35" t="str">
        <f>IF(B925="","",IFERROR(INDEX(DM_NL!$C$5:$C$304,MATCH(C925,DM_NL!$A$5:$A$304,0)),""))</f>
        <v/>
      </c>
      <c r="F925" s="39" t="str">
        <f>IF(B925="","",SUMIFS(Mau15a!$F$11:$F$310,Mau15a!$B$11:$B$310,B925))</f>
        <v/>
      </c>
      <c r="G925" s="39" t="str">
        <f>IF(B925="","",IF(OR(M925="KXDDM",BOM!F925=""),0,BOM!F925))</f>
        <v/>
      </c>
      <c r="H925" s="39" t="str">
        <f t="shared" si="71"/>
        <v/>
      </c>
      <c r="I925" s="39" t="str">
        <f>IF(B925="","",SUMIFS(Mau15a!$H$11:$H$310,Mau15a!$B$11:$B$310,B925)+SUMIFS(Mau15a!$I$11:$I$310,Mau15a!$B$11:$B$310,B925)+SUMIFS(Mau15a!$J$11:$J$310,Mau15a!$B$11:$B$310,B925)-SUMIFS(Mau15a!$G$11:$G$310,Mau15a!$B$11:$B$310,B925))</f>
        <v/>
      </c>
      <c r="J925" s="39" t="str">
        <f t="shared" si="72"/>
        <v/>
      </c>
      <c r="K925" s="39" t="str">
        <f>IF(B925="","",(SUMIFS(Mau15a!$K$11:$K$310,Mau15a!$B$11:$B$310,B925)-SUMIFS(Mau15a!$E$11:$E$310,Mau15a!$B$11:$B$310,B925))*G925)</f>
        <v/>
      </c>
      <c r="L925" s="36" t="str">
        <f t="shared" si="73"/>
        <v/>
      </c>
      <c r="M925" s="36" t="str">
        <f>IF(B925="","",BOM!G925&amp;"")</f>
        <v/>
      </c>
      <c r="N925" s="36" t="str">
        <f t="shared" si="74"/>
        <v/>
      </c>
    </row>
    <row r="926" spans="1:14" x14ac:dyDescent="0.25">
      <c r="A926" s="35" t="str">
        <f t="shared" si="70"/>
        <v/>
      </c>
      <c r="B926" s="35" t="str">
        <f>IF(BOM!A926="","",BOM!A926)</f>
        <v/>
      </c>
      <c r="C926" s="35" t="str">
        <f>IF(B926="","",BOM!B926)</f>
        <v/>
      </c>
      <c r="D926" s="35" t="str">
        <f>IF(B926="","",IFERROR(INDEX(DM_NL!$B$5:$B$304,MATCH(C926,DM_NL!$A$5:$A$304,0)),""))</f>
        <v/>
      </c>
      <c r="E926" s="35" t="str">
        <f>IF(B926="","",IFERROR(INDEX(DM_NL!$C$5:$C$304,MATCH(C926,DM_NL!$A$5:$A$304,0)),""))</f>
        <v/>
      </c>
      <c r="F926" s="39" t="str">
        <f>IF(B926="","",SUMIFS(Mau15a!$F$11:$F$310,Mau15a!$B$11:$B$310,B926))</f>
        <v/>
      </c>
      <c r="G926" s="39" t="str">
        <f>IF(B926="","",IF(OR(M926="KXDDM",BOM!F926=""),0,BOM!F926))</f>
        <v/>
      </c>
      <c r="H926" s="39" t="str">
        <f t="shared" si="71"/>
        <v/>
      </c>
      <c r="I926" s="39" t="str">
        <f>IF(B926="","",SUMIFS(Mau15a!$H$11:$H$310,Mau15a!$B$11:$B$310,B926)+SUMIFS(Mau15a!$I$11:$I$310,Mau15a!$B$11:$B$310,B926)+SUMIFS(Mau15a!$J$11:$J$310,Mau15a!$B$11:$B$310,B926)-SUMIFS(Mau15a!$G$11:$G$310,Mau15a!$B$11:$B$310,B926))</f>
        <v/>
      </c>
      <c r="J926" s="39" t="str">
        <f t="shared" si="72"/>
        <v/>
      </c>
      <c r="K926" s="39" t="str">
        <f>IF(B926="","",(SUMIFS(Mau15a!$K$11:$K$310,Mau15a!$B$11:$B$310,B926)-SUMIFS(Mau15a!$E$11:$E$310,Mau15a!$B$11:$B$310,B926))*G926)</f>
        <v/>
      </c>
      <c r="L926" s="36" t="str">
        <f t="shared" si="73"/>
        <v/>
      </c>
      <c r="M926" s="36" t="str">
        <f>IF(B926="","",BOM!G926&amp;"")</f>
        <v/>
      </c>
      <c r="N926" s="36" t="str">
        <f t="shared" si="74"/>
        <v/>
      </c>
    </row>
    <row r="927" spans="1:14" x14ac:dyDescent="0.25">
      <c r="A927" s="35" t="str">
        <f t="shared" si="70"/>
        <v/>
      </c>
      <c r="B927" s="35" t="str">
        <f>IF(BOM!A927="","",BOM!A927)</f>
        <v/>
      </c>
      <c r="C927" s="35" t="str">
        <f>IF(B927="","",BOM!B927)</f>
        <v/>
      </c>
      <c r="D927" s="35" t="str">
        <f>IF(B927="","",IFERROR(INDEX(DM_NL!$B$5:$B$304,MATCH(C927,DM_NL!$A$5:$A$304,0)),""))</f>
        <v/>
      </c>
      <c r="E927" s="35" t="str">
        <f>IF(B927="","",IFERROR(INDEX(DM_NL!$C$5:$C$304,MATCH(C927,DM_NL!$A$5:$A$304,0)),""))</f>
        <v/>
      </c>
      <c r="F927" s="39" t="str">
        <f>IF(B927="","",SUMIFS(Mau15a!$F$11:$F$310,Mau15a!$B$11:$B$310,B927))</f>
        <v/>
      </c>
      <c r="G927" s="39" t="str">
        <f>IF(B927="","",IF(OR(M927="KXDDM",BOM!F927=""),0,BOM!F927))</f>
        <v/>
      </c>
      <c r="H927" s="39" t="str">
        <f t="shared" si="71"/>
        <v/>
      </c>
      <c r="I927" s="39" t="str">
        <f>IF(B927="","",SUMIFS(Mau15a!$H$11:$H$310,Mau15a!$B$11:$B$310,B927)+SUMIFS(Mau15a!$I$11:$I$310,Mau15a!$B$11:$B$310,B927)+SUMIFS(Mau15a!$J$11:$J$310,Mau15a!$B$11:$B$310,B927)-SUMIFS(Mau15a!$G$11:$G$310,Mau15a!$B$11:$B$310,B927))</f>
        <v/>
      </c>
      <c r="J927" s="39" t="str">
        <f t="shared" si="72"/>
        <v/>
      </c>
      <c r="K927" s="39" t="str">
        <f>IF(B927="","",(SUMIFS(Mau15a!$K$11:$K$310,Mau15a!$B$11:$B$310,B927)-SUMIFS(Mau15a!$E$11:$E$310,Mau15a!$B$11:$B$310,B927))*G927)</f>
        <v/>
      </c>
      <c r="L927" s="36" t="str">
        <f t="shared" si="73"/>
        <v/>
      </c>
      <c r="M927" s="36" t="str">
        <f>IF(B927="","",BOM!G927&amp;"")</f>
        <v/>
      </c>
      <c r="N927" s="36" t="str">
        <f t="shared" si="74"/>
        <v/>
      </c>
    </row>
    <row r="928" spans="1:14" x14ac:dyDescent="0.25">
      <c r="A928" s="35" t="str">
        <f t="shared" si="70"/>
        <v/>
      </c>
      <c r="B928" s="35" t="str">
        <f>IF(BOM!A928="","",BOM!A928)</f>
        <v/>
      </c>
      <c r="C928" s="35" t="str">
        <f>IF(B928="","",BOM!B928)</f>
        <v/>
      </c>
      <c r="D928" s="35" t="str">
        <f>IF(B928="","",IFERROR(INDEX(DM_NL!$B$5:$B$304,MATCH(C928,DM_NL!$A$5:$A$304,0)),""))</f>
        <v/>
      </c>
      <c r="E928" s="35" t="str">
        <f>IF(B928="","",IFERROR(INDEX(DM_NL!$C$5:$C$304,MATCH(C928,DM_NL!$A$5:$A$304,0)),""))</f>
        <v/>
      </c>
      <c r="F928" s="39" t="str">
        <f>IF(B928="","",SUMIFS(Mau15a!$F$11:$F$310,Mau15a!$B$11:$B$310,B928))</f>
        <v/>
      </c>
      <c r="G928" s="39" t="str">
        <f>IF(B928="","",IF(OR(M928="KXDDM",BOM!F928=""),0,BOM!F928))</f>
        <v/>
      </c>
      <c r="H928" s="39" t="str">
        <f t="shared" si="71"/>
        <v/>
      </c>
      <c r="I928" s="39" t="str">
        <f>IF(B928="","",SUMIFS(Mau15a!$H$11:$H$310,Mau15a!$B$11:$B$310,B928)+SUMIFS(Mau15a!$I$11:$I$310,Mau15a!$B$11:$B$310,B928)+SUMIFS(Mau15a!$J$11:$J$310,Mau15a!$B$11:$B$310,B928)-SUMIFS(Mau15a!$G$11:$G$310,Mau15a!$B$11:$B$310,B928))</f>
        <v/>
      </c>
      <c r="J928" s="39" t="str">
        <f t="shared" si="72"/>
        <v/>
      </c>
      <c r="K928" s="39" t="str">
        <f>IF(B928="","",(SUMIFS(Mau15a!$K$11:$K$310,Mau15a!$B$11:$B$310,B928)-SUMIFS(Mau15a!$E$11:$E$310,Mau15a!$B$11:$B$310,B928))*G928)</f>
        <v/>
      </c>
      <c r="L928" s="36" t="str">
        <f t="shared" si="73"/>
        <v/>
      </c>
      <c r="M928" s="36" t="str">
        <f>IF(B928="","",BOM!G928&amp;"")</f>
        <v/>
      </c>
      <c r="N928" s="36" t="str">
        <f t="shared" si="74"/>
        <v/>
      </c>
    </row>
    <row r="929" spans="1:14" x14ac:dyDescent="0.25">
      <c r="A929" s="35" t="str">
        <f t="shared" si="70"/>
        <v/>
      </c>
      <c r="B929" s="35" t="str">
        <f>IF(BOM!A929="","",BOM!A929)</f>
        <v/>
      </c>
      <c r="C929" s="35" t="str">
        <f>IF(B929="","",BOM!B929)</f>
        <v/>
      </c>
      <c r="D929" s="35" t="str">
        <f>IF(B929="","",IFERROR(INDEX(DM_NL!$B$5:$B$304,MATCH(C929,DM_NL!$A$5:$A$304,0)),""))</f>
        <v/>
      </c>
      <c r="E929" s="35" t="str">
        <f>IF(B929="","",IFERROR(INDEX(DM_NL!$C$5:$C$304,MATCH(C929,DM_NL!$A$5:$A$304,0)),""))</f>
        <v/>
      </c>
      <c r="F929" s="39" t="str">
        <f>IF(B929="","",SUMIFS(Mau15a!$F$11:$F$310,Mau15a!$B$11:$B$310,B929))</f>
        <v/>
      </c>
      <c r="G929" s="39" t="str">
        <f>IF(B929="","",IF(OR(M929="KXDDM",BOM!F929=""),0,BOM!F929))</f>
        <v/>
      </c>
      <c r="H929" s="39" t="str">
        <f t="shared" si="71"/>
        <v/>
      </c>
      <c r="I929" s="39" t="str">
        <f>IF(B929="","",SUMIFS(Mau15a!$H$11:$H$310,Mau15a!$B$11:$B$310,B929)+SUMIFS(Mau15a!$I$11:$I$310,Mau15a!$B$11:$B$310,B929)+SUMIFS(Mau15a!$J$11:$J$310,Mau15a!$B$11:$B$310,B929)-SUMIFS(Mau15a!$G$11:$G$310,Mau15a!$B$11:$B$310,B929))</f>
        <v/>
      </c>
      <c r="J929" s="39" t="str">
        <f t="shared" si="72"/>
        <v/>
      </c>
      <c r="K929" s="39" t="str">
        <f>IF(B929="","",(SUMIFS(Mau15a!$K$11:$K$310,Mau15a!$B$11:$B$310,B929)-SUMIFS(Mau15a!$E$11:$E$310,Mau15a!$B$11:$B$310,B929))*G929)</f>
        <v/>
      </c>
      <c r="L929" s="36" t="str">
        <f t="shared" si="73"/>
        <v/>
      </c>
      <c r="M929" s="36" t="str">
        <f>IF(B929="","",BOM!G929&amp;"")</f>
        <v/>
      </c>
      <c r="N929" s="36" t="str">
        <f t="shared" si="74"/>
        <v/>
      </c>
    </row>
    <row r="930" spans="1:14" x14ac:dyDescent="0.25">
      <c r="A930" s="35" t="str">
        <f t="shared" si="70"/>
        <v/>
      </c>
      <c r="B930" s="35" t="str">
        <f>IF(BOM!A930="","",BOM!A930)</f>
        <v/>
      </c>
      <c r="C930" s="35" t="str">
        <f>IF(B930="","",BOM!B930)</f>
        <v/>
      </c>
      <c r="D930" s="35" t="str">
        <f>IF(B930="","",IFERROR(INDEX(DM_NL!$B$5:$B$304,MATCH(C930,DM_NL!$A$5:$A$304,0)),""))</f>
        <v/>
      </c>
      <c r="E930" s="35" t="str">
        <f>IF(B930="","",IFERROR(INDEX(DM_NL!$C$5:$C$304,MATCH(C930,DM_NL!$A$5:$A$304,0)),""))</f>
        <v/>
      </c>
      <c r="F930" s="39" t="str">
        <f>IF(B930="","",SUMIFS(Mau15a!$F$11:$F$310,Mau15a!$B$11:$B$310,B930))</f>
        <v/>
      </c>
      <c r="G930" s="39" t="str">
        <f>IF(B930="","",IF(OR(M930="KXDDM",BOM!F930=""),0,BOM!F930))</f>
        <v/>
      </c>
      <c r="H930" s="39" t="str">
        <f t="shared" si="71"/>
        <v/>
      </c>
      <c r="I930" s="39" t="str">
        <f>IF(B930="","",SUMIFS(Mau15a!$H$11:$H$310,Mau15a!$B$11:$B$310,B930)+SUMIFS(Mau15a!$I$11:$I$310,Mau15a!$B$11:$B$310,B930)+SUMIFS(Mau15a!$J$11:$J$310,Mau15a!$B$11:$B$310,B930)-SUMIFS(Mau15a!$G$11:$G$310,Mau15a!$B$11:$B$310,B930))</f>
        <v/>
      </c>
      <c r="J930" s="39" t="str">
        <f t="shared" si="72"/>
        <v/>
      </c>
      <c r="K930" s="39" t="str">
        <f>IF(B930="","",(SUMIFS(Mau15a!$K$11:$K$310,Mau15a!$B$11:$B$310,B930)-SUMIFS(Mau15a!$E$11:$E$310,Mau15a!$B$11:$B$310,B930))*G930)</f>
        <v/>
      </c>
      <c r="L930" s="36" t="str">
        <f t="shared" si="73"/>
        <v/>
      </c>
      <c r="M930" s="36" t="str">
        <f>IF(B930="","",BOM!G930&amp;"")</f>
        <v/>
      </c>
      <c r="N930" s="36" t="str">
        <f t="shared" si="74"/>
        <v/>
      </c>
    </row>
    <row r="931" spans="1:14" x14ac:dyDescent="0.25">
      <c r="A931" s="35" t="str">
        <f t="shared" si="70"/>
        <v/>
      </c>
      <c r="B931" s="35" t="str">
        <f>IF(BOM!A931="","",BOM!A931)</f>
        <v/>
      </c>
      <c r="C931" s="35" t="str">
        <f>IF(B931="","",BOM!B931)</f>
        <v/>
      </c>
      <c r="D931" s="35" t="str">
        <f>IF(B931="","",IFERROR(INDEX(DM_NL!$B$5:$B$304,MATCH(C931,DM_NL!$A$5:$A$304,0)),""))</f>
        <v/>
      </c>
      <c r="E931" s="35" t="str">
        <f>IF(B931="","",IFERROR(INDEX(DM_NL!$C$5:$C$304,MATCH(C931,DM_NL!$A$5:$A$304,0)),""))</f>
        <v/>
      </c>
      <c r="F931" s="39" t="str">
        <f>IF(B931="","",SUMIFS(Mau15a!$F$11:$F$310,Mau15a!$B$11:$B$310,B931))</f>
        <v/>
      </c>
      <c r="G931" s="39" t="str">
        <f>IF(B931="","",IF(OR(M931="KXDDM",BOM!F931=""),0,BOM!F931))</f>
        <v/>
      </c>
      <c r="H931" s="39" t="str">
        <f t="shared" si="71"/>
        <v/>
      </c>
      <c r="I931" s="39" t="str">
        <f>IF(B931="","",SUMIFS(Mau15a!$H$11:$H$310,Mau15a!$B$11:$B$310,B931)+SUMIFS(Mau15a!$I$11:$I$310,Mau15a!$B$11:$B$310,B931)+SUMIFS(Mau15a!$J$11:$J$310,Mau15a!$B$11:$B$310,B931)-SUMIFS(Mau15a!$G$11:$G$310,Mau15a!$B$11:$B$310,B931))</f>
        <v/>
      </c>
      <c r="J931" s="39" t="str">
        <f t="shared" si="72"/>
        <v/>
      </c>
      <c r="K931" s="39" t="str">
        <f>IF(B931="","",(SUMIFS(Mau15a!$K$11:$K$310,Mau15a!$B$11:$B$310,B931)-SUMIFS(Mau15a!$E$11:$E$310,Mau15a!$B$11:$B$310,B931))*G931)</f>
        <v/>
      </c>
      <c r="L931" s="36" t="str">
        <f t="shared" si="73"/>
        <v/>
      </c>
      <c r="M931" s="36" t="str">
        <f>IF(B931="","",BOM!G931&amp;"")</f>
        <v/>
      </c>
      <c r="N931" s="36" t="str">
        <f t="shared" si="74"/>
        <v/>
      </c>
    </row>
    <row r="932" spans="1:14" x14ac:dyDescent="0.25">
      <c r="A932" s="35" t="str">
        <f t="shared" si="70"/>
        <v/>
      </c>
      <c r="B932" s="35" t="str">
        <f>IF(BOM!A932="","",BOM!A932)</f>
        <v/>
      </c>
      <c r="C932" s="35" t="str">
        <f>IF(B932="","",BOM!B932)</f>
        <v/>
      </c>
      <c r="D932" s="35" t="str">
        <f>IF(B932="","",IFERROR(INDEX(DM_NL!$B$5:$B$304,MATCH(C932,DM_NL!$A$5:$A$304,0)),""))</f>
        <v/>
      </c>
      <c r="E932" s="35" t="str">
        <f>IF(B932="","",IFERROR(INDEX(DM_NL!$C$5:$C$304,MATCH(C932,DM_NL!$A$5:$A$304,0)),""))</f>
        <v/>
      </c>
      <c r="F932" s="39" t="str">
        <f>IF(B932="","",SUMIFS(Mau15a!$F$11:$F$310,Mau15a!$B$11:$B$310,B932))</f>
        <v/>
      </c>
      <c r="G932" s="39" t="str">
        <f>IF(B932="","",IF(OR(M932="KXDDM",BOM!F932=""),0,BOM!F932))</f>
        <v/>
      </c>
      <c r="H932" s="39" t="str">
        <f t="shared" si="71"/>
        <v/>
      </c>
      <c r="I932" s="39" t="str">
        <f>IF(B932="","",SUMIFS(Mau15a!$H$11:$H$310,Mau15a!$B$11:$B$310,B932)+SUMIFS(Mau15a!$I$11:$I$310,Mau15a!$B$11:$B$310,B932)+SUMIFS(Mau15a!$J$11:$J$310,Mau15a!$B$11:$B$310,B932)-SUMIFS(Mau15a!$G$11:$G$310,Mau15a!$B$11:$B$310,B932))</f>
        <v/>
      </c>
      <c r="J932" s="39" t="str">
        <f t="shared" si="72"/>
        <v/>
      </c>
      <c r="K932" s="39" t="str">
        <f>IF(B932="","",(SUMIFS(Mau15a!$K$11:$K$310,Mau15a!$B$11:$B$310,B932)-SUMIFS(Mau15a!$E$11:$E$310,Mau15a!$B$11:$B$310,B932))*G932)</f>
        <v/>
      </c>
      <c r="L932" s="36" t="str">
        <f t="shared" si="73"/>
        <v/>
      </c>
      <c r="M932" s="36" t="str">
        <f>IF(B932="","",BOM!G932&amp;"")</f>
        <v/>
      </c>
      <c r="N932" s="36" t="str">
        <f t="shared" si="74"/>
        <v/>
      </c>
    </row>
    <row r="933" spans="1:14" x14ac:dyDescent="0.25">
      <c r="A933" s="35" t="str">
        <f t="shared" si="70"/>
        <v/>
      </c>
      <c r="B933" s="35" t="str">
        <f>IF(BOM!A933="","",BOM!A933)</f>
        <v/>
      </c>
      <c r="C933" s="35" t="str">
        <f>IF(B933="","",BOM!B933)</f>
        <v/>
      </c>
      <c r="D933" s="35" t="str">
        <f>IF(B933="","",IFERROR(INDEX(DM_NL!$B$5:$B$304,MATCH(C933,DM_NL!$A$5:$A$304,0)),""))</f>
        <v/>
      </c>
      <c r="E933" s="35" t="str">
        <f>IF(B933="","",IFERROR(INDEX(DM_NL!$C$5:$C$304,MATCH(C933,DM_NL!$A$5:$A$304,0)),""))</f>
        <v/>
      </c>
      <c r="F933" s="39" t="str">
        <f>IF(B933="","",SUMIFS(Mau15a!$F$11:$F$310,Mau15a!$B$11:$B$310,B933))</f>
        <v/>
      </c>
      <c r="G933" s="39" t="str">
        <f>IF(B933="","",IF(OR(M933="KXDDM",BOM!F933=""),0,BOM!F933))</f>
        <v/>
      </c>
      <c r="H933" s="39" t="str">
        <f t="shared" si="71"/>
        <v/>
      </c>
      <c r="I933" s="39" t="str">
        <f>IF(B933="","",SUMIFS(Mau15a!$H$11:$H$310,Mau15a!$B$11:$B$310,B933)+SUMIFS(Mau15a!$I$11:$I$310,Mau15a!$B$11:$B$310,B933)+SUMIFS(Mau15a!$J$11:$J$310,Mau15a!$B$11:$B$310,B933)-SUMIFS(Mau15a!$G$11:$G$310,Mau15a!$B$11:$B$310,B933))</f>
        <v/>
      </c>
      <c r="J933" s="39" t="str">
        <f t="shared" si="72"/>
        <v/>
      </c>
      <c r="K933" s="39" t="str">
        <f>IF(B933="","",(SUMIFS(Mau15a!$K$11:$K$310,Mau15a!$B$11:$B$310,B933)-SUMIFS(Mau15a!$E$11:$E$310,Mau15a!$B$11:$B$310,B933))*G933)</f>
        <v/>
      </c>
      <c r="L933" s="36" t="str">
        <f t="shared" si="73"/>
        <v/>
      </c>
      <c r="M933" s="36" t="str">
        <f>IF(B933="","",BOM!G933&amp;"")</f>
        <v/>
      </c>
      <c r="N933" s="36" t="str">
        <f t="shared" si="74"/>
        <v/>
      </c>
    </row>
    <row r="934" spans="1:14" x14ac:dyDescent="0.25">
      <c r="A934" s="35" t="str">
        <f t="shared" si="70"/>
        <v/>
      </c>
      <c r="B934" s="35" t="str">
        <f>IF(BOM!A934="","",BOM!A934)</f>
        <v/>
      </c>
      <c r="C934" s="35" t="str">
        <f>IF(B934="","",BOM!B934)</f>
        <v/>
      </c>
      <c r="D934" s="35" t="str">
        <f>IF(B934="","",IFERROR(INDEX(DM_NL!$B$5:$B$304,MATCH(C934,DM_NL!$A$5:$A$304,0)),""))</f>
        <v/>
      </c>
      <c r="E934" s="35" t="str">
        <f>IF(B934="","",IFERROR(INDEX(DM_NL!$C$5:$C$304,MATCH(C934,DM_NL!$A$5:$A$304,0)),""))</f>
        <v/>
      </c>
      <c r="F934" s="39" t="str">
        <f>IF(B934="","",SUMIFS(Mau15a!$F$11:$F$310,Mau15a!$B$11:$B$310,B934))</f>
        <v/>
      </c>
      <c r="G934" s="39" t="str">
        <f>IF(B934="","",IF(OR(M934="KXDDM",BOM!F934=""),0,BOM!F934))</f>
        <v/>
      </c>
      <c r="H934" s="39" t="str">
        <f t="shared" si="71"/>
        <v/>
      </c>
      <c r="I934" s="39" t="str">
        <f>IF(B934="","",SUMIFS(Mau15a!$H$11:$H$310,Mau15a!$B$11:$B$310,B934)+SUMIFS(Mau15a!$I$11:$I$310,Mau15a!$B$11:$B$310,B934)+SUMIFS(Mau15a!$J$11:$J$310,Mau15a!$B$11:$B$310,B934)-SUMIFS(Mau15a!$G$11:$G$310,Mau15a!$B$11:$B$310,B934))</f>
        <v/>
      </c>
      <c r="J934" s="39" t="str">
        <f t="shared" si="72"/>
        <v/>
      </c>
      <c r="K934" s="39" t="str">
        <f>IF(B934="","",(SUMIFS(Mau15a!$K$11:$K$310,Mau15a!$B$11:$B$310,B934)-SUMIFS(Mau15a!$E$11:$E$310,Mau15a!$B$11:$B$310,B934))*G934)</f>
        <v/>
      </c>
      <c r="L934" s="36" t="str">
        <f t="shared" si="73"/>
        <v/>
      </c>
      <c r="M934" s="36" t="str">
        <f>IF(B934="","",BOM!G934&amp;"")</f>
        <v/>
      </c>
      <c r="N934" s="36" t="str">
        <f t="shared" si="74"/>
        <v/>
      </c>
    </row>
    <row r="935" spans="1:14" x14ac:dyDescent="0.25">
      <c r="A935" s="35" t="str">
        <f t="shared" si="70"/>
        <v/>
      </c>
      <c r="B935" s="35" t="str">
        <f>IF(BOM!A935="","",BOM!A935)</f>
        <v/>
      </c>
      <c r="C935" s="35" t="str">
        <f>IF(B935="","",BOM!B935)</f>
        <v/>
      </c>
      <c r="D935" s="35" t="str">
        <f>IF(B935="","",IFERROR(INDEX(DM_NL!$B$5:$B$304,MATCH(C935,DM_NL!$A$5:$A$304,0)),""))</f>
        <v/>
      </c>
      <c r="E935" s="35" t="str">
        <f>IF(B935="","",IFERROR(INDEX(DM_NL!$C$5:$C$304,MATCH(C935,DM_NL!$A$5:$A$304,0)),""))</f>
        <v/>
      </c>
      <c r="F935" s="39" t="str">
        <f>IF(B935="","",SUMIFS(Mau15a!$F$11:$F$310,Mau15a!$B$11:$B$310,B935))</f>
        <v/>
      </c>
      <c r="G935" s="39" t="str">
        <f>IF(B935="","",IF(OR(M935="KXDDM",BOM!F935=""),0,BOM!F935))</f>
        <v/>
      </c>
      <c r="H935" s="39" t="str">
        <f t="shared" si="71"/>
        <v/>
      </c>
      <c r="I935" s="39" t="str">
        <f>IF(B935="","",SUMIFS(Mau15a!$H$11:$H$310,Mau15a!$B$11:$B$310,B935)+SUMIFS(Mau15a!$I$11:$I$310,Mau15a!$B$11:$B$310,B935)+SUMIFS(Mau15a!$J$11:$J$310,Mau15a!$B$11:$B$310,B935)-SUMIFS(Mau15a!$G$11:$G$310,Mau15a!$B$11:$B$310,B935))</f>
        <v/>
      </c>
      <c r="J935" s="39" t="str">
        <f t="shared" si="72"/>
        <v/>
      </c>
      <c r="K935" s="39" t="str">
        <f>IF(B935="","",(SUMIFS(Mau15a!$K$11:$K$310,Mau15a!$B$11:$B$310,B935)-SUMIFS(Mau15a!$E$11:$E$310,Mau15a!$B$11:$B$310,B935))*G935)</f>
        <v/>
      </c>
      <c r="L935" s="36" t="str">
        <f t="shared" si="73"/>
        <v/>
      </c>
      <c r="M935" s="36" t="str">
        <f>IF(B935="","",BOM!G935&amp;"")</f>
        <v/>
      </c>
      <c r="N935" s="36" t="str">
        <f t="shared" si="74"/>
        <v/>
      </c>
    </row>
    <row r="936" spans="1:14" x14ac:dyDescent="0.25">
      <c r="A936" s="35" t="str">
        <f t="shared" si="70"/>
        <v/>
      </c>
      <c r="B936" s="35" t="str">
        <f>IF(BOM!A936="","",BOM!A936)</f>
        <v/>
      </c>
      <c r="C936" s="35" t="str">
        <f>IF(B936="","",BOM!B936)</f>
        <v/>
      </c>
      <c r="D936" s="35" t="str">
        <f>IF(B936="","",IFERROR(INDEX(DM_NL!$B$5:$B$304,MATCH(C936,DM_NL!$A$5:$A$304,0)),""))</f>
        <v/>
      </c>
      <c r="E936" s="35" t="str">
        <f>IF(B936="","",IFERROR(INDEX(DM_NL!$C$5:$C$304,MATCH(C936,DM_NL!$A$5:$A$304,0)),""))</f>
        <v/>
      </c>
      <c r="F936" s="39" t="str">
        <f>IF(B936="","",SUMIFS(Mau15a!$F$11:$F$310,Mau15a!$B$11:$B$310,B936))</f>
        <v/>
      </c>
      <c r="G936" s="39" t="str">
        <f>IF(B936="","",IF(OR(M936="KXDDM",BOM!F936=""),0,BOM!F936))</f>
        <v/>
      </c>
      <c r="H936" s="39" t="str">
        <f t="shared" si="71"/>
        <v/>
      </c>
      <c r="I936" s="39" t="str">
        <f>IF(B936="","",SUMIFS(Mau15a!$H$11:$H$310,Mau15a!$B$11:$B$310,B936)+SUMIFS(Mau15a!$I$11:$I$310,Mau15a!$B$11:$B$310,B936)+SUMIFS(Mau15a!$J$11:$J$310,Mau15a!$B$11:$B$310,B936)-SUMIFS(Mau15a!$G$11:$G$310,Mau15a!$B$11:$B$310,B936))</f>
        <v/>
      </c>
      <c r="J936" s="39" t="str">
        <f t="shared" si="72"/>
        <v/>
      </c>
      <c r="K936" s="39" t="str">
        <f>IF(B936="","",(SUMIFS(Mau15a!$K$11:$K$310,Mau15a!$B$11:$B$310,B936)-SUMIFS(Mau15a!$E$11:$E$310,Mau15a!$B$11:$B$310,B936))*G936)</f>
        <v/>
      </c>
      <c r="L936" s="36" t="str">
        <f t="shared" si="73"/>
        <v/>
      </c>
      <c r="M936" s="36" t="str">
        <f>IF(B936="","",BOM!G936&amp;"")</f>
        <v/>
      </c>
      <c r="N936" s="36" t="str">
        <f t="shared" si="74"/>
        <v/>
      </c>
    </row>
    <row r="937" spans="1:14" x14ac:dyDescent="0.25">
      <c r="A937" s="35" t="str">
        <f t="shared" si="70"/>
        <v/>
      </c>
      <c r="B937" s="35" t="str">
        <f>IF(BOM!A937="","",BOM!A937)</f>
        <v/>
      </c>
      <c r="C937" s="35" t="str">
        <f>IF(B937="","",BOM!B937)</f>
        <v/>
      </c>
      <c r="D937" s="35" t="str">
        <f>IF(B937="","",IFERROR(INDEX(DM_NL!$B$5:$B$304,MATCH(C937,DM_NL!$A$5:$A$304,0)),""))</f>
        <v/>
      </c>
      <c r="E937" s="35" t="str">
        <f>IF(B937="","",IFERROR(INDEX(DM_NL!$C$5:$C$304,MATCH(C937,DM_NL!$A$5:$A$304,0)),""))</f>
        <v/>
      </c>
      <c r="F937" s="39" t="str">
        <f>IF(B937="","",SUMIFS(Mau15a!$F$11:$F$310,Mau15a!$B$11:$B$310,B937))</f>
        <v/>
      </c>
      <c r="G937" s="39" t="str">
        <f>IF(B937="","",IF(OR(M937="KXDDM",BOM!F937=""),0,BOM!F937))</f>
        <v/>
      </c>
      <c r="H937" s="39" t="str">
        <f t="shared" si="71"/>
        <v/>
      </c>
      <c r="I937" s="39" t="str">
        <f>IF(B937="","",SUMIFS(Mau15a!$H$11:$H$310,Mau15a!$B$11:$B$310,B937)+SUMIFS(Mau15a!$I$11:$I$310,Mau15a!$B$11:$B$310,B937)+SUMIFS(Mau15a!$J$11:$J$310,Mau15a!$B$11:$B$310,B937)-SUMIFS(Mau15a!$G$11:$G$310,Mau15a!$B$11:$B$310,B937))</f>
        <v/>
      </c>
      <c r="J937" s="39" t="str">
        <f t="shared" si="72"/>
        <v/>
      </c>
      <c r="K937" s="39" t="str">
        <f>IF(B937="","",(SUMIFS(Mau15a!$K$11:$K$310,Mau15a!$B$11:$B$310,B937)-SUMIFS(Mau15a!$E$11:$E$310,Mau15a!$B$11:$B$310,B937))*G937)</f>
        <v/>
      </c>
      <c r="L937" s="36" t="str">
        <f t="shared" si="73"/>
        <v/>
      </c>
      <c r="M937" s="36" t="str">
        <f>IF(B937="","",BOM!G937&amp;"")</f>
        <v/>
      </c>
      <c r="N937" s="36" t="str">
        <f t="shared" si="74"/>
        <v/>
      </c>
    </row>
    <row r="938" spans="1:14" x14ac:dyDescent="0.25">
      <c r="A938" s="35" t="str">
        <f t="shared" si="70"/>
        <v/>
      </c>
      <c r="B938" s="35" t="str">
        <f>IF(BOM!A938="","",BOM!A938)</f>
        <v/>
      </c>
      <c r="C938" s="35" t="str">
        <f>IF(B938="","",BOM!B938)</f>
        <v/>
      </c>
      <c r="D938" s="35" t="str">
        <f>IF(B938="","",IFERROR(INDEX(DM_NL!$B$5:$B$304,MATCH(C938,DM_NL!$A$5:$A$304,0)),""))</f>
        <v/>
      </c>
      <c r="E938" s="35" t="str">
        <f>IF(B938="","",IFERROR(INDEX(DM_NL!$C$5:$C$304,MATCH(C938,DM_NL!$A$5:$A$304,0)),""))</f>
        <v/>
      </c>
      <c r="F938" s="39" t="str">
        <f>IF(B938="","",SUMIFS(Mau15a!$F$11:$F$310,Mau15a!$B$11:$B$310,B938))</f>
        <v/>
      </c>
      <c r="G938" s="39" t="str">
        <f>IF(B938="","",IF(OR(M938="KXDDM",BOM!F938=""),0,BOM!F938))</f>
        <v/>
      </c>
      <c r="H938" s="39" t="str">
        <f t="shared" si="71"/>
        <v/>
      </c>
      <c r="I938" s="39" t="str">
        <f>IF(B938="","",SUMIFS(Mau15a!$H$11:$H$310,Mau15a!$B$11:$B$310,B938)+SUMIFS(Mau15a!$I$11:$I$310,Mau15a!$B$11:$B$310,B938)+SUMIFS(Mau15a!$J$11:$J$310,Mau15a!$B$11:$B$310,B938)-SUMIFS(Mau15a!$G$11:$G$310,Mau15a!$B$11:$B$310,B938))</f>
        <v/>
      </c>
      <c r="J938" s="39" t="str">
        <f t="shared" si="72"/>
        <v/>
      </c>
      <c r="K938" s="39" t="str">
        <f>IF(B938="","",(SUMIFS(Mau15a!$K$11:$K$310,Mau15a!$B$11:$B$310,B938)-SUMIFS(Mau15a!$E$11:$E$310,Mau15a!$B$11:$B$310,B938))*G938)</f>
        <v/>
      </c>
      <c r="L938" s="36" t="str">
        <f t="shared" si="73"/>
        <v/>
      </c>
      <c r="M938" s="36" t="str">
        <f>IF(B938="","",BOM!G938&amp;"")</f>
        <v/>
      </c>
      <c r="N938" s="36" t="str">
        <f t="shared" si="74"/>
        <v/>
      </c>
    </row>
    <row r="939" spans="1:14" x14ac:dyDescent="0.25">
      <c r="A939" s="35" t="str">
        <f t="shared" si="70"/>
        <v/>
      </c>
      <c r="B939" s="35" t="str">
        <f>IF(BOM!A939="","",BOM!A939)</f>
        <v/>
      </c>
      <c r="C939" s="35" t="str">
        <f>IF(B939="","",BOM!B939)</f>
        <v/>
      </c>
      <c r="D939" s="35" t="str">
        <f>IF(B939="","",IFERROR(INDEX(DM_NL!$B$5:$B$304,MATCH(C939,DM_NL!$A$5:$A$304,0)),""))</f>
        <v/>
      </c>
      <c r="E939" s="35" t="str">
        <f>IF(B939="","",IFERROR(INDEX(DM_NL!$C$5:$C$304,MATCH(C939,DM_NL!$A$5:$A$304,0)),""))</f>
        <v/>
      </c>
      <c r="F939" s="39" t="str">
        <f>IF(B939="","",SUMIFS(Mau15a!$F$11:$F$310,Mau15a!$B$11:$B$310,B939))</f>
        <v/>
      </c>
      <c r="G939" s="39" t="str">
        <f>IF(B939="","",IF(OR(M939="KXDDM",BOM!F939=""),0,BOM!F939))</f>
        <v/>
      </c>
      <c r="H939" s="39" t="str">
        <f t="shared" si="71"/>
        <v/>
      </c>
      <c r="I939" s="39" t="str">
        <f>IF(B939="","",SUMIFS(Mau15a!$H$11:$H$310,Mau15a!$B$11:$B$310,B939)+SUMIFS(Mau15a!$I$11:$I$310,Mau15a!$B$11:$B$310,B939)+SUMIFS(Mau15a!$J$11:$J$310,Mau15a!$B$11:$B$310,B939)-SUMIFS(Mau15a!$G$11:$G$310,Mau15a!$B$11:$B$310,B939))</f>
        <v/>
      </c>
      <c r="J939" s="39" t="str">
        <f t="shared" si="72"/>
        <v/>
      </c>
      <c r="K939" s="39" t="str">
        <f>IF(B939="","",(SUMIFS(Mau15a!$K$11:$K$310,Mau15a!$B$11:$B$310,B939)-SUMIFS(Mau15a!$E$11:$E$310,Mau15a!$B$11:$B$310,B939))*G939)</f>
        <v/>
      </c>
      <c r="L939" s="36" t="str">
        <f t="shared" si="73"/>
        <v/>
      </c>
      <c r="M939" s="36" t="str">
        <f>IF(B939="","",BOM!G939&amp;"")</f>
        <v/>
      </c>
      <c r="N939" s="36" t="str">
        <f t="shared" si="74"/>
        <v/>
      </c>
    </row>
    <row r="940" spans="1:14" x14ac:dyDescent="0.25">
      <c r="A940" s="35" t="str">
        <f t="shared" si="70"/>
        <v/>
      </c>
      <c r="B940" s="35" t="str">
        <f>IF(BOM!A940="","",BOM!A940)</f>
        <v/>
      </c>
      <c r="C940" s="35" t="str">
        <f>IF(B940="","",BOM!B940)</f>
        <v/>
      </c>
      <c r="D940" s="35" t="str">
        <f>IF(B940="","",IFERROR(INDEX(DM_NL!$B$5:$B$304,MATCH(C940,DM_NL!$A$5:$A$304,0)),""))</f>
        <v/>
      </c>
      <c r="E940" s="35" t="str">
        <f>IF(B940="","",IFERROR(INDEX(DM_NL!$C$5:$C$304,MATCH(C940,DM_NL!$A$5:$A$304,0)),""))</f>
        <v/>
      </c>
      <c r="F940" s="39" t="str">
        <f>IF(B940="","",SUMIFS(Mau15a!$F$11:$F$310,Mau15a!$B$11:$B$310,B940))</f>
        <v/>
      </c>
      <c r="G940" s="39" t="str">
        <f>IF(B940="","",IF(OR(M940="KXDDM",BOM!F940=""),0,BOM!F940))</f>
        <v/>
      </c>
      <c r="H940" s="39" t="str">
        <f t="shared" si="71"/>
        <v/>
      </c>
      <c r="I940" s="39" t="str">
        <f>IF(B940="","",SUMIFS(Mau15a!$H$11:$H$310,Mau15a!$B$11:$B$310,B940)+SUMIFS(Mau15a!$I$11:$I$310,Mau15a!$B$11:$B$310,B940)+SUMIFS(Mau15a!$J$11:$J$310,Mau15a!$B$11:$B$310,B940)-SUMIFS(Mau15a!$G$11:$G$310,Mau15a!$B$11:$B$310,B940))</f>
        <v/>
      </c>
      <c r="J940" s="39" t="str">
        <f t="shared" si="72"/>
        <v/>
      </c>
      <c r="K940" s="39" t="str">
        <f>IF(B940="","",(SUMIFS(Mau15a!$K$11:$K$310,Mau15a!$B$11:$B$310,B940)-SUMIFS(Mau15a!$E$11:$E$310,Mau15a!$B$11:$B$310,B940))*G940)</f>
        <v/>
      </c>
      <c r="L940" s="36" t="str">
        <f t="shared" si="73"/>
        <v/>
      </c>
      <c r="M940" s="36" t="str">
        <f>IF(B940="","",BOM!G940&amp;"")</f>
        <v/>
      </c>
      <c r="N940" s="36" t="str">
        <f t="shared" si="74"/>
        <v/>
      </c>
    </row>
    <row r="941" spans="1:14" x14ac:dyDescent="0.25">
      <c r="A941" s="35" t="str">
        <f t="shared" si="70"/>
        <v/>
      </c>
      <c r="B941" s="35" t="str">
        <f>IF(BOM!A941="","",BOM!A941)</f>
        <v/>
      </c>
      <c r="C941" s="35" t="str">
        <f>IF(B941="","",BOM!B941)</f>
        <v/>
      </c>
      <c r="D941" s="35" t="str">
        <f>IF(B941="","",IFERROR(INDEX(DM_NL!$B$5:$B$304,MATCH(C941,DM_NL!$A$5:$A$304,0)),""))</f>
        <v/>
      </c>
      <c r="E941" s="35" t="str">
        <f>IF(B941="","",IFERROR(INDEX(DM_NL!$C$5:$C$304,MATCH(C941,DM_NL!$A$5:$A$304,0)),""))</f>
        <v/>
      </c>
      <c r="F941" s="39" t="str">
        <f>IF(B941="","",SUMIFS(Mau15a!$F$11:$F$310,Mau15a!$B$11:$B$310,B941))</f>
        <v/>
      </c>
      <c r="G941" s="39" t="str">
        <f>IF(B941="","",IF(OR(M941="KXDDM",BOM!F941=""),0,BOM!F941))</f>
        <v/>
      </c>
      <c r="H941" s="39" t="str">
        <f t="shared" si="71"/>
        <v/>
      </c>
      <c r="I941" s="39" t="str">
        <f>IF(B941="","",SUMIFS(Mau15a!$H$11:$H$310,Mau15a!$B$11:$B$310,B941)+SUMIFS(Mau15a!$I$11:$I$310,Mau15a!$B$11:$B$310,B941)+SUMIFS(Mau15a!$J$11:$J$310,Mau15a!$B$11:$B$310,B941)-SUMIFS(Mau15a!$G$11:$G$310,Mau15a!$B$11:$B$310,B941))</f>
        <v/>
      </c>
      <c r="J941" s="39" t="str">
        <f t="shared" si="72"/>
        <v/>
      </c>
      <c r="K941" s="39" t="str">
        <f>IF(B941="","",(SUMIFS(Mau15a!$K$11:$K$310,Mau15a!$B$11:$B$310,B941)-SUMIFS(Mau15a!$E$11:$E$310,Mau15a!$B$11:$B$310,B941))*G941)</f>
        <v/>
      </c>
      <c r="L941" s="36" t="str">
        <f t="shared" si="73"/>
        <v/>
      </c>
      <c r="M941" s="36" t="str">
        <f>IF(B941="","",BOM!G941&amp;"")</f>
        <v/>
      </c>
      <c r="N941" s="36" t="str">
        <f t="shared" si="74"/>
        <v/>
      </c>
    </row>
    <row r="942" spans="1:14" x14ac:dyDescent="0.25">
      <c r="A942" s="35" t="str">
        <f t="shared" si="70"/>
        <v/>
      </c>
      <c r="B942" s="35" t="str">
        <f>IF(BOM!A942="","",BOM!A942)</f>
        <v/>
      </c>
      <c r="C942" s="35" t="str">
        <f>IF(B942="","",BOM!B942)</f>
        <v/>
      </c>
      <c r="D942" s="35" t="str">
        <f>IF(B942="","",IFERROR(INDEX(DM_NL!$B$5:$B$304,MATCH(C942,DM_NL!$A$5:$A$304,0)),""))</f>
        <v/>
      </c>
      <c r="E942" s="35" t="str">
        <f>IF(B942="","",IFERROR(INDEX(DM_NL!$C$5:$C$304,MATCH(C942,DM_NL!$A$5:$A$304,0)),""))</f>
        <v/>
      </c>
      <c r="F942" s="39" t="str">
        <f>IF(B942="","",SUMIFS(Mau15a!$F$11:$F$310,Mau15a!$B$11:$B$310,B942))</f>
        <v/>
      </c>
      <c r="G942" s="39" t="str">
        <f>IF(B942="","",IF(OR(M942="KXDDM",BOM!F942=""),0,BOM!F942))</f>
        <v/>
      </c>
      <c r="H942" s="39" t="str">
        <f t="shared" si="71"/>
        <v/>
      </c>
      <c r="I942" s="39" t="str">
        <f>IF(B942="","",SUMIFS(Mau15a!$H$11:$H$310,Mau15a!$B$11:$B$310,B942)+SUMIFS(Mau15a!$I$11:$I$310,Mau15a!$B$11:$B$310,B942)+SUMIFS(Mau15a!$J$11:$J$310,Mau15a!$B$11:$B$310,B942)-SUMIFS(Mau15a!$G$11:$G$310,Mau15a!$B$11:$B$310,B942))</f>
        <v/>
      </c>
      <c r="J942" s="39" t="str">
        <f t="shared" si="72"/>
        <v/>
      </c>
      <c r="K942" s="39" t="str">
        <f>IF(B942="","",(SUMIFS(Mau15a!$K$11:$K$310,Mau15a!$B$11:$B$310,B942)-SUMIFS(Mau15a!$E$11:$E$310,Mau15a!$B$11:$B$310,B942))*G942)</f>
        <v/>
      </c>
      <c r="L942" s="36" t="str">
        <f t="shared" si="73"/>
        <v/>
      </c>
      <c r="M942" s="36" t="str">
        <f>IF(B942="","",BOM!G942&amp;"")</f>
        <v/>
      </c>
      <c r="N942" s="36" t="str">
        <f t="shared" si="74"/>
        <v/>
      </c>
    </row>
    <row r="943" spans="1:14" x14ac:dyDescent="0.25">
      <c r="A943" s="35" t="str">
        <f t="shared" si="70"/>
        <v/>
      </c>
      <c r="B943" s="35" t="str">
        <f>IF(BOM!A943="","",BOM!A943)</f>
        <v/>
      </c>
      <c r="C943" s="35" t="str">
        <f>IF(B943="","",BOM!B943)</f>
        <v/>
      </c>
      <c r="D943" s="35" t="str">
        <f>IF(B943="","",IFERROR(INDEX(DM_NL!$B$5:$B$304,MATCH(C943,DM_NL!$A$5:$A$304,0)),""))</f>
        <v/>
      </c>
      <c r="E943" s="35" t="str">
        <f>IF(B943="","",IFERROR(INDEX(DM_NL!$C$5:$C$304,MATCH(C943,DM_NL!$A$5:$A$304,0)),""))</f>
        <v/>
      </c>
      <c r="F943" s="39" t="str">
        <f>IF(B943="","",SUMIFS(Mau15a!$F$11:$F$310,Mau15a!$B$11:$B$310,B943))</f>
        <v/>
      </c>
      <c r="G943" s="39" t="str">
        <f>IF(B943="","",IF(OR(M943="KXDDM",BOM!F943=""),0,BOM!F943))</f>
        <v/>
      </c>
      <c r="H943" s="39" t="str">
        <f t="shared" si="71"/>
        <v/>
      </c>
      <c r="I943" s="39" t="str">
        <f>IF(B943="","",SUMIFS(Mau15a!$H$11:$H$310,Mau15a!$B$11:$B$310,B943)+SUMIFS(Mau15a!$I$11:$I$310,Mau15a!$B$11:$B$310,B943)+SUMIFS(Mau15a!$J$11:$J$310,Mau15a!$B$11:$B$310,B943)-SUMIFS(Mau15a!$G$11:$G$310,Mau15a!$B$11:$B$310,B943))</f>
        <v/>
      </c>
      <c r="J943" s="39" t="str">
        <f t="shared" si="72"/>
        <v/>
      </c>
      <c r="K943" s="39" t="str">
        <f>IF(B943="","",(SUMIFS(Mau15a!$K$11:$K$310,Mau15a!$B$11:$B$310,B943)-SUMIFS(Mau15a!$E$11:$E$310,Mau15a!$B$11:$B$310,B943))*G943)</f>
        <v/>
      </c>
      <c r="L943" s="36" t="str">
        <f t="shared" si="73"/>
        <v/>
      </c>
      <c r="M943" s="36" t="str">
        <f>IF(B943="","",BOM!G943&amp;"")</f>
        <v/>
      </c>
      <c r="N943" s="36" t="str">
        <f t="shared" si="74"/>
        <v/>
      </c>
    </row>
    <row r="944" spans="1:14" x14ac:dyDescent="0.25">
      <c r="A944" s="35" t="str">
        <f t="shared" si="70"/>
        <v/>
      </c>
      <c r="B944" s="35" t="str">
        <f>IF(BOM!A944="","",BOM!A944)</f>
        <v/>
      </c>
      <c r="C944" s="35" t="str">
        <f>IF(B944="","",BOM!B944)</f>
        <v/>
      </c>
      <c r="D944" s="35" t="str">
        <f>IF(B944="","",IFERROR(INDEX(DM_NL!$B$5:$B$304,MATCH(C944,DM_NL!$A$5:$A$304,0)),""))</f>
        <v/>
      </c>
      <c r="E944" s="35" t="str">
        <f>IF(B944="","",IFERROR(INDEX(DM_NL!$C$5:$C$304,MATCH(C944,DM_NL!$A$5:$A$304,0)),""))</f>
        <v/>
      </c>
      <c r="F944" s="39" t="str">
        <f>IF(B944="","",SUMIFS(Mau15a!$F$11:$F$310,Mau15a!$B$11:$B$310,B944))</f>
        <v/>
      </c>
      <c r="G944" s="39" t="str">
        <f>IF(B944="","",IF(OR(M944="KXDDM",BOM!F944=""),0,BOM!F944))</f>
        <v/>
      </c>
      <c r="H944" s="39" t="str">
        <f t="shared" si="71"/>
        <v/>
      </c>
      <c r="I944" s="39" t="str">
        <f>IF(B944="","",SUMIFS(Mau15a!$H$11:$H$310,Mau15a!$B$11:$B$310,B944)+SUMIFS(Mau15a!$I$11:$I$310,Mau15a!$B$11:$B$310,B944)+SUMIFS(Mau15a!$J$11:$J$310,Mau15a!$B$11:$B$310,B944)-SUMIFS(Mau15a!$G$11:$G$310,Mau15a!$B$11:$B$310,B944))</f>
        <v/>
      </c>
      <c r="J944" s="39" t="str">
        <f t="shared" si="72"/>
        <v/>
      </c>
      <c r="K944" s="39" t="str">
        <f>IF(B944="","",(SUMIFS(Mau15a!$K$11:$K$310,Mau15a!$B$11:$B$310,B944)-SUMIFS(Mau15a!$E$11:$E$310,Mau15a!$B$11:$B$310,B944))*G944)</f>
        <v/>
      </c>
      <c r="L944" s="36" t="str">
        <f t="shared" si="73"/>
        <v/>
      </c>
      <c r="M944" s="36" t="str">
        <f>IF(B944="","",BOM!G944&amp;"")</f>
        <v/>
      </c>
      <c r="N944" s="36" t="str">
        <f t="shared" si="74"/>
        <v/>
      </c>
    </row>
    <row r="945" spans="1:14" x14ac:dyDescent="0.25">
      <c r="A945" s="35" t="str">
        <f t="shared" si="70"/>
        <v/>
      </c>
      <c r="B945" s="35" t="str">
        <f>IF(BOM!A945="","",BOM!A945)</f>
        <v/>
      </c>
      <c r="C945" s="35" t="str">
        <f>IF(B945="","",BOM!B945)</f>
        <v/>
      </c>
      <c r="D945" s="35" t="str">
        <f>IF(B945="","",IFERROR(INDEX(DM_NL!$B$5:$B$304,MATCH(C945,DM_NL!$A$5:$A$304,0)),""))</f>
        <v/>
      </c>
      <c r="E945" s="35" t="str">
        <f>IF(B945="","",IFERROR(INDEX(DM_NL!$C$5:$C$304,MATCH(C945,DM_NL!$A$5:$A$304,0)),""))</f>
        <v/>
      </c>
      <c r="F945" s="39" t="str">
        <f>IF(B945="","",SUMIFS(Mau15a!$F$11:$F$310,Mau15a!$B$11:$B$310,B945))</f>
        <v/>
      </c>
      <c r="G945" s="39" t="str">
        <f>IF(B945="","",IF(OR(M945="KXDDM",BOM!F945=""),0,BOM!F945))</f>
        <v/>
      </c>
      <c r="H945" s="39" t="str">
        <f t="shared" si="71"/>
        <v/>
      </c>
      <c r="I945" s="39" t="str">
        <f>IF(B945="","",SUMIFS(Mau15a!$H$11:$H$310,Mau15a!$B$11:$B$310,B945)+SUMIFS(Mau15a!$I$11:$I$310,Mau15a!$B$11:$B$310,B945)+SUMIFS(Mau15a!$J$11:$J$310,Mau15a!$B$11:$B$310,B945)-SUMIFS(Mau15a!$G$11:$G$310,Mau15a!$B$11:$B$310,B945))</f>
        <v/>
      </c>
      <c r="J945" s="39" t="str">
        <f t="shared" si="72"/>
        <v/>
      </c>
      <c r="K945" s="39" t="str">
        <f>IF(B945="","",(SUMIFS(Mau15a!$K$11:$K$310,Mau15a!$B$11:$B$310,B945)-SUMIFS(Mau15a!$E$11:$E$310,Mau15a!$B$11:$B$310,B945))*G945)</f>
        <v/>
      </c>
      <c r="L945" s="36" t="str">
        <f t="shared" si="73"/>
        <v/>
      </c>
      <c r="M945" s="36" t="str">
        <f>IF(B945="","",BOM!G945&amp;"")</f>
        <v/>
      </c>
      <c r="N945" s="36" t="str">
        <f t="shared" si="74"/>
        <v/>
      </c>
    </row>
    <row r="946" spans="1:14" x14ac:dyDescent="0.25">
      <c r="A946" s="35" t="str">
        <f t="shared" si="70"/>
        <v/>
      </c>
      <c r="B946" s="35" t="str">
        <f>IF(BOM!A946="","",BOM!A946)</f>
        <v/>
      </c>
      <c r="C946" s="35" t="str">
        <f>IF(B946="","",BOM!B946)</f>
        <v/>
      </c>
      <c r="D946" s="35" t="str">
        <f>IF(B946="","",IFERROR(INDEX(DM_NL!$B$5:$B$304,MATCH(C946,DM_NL!$A$5:$A$304,0)),""))</f>
        <v/>
      </c>
      <c r="E946" s="35" t="str">
        <f>IF(B946="","",IFERROR(INDEX(DM_NL!$C$5:$C$304,MATCH(C946,DM_NL!$A$5:$A$304,0)),""))</f>
        <v/>
      </c>
      <c r="F946" s="39" t="str">
        <f>IF(B946="","",SUMIFS(Mau15a!$F$11:$F$310,Mau15a!$B$11:$B$310,B946))</f>
        <v/>
      </c>
      <c r="G946" s="39" t="str">
        <f>IF(B946="","",IF(OR(M946="KXDDM",BOM!F946=""),0,BOM!F946))</f>
        <v/>
      </c>
      <c r="H946" s="39" t="str">
        <f t="shared" si="71"/>
        <v/>
      </c>
      <c r="I946" s="39" t="str">
        <f>IF(B946="","",SUMIFS(Mau15a!$H$11:$H$310,Mau15a!$B$11:$B$310,B946)+SUMIFS(Mau15a!$I$11:$I$310,Mau15a!$B$11:$B$310,B946)+SUMIFS(Mau15a!$J$11:$J$310,Mau15a!$B$11:$B$310,B946)-SUMIFS(Mau15a!$G$11:$G$310,Mau15a!$B$11:$B$310,B946))</f>
        <v/>
      </c>
      <c r="J946" s="39" t="str">
        <f t="shared" si="72"/>
        <v/>
      </c>
      <c r="K946" s="39" t="str">
        <f>IF(B946="","",(SUMIFS(Mau15a!$K$11:$K$310,Mau15a!$B$11:$B$310,B946)-SUMIFS(Mau15a!$E$11:$E$310,Mau15a!$B$11:$B$310,B946))*G946)</f>
        <v/>
      </c>
      <c r="L946" s="36" t="str">
        <f t="shared" si="73"/>
        <v/>
      </c>
      <c r="M946" s="36" t="str">
        <f>IF(B946="","",BOM!G946&amp;"")</f>
        <v/>
      </c>
      <c r="N946" s="36" t="str">
        <f t="shared" si="74"/>
        <v/>
      </c>
    </row>
    <row r="947" spans="1:14" x14ac:dyDescent="0.25">
      <c r="A947" s="35" t="str">
        <f t="shared" si="70"/>
        <v/>
      </c>
      <c r="B947" s="35" t="str">
        <f>IF(BOM!A947="","",BOM!A947)</f>
        <v/>
      </c>
      <c r="C947" s="35" t="str">
        <f>IF(B947="","",BOM!B947)</f>
        <v/>
      </c>
      <c r="D947" s="35" t="str">
        <f>IF(B947="","",IFERROR(INDEX(DM_NL!$B$5:$B$304,MATCH(C947,DM_NL!$A$5:$A$304,0)),""))</f>
        <v/>
      </c>
      <c r="E947" s="35" t="str">
        <f>IF(B947="","",IFERROR(INDEX(DM_NL!$C$5:$C$304,MATCH(C947,DM_NL!$A$5:$A$304,0)),""))</f>
        <v/>
      </c>
      <c r="F947" s="39" t="str">
        <f>IF(B947="","",SUMIFS(Mau15a!$F$11:$F$310,Mau15a!$B$11:$B$310,B947))</f>
        <v/>
      </c>
      <c r="G947" s="39" t="str">
        <f>IF(B947="","",IF(OR(M947="KXDDM",BOM!F947=""),0,BOM!F947))</f>
        <v/>
      </c>
      <c r="H947" s="39" t="str">
        <f t="shared" si="71"/>
        <v/>
      </c>
      <c r="I947" s="39" t="str">
        <f>IF(B947="","",SUMIFS(Mau15a!$H$11:$H$310,Mau15a!$B$11:$B$310,B947)+SUMIFS(Mau15a!$I$11:$I$310,Mau15a!$B$11:$B$310,B947)+SUMIFS(Mau15a!$J$11:$J$310,Mau15a!$B$11:$B$310,B947)-SUMIFS(Mau15a!$G$11:$G$310,Mau15a!$B$11:$B$310,B947))</f>
        <v/>
      </c>
      <c r="J947" s="39" t="str">
        <f t="shared" si="72"/>
        <v/>
      </c>
      <c r="K947" s="39" t="str">
        <f>IF(B947="","",(SUMIFS(Mau15a!$K$11:$K$310,Mau15a!$B$11:$B$310,B947)-SUMIFS(Mau15a!$E$11:$E$310,Mau15a!$B$11:$B$310,B947))*G947)</f>
        <v/>
      </c>
      <c r="L947" s="36" t="str">
        <f t="shared" si="73"/>
        <v/>
      </c>
      <c r="M947" s="36" t="str">
        <f>IF(B947="","",BOM!G947&amp;"")</f>
        <v/>
      </c>
      <c r="N947" s="36" t="str">
        <f t="shared" si="74"/>
        <v/>
      </c>
    </row>
    <row r="948" spans="1:14" x14ac:dyDescent="0.25">
      <c r="A948" s="35" t="str">
        <f t="shared" si="70"/>
        <v/>
      </c>
      <c r="B948" s="35" t="str">
        <f>IF(BOM!A948="","",BOM!A948)</f>
        <v/>
      </c>
      <c r="C948" s="35" t="str">
        <f>IF(B948="","",BOM!B948)</f>
        <v/>
      </c>
      <c r="D948" s="35" t="str">
        <f>IF(B948="","",IFERROR(INDEX(DM_NL!$B$5:$B$304,MATCH(C948,DM_NL!$A$5:$A$304,0)),""))</f>
        <v/>
      </c>
      <c r="E948" s="35" t="str">
        <f>IF(B948="","",IFERROR(INDEX(DM_NL!$C$5:$C$304,MATCH(C948,DM_NL!$A$5:$A$304,0)),""))</f>
        <v/>
      </c>
      <c r="F948" s="39" t="str">
        <f>IF(B948="","",SUMIFS(Mau15a!$F$11:$F$310,Mau15a!$B$11:$B$310,B948))</f>
        <v/>
      </c>
      <c r="G948" s="39" t="str">
        <f>IF(B948="","",IF(OR(M948="KXDDM",BOM!F948=""),0,BOM!F948))</f>
        <v/>
      </c>
      <c r="H948" s="39" t="str">
        <f t="shared" si="71"/>
        <v/>
      </c>
      <c r="I948" s="39" t="str">
        <f>IF(B948="","",SUMIFS(Mau15a!$H$11:$H$310,Mau15a!$B$11:$B$310,B948)+SUMIFS(Mau15a!$I$11:$I$310,Mau15a!$B$11:$B$310,B948)+SUMIFS(Mau15a!$J$11:$J$310,Mau15a!$B$11:$B$310,B948)-SUMIFS(Mau15a!$G$11:$G$310,Mau15a!$B$11:$B$310,B948))</f>
        <v/>
      </c>
      <c r="J948" s="39" t="str">
        <f t="shared" si="72"/>
        <v/>
      </c>
      <c r="K948" s="39" t="str">
        <f>IF(B948="","",(SUMIFS(Mau15a!$K$11:$K$310,Mau15a!$B$11:$B$310,B948)-SUMIFS(Mau15a!$E$11:$E$310,Mau15a!$B$11:$B$310,B948))*G948)</f>
        <v/>
      </c>
      <c r="L948" s="36" t="str">
        <f t="shared" si="73"/>
        <v/>
      </c>
      <c r="M948" s="36" t="str">
        <f>IF(B948="","",BOM!G948&amp;"")</f>
        <v/>
      </c>
      <c r="N948" s="36" t="str">
        <f t="shared" si="74"/>
        <v/>
      </c>
    </row>
    <row r="949" spans="1:14" x14ac:dyDescent="0.25">
      <c r="A949" s="35" t="str">
        <f t="shared" si="70"/>
        <v/>
      </c>
      <c r="B949" s="35" t="str">
        <f>IF(BOM!A949="","",BOM!A949)</f>
        <v/>
      </c>
      <c r="C949" s="35" t="str">
        <f>IF(B949="","",BOM!B949)</f>
        <v/>
      </c>
      <c r="D949" s="35" t="str">
        <f>IF(B949="","",IFERROR(INDEX(DM_NL!$B$5:$B$304,MATCH(C949,DM_NL!$A$5:$A$304,0)),""))</f>
        <v/>
      </c>
      <c r="E949" s="35" t="str">
        <f>IF(B949="","",IFERROR(INDEX(DM_NL!$C$5:$C$304,MATCH(C949,DM_NL!$A$5:$A$304,0)),""))</f>
        <v/>
      </c>
      <c r="F949" s="39" t="str">
        <f>IF(B949="","",SUMIFS(Mau15a!$F$11:$F$310,Mau15a!$B$11:$B$310,B949))</f>
        <v/>
      </c>
      <c r="G949" s="39" t="str">
        <f>IF(B949="","",IF(OR(M949="KXDDM",BOM!F949=""),0,BOM!F949))</f>
        <v/>
      </c>
      <c r="H949" s="39" t="str">
        <f t="shared" si="71"/>
        <v/>
      </c>
      <c r="I949" s="39" t="str">
        <f>IF(B949="","",SUMIFS(Mau15a!$H$11:$H$310,Mau15a!$B$11:$B$310,B949)+SUMIFS(Mau15a!$I$11:$I$310,Mau15a!$B$11:$B$310,B949)+SUMIFS(Mau15a!$J$11:$J$310,Mau15a!$B$11:$B$310,B949)-SUMIFS(Mau15a!$G$11:$G$310,Mau15a!$B$11:$B$310,B949))</f>
        <v/>
      </c>
      <c r="J949" s="39" t="str">
        <f t="shared" si="72"/>
        <v/>
      </c>
      <c r="K949" s="39" t="str">
        <f>IF(B949="","",(SUMIFS(Mau15a!$K$11:$K$310,Mau15a!$B$11:$B$310,B949)-SUMIFS(Mau15a!$E$11:$E$310,Mau15a!$B$11:$B$310,B949))*G949)</f>
        <v/>
      </c>
      <c r="L949" s="36" t="str">
        <f t="shared" si="73"/>
        <v/>
      </c>
      <c r="M949" s="36" t="str">
        <f>IF(B949="","",BOM!G949&amp;"")</f>
        <v/>
      </c>
      <c r="N949" s="36" t="str">
        <f t="shared" si="74"/>
        <v/>
      </c>
    </row>
    <row r="950" spans="1:14" x14ac:dyDescent="0.25">
      <c r="A950" s="35" t="str">
        <f t="shared" si="70"/>
        <v/>
      </c>
      <c r="B950" s="35" t="str">
        <f>IF(BOM!A950="","",BOM!A950)</f>
        <v/>
      </c>
      <c r="C950" s="35" t="str">
        <f>IF(B950="","",BOM!B950)</f>
        <v/>
      </c>
      <c r="D950" s="35" t="str">
        <f>IF(B950="","",IFERROR(INDEX(DM_NL!$B$5:$B$304,MATCH(C950,DM_NL!$A$5:$A$304,0)),""))</f>
        <v/>
      </c>
      <c r="E950" s="35" t="str">
        <f>IF(B950="","",IFERROR(INDEX(DM_NL!$C$5:$C$304,MATCH(C950,DM_NL!$A$5:$A$304,0)),""))</f>
        <v/>
      </c>
      <c r="F950" s="39" t="str">
        <f>IF(B950="","",SUMIFS(Mau15a!$F$11:$F$310,Mau15a!$B$11:$B$310,B950))</f>
        <v/>
      </c>
      <c r="G950" s="39" t="str">
        <f>IF(B950="","",IF(OR(M950="KXDDM",BOM!F950=""),0,BOM!F950))</f>
        <v/>
      </c>
      <c r="H950" s="39" t="str">
        <f t="shared" si="71"/>
        <v/>
      </c>
      <c r="I950" s="39" t="str">
        <f>IF(B950="","",SUMIFS(Mau15a!$H$11:$H$310,Mau15a!$B$11:$B$310,B950)+SUMIFS(Mau15a!$I$11:$I$310,Mau15a!$B$11:$B$310,B950)+SUMIFS(Mau15a!$J$11:$J$310,Mau15a!$B$11:$B$310,B950)-SUMIFS(Mau15a!$G$11:$G$310,Mau15a!$B$11:$B$310,B950))</f>
        <v/>
      </c>
      <c r="J950" s="39" t="str">
        <f t="shared" si="72"/>
        <v/>
      </c>
      <c r="K950" s="39" t="str">
        <f>IF(B950="","",(SUMIFS(Mau15a!$K$11:$K$310,Mau15a!$B$11:$B$310,B950)-SUMIFS(Mau15a!$E$11:$E$310,Mau15a!$B$11:$B$310,B950))*G950)</f>
        <v/>
      </c>
      <c r="L950" s="36" t="str">
        <f t="shared" si="73"/>
        <v/>
      </c>
      <c r="M950" s="36" t="str">
        <f>IF(B950="","",BOM!G950&amp;"")</f>
        <v/>
      </c>
      <c r="N950" s="36" t="str">
        <f t="shared" si="74"/>
        <v/>
      </c>
    </row>
    <row r="951" spans="1:14" x14ac:dyDescent="0.25">
      <c r="A951" s="35" t="str">
        <f t="shared" si="70"/>
        <v/>
      </c>
      <c r="B951" s="35" t="str">
        <f>IF(BOM!A951="","",BOM!A951)</f>
        <v/>
      </c>
      <c r="C951" s="35" t="str">
        <f>IF(B951="","",BOM!B951)</f>
        <v/>
      </c>
      <c r="D951" s="35" t="str">
        <f>IF(B951="","",IFERROR(INDEX(DM_NL!$B$5:$B$304,MATCH(C951,DM_NL!$A$5:$A$304,0)),""))</f>
        <v/>
      </c>
      <c r="E951" s="35" t="str">
        <f>IF(B951="","",IFERROR(INDEX(DM_NL!$C$5:$C$304,MATCH(C951,DM_NL!$A$5:$A$304,0)),""))</f>
        <v/>
      </c>
      <c r="F951" s="39" t="str">
        <f>IF(B951="","",SUMIFS(Mau15a!$F$11:$F$310,Mau15a!$B$11:$B$310,B951))</f>
        <v/>
      </c>
      <c r="G951" s="39" t="str">
        <f>IF(B951="","",IF(OR(M951="KXDDM",BOM!F951=""),0,BOM!F951))</f>
        <v/>
      </c>
      <c r="H951" s="39" t="str">
        <f t="shared" si="71"/>
        <v/>
      </c>
      <c r="I951" s="39" t="str">
        <f>IF(B951="","",SUMIFS(Mau15a!$H$11:$H$310,Mau15a!$B$11:$B$310,B951)+SUMIFS(Mau15a!$I$11:$I$310,Mau15a!$B$11:$B$310,B951)+SUMIFS(Mau15a!$J$11:$J$310,Mau15a!$B$11:$B$310,B951)-SUMIFS(Mau15a!$G$11:$G$310,Mau15a!$B$11:$B$310,B951))</f>
        <v/>
      </c>
      <c r="J951" s="39" t="str">
        <f t="shared" si="72"/>
        <v/>
      </c>
      <c r="K951" s="39" t="str">
        <f>IF(B951="","",(SUMIFS(Mau15a!$K$11:$K$310,Mau15a!$B$11:$B$310,B951)-SUMIFS(Mau15a!$E$11:$E$310,Mau15a!$B$11:$B$310,B951))*G951)</f>
        <v/>
      </c>
      <c r="L951" s="36" t="str">
        <f t="shared" si="73"/>
        <v/>
      </c>
      <c r="M951" s="36" t="str">
        <f>IF(B951="","",BOM!G951&amp;"")</f>
        <v/>
      </c>
      <c r="N951" s="36" t="str">
        <f t="shared" si="74"/>
        <v/>
      </c>
    </row>
    <row r="952" spans="1:14" x14ac:dyDescent="0.25">
      <c r="A952" s="35" t="str">
        <f t="shared" si="70"/>
        <v/>
      </c>
      <c r="B952" s="35" t="str">
        <f>IF(BOM!A952="","",BOM!A952)</f>
        <v/>
      </c>
      <c r="C952" s="35" t="str">
        <f>IF(B952="","",BOM!B952)</f>
        <v/>
      </c>
      <c r="D952" s="35" t="str">
        <f>IF(B952="","",IFERROR(INDEX(DM_NL!$B$5:$B$304,MATCH(C952,DM_NL!$A$5:$A$304,0)),""))</f>
        <v/>
      </c>
      <c r="E952" s="35" t="str">
        <f>IF(B952="","",IFERROR(INDEX(DM_NL!$C$5:$C$304,MATCH(C952,DM_NL!$A$5:$A$304,0)),""))</f>
        <v/>
      </c>
      <c r="F952" s="39" t="str">
        <f>IF(B952="","",SUMIFS(Mau15a!$F$11:$F$310,Mau15a!$B$11:$B$310,B952))</f>
        <v/>
      </c>
      <c r="G952" s="39" t="str">
        <f>IF(B952="","",IF(OR(M952="KXDDM",BOM!F952=""),0,BOM!F952))</f>
        <v/>
      </c>
      <c r="H952" s="39" t="str">
        <f t="shared" si="71"/>
        <v/>
      </c>
      <c r="I952" s="39" t="str">
        <f>IF(B952="","",SUMIFS(Mau15a!$H$11:$H$310,Mau15a!$B$11:$B$310,B952)+SUMIFS(Mau15a!$I$11:$I$310,Mau15a!$B$11:$B$310,B952)+SUMIFS(Mau15a!$J$11:$J$310,Mau15a!$B$11:$B$310,B952)-SUMIFS(Mau15a!$G$11:$G$310,Mau15a!$B$11:$B$310,B952))</f>
        <v/>
      </c>
      <c r="J952" s="39" t="str">
        <f t="shared" si="72"/>
        <v/>
      </c>
      <c r="K952" s="39" t="str">
        <f>IF(B952="","",(SUMIFS(Mau15a!$K$11:$K$310,Mau15a!$B$11:$B$310,B952)-SUMIFS(Mau15a!$E$11:$E$310,Mau15a!$B$11:$B$310,B952))*G952)</f>
        <v/>
      </c>
      <c r="L952" s="36" t="str">
        <f t="shared" si="73"/>
        <v/>
      </c>
      <c r="M952" s="36" t="str">
        <f>IF(B952="","",BOM!G952&amp;"")</f>
        <v/>
      </c>
      <c r="N952" s="36" t="str">
        <f t="shared" si="74"/>
        <v/>
      </c>
    </row>
    <row r="953" spans="1:14" x14ac:dyDescent="0.25">
      <c r="A953" s="35" t="str">
        <f t="shared" si="70"/>
        <v/>
      </c>
      <c r="B953" s="35" t="str">
        <f>IF(BOM!A953="","",BOM!A953)</f>
        <v/>
      </c>
      <c r="C953" s="35" t="str">
        <f>IF(B953="","",BOM!B953)</f>
        <v/>
      </c>
      <c r="D953" s="35" t="str">
        <f>IF(B953="","",IFERROR(INDEX(DM_NL!$B$5:$B$304,MATCH(C953,DM_NL!$A$5:$A$304,0)),""))</f>
        <v/>
      </c>
      <c r="E953" s="35" t="str">
        <f>IF(B953="","",IFERROR(INDEX(DM_NL!$C$5:$C$304,MATCH(C953,DM_NL!$A$5:$A$304,0)),""))</f>
        <v/>
      </c>
      <c r="F953" s="39" t="str">
        <f>IF(B953="","",SUMIFS(Mau15a!$F$11:$F$310,Mau15a!$B$11:$B$310,B953))</f>
        <v/>
      </c>
      <c r="G953" s="39" t="str">
        <f>IF(B953="","",IF(OR(M953="KXDDM",BOM!F953=""),0,BOM!F953))</f>
        <v/>
      </c>
      <c r="H953" s="39" t="str">
        <f t="shared" si="71"/>
        <v/>
      </c>
      <c r="I953" s="39" t="str">
        <f>IF(B953="","",SUMIFS(Mau15a!$H$11:$H$310,Mau15a!$B$11:$B$310,B953)+SUMIFS(Mau15a!$I$11:$I$310,Mau15a!$B$11:$B$310,B953)+SUMIFS(Mau15a!$J$11:$J$310,Mau15a!$B$11:$B$310,B953)-SUMIFS(Mau15a!$G$11:$G$310,Mau15a!$B$11:$B$310,B953))</f>
        <v/>
      </c>
      <c r="J953" s="39" t="str">
        <f t="shared" si="72"/>
        <v/>
      </c>
      <c r="K953" s="39" t="str">
        <f>IF(B953="","",(SUMIFS(Mau15a!$K$11:$K$310,Mau15a!$B$11:$B$310,B953)-SUMIFS(Mau15a!$E$11:$E$310,Mau15a!$B$11:$B$310,B953))*G953)</f>
        <v/>
      </c>
      <c r="L953" s="36" t="str">
        <f t="shared" si="73"/>
        <v/>
      </c>
      <c r="M953" s="36" t="str">
        <f>IF(B953="","",BOM!G953&amp;"")</f>
        <v/>
      </c>
      <c r="N953" s="36" t="str">
        <f t="shared" si="74"/>
        <v/>
      </c>
    </row>
    <row r="954" spans="1:14" x14ac:dyDescent="0.25">
      <c r="A954" s="35" t="str">
        <f t="shared" si="70"/>
        <v/>
      </c>
      <c r="B954" s="35" t="str">
        <f>IF(BOM!A954="","",BOM!A954)</f>
        <v/>
      </c>
      <c r="C954" s="35" t="str">
        <f>IF(B954="","",BOM!B954)</f>
        <v/>
      </c>
      <c r="D954" s="35" t="str">
        <f>IF(B954="","",IFERROR(INDEX(DM_NL!$B$5:$B$304,MATCH(C954,DM_NL!$A$5:$A$304,0)),""))</f>
        <v/>
      </c>
      <c r="E954" s="35" t="str">
        <f>IF(B954="","",IFERROR(INDEX(DM_NL!$C$5:$C$304,MATCH(C954,DM_NL!$A$5:$A$304,0)),""))</f>
        <v/>
      </c>
      <c r="F954" s="39" t="str">
        <f>IF(B954="","",SUMIFS(Mau15a!$F$11:$F$310,Mau15a!$B$11:$B$310,B954))</f>
        <v/>
      </c>
      <c r="G954" s="39" t="str">
        <f>IF(B954="","",IF(OR(M954="KXDDM",BOM!F954=""),0,BOM!F954))</f>
        <v/>
      </c>
      <c r="H954" s="39" t="str">
        <f t="shared" si="71"/>
        <v/>
      </c>
      <c r="I954" s="39" t="str">
        <f>IF(B954="","",SUMIFS(Mau15a!$H$11:$H$310,Mau15a!$B$11:$B$310,B954)+SUMIFS(Mau15a!$I$11:$I$310,Mau15a!$B$11:$B$310,B954)+SUMIFS(Mau15a!$J$11:$J$310,Mau15a!$B$11:$B$310,B954)-SUMIFS(Mau15a!$G$11:$G$310,Mau15a!$B$11:$B$310,B954))</f>
        <v/>
      </c>
      <c r="J954" s="39" t="str">
        <f t="shared" si="72"/>
        <v/>
      </c>
      <c r="K954" s="39" t="str">
        <f>IF(B954="","",(SUMIFS(Mau15a!$K$11:$K$310,Mau15a!$B$11:$B$310,B954)-SUMIFS(Mau15a!$E$11:$E$310,Mau15a!$B$11:$B$310,B954))*G954)</f>
        <v/>
      </c>
      <c r="L954" s="36" t="str">
        <f t="shared" si="73"/>
        <v/>
      </c>
      <c r="M954" s="36" t="str">
        <f>IF(B954="","",BOM!G954&amp;"")</f>
        <v/>
      </c>
      <c r="N954" s="36" t="str">
        <f t="shared" si="74"/>
        <v/>
      </c>
    </row>
    <row r="955" spans="1:14" x14ac:dyDescent="0.25">
      <c r="A955" s="35" t="str">
        <f t="shared" si="70"/>
        <v/>
      </c>
      <c r="B955" s="35" t="str">
        <f>IF(BOM!A955="","",BOM!A955)</f>
        <v/>
      </c>
      <c r="C955" s="35" t="str">
        <f>IF(B955="","",BOM!B955)</f>
        <v/>
      </c>
      <c r="D955" s="35" t="str">
        <f>IF(B955="","",IFERROR(INDEX(DM_NL!$B$5:$B$304,MATCH(C955,DM_NL!$A$5:$A$304,0)),""))</f>
        <v/>
      </c>
      <c r="E955" s="35" t="str">
        <f>IF(B955="","",IFERROR(INDEX(DM_NL!$C$5:$C$304,MATCH(C955,DM_NL!$A$5:$A$304,0)),""))</f>
        <v/>
      </c>
      <c r="F955" s="39" t="str">
        <f>IF(B955="","",SUMIFS(Mau15a!$F$11:$F$310,Mau15a!$B$11:$B$310,B955))</f>
        <v/>
      </c>
      <c r="G955" s="39" t="str">
        <f>IF(B955="","",IF(OR(M955="KXDDM",BOM!F955=""),0,BOM!F955))</f>
        <v/>
      </c>
      <c r="H955" s="39" t="str">
        <f t="shared" si="71"/>
        <v/>
      </c>
      <c r="I955" s="39" t="str">
        <f>IF(B955="","",SUMIFS(Mau15a!$H$11:$H$310,Mau15a!$B$11:$B$310,B955)+SUMIFS(Mau15a!$I$11:$I$310,Mau15a!$B$11:$B$310,B955)+SUMIFS(Mau15a!$J$11:$J$310,Mau15a!$B$11:$B$310,B955)-SUMIFS(Mau15a!$G$11:$G$310,Mau15a!$B$11:$B$310,B955))</f>
        <v/>
      </c>
      <c r="J955" s="39" t="str">
        <f t="shared" si="72"/>
        <v/>
      </c>
      <c r="K955" s="39" t="str">
        <f>IF(B955="","",(SUMIFS(Mau15a!$K$11:$K$310,Mau15a!$B$11:$B$310,B955)-SUMIFS(Mau15a!$E$11:$E$310,Mau15a!$B$11:$B$310,B955))*G955)</f>
        <v/>
      </c>
      <c r="L955" s="36" t="str">
        <f t="shared" si="73"/>
        <v/>
      </c>
      <c r="M955" s="36" t="str">
        <f>IF(B955="","",BOM!G955&amp;"")</f>
        <v/>
      </c>
      <c r="N955" s="36" t="str">
        <f t="shared" si="74"/>
        <v/>
      </c>
    </row>
    <row r="956" spans="1:14" x14ac:dyDescent="0.25">
      <c r="A956" s="35" t="str">
        <f t="shared" si="70"/>
        <v/>
      </c>
      <c r="B956" s="35" t="str">
        <f>IF(BOM!A956="","",BOM!A956)</f>
        <v/>
      </c>
      <c r="C956" s="35" t="str">
        <f>IF(B956="","",BOM!B956)</f>
        <v/>
      </c>
      <c r="D956" s="35" t="str">
        <f>IF(B956="","",IFERROR(INDEX(DM_NL!$B$5:$B$304,MATCH(C956,DM_NL!$A$5:$A$304,0)),""))</f>
        <v/>
      </c>
      <c r="E956" s="35" t="str">
        <f>IF(B956="","",IFERROR(INDEX(DM_NL!$C$5:$C$304,MATCH(C956,DM_NL!$A$5:$A$304,0)),""))</f>
        <v/>
      </c>
      <c r="F956" s="39" t="str">
        <f>IF(B956="","",SUMIFS(Mau15a!$F$11:$F$310,Mau15a!$B$11:$B$310,B956))</f>
        <v/>
      </c>
      <c r="G956" s="39" t="str">
        <f>IF(B956="","",IF(OR(M956="KXDDM",BOM!F956=""),0,BOM!F956))</f>
        <v/>
      </c>
      <c r="H956" s="39" t="str">
        <f t="shared" si="71"/>
        <v/>
      </c>
      <c r="I956" s="39" t="str">
        <f>IF(B956="","",SUMIFS(Mau15a!$H$11:$H$310,Mau15a!$B$11:$B$310,B956)+SUMIFS(Mau15a!$I$11:$I$310,Mau15a!$B$11:$B$310,B956)+SUMIFS(Mau15a!$J$11:$J$310,Mau15a!$B$11:$B$310,B956)-SUMIFS(Mau15a!$G$11:$G$310,Mau15a!$B$11:$B$310,B956))</f>
        <v/>
      </c>
      <c r="J956" s="39" t="str">
        <f t="shared" si="72"/>
        <v/>
      </c>
      <c r="K956" s="39" t="str">
        <f>IF(B956="","",(SUMIFS(Mau15a!$K$11:$K$310,Mau15a!$B$11:$B$310,B956)-SUMIFS(Mau15a!$E$11:$E$310,Mau15a!$B$11:$B$310,B956))*G956)</f>
        <v/>
      </c>
      <c r="L956" s="36" t="str">
        <f t="shared" si="73"/>
        <v/>
      </c>
      <c r="M956" s="36" t="str">
        <f>IF(B956="","",BOM!G956&amp;"")</f>
        <v/>
      </c>
      <c r="N956" s="36" t="str">
        <f t="shared" si="74"/>
        <v/>
      </c>
    </row>
    <row r="957" spans="1:14" x14ac:dyDescent="0.25">
      <c r="A957" s="35" t="str">
        <f t="shared" si="70"/>
        <v/>
      </c>
      <c r="B957" s="35" t="str">
        <f>IF(BOM!A957="","",BOM!A957)</f>
        <v/>
      </c>
      <c r="C957" s="35" t="str">
        <f>IF(B957="","",BOM!B957)</f>
        <v/>
      </c>
      <c r="D957" s="35" t="str">
        <f>IF(B957="","",IFERROR(INDEX(DM_NL!$B$5:$B$304,MATCH(C957,DM_NL!$A$5:$A$304,0)),""))</f>
        <v/>
      </c>
      <c r="E957" s="35" t="str">
        <f>IF(B957="","",IFERROR(INDEX(DM_NL!$C$5:$C$304,MATCH(C957,DM_NL!$A$5:$A$304,0)),""))</f>
        <v/>
      </c>
      <c r="F957" s="39" t="str">
        <f>IF(B957="","",SUMIFS(Mau15a!$F$11:$F$310,Mau15a!$B$11:$B$310,B957))</f>
        <v/>
      </c>
      <c r="G957" s="39" t="str">
        <f>IF(B957="","",IF(OR(M957="KXDDM",BOM!F957=""),0,BOM!F957))</f>
        <v/>
      </c>
      <c r="H957" s="39" t="str">
        <f t="shared" si="71"/>
        <v/>
      </c>
      <c r="I957" s="39" t="str">
        <f>IF(B957="","",SUMIFS(Mau15a!$H$11:$H$310,Mau15a!$B$11:$B$310,B957)+SUMIFS(Mau15a!$I$11:$I$310,Mau15a!$B$11:$B$310,B957)+SUMIFS(Mau15a!$J$11:$J$310,Mau15a!$B$11:$B$310,B957)-SUMIFS(Mau15a!$G$11:$G$310,Mau15a!$B$11:$B$310,B957))</f>
        <v/>
      </c>
      <c r="J957" s="39" t="str">
        <f t="shared" si="72"/>
        <v/>
      </c>
      <c r="K957" s="39" t="str">
        <f>IF(B957="","",(SUMIFS(Mau15a!$K$11:$K$310,Mau15a!$B$11:$B$310,B957)-SUMIFS(Mau15a!$E$11:$E$310,Mau15a!$B$11:$B$310,B957))*G957)</f>
        <v/>
      </c>
      <c r="L957" s="36" t="str">
        <f t="shared" si="73"/>
        <v/>
      </c>
      <c r="M957" s="36" t="str">
        <f>IF(B957="","",BOM!G957&amp;"")</f>
        <v/>
      </c>
      <c r="N957" s="36" t="str">
        <f t="shared" si="74"/>
        <v/>
      </c>
    </row>
    <row r="958" spans="1:14" x14ac:dyDescent="0.25">
      <c r="A958" s="35" t="str">
        <f t="shared" si="70"/>
        <v/>
      </c>
      <c r="B958" s="35" t="str">
        <f>IF(BOM!A958="","",BOM!A958)</f>
        <v/>
      </c>
      <c r="C958" s="35" t="str">
        <f>IF(B958="","",BOM!B958)</f>
        <v/>
      </c>
      <c r="D958" s="35" t="str">
        <f>IF(B958="","",IFERROR(INDEX(DM_NL!$B$5:$B$304,MATCH(C958,DM_NL!$A$5:$A$304,0)),""))</f>
        <v/>
      </c>
      <c r="E958" s="35" t="str">
        <f>IF(B958="","",IFERROR(INDEX(DM_NL!$C$5:$C$304,MATCH(C958,DM_NL!$A$5:$A$304,0)),""))</f>
        <v/>
      </c>
      <c r="F958" s="39" t="str">
        <f>IF(B958="","",SUMIFS(Mau15a!$F$11:$F$310,Mau15a!$B$11:$B$310,B958))</f>
        <v/>
      </c>
      <c r="G958" s="39" t="str">
        <f>IF(B958="","",IF(OR(M958="KXDDM",BOM!F958=""),0,BOM!F958))</f>
        <v/>
      </c>
      <c r="H958" s="39" t="str">
        <f t="shared" si="71"/>
        <v/>
      </c>
      <c r="I958" s="39" t="str">
        <f>IF(B958="","",SUMIFS(Mau15a!$H$11:$H$310,Mau15a!$B$11:$B$310,B958)+SUMIFS(Mau15a!$I$11:$I$310,Mau15a!$B$11:$B$310,B958)+SUMIFS(Mau15a!$J$11:$J$310,Mau15a!$B$11:$B$310,B958)-SUMIFS(Mau15a!$G$11:$G$310,Mau15a!$B$11:$B$310,B958))</f>
        <v/>
      </c>
      <c r="J958" s="39" t="str">
        <f t="shared" si="72"/>
        <v/>
      </c>
      <c r="K958" s="39" t="str">
        <f>IF(B958="","",(SUMIFS(Mau15a!$K$11:$K$310,Mau15a!$B$11:$B$310,B958)-SUMIFS(Mau15a!$E$11:$E$310,Mau15a!$B$11:$B$310,B958))*G958)</f>
        <v/>
      </c>
      <c r="L958" s="36" t="str">
        <f t="shared" si="73"/>
        <v/>
      </c>
      <c r="M958" s="36" t="str">
        <f>IF(B958="","",BOM!G958&amp;"")</f>
        <v/>
      </c>
      <c r="N958" s="36" t="str">
        <f t="shared" si="74"/>
        <v/>
      </c>
    </row>
    <row r="959" spans="1:14" x14ac:dyDescent="0.25">
      <c r="A959" s="35" t="str">
        <f t="shared" si="70"/>
        <v/>
      </c>
      <c r="B959" s="35" t="str">
        <f>IF(BOM!A959="","",BOM!A959)</f>
        <v/>
      </c>
      <c r="C959" s="35" t="str">
        <f>IF(B959="","",BOM!B959)</f>
        <v/>
      </c>
      <c r="D959" s="35" t="str">
        <f>IF(B959="","",IFERROR(INDEX(DM_NL!$B$5:$B$304,MATCH(C959,DM_NL!$A$5:$A$304,0)),""))</f>
        <v/>
      </c>
      <c r="E959" s="35" t="str">
        <f>IF(B959="","",IFERROR(INDEX(DM_NL!$C$5:$C$304,MATCH(C959,DM_NL!$A$5:$A$304,0)),""))</f>
        <v/>
      </c>
      <c r="F959" s="39" t="str">
        <f>IF(B959="","",SUMIFS(Mau15a!$F$11:$F$310,Mau15a!$B$11:$B$310,B959))</f>
        <v/>
      </c>
      <c r="G959" s="39" t="str">
        <f>IF(B959="","",IF(OR(M959="KXDDM",BOM!F959=""),0,BOM!F959))</f>
        <v/>
      </c>
      <c r="H959" s="39" t="str">
        <f t="shared" si="71"/>
        <v/>
      </c>
      <c r="I959" s="39" t="str">
        <f>IF(B959="","",SUMIFS(Mau15a!$H$11:$H$310,Mau15a!$B$11:$B$310,B959)+SUMIFS(Mau15a!$I$11:$I$310,Mau15a!$B$11:$B$310,B959)+SUMIFS(Mau15a!$J$11:$J$310,Mau15a!$B$11:$B$310,B959)-SUMIFS(Mau15a!$G$11:$G$310,Mau15a!$B$11:$B$310,B959))</f>
        <v/>
      </c>
      <c r="J959" s="39" t="str">
        <f t="shared" si="72"/>
        <v/>
      </c>
      <c r="K959" s="39" t="str">
        <f>IF(B959="","",(SUMIFS(Mau15a!$K$11:$K$310,Mau15a!$B$11:$B$310,B959)-SUMIFS(Mau15a!$E$11:$E$310,Mau15a!$B$11:$B$310,B959))*G959)</f>
        <v/>
      </c>
      <c r="L959" s="36" t="str">
        <f t="shared" si="73"/>
        <v/>
      </c>
      <c r="M959" s="36" t="str">
        <f>IF(B959="","",BOM!G959&amp;"")</f>
        <v/>
      </c>
      <c r="N959" s="36" t="str">
        <f t="shared" si="74"/>
        <v/>
      </c>
    </row>
    <row r="960" spans="1:14" x14ac:dyDescent="0.25">
      <c r="A960" s="35" t="str">
        <f t="shared" si="70"/>
        <v/>
      </c>
      <c r="B960" s="35" t="str">
        <f>IF(BOM!A960="","",BOM!A960)</f>
        <v/>
      </c>
      <c r="C960" s="35" t="str">
        <f>IF(B960="","",BOM!B960)</f>
        <v/>
      </c>
      <c r="D960" s="35" t="str">
        <f>IF(B960="","",IFERROR(INDEX(DM_NL!$B$5:$B$304,MATCH(C960,DM_NL!$A$5:$A$304,0)),""))</f>
        <v/>
      </c>
      <c r="E960" s="35" t="str">
        <f>IF(B960="","",IFERROR(INDEX(DM_NL!$C$5:$C$304,MATCH(C960,DM_NL!$A$5:$A$304,0)),""))</f>
        <v/>
      </c>
      <c r="F960" s="39" t="str">
        <f>IF(B960="","",SUMIFS(Mau15a!$F$11:$F$310,Mau15a!$B$11:$B$310,B960))</f>
        <v/>
      </c>
      <c r="G960" s="39" t="str">
        <f>IF(B960="","",IF(OR(M960="KXDDM",BOM!F960=""),0,BOM!F960))</f>
        <v/>
      </c>
      <c r="H960" s="39" t="str">
        <f t="shared" si="71"/>
        <v/>
      </c>
      <c r="I960" s="39" t="str">
        <f>IF(B960="","",SUMIFS(Mau15a!$H$11:$H$310,Mau15a!$B$11:$B$310,B960)+SUMIFS(Mau15a!$I$11:$I$310,Mau15a!$B$11:$B$310,B960)+SUMIFS(Mau15a!$J$11:$J$310,Mau15a!$B$11:$B$310,B960)-SUMIFS(Mau15a!$G$11:$G$310,Mau15a!$B$11:$B$310,B960))</f>
        <v/>
      </c>
      <c r="J960" s="39" t="str">
        <f t="shared" si="72"/>
        <v/>
      </c>
      <c r="K960" s="39" t="str">
        <f>IF(B960="","",(SUMIFS(Mau15a!$K$11:$K$310,Mau15a!$B$11:$B$310,B960)-SUMIFS(Mau15a!$E$11:$E$310,Mau15a!$B$11:$B$310,B960))*G960)</f>
        <v/>
      </c>
      <c r="L960" s="36" t="str">
        <f t="shared" si="73"/>
        <v/>
      </c>
      <c r="M960" s="36" t="str">
        <f>IF(B960="","",BOM!G960&amp;"")</f>
        <v/>
      </c>
      <c r="N960" s="36" t="str">
        <f t="shared" si="74"/>
        <v/>
      </c>
    </row>
    <row r="961" spans="1:14" x14ac:dyDescent="0.25">
      <c r="A961" s="35" t="str">
        <f t="shared" si="70"/>
        <v/>
      </c>
      <c r="B961" s="35" t="str">
        <f>IF(BOM!A961="","",BOM!A961)</f>
        <v/>
      </c>
      <c r="C961" s="35" t="str">
        <f>IF(B961="","",BOM!B961)</f>
        <v/>
      </c>
      <c r="D961" s="35" t="str">
        <f>IF(B961="","",IFERROR(INDEX(DM_NL!$B$5:$B$304,MATCH(C961,DM_NL!$A$5:$A$304,0)),""))</f>
        <v/>
      </c>
      <c r="E961" s="35" t="str">
        <f>IF(B961="","",IFERROR(INDEX(DM_NL!$C$5:$C$304,MATCH(C961,DM_NL!$A$5:$A$304,0)),""))</f>
        <v/>
      </c>
      <c r="F961" s="39" t="str">
        <f>IF(B961="","",SUMIFS(Mau15a!$F$11:$F$310,Mau15a!$B$11:$B$310,B961))</f>
        <v/>
      </c>
      <c r="G961" s="39" t="str">
        <f>IF(B961="","",IF(OR(M961="KXDDM",BOM!F961=""),0,BOM!F961))</f>
        <v/>
      </c>
      <c r="H961" s="39" t="str">
        <f t="shared" si="71"/>
        <v/>
      </c>
      <c r="I961" s="39" t="str">
        <f>IF(B961="","",SUMIFS(Mau15a!$H$11:$H$310,Mau15a!$B$11:$B$310,B961)+SUMIFS(Mau15a!$I$11:$I$310,Mau15a!$B$11:$B$310,B961)+SUMIFS(Mau15a!$J$11:$J$310,Mau15a!$B$11:$B$310,B961)-SUMIFS(Mau15a!$G$11:$G$310,Mau15a!$B$11:$B$310,B961))</f>
        <v/>
      </c>
      <c r="J961" s="39" t="str">
        <f t="shared" si="72"/>
        <v/>
      </c>
      <c r="K961" s="39" t="str">
        <f>IF(B961="","",(SUMIFS(Mau15a!$K$11:$K$310,Mau15a!$B$11:$B$310,B961)-SUMIFS(Mau15a!$E$11:$E$310,Mau15a!$B$11:$B$310,B961))*G961)</f>
        <v/>
      </c>
      <c r="L961" s="36" t="str">
        <f t="shared" si="73"/>
        <v/>
      </c>
      <c r="M961" s="36" t="str">
        <f>IF(B961="","",BOM!G961&amp;"")</f>
        <v/>
      </c>
      <c r="N961" s="36" t="str">
        <f t="shared" si="74"/>
        <v/>
      </c>
    </row>
    <row r="962" spans="1:14" x14ac:dyDescent="0.25">
      <c r="A962" s="35" t="str">
        <f t="shared" si="70"/>
        <v/>
      </c>
      <c r="B962" s="35" t="str">
        <f>IF(BOM!A962="","",BOM!A962)</f>
        <v/>
      </c>
      <c r="C962" s="35" t="str">
        <f>IF(B962="","",BOM!B962)</f>
        <v/>
      </c>
      <c r="D962" s="35" t="str">
        <f>IF(B962="","",IFERROR(INDEX(DM_NL!$B$5:$B$304,MATCH(C962,DM_NL!$A$5:$A$304,0)),""))</f>
        <v/>
      </c>
      <c r="E962" s="35" t="str">
        <f>IF(B962="","",IFERROR(INDEX(DM_NL!$C$5:$C$304,MATCH(C962,DM_NL!$A$5:$A$304,0)),""))</f>
        <v/>
      </c>
      <c r="F962" s="39" t="str">
        <f>IF(B962="","",SUMIFS(Mau15a!$F$11:$F$310,Mau15a!$B$11:$B$310,B962))</f>
        <v/>
      </c>
      <c r="G962" s="39" t="str">
        <f>IF(B962="","",IF(OR(M962="KXDDM",BOM!F962=""),0,BOM!F962))</f>
        <v/>
      </c>
      <c r="H962" s="39" t="str">
        <f t="shared" si="71"/>
        <v/>
      </c>
      <c r="I962" s="39" t="str">
        <f>IF(B962="","",SUMIFS(Mau15a!$H$11:$H$310,Mau15a!$B$11:$B$310,B962)+SUMIFS(Mau15a!$I$11:$I$310,Mau15a!$B$11:$B$310,B962)+SUMIFS(Mau15a!$J$11:$J$310,Mau15a!$B$11:$B$310,B962)-SUMIFS(Mau15a!$G$11:$G$310,Mau15a!$B$11:$B$310,B962))</f>
        <v/>
      </c>
      <c r="J962" s="39" t="str">
        <f t="shared" si="72"/>
        <v/>
      </c>
      <c r="K962" s="39" t="str">
        <f>IF(B962="","",(SUMIFS(Mau15a!$K$11:$K$310,Mau15a!$B$11:$B$310,B962)-SUMIFS(Mau15a!$E$11:$E$310,Mau15a!$B$11:$B$310,B962))*G962)</f>
        <v/>
      </c>
      <c r="L962" s="36" t="str">
        <f t="shared" si="73"/>
        <v/>
      </c>
      <c r="M962" s="36" t="str">
        <f>IF(B962="","",BOM!G962&amp;"")</f>
        <v/>
      </c>
      <c r="N962" s="36" t="str">
        <f t="shared" si="74"/>
        <v/>
      </c>
    </row>
    <row r="963" spans="1:14" x14ac:dyDescent="0.25">
      <c r="A963" s="35" t="str">
        <f t="shared" si="70"/>
        <v/>
      </c>
      <c r="B963" s="35" t="str">
        <f>IF(BOM!A963="","",BOM!A963)</f>
        <v/>
      </c>
      <c r="C963" s="35" t="str">
        <f>IF(B963="","",BOM!B963)</f>
        <v/>
      </c>
      <c r="D963" s="35" t="str">
        <f>IF(B963="","",IFERROR(INDEX(DM_NL!$B$5:$B$304,MATCH(C963,DM_NL!$A$5:$A$304,0)),""))</f>
        <v/>
      </c>
      <c r="E963" s="35" t="str">
        <f>IF(B963="","",IFERROR(INDEX(DM_NL!$C$5:$C$304,MATCH(C963,DM_NL!$A$5:$A$304,0)),""))</f>
        <v/>
      </c>
      <c r="F963" s="39" t="str">
        <f>IF(B963="","",SUMIFS(Mau15a!$F$11:$F$310,Mau15a!$B$11:$B$310,B963))</f>
        <v/>
      </c>
      <c r="G963" s="39" t="str">
        <f>IF(B963="","",IF(OR(M963="KXDDM",BOM!F963=""),0,BOM!F963))</f>
        <v/>
      </c>
      <c r="H963" s="39" t="str">
        <f t="shared" si="71"/>
        <v/>
      </c>
      <c r="I963" s="39" t="str">
        <f>IF(B963="","",SUMIFS(Mau15a!$H$11:$H$310,Mau15a!$B$11:$B$310,B963)+SUMIFS(Mau15a!$I$11:$I$310,Mau15a!$B$11:$B$310,B963)+SUMIFS(Mau15a!$J$11:$J$310,Mau15a!$B$11:$B$310,B963)-SUMIFS(Mau15a!$G$11:$G$310,Mau15a!$B$11:$B$310,B963))</f>
        <v/>
      </c>
      <c r="J963" s="39" t="str">
        <f t="shared" si="72"/>
        <v/>
      </c>
      <c r="K963" s="39" t="str">
        <f>IF(B963="","",(SUMIFS(Mau15a!$K$11:$K$310,Mau15a!$B$11:$B$310,B963)-SUMIFS(Mau15a!$E$11:$E$310,Mau15a!$B$11:$B$310,B963))*G963)</f>
        <v/>
      </c>
      <c r="L963" s="36" t="str">
        <f t="shared" si="73"/>
        <v/>
      </c>
      <c r="M963" s="36" t="str">
        <f>IF(B963="","",BOM!G963&amp;"")</f>
        <v/>
      </c>
      <c r="N963" s="36" t="str">
        <f t="shared" si="74"/>
        <v/>
      </c>
    </row>
    <row r="964" spans="1:14" x14ac:dyDescent="0.25">
      <c r="A964" s="35" t="str">
        <f t="shared" si="70"/>
        <v/>
      </c>
      <c r="B964" s="35" t="str">
        <f>IF(BOM!A964="","",BOM!A964)</f>
        <v/>
      </c>
      <c r="C964" s="35" t="str">
        <f>IF(B964="","",BOM!B964)</f>
        <v/>
      </c>
      <c r="D964" s="35" t="str">
        <f>IF(B964="","",IFERROR(INDEX(DM_NL!$B$5:$B$304,MATCH(C964,DM_NL!$A$5:$A$304,0)),""))</f>
        <v/>
      </c>
      <c r="E964" s="35" t="str">
        <f>IF(B964="","",IFERROR(INDEX(DM_NL!$C$5:$C$304,MATCH(C964,DM_NL!$A$5:$A$304,0)),""))</f>
        <v/>
      </c>
      <c r="F964" s="39" t="str">
        <f>IF(B964="","",SUMIFS(Mau15a!$F$11:$F$310,Mau15a!$B$11:$B$310,B964))</f>
        <v/>
      </c>
      <c r="G964" s="39" t="str">
        <f>IF(B964="","",IF(OR(M964="KXDDM",BOM!F964=""),0,BOM!F964))</f>
        <v/>
      </c>
      <c r="H964" s="39" t="str">
        <f t="shared" si="71"/>
        <v/>
      </c>
      <c r="I964" s="39" t="str">
        <f>IF(B964="","",SUMIFS(Mau15a!$H$11:$H$310,Mau15a!$B$11:$B$310,B964)+SUMIFS(Mau15a!$I$11:$I$310,Mau15a!$B$11:$B$310,B964)+SUMIFS(Mau15a!$J$11:$J$310,Mau15a!$B$11:$B$310,B964)-SUMIFS(Mau15a!$G$11:$G$310,Mau15a!$B$11:$B$310,B964))</f>
        <v/>
      </c>
      <c r="J964" s="39" t="str">
        <f t="shared" si="72"/>
        <v/>
      </c>
      <c r="K964" s="39" t="str">
        <f>IF(B964="","",(SUMIFS(Mau15a!$K$11:$K$310,Mau15a!$B$11:$B$310,B964)-SUMIFS(Mau15a!$E$11:$E$310,Mau15a!$B$11:$B$310,B964))*G964)</f>
        <v/>
      </c>
      <c r="L964" s="36" t="str">
        <f t="shared" si="73"/>
        <v/>
      </c>
      <c r="M964" s="36" t="str">
        <f>IF(B964="","",BOM!G964&amp;"")</f>
        <v/>
      </c>
      <c r="N964" s="36" t="str">
        <f t="shared" si="74"/>
        <v/>
      </c>
    </row>
    <row r="965" spans="1:14" x14ac:dyDescent="0.25">
      <c r="A965" s="35" t="str">
        <f t="shared" ref="A965:A1028" si="75">IF(B965="","",ROW()-4)</f>
        <v/>
      </c>
      <c r="B965" s="35" t="str">
        <f>IF(BOM!A965="","",BOM!A965)</f>
        <v/>
      </c>
      <c r="C965" s="35" t="str">
        <f>IF(B965="","",BOM!B965)</f>
        <v/>
      </c>
      <c r="D965" s="35" t="str">
        <f>IF(B965="","",IFERROR(INDEX(DM_NL!$B$5:$B$304,MATCH(C965,DM_NL!$A$5:$A$304,0)),""))</f>
        <v/>
      </c>
      <c r="E965" s="35" t="str">
        <f>IF(B965="","",IFERROR(INDEX(DM_NL!$C$5:$C$304,MATCH(C965,DM_NL!$A$5:$A$304,0)),""))</f>
        <v/>
      </c>
      <c r="F965" s="39" t="str">
        <f>IF(B965="","",SUMIFS(Mau15a!$F$11:$F$310,Mau15a!$B$11:$B$310,B965))</f>
        <v/>
      </c>
      <c r="G965" s="39" t="str">
        <f>IF(B965="","",IF(OR(M965="KXDDM",BOM!F965=""),0,BOM!F965))</f>
        <v/>
      </c>
      <c r="H965" s="39" t="str">
        <f t="shared" ref="H965:H1028" si="76">IF(B965="","",F965*G965)</f>
        <v/>
      </c>
      <c r="I965" s="39" t="str">
        <f>IF(B965="","",SUMIFS(Mau15a!$H$11:$H$310,Mau15a!$B$11:$B$310,B965)+SUMIFS(Mau15a!$I$11:$I$310,Mau15a!$B$11:$B$310,B965)+SUMIFS(Mau15a!$J$11:$J$310,Mau15a!$B$11:$B$310,B965)-SUMIFS(Mau15a!$G$11:$G$310,Mau15a!$B$11:$B$310,B965))</f>
        <v/>
      </c>
      <c r="J965" s="39" t="str">
        <f t="shared" ref="J965:J1028" si="77">IF(B965="","",I965*G965)</f>
        <v/>
      </c>
      <c r="K965" s="39" t="str">
        <f>IF(B965="","",(SUMIFS(Mau15a!$K$11:$K$310,Mau15a!$B$11:$B$310,B965)-SUMIFS(Mau15a!$E$11:$E$310,Mau15a!$B$11:$B$310,B965))*G965)</f>
        <v/>
      </c>
      <c r="L965" s="36" t="str">
        <f t="shared" ref="L965:L1028" si="78">IF(B965="","",IF(ABS(H965-J965-K965)&lt;0.000001,"Khớp","Lệch"))</f>
        <v/>
      </c>
      <c r="M965" s="36" t="str">
        <f>IF(B965="","",BOM!G965&amp;"")</f>
        <v/>
      </c>
      <c r="N965" s="36" t="str">
        <f t="shared" ref="N965:N1028" si="79">IF(B965="","",IF(M965="",1,0))</f>
        <v/>
      </c>
    </row>
    <row r="966" spans="1:14" x14ac:dyDescent="0.25">
      <c r="A966" s="35" t="str">
        <f t="shared" si="75"/>
        <v/>
      </c>
      <c r="B966" s="35" t="str">
        <f>IF(BOM!A966="","",BOM!A966)</f>
        <v/>
      </c>
      <c r="C966" s="35" t="str">
        <f>IF(B966="","",BOM!B966)</f>
        <v/>
      </c>
      <c r="D966" s="35" t="str">
        <f>IF(B966="","",IFERROR(INDEX(DM_NL!$B$5:$B$304,MATCH(C966,DM_NL!$A$5:$A$304,0)),""))</f>
        <v/>
      </c>
      <c r="E966" s="35" t="str">
        <f>IF(B966="","",IFERROR(INDEX(DM_NL!$C$5:$C$304,MATCH(C966,DM_NL!$A$5:$A$304,0)),""))</f>
        <v/>
      </c>
      <c r="F966" s="39" t="str">
        <f>IF(B966="","",SUMIFS(Mau15a!$F$11:$F$310,Mau15a!$B$11:$B$310,B966))</f>
        <v/>
      </c>
      <c r="G966" s="39" t="str">
        <f>IF(B966="","",IF(OR(M966="KXDDM",BOM!F966=""),0,BOM!F966))</f>
        <v/>
      </c>
      <c r="H966" s="39" t="str">
        <f t="shared" si="76"/>
        <v/>
      </c>
      <c r="I966" s="39" t="str">
        <f>IF(B966="","",SUMIFS(Mau15a!$H$11:$H$310,Mau15a!$B$11:$B$310,B966)+SUMIFS(Mau15a!$I$11:$I$310,Mau15a!$B$11:$B$310,B966)+SUMIFS(Mau15a!$J$11:$J$310,Mau15a!$B$11:$B$310,B966)-SUMIFS(Mau15a!$G$11:$G$310,Mau15a!$B$11:$B$310,B966))</f>
        <v/>
      </c>
      <c r="J966" s="39" t="str">
        <f t="shared" si="77"/>
        <v/>
      </c>
      <c r="K966" s="39" t="str">
        <f>IF(B966="","",(SUMIFS(Mau15a!$K$11:$K$310,Mau15a!$B$11:$B$310,B966)-SUMIFS(Mau15a!$E$11:$E$310,Mau15a!$B$11:$B$310,B966))*G966)</f>
        <v/>
      </c>
      <c r="L966" s="36" t="str">
        <f t="shared" si="78"/>
        <v/>
      </c>
      <c r="M966" s="36" t="str">
        <f>IF(B966="","",BOM!G966&amp;"")</f>
        <v/>
      </c>
      <c r="N966" s="36" t="str">
        <f t="shared" si="79"/>
        <v/>
      </c>
    </row>
    <row r="967" spans="1:14" x14ac:dyDescent="0.25">
      <c r="A967" s="35" t="str">
        <f t="shared" si="75"/>
        <v/>
      </c>
      <c r="B967" s="35" t="str">
        <f>IF(BOM!A967="","",BOM!A967)</f>
        <v/>
      </c>
      <c r="C967" s="35" t="str">
        <f>IF(B967="","",BOM!B967)</f>
        <v/>
      </c>
      <c r="D967" s="35" t="str">
        <f>IF(B967="","",IFERROR(INDEX(DM_NL!$B$5:$B$304,MATCH(C967,DM_NL!$A$5:$A$304,0)),""))</f>
        <v/>
      </c>
      <c r="E967" s="35" t="str">
        <f>IF(B967="","",IFERROR(INDEX(DM_NL!$C$5:$C$304,MATCH(C967,DM_NL!$A$5:$A$304,0)),""))</f>
        <v/>
      </c>
      <c r="F967" s="39" t="str">
        <f>IF(B967="","",SUMIFS(Mau15a!$F$11:$F$310,Mau15a!$B$11:$B$310,B967))</f>
        <v/>
      </c>
      <c r="G967" s="39" t="str">
        <f>IF(B967="","",IF(OR(M967="KXDDM",BOM!F967=""),0,BOM!F967))</f>
        <v/>
      </c>
      <c r="H967" s="39" t="str">
        <f t="shared" si="76"/>
        <v/>
      </c>
      <c r="I967" s="39" t="str">
        <f>IF(B967="","",SUMIFS(Mau15a!$H$11:$H$310,Mau15a!$B$11:$B$310,B967)+SUMIFS(Mau15a!$I$11:$I$310,Mau15a!$B$11:$B$310,B967)+SUMIFS(Mau15a!$J$11:$J$310,Mau15a!$B$11:$B$310,B967)-SUMIFS(Mau15a!$G$11:$G$310,Mau15a!$B$11:$B$310,B967))</f>
        <v/>
      </c>
      <c r="J967" s="39" t="str">
        <f t="shared" si="77"/>
        <v/>
      </c>
      <c r="K967" s="39" t="str">
        <f>IF(B967="","",(SUMIFS(Mau15a!$K$11:$K$310,Mau15a!$B$11:$B$310,B967)-SUMIFS(Mau15a!$E$11:$E$310,Mau15a!$B$11:$B$310,B967))*G967)</f>
        <v/>
      </c>
      <c r="L967" s="36" t="str">
        <f t="shared" si="78"/>
        <v/>
      </c>
      <c r="M967" s="36" t="str">
        <f>IF(B967="","",BOM!G967&amp;"")</f>
        <v/>
      </c>
      <c r="N967" s="36" t="str">
        <f t="shared" si="79"/>
        <v/>
      </c>
    </row>
    <row r="968" spans="1:14" x14ac:dyDescent="0.25">
      <c r="A968" s="35" t="str">
        <f t="shared" si="75"/>
        <v/>
      </c>
      <c r="B968" s="35" t="str">
        <f>IF(BOM!A968="","",BOM!A968)</f>
        <v/>
      </c>
      <c r="C968" s="35" t="str">
        <f>IF(B968="","",BOM!B968)</f>
        <v/>
      </c>
      <c r="D968" s="35" t="str">
        <f>IF(B968="","",IFERROR(INDEX(DM_NL!$B$5:$B$304,MATCH(C968,DM_NL!$A$5:$A$304,0)),""))</f>
        <v/>
      </c>
      <c r="E968" s="35" t="str">
        <f>IF(B968="","",IFERROR(INDEX(DM_NL!$C$5:$C$304,MATCH(C968,DM_NL!$A$5:$A$304,0)),""))</f>
        <v/>
      </c>
      <c r="F968" s="39" t="str">
        <f>IF(B968="","",SUMIFS(Mau15a!$F$11:$F$310,Mau15a!$B$11:$B$310,B968))</f>
        <v/>
      </c>
      <c r="G968" s="39" t="str">
        <f>IF(B968="","",IF(OR(M968="KXDDM",BOM!F968=""),0,BOM!F968))</f>
        <v/>
      </c>
      <c r="H968" s="39" t="str">
        <f t="shared" si="76"/>
        <v/>
      </c>
      <c r="I968" s="39" t="str">
        <f>IF(B968="","",SUMIFS(Mau15a!$H$11:$H$310,Mau15a!$B$11:$B$310,B968)+SUMIFS(Mau15a!$I$11:$I$310,Mau15a!$B$11:$B$310,B968)+SUMIFS(Mau15a!$J$11:$J$310,Mau15a!$B$11:$B$310,B968)-SUMIFS(Mau15a!$G$11:$G$310,Mau15a!$B$11:$B$310,B968))</f>
        <v/>
      </c>
      <c r="J968" s="39" t="str">
        <f t="shared" si="77"/>
        <v/>
      </c>
      <c r="K968" s="39" t="str">
        <f>IF(B968="","",(SUMIFS(Mau15a!$K$11:$K$310,Mau15a!$B$11:$B$310,B968)-SUMIFS(Mau15a!$E$11:$E$310,Mau15a!$B$11:$B$310,B968))*G968)</f>
        <v/>
      </c>
      <c r="L968" s="36" t="str">
        <f t="shared" si="78"/>
        <v/>
      </c>
      <c r="M968" s="36" t="str">
        <f>IF(B968="","",BOM!G968&amp;"")</f>
        <v/>
      </c>
      <c r="N968" s="36" t="str">
        <f t="shared" si="79"/>
        <v/>
      </c>
    </row>
    <row r="969" spans="1:14" x14ac:dyDescent="0.25">
      <c r="A969" s="35" t="str">
        <f t="shared" si="75"/>
        <v/>
      </c>
      <c r="B969" s="35" t="str">
        <f>IF(BOM!A969="","",BOM!A969)</f>
        <v/>
      </c>
      <c r="C969" s="35" t="str">
        <f>IF(B969="","",BOM!B969)</f>
        <v/>
      </c>
      <c r="D969" s="35" t="str">
        <f>IF(B969="","",IFERROR(INDEX(DM_NL!$B$5:$B$304,MATCH(C969,DM_NL!$A$5:$A$304,0)),""))</f>
        <v/>
      </c>
      <c r="E969" s="35" t="str">
        <f>IF(B969="","",IFERROR(INDEX(DM_NL!$C$5:$C$304,MATCH(C969,DM_NL!$A$5:$A$304,0)),""))</f>
        <v/>
      </c>
      <c r="F969" s="39" t="str">
        <f>IF(B969="","",SUMIFS(Mau15a!$F$11:$F$310,Mau15a!$B$11:$B$310,B969))</f>
        <v/>
      </c>
      <c r="G969" s="39" t="str">
        <f>IF(B969="","",IF(OR(M969="KXDDM",BOM!F969=""),0,BOM!F969))</f>
        <v/>
      </c>
      <c r="H969" s="39" t="str">
        <f t="shared" si="76"/>
        <v/>
      </c>
      <c r="I969" s="39" t="str">
        <f>IF(B969="","",SUMIFS(Mau15a!$H$11:$H$310,Mau15a!$B$11:$B$310,B969)+SUMIFS(Mau15a!$I$11:$I$310,Mau15a!$B$11:$B$310,B969)+SUMIFS(Mau15a!$J$11:$J$310,Mau15a!$B$11:$B$310,B969)-SUMIFS(Mau15a!$G$11:$G$310,Mau15a!$B$11:$B$310,B969))</f>
        <v/>
      </c>
      <c r="J969" s="39" t="str">
        <f t="shared" si="77"/>
        <v/>
      </c>
      <c r="K969" s="39" t="str">
        <f>IF(B969="","",(SUMIFS(Mau15a!$K$11:$K$310,Mau15a!$B$11:$B$310,B969)-SUMIFS(Mau15a!$E$11:$E$310,Mau15a!$B$11:$B$310,B969))*G969)</f>
        <v/>
      </c>
      <c r="L969" s="36" t="str">
        <f t="shared" si="78"/>
        <v/>
      </c>
      <c r="M969" s="36" t="str">
        <f>IF(B969="","",BOM!G969&amp;"")</f>
        <v/>
      </c>
      <c r="N969" s="36" t="str">
        <f t="shared" si="79"/>
        <v/>
      </c>
    </row>
    <row r="970" spans="1:14" x14ac:dyDescent="0.25">
      <c r="A970" s="35" t="str">
        <f t="shared" si="75"/>
        <v/>
      </c>
      <c r="B970" s="35" t="str">
        <f>IF(BOM!A970="","",BOM!A970)</f>
        <v/>
      </c>
      <c r="C970" s="35" t="str">
        <f>IF(B970="","",BOM!B970)</f>
        <v/>
      </c>
      <c r="D970" s="35" t="str">
        <f>IF(B970="","",IFERROR(INDEX(DM_NL!$B$5:$B$304,MATCH(C970,DM_NL!$A$5:$A$304,0)),""))</f>
        <v/>
      </c>
      <c r="E970" s="35" t="str">
        <f>IF(B970="","",IFERROR(INDEX(DM_NL!$C$5:$C$304,MATCH(C970,DM_NL!$A$5:$A$304,0)),""))</f>
        <v/>
      </c>
      <c r="F970" s="39" t="str">
        <f>IF(B970="","",SUMIFS(Mau15a!$F$11:$F$310,Mau15a!$B$11:$B$310,B970))</f>
        <v/>
      </c>
      <c r="G970" s="39" t="str">
        <f>IF(B970="","",IF(OR(M970="KXDDM",BOM!F970=""),0,BOM!F970))</f>
        <v/>
      </c>
      <c r="H970" s="39" t="str">
        <f t="shared" si="76"/>
        <v/>
      </c>
      <c r="I970" s="39" t="str">
        <f>IF(B970="","",SUMIFS(Mau15a!$H$11:$H$310,Mau15a!$B$11:$B$310,B970)+SUMIFS(Mau15a!$I$11:$I$310,Mau15a!$B$11:$B$310,B970)+SUMIFS(Mau15a!$J$11:$J$310,Mau15a!$B$11:$B$310,B970)-SUMIFS(Mau15a!$G$11:$G$310,Mau15a!$B$11:$B$310,B970))</f>
        <v/>
      </c>
      <c r="J970" s="39" t="str">
        <f t="shared" si="77"/>
        <v/>
      </c>
      <c r="K970" s="39" t="str">
        <f>IF(B970="","",(SUMIFS(Mau15a!$K$11:$K$310,Mau15a!$B$11:$B$310,B970)-SUMIFS(Mau15a!$E$11:$E$310,Mau15a!$B$11:$B$310,B970))*G970)</f>
        <v/>
      </c>
      <c r="L970" s="36" t="str">
        <f t="shared" si="78"/>
        <v/>
      </c>
      <c r="M970" s="36" t="str">
        <f>IF(B970="","",BOM!G970&amp;"")</f>
        <v/>
      </c>
      <c r="N970" s="36" t="str">
        <f t="shared" si="79"/>
        <v/>
      </c>
    </row>
    <row r="971" spans="1:14" x14ac:dyDescent="0.25">
      <c r="A971" s="35" t="str">
        <f t="shared" si="75"/>
        <v/>
      </c>
      <c r="B971" s="35" t="str">
        <f>IF(BOM!A971="","",BOM!A971)</f>
        <v/>
      </c>
      <c r="C971" s="35" t="str">
        <f>IF(B971="","",BOM!B971)</f>
        <v/>
      </c>
      <c r="D971" s="35" t="str">
        <f>IF(B971="","",IFERROR(INDEX(DM_NL!$B$5:$B$304,MATCH(C971,DM_NL!$A$5:$A$304,0)),""))</f>
        <v/>
      </c>
      <c r="E971" s="35" t="str">
        <f>IF(B971="","",IFERROR(INDEX(DM_NL!$C$5:$C$304,MATCH(C971,DM_NL!$A$5:$A$304,0)),""))</f>
        <v/>
      </c>
      <c r="F971" s="39" t="str">
        <f>IF(B971="","",SUMIFS(Mau15a!$F$11:$F$310,Mau15a!$B$11:$B$310,B971))</f>
        <v/>
      </c>
      <c r="G971" s="39" t="str">
        <f>IF(B971="","",IF(OR(M971="KXDDM",BOM!F971=""),0,BOM!F971))</f>
        <v/>
      </c>
      <c r="H971" s="39" t="str">
        <f t="shared" si="76"/>
        <v/>
      </c>
      <c r="I971" s="39" t="str">
        <f>IF(B971="","",SUMIFS(Mau15a!$H$11:$H$310,Mau15a!$B$11:$B$310,B971)+SUMIFS(Mau15a!$I$11:$I$310,Mau15a!$B$11:$B$310,B971)+SUMIFS(Mau15a!$J$11:$J$310,Mau15a!$B$11:$B$310,B971)-SUMIFS(Mau15a!$G$11:$G$310,Mau15a!$B$11:$B$310,B971))</f>
        <v/>
      </c>
      <c r="J971" s="39" t="str">
        <f t="shared" si="77"/>
        <v/>
      </c>
      <c r="K971" s="39" t="str">
        <f>IF(B971="","",(SUMIFS(Mau15a!$K$11:$K$310,Mau15a!$B$11:$B$310,B971)-SUMIFS(Mau15a!$E$11:$E$310,Mau15a!$B$11:$B$310,B971))*G971)</f>
        <v/>
      </c>
      <c r="L971" s="36" t="str">
        <f t="shared" si="78"/>
        <v/>
      </c>
      <c r="M971" s="36" t="str">
        <f>IF(B971="","",BOM!G971&amp;"")</f>
        <v/>
      </c>
      <c r="N971" s="36" t="str">
        <f t="shared" si="79"/>
        <v/>
      </c>
    </row>
    <row r="972" spans="1:14" x14ac:dyDescent="0.25">
      <c r="A972" s="35" t="str">
        <f t="shared" si="75"/>
        <v/>
      </c>
      <c r="B972" s="35" t="str">
        <f>IF(BOM!A972="","",BOM!A972)</f>
        <v/>
      </c>
      <c r="C972" s="35" t="str">
        <f>IF(B972="","",BOM!B972)</f>
        <v/>
      </c>
      <c r="D972" s="35" t="str">
        <f>IF(B972="","",IFERROR(INDEX(DM_NL!$B$5:$B$304,MATCH(C972,DM_NL!$A$5:$A$304,0)),""))</f>
        <v/>
      </c>
      <c r="E972" s="35" t="str">
        <f>IF(B972="","",IFERROR(INDEX(DM_NL!$C$5:$C$304,MATCH(C972,DM_NL!$A$5:$A$304,0)),""))</f>
        <v/>
      </c>
      <c r="F972" s="39" t="str">
        <f>IF(B972="","",SUMIFS(Mau15a!$F$11:$F$310,Mau15a!$B$11:$B$310,B972))</f>
        <v/>
      </c>
      <c r="G972" s="39" t="str">
        <f>IF(B972="","",IF(OR(M972="KXDDM",BOM!F972=""),0,BOM!F972))</f>
        <v/>
      </c>
      <c r="H972" s="39" t="str">
        <f t="shared" si="76"/>
        <v/>
      </c>
      <c r="I972" s="39" t="str">
        <f>IF(B972="","",SUMIFS(Mau15a!$H$11:$H$310,Mau15a!$B$11:$B$310,B972)+SUMIFS(Mau15a!$I$11:$I$310,Mau15a!$B$11:$B$310,B972)+SUMIFS(Mau15a!$J$11:$J$310,Mau15a!$B$11:$B$310,B972)-SUMIFS(Mau15a!$G$11:$G$310,Mau15a!$B$11:$B$310,B972))</f>
        <v/>
      </c>
      <c r="J972" s="39" t="str">
        <f t="shared" si="77"/>
        <v/>
      </c>
      <c r="K972" s="39" t="str">
        <f>IF(B972="","",(SUMIFS(Mau15a!$K$11:$K$310,Mau15a!$B$11:$B$310,B972)-SUMIFS(Mau15a!$E$11:$E$310,Mau15a!$B$11:$B$310,B972))*G972)</f>
        <v/>
      </c>
      <c r="L972" s="36" t="str">
        <f t="shared" si="78"/>
        <v/>
      </c>
      <c r="M972" s="36" t="str">
        <f>IF(B972="","",BOM!G972&amp;"")</f>
        <v/>
      </c>
      <c r="N972" s="36" t="str">
        <f t="shared" si="79"/>
        <v/>
      </c>
    </row>
    <row r="973" spans="1:14" x14ac:dyDescent="0.25">
      <c r="A973" s="35" t="str">
        <f t="shared" si="75"/>
        <v/>
      </c>
      <c r="B973" s="35" t="str">
        <f>IF(BOM!A973="","",BOM!A973)</f>
        <v/>
      </c>
      <c r="C973" s="35" t="str">
        <f>IF(B973="","",BOM!B973)</f>
        <v/>
      </c>
      <c r="D973" s="35" t="str">
        <f>IF(B973="","",IFERROR(INDEX(DM_NL!$B$5:$B$304,MATCH(C973,DM_NL!$A$5:$A$304,0)),""))</f>
        <v/>
      </c>
      <c r="E973" s="35" t="str">
        <f>IF(B973="","",IFERROR(INDEX(DM_NL!$C$5:$C$304,MATCH(C973,DM_NL!$A$5:$A$304,0)),""))</f>
        <v/>
      </c>
      <c r="F973" s="39" t="str">
        <f>IF(B973="","",SUMIFS(Mau15a!$F$11:$F$310,Mau15a!$B$11:$B$310,B973))</f>
        <v/>
      </c>
      <c r="G973" s="39" t="str">
        <f>IF(B973="","",IF(OR(M973="KXDDM",BOM!F973=""),0,BOM!F973))</f>
        <v/>
      </c>
      <c r="H973" s="39" t="str">
        <f t="shared" si="76"/>
        <v/>
      </c>
      <c r="I973" s="39" t="str">
        <f>IF(B973="","",SUMIFS(Mau15a!$H$11:$H$310,Mau15a!$B$11:$B$310,B973)+SUMIFS(Mau15a!$I$11:$I$310,Mau15a!$B$11:$B$310,B973)+SUMIFS(Mau15a!$J$11:$J$310,Mau15a!$B$11:$B$310,B973)-SUMIFS(Mau15a!$G$11:$G$310,Mau15a!$B$11:$B$310,B973))</f>
        <v/>
      </c>
      <c r="J973" s="39" t="str">
        <f t="shared" si="77"/>
        <v/>
      </c>
      <c r="K973" s="39" t="str">
        <f>IF(B973="","",(SUMIFS(Mau15a!$K$11:$K$310,Mau15a!$B$11:$B$310,B973)-SUMIFS(Mau15a!$E$11:$E$310,Mau15a!$B$11:$B$310,B973))*G973)</f>
        <v/>
      </c>
      <c r="L973" s="36" t="str">
        <f t="shared" si="78"/>
        <v/>
      </c>
      <c r="M973" s="36" t="str">
        <f>IF(B973="","",BOM!G973&amp;"")</f>
        <v/>
      </c>
      <c r="N973" s="36" t="str">
        <f t="shared" si="79"/>
        <v/>
      </c>
    </row>
    <row r="974" spans="1:14" x14ac:dyDescent="0.25">
      <c r="A974" s="35" t="str">
        <f t="shared" si="75"/>
        <v/>
      </c>
      <c r="B974" s="35" t="str">
        <f>IF(BOM!A974="","",BOM!A974)</f>
        <v/>
      </c>
      <c r="C974" s="35" t="str">
        <f>IF(B974="","",BOM!B974)</f>
        <v/>
      </c>
      <c r="D974" s="35" t="str">
        <f>IF(B974="","",IFERROR(INDEX(DM_NL!$B$5:$B$304,MATCH(C974,DM_NL!$A$5:$A$304,0)),""))</f>
        <v/>
      </c>
      <c r="E974" s="35" t="str">
        <f>IF(B974="","",IFERROR(INDEX(DM_NL!$C$5:$C$304,MATCH(C974,DM_NL!$A$5:$A$304,0)),""))</f>
        <v/>
      </c>
      <c r="F974" s="39" t="str">
        <f>IF(B974="","",SUMIFS(Mau15a!$F$11:$F$310,Mau15a!$B$11:$B$310,B974))</f>
        <v/>
      </c>
      <c r="G974" s="39" t="str">
        <f>IF(B974="","",IF(OR(M974="KXDDM",BOM!F974=""),0,BOM!F974))</f>
        <v/>
      </c>
      <c r="H974" s="39" t="str">
        <f t="shared" si="76"/>
        <v/>
      </c>
      <c r="I974" s="39" t="str">
        <f>IF(B974="","",SUMIFS(Mau15a!$H$11:$H$310,Mau15a!$B$11:$B$310,B974)+SUMIFS(Mau15a!$I$11:$I$310,Mau15a!$B$11:$B$310,B974)+SUMIFS(Mau15a!$J$11:$J$310,Mau15a!$B$11:$B$310,B974)-SUMIFS(Mau15a!$G$11:$G$310,Mau15a!$B$11:$B$310,B974))</f>
        <v/>
      </c>
      <c r="J974" s="39" t="str">
        <f t="shared" si="77"/>
        <v/>
      </c>
      <c r="K974" s="39" t="str">
        <f>IF(B974="","",(SUMIFS(Mau15a!$K$11:$K$310,Mau15a!$B$11:$B$310,B974)-SUMIFS(Mau15a!$E$11:$E$310,Mau15a!$B$11:$B$310,B974))*G974)</f>
        <v/>
      </c>
      <c r="L974" s="36" t="str">
        <f t="shared" si="78"/>
        <v/>
      </c>
      <c r="M974" s="36" t="str">
        <f>IF(B974="","",BOM!G974&amp;"")</f>
        <v/>
      </c>
      <c r="N974" s="36" t="str">
        <f t="shared" si="79"/>
        <v/>
      </c>
    </row>
    <row r="975" spans="1:14" x14ac:dyDescent="0.25">
      <c r="A975" s="35" t="str">
        <f t="shared" si="75"/>
        <v/>
      </c>
      <c r="B975" s="35" t="str">
        <f>IF(BOM!A975="","",BOM!A975)</f>
        <v/>
      </c>
      <c r="C975" s="35" t="str">
        <f>IF(B975="","",BOM!B975)</f>
        <v/>
      </c>
      <c r="D975" s="35" t="str">
        <f>IF(B975="","",IFERROR(INDEX(DM_NL!$B$5:$B$304,MATCH(C975,DM_NL!$A$5:$A$304,0)),""))</f>
        <v/>
      </c>
      <c r="E975" s="35" t="str">
        <f>IF(B975="","",IFERROR(INDEX(DM_NL!$C$5:$C$304,MATCH(C975,DM_NL!$A$5:$A$304,0)),""))</f>
        <v/>
      </c>
      <c r="F975" s="39" t="str">
        <f>IF(B975="","",SUMIFS(Mau15a!$F$11:$F$310,Mau15a!$B$11:$B$310,B975))</f>
        <v/>
      </c>
      <c r="G975" s="39" t="str">
        <f>IF(B975="","",IF(OR(M975="KXDDM",BOM!F975=""),0,BOM!F975))</f>
        <v/>
      </c>
      <c r="H975" s="39" t="str">
        <f t="shared" si="76"/>
        <v/>
      </c>
      <c r="I975" s="39" t="str">
        <f>IF(B975="","",SUMIFS(Mau15a!$H$11:$H$310,Mau15a!$B$11:$B$310,B975)+SUMIFS(Mau15a!$I$11:$I$310,Mau15a!$B$11:$B$310,B975)+SUMIFS(Mau15a!$J$11:$J$310,Mau15a!$B$11:$B$310,B975)-SUMIFS(Mau15a!$G$11:$G$310,Mau15a!$B$11:$B$310,B975))</f>
        <v/>
      </c>
      <c r="J975" s="39" t="str">
        <f t="shared" si="77"/>
        <v/>
      </c>
      <c r="K975" s="39" t="str">
        <f>IF(B975="","",(SUMIFS(Mau15a!$K$11:$K$310,Mau15a!$B$11:$B$310,B975)-SUMIFS(Mau15a!$E$11:$E$310,Mau15a!$B$11:$B$310,B975))*G975)</f>
        <v/>
      </c>
      <c r="L975" s="36" t="str">
        <f t="shared" si="78"/>
        <v/>
      </c>
      <c r="M975" s="36" t="str">
        <f>IF(B975="","",BOM!G975&amp;"")</f>
        <v/>
      </c>
      <c r="N975" s="36" t="str">
        <f t="shared" si="79"/>
        <v/>
      </c>
    </row>
    <row r="976" spans="1:14" x14ac:dyDescent="0.25">
      <c r="A976" s="35" t="str">
        <f t="shared" si="75"/>
        <v/>
      </c>
      <c r="B976" s="35" t="str">
        <f>IF(BOM!A976="","",BOM!A976)</f>
        <v/>
      </c>
      <c r="C976" s="35" t="str">
        <f>IF(B976="","",BOM!B976)</f>
        <v/>
      </c>
      <c r="D976" s="35" t="str">
        <f>IF(B976="","",IFERROR(INDEX(DM_NL!$B$5:$B$304,MATCH(C976,DM_NL!$A$5:$A$304,0)),""))</f>
        <v/>
      </c>
      <c r="E976" s="35" t="str">
        <f>IF(B976="","",IFERROR(INDEX(DM_NL!$C$5:$C$304,MATCH(C976,DM_NL!$A$5:$A$304,0)),""))</f>
        <v/>
      </c>
      <c r="F976" s="39" t="str">
        <f>IF(B976="","",SUMIFS(Mau15a!$F$11:$F$310,Mau15a!$B$11:$B$310,B976))</f>
        <v/>
      </c>
      <c r="G976" s="39" t="str">
        <f>IF(B976="","",IF(OR(M976="KXDDM",BOM!F976=""),0,BOM!F976))</f>
        <v/>
      </c>
      <c r="H976" s="39" t="str">
        <f t="shared" si="76"/>
        <v/>
      </c>
      <c r="I976" s="39" t="str">
        <f>IF(B976="","",SUMIFS(Mau15a!$H$11:$H$310,Mau15a!$B$11:$B$310,B976)+SUMIFS(Mau15a!$I$11:$I$310,Mau15a!$B$11:$B$310,B976)+SUMIFS(Mau15a!$J$11:$J$310,Mau15a!$B$11:$B$310,B976)-SUMIFS(Mau15a!$G$11:$G$310,Mau15a!$B$11:$B$310,B976))</f>
        <v/>
      </c>
      <c r="J976" s="39" t="str">
        <f t="shared" si="77"/>
        <v/>
      </c>
      <c r="K976" s="39" t="str">
        <f>IF(B976="","",(SUMIFS(Mau15a!$K$11:$K$310,Mau15a!$B$11:$B$310,B976)-SUMIFS(Mau15a!$E$11:$E$310,Mau15a!$B$11:$B$310,B976))*G976)</f>
        <v/>
      </c>
      <c r="L976" s="36" t="str">
        <f t="shared" si="78"/>
        <v/>
      </c>
      <c r="M976" s="36" t="str">
        <f>IF(B976="","",BOM!G976&amp;"")</f>
        <v/>
      </c>
      <c r="N976" s="36" t="str">
        <f t="shared" si="79"/>
        <v/>
      </c>
    </row>
    <row r="977" spans="1:14" x14ac:dyDescent="0.25">
      <c r="A977" s="35" t="str">
        <f t="shared" si="75"/>
        <v/>
      </c>
      <c r="B977" s="35" t="str">
        <f>IF(BOM!A977="","",BOM!A977)</f>
        <v/>
      </c>
      <c r="C977" s="35" t="str">
        <f>IF(B977="","",BOM!B977)</f>
        <v/>
      </c>
      <c r="D977" s="35" t="str">
        <f>IF(B977="","",IFERROR(INDEX(DM_NL!$B$5:$B$304,MATCH(C977,DM_NL!$A$5:$A$304,0)),""))</f>
        <v/>
      </c>
      <c r="E977" s="35" t="str">
        <f>IF(B977="","",IFERROR(INDEX(DM_NL!$C$5:$C$304,MATCH(C977,DM_NL!$A$5:$A$304,0)),""))</f>
        <v/>
      </c>
      <c r="F977" s="39" t="str">
        <f>IF(B977="","",SUMIFS(Mau15a!$F$11:$F$310,Mau15a!$B$11:$B$310,B977))</f>
        <v/>
      </c>
      <c r="G977" s="39" t="str">
        <f>IF(B977="","",IF(OR(M977="KXDDM",BOM!F977=""),0,BOM!F977))</f>
        <v/>
      </c>
      <c r="H977" s="39" t="str">
        <f t="shared" si="76"/>
        <v/>
      </c>
      <c r="I977" s="39" t="str">
        <f>IF(B977="","",SUMIFS(Mau15a!$H$11:$H$310,Mau15a!$B$11:$B$310,B977)+SUMIFS(Mau15a!$I$11:$I$310,Mau15a!$B$11:$B$310,B977)+SUMIFS(Mau15a!$J$11:$J$310,Mau15a!$B$11:$B$310,B977)-SUMIFS(Mau15a!$G$11:$G$310,Mau15a!$B$11:$B$310,B977))</f>
        <v/>
      </c>
      <c r="J977" s="39" t="str">
        <f t="shared" si="77"/>
        <v/>
      </c>
      <c r="K977" s="39" t="str">
        <f>IF(B977="","",(SUMIFS(Mau15a!$K$11:$K$310,Mau15a!$B$11:$B$310,B977)-SUMIFS(Mau15a!$E$11:$E$310,Mau15a!$B$11:$B$310,B977))*G977)</f>
        <v/>
      </c>
      <c r="L977" s="36" t="str">
        <f t="shared" si="78"/>
        <v/>
      </c>
      <c r="M977" s="36" t="str">
        <f>IF(B977="","",BOM!G977&amp;"")</f>
        <v/>
      </c>
      <c r="N977" s="36" t="str">
        <f t="shared" si="79"/>
        <v/>
      </c>
    </row>
    <row r="978" spans="1:14" x14ac:dyDescent="0.25">
      <c r="A978" s="35" t="str">
        <f t="shared" si="75"/>
        <v/>
      </c>
      <c r="B978" s="35" t="str">
        <f>IF(BOM!A978="","",BOM!A978)</f>
        <v/>
      </c>
      <c r="C978" s="35" t="str">
        <f>IF(B978="","",BOM!B978)</f>
        <v/>
      </c>
      <c r="D978" s="35" t="str">
        <f>IF(B978="","",IFERROR(INDEX(DM_NL!$B$5:$B$304,MATCH(C978,DM_NL!$A$5:$A$304,0)),""))</f>
        <v/>
      </c>
      <c r="E978" s="35" t="str">
        <f>IF(B978="","",IFERROR(INDEX(DM_NL!$C$5:$C$304,MATCH(C978,DM_NL!$A$5:$A$304,0)),""))</f>
        <v/>
      </c>
      <c r="F978" s="39" t="str">
        <f>IF(B978="","",SUMIFS(Mau15a!$F$11:$F$310,Mau15a!$B$11:$B$310,B978))</f>
        <v/>
      </c>
      <c r="G978" s="39" t="str">
        <f>IF(B978="","",IF(OR(M978="KXDDM",BOM!F978=""),0,BOM!F978))</f>
        <v/>
      </c>
      <c r="H978" s="39" t="str">
        <f t="shared" si="76"/>
        <v/>
      </c>
      <c r="I978" s="39" t="str">
        <f>IF(B978="","",SUMIFS(Mau15a!$H$11:$H$310,Mau15a!$B$11:$B$310,B978)+SUMIFS(Mau15a!$I$11:$I$310,Mau15a!$B$11:$B$310,B978)+SUMIFS(Mau15a!$J$11:$J$310,Mau15a!$B$11:$B$310,B978)-SUMIFS(Mau15a!$G$11:$G$310,Mau15a!$B$11:$B$310,B978))</f>
        <v/>
      </c>
      <c r="J978" s="39" t="str">
        <f t="shared" si="77"/>
        <v/>
      </c>
      <c r="K978" s="39" t="str">
        <f>IF(B978="","",(SUMIFS(Mau15a!$K$11:$K$310,Mau15a!$B$11:$B$310,B978)-SUMIFS(Mau15a!$E$11:$E$310,Mau15a!$B$11:$B$310,B978))*G978)</f>
        <v/>
      </c>
      <c r="L978" s="36" t="str">
        <f t="shared" si="78"/>
        <v/>
      </c>
      <c r="M978" s="36" t="str">
        <f>IF(B978="","",BOM!G978&amp;"")</f>
        <v/>
      </c>
      <c r="N978" s="36" t="str">
        <f t="shared" si="79"/>
        <v/>
      </c>
    </row>
    <row r="979" spans="1:14" x14ac:dyDescent="0.25">
      <c r="A979" s="35" t="str">
        <f t="shared" si="75"/>
        <v/>
      </c>
      <c r="B979" s="35" t="str">
        <f>IF(BOM!A979="","",BOM!A979)</f>
        <v/>
      </c>
      <c r="C979" s="35" t="str">
        <f>IF(B979="","",BOM!B979)</f>
        <v/>
      </c>
      <c r="D979" s="35" t="str">
        <f>IF(B979="","",IFERROR(INDEX(DM_NL!$B$5:$B$304,MATCH(C979,DM_NL!$A$5:$A$304,0)),""))</f>
        <v/>
      </c>
      <c r="E979" s="35" t="str">
        <f>IF(B979="","",IFERROR(INDEX(DM_NL!$C$5:$C$304,MATCH(C979,DM_NL!$A$5:$A$304,0)),""))</f>
        <v/>
      </c>
      <c r="F979" s="39" t="str">
        <f>IF(B979="","",SUMIFS(Mau15a!$F$11:$F$310,Mau15a!$B$11:$B$310,B979))</f>
        <v/>
      </c>
      <c r="G979" s="39" t="str">
        <f>IF(B979="","",IF(OR(M979="KXDDM",BOM!F979=""),0,BOM!F979))</f>
        <v/>
      </c>
      <c r="H979" s="39" t="str">
        <f t="shared" si="76"/>
        <v/>
      </c>
      <c r="I979" s="39" t="str">
        <f>IF(B979="","",SUMIFS(Mau15a!$H$11:$H$310,Mau15a!$B$11:$B$310,B979)+SUMIFS(Mau15a!$I$11:$I$310,Mau15a!$B$11:$B$310,B979)+SUMIFS(Mau15a!$J$11:$J$310,Mau15a!$B$11:$B$310,B979)-SUMIFS(Mau15a!$G$11:$G$310,Mau15a!$B$11:$B$310,B979))</f>
        <v/>
      </c>
      <c r="J979" s="39" t="str">
        <f t="shared" si="77"/>
        <v/>
      </c>
      <c r="K979" s="39" t="str">
        <f>IF(B979="","",(SUMIFS(Mau15a!$K$11:$K$310,Mau15a!$B$11:$B$310,B979)-SUMIFS(Mau15a!$E$11:$E$310,Mau15a!$B$11:$B$310,B979))*G979)</f>
        <v/>
      </c>
      <c r="L979" s="36" t="str">
        <f t="shared" si="78"/>
        <v/>
      </c>
      <c r="M979" s="36" t="str">
        <f>IF(B979="","",BOM!G979&amp;"")</f>
        <v/>
      </c>
      <c r="N979" s="36" t="str">
        <f t="shared" si="79"/>
        <v/>
      </c>
    </row>
    <row r="980" spans="1:14" x14ac:dyDescent="0.25">
      <c r="A980" s="35" t="str">
        <f t="shared" si="75"/>
        <v/>
      </c>
      <c r="B980" s="35" t="str">
        <f>IF(BOM!A980="","",BOM!A980)</f>
        <v/>
      </c>
      <c r="C980" s="35" t="str">
        <f>IF(B980="","",BOM!B980)</f>
        <v/>
      </c>
      <c r="D980" s="35" t="str">
        <f>IF(B980="","",IFERROR(INDEX(DM_NL!$B$5:$B$304,MATCH(C980,DM_NL!$A$5:$A$304,0)),""))</f>
        <v/>
      </c>
      <c r="E980" s="35" t="str">
        <f>IF(B980="","",IFERROR(INDEX(DM_NL!$C$5:$C$304,MATCH(C980,DM_NL!$A$5:$A$304,0)),""))</f>
        <v/>
      </c>
      <c r="F980" s="39" t="str">
        <f>IF(B980="","",SUMIFS(Mau15a!$F$11:$F$310,Mau15a!$B$11:$B$310,B980))</f>
        <v/>
      </c>
      <c r="G980" s="39" t="str">
        <f>IF(B980="","",IF(OR(M980="KXDDM",BOM!F980=""),0,BOM!F980))</f>
        <v/>
      </c>
      <c r="H980" s="39" t="str">
        <f t="shared" si="76"/>
        <v/>
      </c>
      <c r="I980" s="39" t="str">
        <f>IF(B980="","",SUMIFS(Mau15a!$H$11:$H$310,Mau15a!$B$11:$B$310,B980)+SUMIFS(Mau15a!$I$11:$I$310,Mau15a!$B$11:$B$310,B980)+SUMIFS(Mau15a!$J$11:$J$310,Mau15a!$B$11:$B$310,B980)-SUMIFS(Mau15a!$G$11:$G$310,Mau15a!$B$11:$B$310,B980))</f>
        <v/>
      </c>
      <c r="J980" s="39" t="str">
        <f t="shared" si="77"/>
        <v/>
      </c>
      <c r="K980" s="39" t="str">
        <f>IF(B980="","",(SUMIFS(Mau15a!$K$11:$K$310,Mau15a!$B$11:$B$310,B980)-SUMIFS(Mau15a!$E$11:$E$310,Mau15a!$B$11:$B$310,B980))*G980)</f>
        <v/>
      </c>
      <c r="L980" s="36" t="str">
        <f t="shared" si="78"/>
        <v/>
      </c>
      <c r="M980" s="36" t="str">
        <f>IF(B980="","",BOM!G980&amp;"")</f>
        <v/>
      </c>
      <c r="N980" s="36" t="str">
        <f t="shared" si="79"/>
        <v/>
      </c>
    </row>
    <row r="981" spans="1:14" x14ac:dyDescent="0.25">
      <c r="A981" s="35" t="str">
        <f t="shared" si="75"/>
        <v/>
      </c>
      <c r="B981" s="35" t="str">
        <f>IF(BOM!A981="","",BOM!A981)</f>
        <v/>
      </c>
      <c r="C981" s="35" t="str">
        <f>IF(B981="","",BOM!B981)</f>
        <v/>
      </c>
      <c r="D981" s="35" t="str">
        <f>IF(B981="","",IFERROR(INDEX(DM_NL!$B$5:$B$304,MATCH(C981,DM_NL!$A$5:$A$304,0)),""))</f>
        <v/>
      </c>
      <c r="E981" s="35" t="str">
        <f>IF(B981="","",IFERROR(INDEX(DM_NL!$C$5:$C$304,MATCH(C981,DM_NL!$A$5:$A$304,0)),""))</f>
        <v/>
      </c>
      <c r="F981" s="39" t="str">
        <f>IF(B981="","",SUMIFS(Mau15a!$F$11:$F$310,Mau15a!$B$11:$B$310,B981))</f>
        <v/>
      </c>
      <c r="G981" s="39" t="str">
        <f>IF(B981="","",IF(OR(M981="KXDDM",BOM!F981=""),0,BOM!F981))</f>
        <v/>
      </c>
      <c r="H981" s="39" t="str">
        <f t="shared" si="76"/>
        <v/>
      </c>
      <c r="I981" s="39" t="str">
        <f>IF(B981="","",SUMIFS(Mau15a!$H$11:$H$310,Mau15a!$B$11:$B$310,B981)+SUMIFS(Mau15a!$I$11:$I$310,Mau15a!$B$11:$B$310,B981)+SUMIFS(Mau15a!$J$11:$J$310,Mau15a!$B$11:$B$310,B981)-SUMIFS(Mau15a!$G$11:$G$310,Mau15a!$B$11:$B$310,B981))</f>
        <v/>
      </c>
      <c r="J981" s="39" t="str">
        <f t="shared" si="77"/>
        <v/>
      </c>
      <c r="K981" s="39" t="str">
        <f>IF(B981="","",(SUMIFS(Mau15a!$K$11:$K$310,Mau15a!$B$11:$B$310,B981)-SUMIFS(Mau15a!$E$11:$E$310,Mau15a!$B$11:$B$310,B981))*G981)</f>
        <v/>
      </c>
      <c r="L981" s="36" t="str">
        <f t="shared" si="78"/>
        <v/>
      </c>
      <c r="M981" s="36" t="str">
        <f>IF(B981="","",BOM!G981&amp;"")</f>
        <v/>
      </c>
      <c r="N981" s="36" t="str">
        <f t="shared" si="79"/>
        <v/>
      </c>
    </row>
    <row r="982" spans="1:14" x14ac:dyDescent="0.25">
      <c r="A982" s="35" t="str">
        <f t="shared" si="75"/>
        <v/>
      </c>
      <c r="B982" s="35" t="str">
        <f>IF(BOM!A982="","",BOM!A982)</f>
        <v/>
      </c>
      <c r="C982" s="35" t="str">
        <f>IF(B982="","",BOM!B982)</f>
        <v/>
      </c>
      <c r="D982" s="35" t="str">
        <f>IF(B982="","",IFERROR(INDEX(DM_NL!$B$5:$B$304,MATCH(C982,DM_NL!$A$5:$A$304,0)),""))</f>
        <v/>
      </c>
      <c r="E982" s="35" t="str">
        <f>IF(B982="","",IFERROR(INDEX(DM_NL!$C$5:$C$304,MATCH(C982,DM_NL!$A$5:$A$304,0)),""))</f>
        <v/>
      </c>
      <c r="F982" s="39" t="str">
        <f>IF(B982="","",SUMIFS(Mau15a!$F$11:$F$310,Mau15a!$B$11:$B$310,B982))</f>
        <v/>
      </c>
      <c r="G982" s="39" t="str">
        <f>IF(B982="","",IF(OR(M982="KXDDM",BOM!F982=""),0,BOM!F982))</f>
        <v/>
      </c>
      <c r="H982" s="39" t="str">
        <f t="shared" si="76"/>
        <v/>
      </c>
      <c r="I982" s="39" t="str">
        <f>IF(B982="","",SUMIFS(Mau15a!$H$11:$H$310,Mau15a!$B$11:$B$310,B982)+SUMIFS(Mau15a!$I$11:$I$310,Mau15a!$B$11:$B$310,B982)+SUMIFS(Mau15a!$J$11:$J$310,Mau15a!$B$11:$B$310,B982)-SUMIFS(Mau15a!$G$11:$G$310,Mau15a!$B$11:$B$310,B982))</f>
        <v/>
      </c>
      <c r="J982" s="39" t="str">
        <f t="shared" si="77"/>
        <v/>
      </c>
      <c r="K982" s="39" t="str">
        <f>IF(B982="","",(SUMIFS(Mau15a!$K$11:$K$310,Mau15a!$B$11:$B$310,B982)-SUMIFS(Mau15a!$E$11:$E$310,Mau15a!$B$11:$B$310,B982))*G982)</f>
        <v/>
      </c>
      <c r="L982" s="36" t="str">
        <f t="shared" si="78"/>
        <v/>
      </c>
      <c r="M982" s="36" t="str">
        <f>IF(B982="","",BOM!G982&amp;"")</f>
        <v/>
      </c>
      <c r="N982" s="36" t="str">
        <f t="shared" si="79"/>
        <v/>
      </c>
    </row>
    <row r="983" spans="1:14" x14ac:dyDescent="0.25">
      <c r="A983" s="35" t="str">
        <f t="shared" si="75"/>
        <v/>
      </c>
      <c r="B983" s="35" t="str">
        <f>IF(BOM!A983="","",BOM!A983)</f>
        <v/>
      </c>
      <c r="C983" s="35" t="str">
        <f>IF(B983="","",BOM!B983)</f>
        <v/>
      </c>
      <c r="D983" s="35" t="str">
        <f>IF(B983="","",IFERROR(INDEX(DM_NL!$B$5:$B$304,MATCH(C983,DM_NL!$A$5:$A$304,0)),""))</f>
        <v/>
      </c>
      <c r="E983" s="35" t="str">
        <f>IF(B983="","",IFERROR(INDEX(DM_NL!$C$5:$C$304,MATCH(C983,DM_NL!$A$5:$A$304,0)),""))</f>
        <v/>
      </c>
      <c r="F983" s="39" t="str">
        <f>IF(B983="","",SUMIFS(Mau15a!$F$11:$F$310,Mau15a!$B$11:$B$310,B983))</f>
        <v/>
      </c>
      <c r="G983" s="39" t="str">
        <f>IF(B983="","",IF(OR(M983="KXDDM",BOM!F983=""),0,BOM!F983))</f>
        <v/>
      </c>
      <c r="H983" s="39" t="str">
        <f t="shared" si="76"/>
        <v/>
      </c>
      <c r="I983" s="39" t="str">
        <f>IF(B983="","",SUMIFS(Mau15a!$H$11:$H$310,Mau15a!$B$11:$B$310,B983)+SUMIFS(Mau15a!$I$11:$I$310,Mau15a!$B$11:$B$310,B983)+SUMIFS(Mau15a!$J$11:$J$310,Mau15a!$B$11:$B$310,B983)-SUMIFS(Mau15a!$G$11:$G$310,Mau15a!$B$11:$B$310,B983))</f>
        <v/>
      </c>
      <c r="J983" s="39" t="str">
        <f t="shared" si="77"/>
        <v/>
      </c>
      <c r="K983" s="39" t="str">
        <f>IF(B983="","",(SUMIFS(Mau15a!$K$11:$K$310,Mau15a!$B$11:$B$310,B983)-SUMIFS(Mau15a!$E$11:$E$310,Mau15a!$B$11:$B$310,B983))*G983)</f>
        <v/>
      </c>
      <c r="L983" s="36" t="str">
        <f t="shared" si="78"/>
        <v/>
      </c>
      <c r="M983" s="36" t="str">
        <f>IF(B983="","",BOM!G983&amp;"")</f>
        <v/>
      </c>
      <c r="N983" s="36" t="str">
        <f t="shared" si="79"/>
        <v/>
      </c>
    </row>
    <row r="984" spans="1:14" x14ac:dyDescent="0.25">
      <c r="A984" s="35" t="str">
        <f t="shared" si="75"/>
        <v/>
      </c>
      <c r="B984" s="35" t="str">
        <f>IF(BOM!A984="","",BOM!A984)</f>
        <v/>
      </c>
      <c r="C984" s="35" t="str">
        <f>IF(B984="","",BOM!B984)</f>
        <v/>
      </c>
      <c r="D984" s="35" t="str">
        <f>IF(B984="","",IFERROR(INDEX(DM_NL!$B$5:$B$304,MATCH(C984,DM_NL!$A$5:$A$304,0)),""))</f>
        <v/>
      </c>
      <c r="E984" s="35" t="str">
        <f>IF(B984="","",IFERROR(INDEX(DM_NL!$C$5:$C$304,MATCH(C984,DM_NL!$A$5:$A$304,0)),""))</f>
        <v/>
      </c>
      <c r="F984" s="39" t="str">
        <f>IF(B984="","",SUMIFS(Mau15a!$F$11:$F$310,Mau15a!$B$11:$B$310,B984))</f>
        <v/>
      </c>
      <c r="G984" s="39" t="str">
        <f>IF(B984="","",IF(OR(M984="KXDDM",BOM!F984=""),0,BOM!F984))</f>
        <v/>
      </c>
      <c r="H984" s="39" t="str">
        <f t="shared" si="76"/>
        <v/>
      </c>
      <c r="I984" s="39" t="str">
        <f>IF(B984="","",SUMIFS(Mau15a!$H$11:$H$310,Mau15a!$B$11:$B$310,B984)+SUMIFS(Mau15a!$I$11:$I$310,Mau15a!$B$11:$B$310,B984)+SUMIFS(Mau15a!$J$11:$J$310,Mau15a!$B$11:$B$310,B984)-SUMIFS(Mau15a!$G$11:$G$310,Mau15a!$B$11:$B$310,B984))</f>
        <v/>
      </c>
      <c r="J984" s="39" t="str">
        <f t="shared" si="77"/>
        <v/>
      </c>
      <c r="K984" s="39" t="str">
        <f>IF(B984="","",(SUMIFS(Mau15a!$K$11:$K$310,Mau15a!$B$11:$B$310,B984)-SUMIFS(Mau15a!$E$11:$E$310,Mau15a!$B$11:$B$310,B984))*G984)</f>
        <v/>
      </c>
      <c r="L984" s="36" t="str">
        <f t="shared" si="78"/>
        <v/>
      </c>
      <c r="M984" s="36" t="str">
        <f>IF(B984="","",BOM!G984&amp;"")</f>
        <v/>
      </c>
      <c r="N984" s="36" t="str">
        <f t="shared" si="79"/>
        <v/>
      </c>
    </row>
    <row r="985" spans="1:14" x14ac:dyDescent="0.25">
      <c r="A985" s="35" t="str">
        <f t="shared" si="75"/>
        <v/>
      </c>
      <c r="B985" s="35" t="str">
        <f>IF(BOM!A985="","",BOM!A985)</f>
        <v/>
      </c>
      <c r="C985" s="35" t="str">
        <f>IF(B985="","",BOM!B985)</f>
        <v/>
      </c>
      <c r="D985" s="35" t="str">
        <f>IF(B985="","",IFERROR(INDEX(DM_NL!$B$5:$B$304,MATCH(C985,DM_NL!$A$5:$A$304,0)),""))</f>
        <v/>
      </c>
      <c r="E985" s="35" t="str">
        <f>IF(B985="","",IFERROR(INDEX(DM_NL!$C$5:$C$304,MATCH(C985,DM_NL!$A$5:$A$304,0)),""))</f>
        <v/>
      </c>
      <c r="F985" s="39" t="str">
        <f>IF(B985="","",SUMIFS(Mau15a!$F$11:$F$310,Mau15a!$B$11:$B$310,B985))</f>
        <v/>
      </c>
      <c r="G985" s="39" t="str">
        <f>IF(B985="","",IF(OR(M985="KXDDM",BOM!F985=""),0,BOM!F985))</f>
        <v/>
      </c>
      <c r="H985" s="39" t="str">
        <f t="shared" si="76"/>
        <v/>
      </c>
      <c r="I985" s="39" t="str">
        <f>IF(B985="","",SUMIFS(Mau15a!$H$11:$H$310,Mau15a!$B$11:$B$310,B985)+SUMIFS(Mau15a!$I$11:$I$310,Mau15a!$B$11:$B$310,B985)+SUMIFS(Mau15a!$J$11:$J$310,Mau15a!$B$11:$B$310,B985)-SUMIFS(Mau15a!$G$11:$G$310,Mau15a!$B$11:$B$310,B985))</f>
        <v/>
      </c>
      <c r="J985" s="39" t="str">
        <f t="shared" si="77"/>
        <v/>
      </c>
      <c r="K985" s="39" t="str">
        <f>IF(B985="","",(SUMIFS(Mau15a!$K$11:$K$310,Mau15a!$B$11:$B$310,B985)-SUMIFS(Mau15a!$E$11:$E$310,Mau15a!$B$11:$B$310,B985))*G985)</f>
        <v/>
      </c>
      <c r="L985" s="36" t="str">
        <f t="shared" si="78"/>
        <v/>
      </c>
      <c r="M985" s="36" t="str">
        <f>IF(B985="","",BOM!G985&amp;"")</f>
        <v/>
      </c>
      <c r="N985" s="36" t="str">
        <f t="shared" si="79"/>
        <v/>
      </c>
    </row>
    <row r="986" spans="1:14" x14ac:dyDescent="0.25">
      <c r="A986" s="35" t="str">
        <f t="shared" si="75"/>
        <v/>
      </c>
      <c r="B986" s="35" t="str">
        <f>IF(BOM!A986="","",BOM!A986)</f>
        <v/>
      </c>
      <c r="C986" s="35" t="str">
        <f>IF(B986="","",BOM!B986)</f>
        <v/>
      </c>
      <c r="D986" s="35" t="str">
        <f>IF(B986="","",IFERROR(INDEX(DM_NL!$B$5:$B$304,MATCH(C986,DM_NL!$A$5:$A$304,0)),""))</f>
        <v/>
      </c>
      <c r="E986" s="35" t="str">
        <f>IF(B986="","",IFERROR(INDEX(DM_NL!$C$5:$C$304,MATCH(C986,DM_NL!$A$5:$A$304,0)),""))</f>
        <v/>
      </c>
      <c r="F986" s="39" t="str">
        <f>IF(B986="","",SUMIFS(Mau15a!$F$11:$F$310,Mau15a!$B$11:$B$310,B986))</f>
        <v/>
      </c>
      <c r="G986" s="39" t="str">
        <f>IF(B986="","",IF(OR(M986="KXDDM",BOM!F986=""),0,BOM!F986))</f>
        <v/>
      </c>
      <c r="H986" s="39" t="str">
        <f t="shared" si="76"/>
        <v/>
      </c>
      <c r="I986" s="39" t="str">
        <f>IF(B986="","",SUMIFS(Mau15a!$H$11:$H$310,Mau15a!$B$11:$B$310,B986)+SUMIFS(Mau15a!$I$11:$I$310,Mau15a!$B$11:$B$310,B986)+SUMIFS(Mau15a!$J$11:$J$310,Mau15a!$B$11:$B$310,B986)-SUMIFS(Mau15a!$G$11:$G$310,Mau15a!$B$11:$B$310,B986))</f>
        <v/>
      </c>
      <c r="J986" s="39" t="str">
        <f t="shared" si="77"/>
        <v/>
      </c>
      <c r="K986" s="39" t="str">
        <f>IF(B986="","",(SUMIFS(Mau15a!$K$11:$K$310,Mau15a!$B$11:$B$310,B986)-SUMIFS(Mau15a!$E$11:$E$310,Mau15a!$B$11:$B$310,B986))*G986)</f>
        <v/>
      </c>
      <c r="L986" s="36" t="str">
        <f t="shared" si="78"/>
        <v/>
      </c>
      <c r="M986" s="36" t="str">
        <f>IF(B986="","",BOM!G986&amp;"")</f>
        <v/>
      </c>
      <c r="N986" s="36" t="str">
        <f t="shared" si="79"/>
        <v/>
      </c>
    </row>
    <row r="987" spans="1:14" x14ac:dyDescent="0.25">
      <c r="A987" s="35" t="str">
        <f t="shared" si="75"/>
        <v/>
      </c>
      <c r="B987" s="35" t="str">
        <f>IF(BOM!A987="","",BOM!A987)</f>
        <v/>
      </c>
      <c r="C987" s="35" t="str">
        <f>IF(B987="","",BOM!B987)</f>
        <v/>
      </c>
      <c r="D987" s="35" t="str">
        <f>IF(B987="","",IFERROR(INDEX(DM_NL!$B$5:$B$304,MATCH(C987,DM_NL!$A$5:$A$304,0)),""))</f>
        <v/>
      </c>
      <c r="E987" s="35" t="str">
        <f>IF(B987="","",IFERROR(INDEX(DM_NL!$C$5:$C$304,MATCH(C987,DM_NL!$A$5:$A$304,0)),""))</f>
        <v/>
      </c>
      <c r="F987" s="39" t="str">
        <f>IF(B987="","",SUMIFS(Mau15a!$F$11:$F$310,Mau15a!$B$11:$B$310,B987))</f>
        <v/>
      </c>
      <c r="G987" s="39" t="str">
        <f>IF(B987="","",IF(OR(M987="KXDDM",BOM!F987=""),0,BOM!F987))</f>
        <v/>
      </c>
      <c r="H987" s="39" t="str">
        <f t="shared" si="76"/>
        <v/>
      </c>
      <c r="I987" s="39" t="str">
        <f>IF(B987="","",SUMIFS(Mau15a!$H$11:$H$310,Mau15a!$B$11:$B$310,B987)+SUMIFS(Mau15a!$I$11:$I$310,Mau15a!$B$11:$B$310,B987)+SUMIFS(Mau15a!$J$11:$J$310,Mau15a!$B$11:$B$310,B987)-SUMIFS(Mau15a!$G$11:$G$310,Mau15a!$B$11:$B$310,B987))</f>
        <v/>
      </c>
      <c r="J987" s="39" t="str">
        <f t="shared" si="77"/>
        <v/>
      </c>
      <c r="K987" s="39" t="str">
        <f>IF(B987="","",(SUMIFS(Mau15a!$K$11:$K$310,Mau15a!$B$11:$B$310,B987)-SUMIFS(Mau15a!$E$11:$E$310,Mau15a!$B$11:$B$310,B987))*G987)</f>
        <v/>
      </c>
      <c r="L987" s="36" t="str">
        <f t="shared" si="78"/>
        <v/>
      </c>
      <c r="M987" s="36" t="str">
        <f>IF(B987="","",BOM!G987&amp;"")</f>
        <v/>
      </c>
      <c r="N987" s="36" t="str">
        <f t="shared" si="79"/>
        <v/>
      </c>
    </row>
    <row r="988" spans="1:14" x14ac:dyDescent="0.25">
      <c r="A988" s="35" t="str">
        <f t="shared" si="75"/>
        <v/>
      </c>
      <c r="B988" s="35" t="str">
        <f>IF(BOM!A988="","",BOM!A988)</f>
        <v/>
      </c>
      <c r="C988" s="35" t="str">
        <f>IF(B988="","",BOM!B988)</f>
        <v/>
      </c>
      <c r="D988" s="35" t="str">
        <f>IF(B988="","",IFERROR(INDEX(DM_NL!$B$5:$B$304,MATCH(C988,DM_NL!$A$5:$A$304,0)),""))</f>
        <v/>
      </c>
      <c r="E988" s="35" t="str">
        <f>IF(B988="","",IFERROR(INDEX(DM_NL!$C$5:$C$304,MATCH(C988,DM_NL!$A$5:$A$304,0)),""))</f>
        <v/>
      </c>
      <c r="F988" s="39" t="str">
        <f>IF(B988="","",SUMIFS(Mau15a!$F$11:$F$310,Mau15a!$B$11:$B$310,B988))</f>
        <v/>
      </c>
      <c r="G988" s="39" t="str">
        <f>IF(B988="","",IF(OR(M988="KXDDM",BOM!F988=""),0,BOM!F988))</f>
        <v/>
      </c>
      <c r="H988" s="39" t="str">
        <f t="shared" si="76"/>
        <v/>
      </c>
      <c r="I988" s="39" t="str">
        <f>IF(B988="","",SUMIFS(Mau15a!$H$11:$H$310,Mau15a!$B$11:$B$310,B988)+SUMIFS(Mau15a!$I$11:$I$310,Mau15a!$B$11:$B$310,B988)+SUMIFS(Mau15a!$J$11:$J$310,Mau15a!$B$11:$B$310,B988)-SUMIFS(Mau15a!$G$11:$G$310,Mau15a!$B$11:$B$310,B988))</f>
        <v/>
      </c>
      <c r="J988" s="39" t="str">
        <f t="shared" si="77"/>
        <v/>
      </c>
      <c r="K988" s="39" t="str">
        <f>IF(B988="","",(SUMIFS(Mau15a!$K$11:$K$310,Mau15a!$B$11:$B$310,B988)-SUMIFS(Mau15a!$E$11:$E$310,Mau15a!$B$11:$B$310,B988))*G988)</f>
        <v/>
      </c>
      <c r="L988" s="36" t="str">
        <f t="shared" si="78"/>
        <v/>
      </c>
      <c r="M988" s="36" t="str">
        <f>IF(B988="","",BOM!G988&amp;"")</f>
        <v/>
      </c>
      <c r="N988" s="36" t="str">
        <f t="shared" si="79"/>
        <v/>
      </c>
    </row>
    <row r="989" spans="1:14" x14ac:dyDescent="0.25">
      <c r="A989" s="35" t="str">
        <f t="shared" si="75"/>
        <v/>
      </c>
      <c r="B989" s="35" t="str">
        <f>IF(BOM!A989="","",BOM!A989)</f>
        <v/>
      </c>
      <c r="C989" s="35" t="str">
        <f>IF(B989="","",BOM!B989)</f>
        <v/>
      </c>
      <c r="D989" s="35" t="str">
        <f>IF(B989="","",IFERROR(INDEX(DM_NL!$B$5:$B$304,MATCH(C989,DM_NL!$A$5:$A$304,0)),""))</f>
        <v/>
      </c>
      <c r="E989" s="35" t="str">
        <f>IF(B989="","",IFERROR(INDEX(DM_NL!$C$5:$C$304,MATCH(C989,DM_NL!$A$5:$A$304,0)),""))</f>
        <v/>
      </c>
      <c r="F989" s="39" t="str">
        <f>IF(B989="","",SUMIFS(Mau15a!$F$11:$F$310,Mau15a!$B$11:$B$310,B989))</f>
        <v/>
      </c>
      <c r="G989" s="39" t="str">
        <f>IF(B989="","",IF(OR(M989="KXDDM",BOM!F989=""),0,BOM!F989))</f>
        <v/>
      </c>
      <c r="H989" s="39" t="str">
        <f t="shared" si="76"/>
        <v/>
      </c>
      <c r="I989" s="39" t="str">
        <f>IF(B989="","",SUMIFS(Mau15a!$H$11:$H$310,Mau15a!$B$11:$B$310,B989)+SUMIFS(Mau15a!$I$11:$I$310,Mau15a!$B$11:$B$310,B989)+SUMIFS(Mau15a!$J$11:$J$310,Mau15a!$B$11:$B$310,B989)-SUMIFS(Mau15a!$G$11:$G$310,Mau15a!$B$11:$B$310,B989))</f>
        <v/>
      </c>
      <c r="J989" s="39" t="str">
        <f t="shared" si="77"/>
        <v/>
      </c>
      <c r="K989" s="39" t="str">
        <f>IF(B989="","",(SUMIFS(Mau15a!$K$11:$K$310,Mau15a!$B$11:$B$310,B989)-SUMIFS(Mau15a!$E$11:$E$310,Mau15a!$B$11:$B$310,B989))*G989)</f>
        <v/>
      </c>
      <c r="L989" s="36" t="str">
        <f t="shared" si="78"/>
        <v/>
      </c>
      <c r="M989" s="36" t="str">
        <f>IF(B989="","",BOM!G989&amp;"")</f>
        <v/>
      </c>
      <c r="N989" s="36" t="str">
        <f t="shared" si="79"/>
        <v/>
      </c>
    </row>
    <row r="990" spans="1:14" x14ac:dyDescent="0.25">
      <c r="A990" s="35" t="str">
        <f t="shared" si="75"/>
        <v/>
      </c>
      <c r="B990" s="35" t="str">
        <f>IF(BOM!A990="","",BOM!A990)</f>
        <v/>
      </c>
      <c r="C990" s="35" t="str">
        <f>IF(B990="","",BOM!B990)</f>
        <v/>
      </c>
      <c r="D990" s="35" t="str">
        <f>IF(B990="","",IFERROR(INDEX(DM_NL!$B$5:$B$304,MATCH(C990,DM_NL!$A$5:$A$304,0)),""))</f>
        <v/>
      </c>
      <c r="E990" s="35" t="str">
        <f>IF(B990="","",IFERROR(INDEX(DM_NL!$C$5:$C$304,MATCH(C990,DM_NL!$A$5:$A$304,0)),""))</f>
        <v/>
      </c>
      <c r="F990" s="39" t="str">
        <f>IF(B990="","",SUMIFS(Mau15a!$F$11:$F$310,Mau15a!$B$11:$B$310,B990))</f>
        <v/>
      </c>
      <c r="G990" s="39" t="str">
        <f>IF(B990="","",IF(OR(M990="KXDDM",BOM!F990=""),0,BOM!F990))</f>
        <v/>
      </c>
      <c r="H990" s="39" t="str">
        <f t="shared" si="76"/>
        <v/>
      </c>
      <c r="I990" s="39" t="str">
        <f>IF(B990="","",SUMIFS(Mau15a!$H$11:$H$310,Mau15a!$B$11:$B$310,B990)+SUMIFS(Mau15a!$I$11:$I$310,Mau15a!$B$11:$B$310,B990)+SUMIFS(Mau15a!$J$11:$J$310,Mau15a!$B$11:$B$310,B990)-SUMIFS(Mau15a!$G$11:$G$310,Mau15a!$B$11:$B$310,B990))</f>
        <v/>
      </c>
      <c r="J990" s="39" t="str">
        <f t="shared" si="77"/>
        <v/>
      </c>
      <c r="K990" s="39" t="str">
        <f>IF(B990="","",(SUMIFS(Mau15a!$K$11:$K$310,Mau15a!$B$11:$B$310,B990)-SUMIFS(Mau15a!$E$11:$E$310,Mau15a!$B$11:$B$310,B990))*G990)</f>
        <v/>
      </c>
      <c r="L990" s="36" t="str">
        <f t="shared" si="78"/>
        <v/>
      </c>
      <c r="M990" s="36" t="str">
        <f>IF(B990="","",BOM!G990&amp;"")</f>
        <v/>
      </c>
      <c r="N990" s="36" t="str">
        <f t="shared" si="79"/>
        <v/>
      </c>
    </row>
    <row r="991" spans="1:14" x14ac:dyDescent="0.25">
      <c r="A991" s="35" t="str">
        <f t="shared" si="75"/>
        <v/>
      </c>
      <c r="B991" s="35" t="str">
        <f>IF(BOM!A991="","",BOM!A991)</f>
        <v/>
      </c>
      <c r="C991" s="35" t="str">
        <f>IF(B991="","",BOM!B991)</f>
        <v/>
      </c>
      <c r="D991" s="35" t="str">
        <f>IF(B991="","",IFERROR(INDEX(DM_NL!$B$5:$B$304,MATCH(C991,DM_NL!$A$5:$A$304,0)),""))</f>
        <v/>
      </c>
      <c r="E991" s="35" t="str">
        <f>IF(B991="","",IFERROR(INDEX(DM_NL!$C$5:$C$304,MATCH(C991,DM_NL!$A$5:$A$304,0)),""))</f>
        <v/>
      </c>
      <c r="F991" s="39" t="str">
        <f>IF(B991="","",SUMIFS(Mau15a!$F$11:$F$310,Mau15a!$B$11:$B$310,B991))</f>
        <v/>
      </c>
      <c r="G991" s="39" t="str">
        <f>IF(B991="","",IF(OR(M991="KXDDM",BOM!F991=""),0,BOM!F991))</f>
        <v/>
      </c>
      <c r="H991" s="39" t="str">
        <f t="shared" si="76"/>
        <v/>
      </c>
      <c r="I991" s="39" t="str">
        <f>IF(B991="","",SUMIFS(Mau15a!$H$11:$H$310,Mau15a!$B$11:$B$310,B991)+SUMIFS(Mau15a!$I$11:$I$310,Mau15a!$B$11:$B$310,B991)+SUMIFS(Mau15a!$J$11:$J$310,Mau15a!$B$11:$B$310,B991)-SUMIFS(Mau15a!$G$11:$G$310,Mau15a!$B$11:$B$310,B991))</f>
        <v/>
      </c>
      <c r="J991" s="39" t="str">
        <f t="shared" si="77"/>
        <v/>
      </c>
      <c r="K991" s="39" t="str">
        <f>IF(B991="","",(SUMIFS(Mau15a!$K$11:$K$310,Mau15a!$B$11:$B$310,B991)-SUMIFS(Mau15a!$E$11:$E$310,Mau15a!$B$11:$B$310,B991))*G991)</f>
        <v/>
      </c>
      <c r="L991" s="36" t="str">
        <f t="shared" si="78"/>
        <v/>
      </c>
      <c r="M991" s="36" t="str">
        <f>IF(B991="","",BOM!G991&amp;"")</f>
        <v/>
      </c>
      <c r="N991" s="36" t="str">
        <f t="shared" si="79"/>
        <v/>
      </c>
    </row>
    <row r="992" spans="1:14" x14ac:dyDescent="0.25">
      <c r="A992" s="35" t="str">
        <f t="shared" si="75"/>
        <v/>
      </c>
      <c r="B992" s="35" t="str">
        <f>IF(BOM!A992="","",BOM!A992)</f>
        <v/>
      </c>
      <c r="C992" s="35" t="str">
        <f>IF(B992="","",BOM!B992)</f>
        <v/>
      </c>
      <c r="D992" s="35" t="str">
        <f>IF(B992="","",IFERROR(INDEX(DM_NL!$B$5:$B$304,MATCH(C992,DM_NL!$A$5:$A$304,0)),""))</f>
        <v/>
      </c>
      <c r="E992" s="35" t="str">
        <f>IF(B992="","",IFERROR(INDEX(DM_NL!$C$5:$C$304,MATCH(C992,DM_NL!$A$5:$A$304,0)),""))</f>
        <v/>
      </c>
      <c r="F992" s="39" t="str">
        <f>IF(B992="","",SUMIFS(Mau15a!$F$11:$F$310,Mau15a!$B$11:$B$310,B992))</f>
        <v/>
      </c>
      <c r="G992" s="39" t="str">
        <f>IF(B992="","",IF(OR(M992="KXDDM",BOM!F992=""),0,BOM!F992))</f>
        <v/>
      </c>
      <c r="H992" s="39" t="str">
        <f t="shared" si="76"/>
        <v/>
      </c>
      <c r="I992" s="39" t="str">
        <f>IF(B992="","",SUMIFS(Mau15a!$H$11:$H$310,Mau15a!$B$11:$B$310,B992)+SUMIFS(Mau15a!$I$11:$I$310,Mau15a!$B$11:$B$310,B992)+SUMIFS(Mau15a!$J$11:$J$310,Mau15a!$B$11:$B$310,B992)-SUMIFS(Mau15a!$G$11:$G$310,Mau15a!$B$11:$B$310,B992))</f>
        <v/>
      </c>
      <c r="J992" s="39" t="str">
        <f t="shared" si="77"/>
        <v/>
      </c>
      <c r="K992" s="39" t="str">
        <f>IF(B992="","",(SUMIFS(Mau15a!$K$11:$K$310,Mau15a!$B$11:$B$310,B992)-SUMIFS(Mau15a!$E$11:$E$310,Mau15a!$B$11:$B$310,B992))*G992)</f>
        <v/>
      </c>
      <c r="L992" s="36" t="str">
        <f t="shared" si="78"/>
        <v/>
      </c>
      <c r="M992" s="36" t="str">
        <f>IF(B992="","",BOM!G992&amp;"")</f>
        <v/>
      </c>
      <c r="N992" s="36" t="str">
        <f t="shared" si="79"/>
        <v/>
      </c>
    </row>
    <row r="993" spans="1:14" x14ac:dyDescent="0.25">
      <c r="A993" s="35" t="str">
        <f t="shared" si="75"/>
        <v/>
      </c>
      <c r="B993" s="35" t="str">
        <f>IF(BOM!A993="","",BOM!A993)</f>
        <v/>
      </c>
      <c r="C993" s="35" t="str">
        <f>IF(B993="","",BOM!B993)</f>
        <v/>
      </c>
      <c r="D993" s="35" t="str">
        <f>IF(B993="","",IFERROR(INDEX(DM_NL!$B$5:$B$304,MATCH(C993,DM_NL!$A$5:$A$304,0)),""))</f>
        <v/>
      </c>
      <c r="E993" s="35" t="str">
        <f>IF(B993="","",IFERROR(INDEX(DM_NL!$C$5:$C$304,MATCH(C993,DM_NL!$A$5:$A$304,0)),""))</f>
        <v/>
      </c>
      <c r="F993" s="39" t="str">
        <f>IF(B993="","",SUMIFS(Mau15a!$F$11:$F$310,Mau15a!$B$11:$B$310,B993))</f>
        <v/>
      </c>
      <c r="G993" s="39" t="str">
        <f>IF(B993="","",IF(OR(M993="KXDDM",BOM!F993=""),0,BOM!F993))</f>
        <v/>
      </c>
      <c r="H993" s="39" t="str">
        <f t="shared" si="76"/>
        <v/>
      </c>
      <c r="I993" s="39" t="str">
        <f>IF(B993="","",SUMIFS(Mau15a!$H$11:$H$310,Mau15a!$B$11:$B$310,B993)+SUMIFS(Mau15a!$I$11:$I$310,Mau15a!$B$11:$B$310,B993)+SUMIFS(Mau15a!$J$11:$J$310,Mau15a!$B$11:$B$310,B993)-SUMIFS(Mau15a!$G$11:$G$310,Mau15a!$B$11:$B$310,B993))</f>
        <v/>
      </c>
      <c r="J993" s="39" t="str">
        <f t="shared" si="77"/>
        <v/>
      </c>
      <c r="K993" s="39" t="str">
        <f>IF(B993="","",(SUMIFS(Mau15a!$K$11:$K$310,Mau15a!$B$11:$B$310,B993)-SUMIFS(Mau15a!$E$11:$E$310,Mau15a!$B$11:$B$310,B993))*G993)</f>
        <v/>
      </c>
      <c r="L993" s="36" t="str">
        <f t="shared" si="78"/>
        <v/>
      </c>
      <c r="M993" s="36" t="str">
        <f>IF(B993="","",BOM!G993&amp;"")</f>
        <v/>
      </c>
      <c r="N993" s="36" t="str">
        <f t="shared" si="79"/>
        <v/>
      </c>
    </row>
    <row r="994" spans="1:14" x14ac:dyDescent="0.25">
      <c r="A994" s="35" t="str">
        <f t="shared" si="75"/>
        <v/>
      </c>
      <c r="B994" s="35" t="str">
        <f>IF(BOM!A994="","",BOM!A994)</f>
        <v/>
      </c>
      <c r="C994" s="35" t="str">
        <f>IF(B994="","",BOM!B994)</f>
        <v/>
      </c>
      <c r="D994" s="35" t="str">
        <f>IF(B994="","",IFERROR(INDEX(DM_NL!$B$5:$B$304,MATCH(C994,DM_NL!$A$5:$A$304,0)),""))</f>
        <v/>
      </c>
      <c r="E994" s="35" t="str">
        <f>IF(B994="","",IFERROR(INDEX(DM_NL!$C$5:$C$304,MATCH(C994,DM_NL!$A$5:$A$304,0)),""))</f>
        <v/>
      </c>
      <c r="F994" s="39" t="str">
        <f>IF(B994="","",SUMIFS(Mau15a!$F$11:$F$310,Mau15a!$B$11:$B$310,B994))</f>
        <v/>
      </c>
      <c r="G994" s="39" t="str">
        <f>IF(B994="","",IF(OR(M994="KXDDM",BOM!F994=""),0,BOM!F994))</f>
        <v/>
      </c>
      <c r="H994" s="39" t="str">
        <f t="shared" si="76"/>
        <v/>
      </c>
      <c r="I994" s="39" t="str">
        <f>IF(B994="","",SUMIFS(Mau15a!$H$11:$H$310,Mau15a!$B$11:$B$310,B994)+SUMIFS(Mau15a!$I$11:$I$310,Mau15a!$B$11:$B$310,B994)+SUMIFS(Mau15a!$J$11:$J$310,Mau15a!$B$11:$B$310,B994)-SUMIFS(Mau15a!$G$11:$G$310,Mau15a!$B$11:$B$310,B994))</f>
        <v/>
      </c>
      <c r="J994" s="39" t="str">
        <f t="shared" si="77"/>
        <v/>
      </c>
      <c r="K994" s="39" t="str">
        <f>IF(B994="","",(SUMIFS(Mau15a!$K$11:$K$310,Mau15a!$B$11:$B$310,B994)-SUMIFS(Mau15a!$E$11:$E$310,Mau15a!$B$11:$B$310,B994))*G994)</f>
        <v/>
      </c>
      <c r="L994" s="36" t="str">
        <f t="shared" si="78"/>
        <v/>
      </c>
      <c r="M994" s="36" t="str">
        <f>IF(B994="","",BOM!G994&amp;"")</f>
        <v/>
      </c>
      <c r="N994" s="36" t="str">
        <f t="shared" si="79"/>
        <v/>
      </c>
    </row>
    <row r="995" spans="1:14" x14ac:dyDescent="0.25">
      <c r="A995" s="35" t="str">
        <f t="shared" si="75"/>
        <v/>
      </c>
      <c r="B995" s="35" t="str">
        <f>IF(BOM!A995="","",BOM!A995)</f>
        <v/>
      </c>
      <c r="C995" s="35" t="str">
        <f>IF(B995="","",BOM!B995)</f>
        <v/>
      </c>
      <c r="D995" s="35" t="str">
        <f>IF(B995="","",IFERROR(INDEX(DM_NL!$B$5:$B$304,MATCH(C995,DM_NL!$A$5:$A$304,0)),""))</f>
        <v/>
      </c>
      <c r="E995" s="35" t="str">
        <f>IF(B995="","",IFERROR(INDEX(DM_NL!$C$5:$C$304,MATCH(C995,DM_NL!$A$5:$A$304,0)),""))</f>
        <v/>
      </c>
      <c r="F995" s="39" t="str">
        <f>IF(B995="","",SUMIFS(Mau15a!$F$11:$F$310,Mau15a!$B$11:$B$310,B995))</f>
        <v/>
      </c>
      <c r="G995" s="39" t="str">
        <f>IF(B995="","",IF(OR(M995="KXDDM",BOM!F995=""),0,BOM!F995))</f>
        <v/>
      </c>
      <c r="H995" s="39" t="str">
        <f t="shared" si="76"/>
        <v/>
      </c>
      <c r="I995" s="39" t="str">
        <f>IF(B995="","",SUMIFS(Mau15a!$H$11:$H$310,Mau15a!$B$11:$B$310,B995)+SUMIFS(Mau15a!$I$11:$I$310,Mau15a!$B$11:$B$310,B995)+SUMIFS(Mau15a!$J$11:$J$310,Mau15a!$B$11:$B$310,B995)-SUMIFS(Mau15a!$G$11:$G$310,Mau15a!$B$11:$B$310,B995))</f>
        <v/>
      </c>
      <c r="J995" s="39" t="str">
        <f t="shared" si="77"/>
        <v/>
      </c>
      <c r="K995" s="39" t="str">
        <f>IF(B995="","",(SUMIFS(Mau15a!$K$11:$K$310,Mau15a!$B$11:$B$310,B995)-SUMIFS(Mau15a!$E$11:$E$310,Mau15a!$B$11:$B$310,B995))*G995)</f>
        <v/>
      </c>
      <c r="L995" s="36" t="str">
        <f t="shared" si="78"/>
        <v/>
      </c>
      <c r="M995" s="36" t="str">
        <f>IF(B995="","",BOM!G995&amp;"")</f>
        <v/>
      </c>
      <c r="N995" s="36" t="str">
        <f t="shared" si="79"/>
        <v/>
      </c>
    </row>
    <row r="996" spans="1:14" x14ac:dyDescent="0.25">
      <c r="A996" s="35" t="str">
        <f t="shared" si="75"/>
        <v/>
      </c>
      <c r="B996" s="35" t="str">
        <f>IF(BOM!A996="","",BOM!A996)</f>
        <v/>
      </c>
      <c r="C996" s="35" t="str">
        <f>IF(B996="","",BOM!B996)</f>
        <v/>
      </c>
      <c r="D996" s="35" t="str">
        <f>IF(B996="","",IFERROR(INDEX(DM_NL!$B$5:$B$304,MATCH(C996,DM_NL!$A$5:$A$304,0)),""))</f>
        <v/>
      </c>
      <c r="E996" s="35" t="str">
        <f>IF(B996="","",IFERROR(INDEX(DM_NL!$C$5:$C$304,MATCH(C996,DM_NL!$A$5:$A$304,0)),""))</f>
        <v/>
      </c>
      <c r="F996" s="39" t="str">
        <f>IF(B996="","",SUMIFS(Mau15a!$F$11:$F$310,Mau15a!$B$11:$B$310,B996))</f>
        <v/>
      </c>
      <c r="G996" s="39" t="str">
        <f>IF(B996="","",IF(OR(M996="KXDDM",BOM!F996=""),0,BOM!F996))</f>
        <v/>
      </c>
      <c r="H996" s="39" t="str">
        <f t="shared" si="76"/>
        <v/>
      </c>
      <c r="I996" s="39" t="str">
        <f>IF(B996="","",SUMIFS(Mau15a!$H$11:$H$310,Mau15a!$B$11:$B$310,B996)+SUMIFS(Mau15a!$I$11:$I$310,Mau15a!$B$11:$B$310,B996)+SUMIFS(Mau15a!$J$11:$J$310,Mau15a!$B$11:$B$310,B996)-SUMIFS(Mau15a!$G$11:$G$310,Mau15a!$B$11:$B$310,B996))</f>
        <v/>
      </c>
      <c r="J996" s="39" t="str">
        <f t="shared" si="77"/>
        <v/>
      </c>
      <c r="K996" s="39" t="str">
        <f>IF(B996="","",(SUMIFS(Mau15a!$K$11:$K$310,Mau15a!$B$11:$B$310,B996)-SUMIFS(Mau15a!$E$11:$E$310,Mau15a!$B$11:$B$310,B996))*G996)</f>
        <v/>
      </c>
      <c r="L996" s="36" t="str">
        <f t="shared" si="78"/>
        <v/>
      </c>
      <c r="M996" s="36" t="str">
        <f>IF(B996="","",BOM!G996&amp;"")</f>
        <v/>
      </c>
      <c r="N996" s="36" t="str">
        <f t="shared" si="79"/>
        <v/>
      </c>
    </row>
    <row r="997" spans="1:14" x14ac:dyDescent="0.25">
      <c r="A997" s="35" t="str">
        <f t="shared" si="75"/>
        <v/>
      </c>
      <c r="B997" s="35" t="str">
        <f>IF(BOM!A997="","",BOM!A997)</f>
        <v/>
      </c>
      <c r="C997" s="35" t="str">
        <f>IF(B997="","",BOM!B997)</f>
        <v/>
      </c>
      <c r="D997" s="35" t="str">
        <f>IF(B997="","",IFERROR(INDEX(DM_NL!$B$5:$B$304,MATCH(C997,DM_NL!$A$5:$A$304,0)),""))</f>
        <v/>
      </c>
      <c r="E997" s="35" t="str">
        <f>IF(B997="","",IFERROR(INDEX(DM_NL!$C$5:$C$304,MATCH(C997,DM_NL!$A$5:$A$304,0)),""))</f>
        <v/>
      </c>
      <c r="F997" s="39" t="str">
        <f>IF(B997="","",SUMIFS(Mau15a!$F$11:$F$310,Mau15a!$B$11:$B$310,B997))</f>
        <v/>
      </c>
      <c r="G997" s="39" t="str">
        <f>IF(B997="","",IF(OR(M997="KXDDM",BOM!F997=""),0,BOM!F997))</f>
        <v/>
      </c>
      <c r="H997" s="39" t="str">
        <f t="shared" si="76"/>
        <v/>
      </c>
      <c r="I997" s="39" t="str">
        <f>IF(B997="","",SUMIFS(Mau15a!$H$11:$H$310,Mau15a!$B$11:$B$310,B997)+SUMIFS(Mau15a!$I$11:$I$310,Mau15a!$B$11:$B$310,B997)+SUMIFS(Mau15a!$J$11:$J$310,Mau15a!$B$11:$B$310,B997)-SUMIFS(Mau15a!$G$11:$G$310,Mau15a!$B$11:$B$310,B997))</f>
        <v/>
      </c>
      <c r="J997" s="39" t="str">
        <f t="shared" si="77"/>
        <v/>
      </c>
      <c r="K997" s="39" t="str">
        <f>IF(B997="","",(SUMIFS(Mau15a!$K$11:$K$310,Mau15a!$B$11:$B$310,B997)-SUMIFS(Mau15a!$E$11:$E$310,Mau15a!$B$11:$B$310,B997))*G997)</f>
        <v/>
      </c>
      <c r="L997" s="36" t="str">
        <f t="shared" si="78"/>
        <v/>
      </c>
      <c r="M997" s="36" t="str">
        <f>IF(B997="","",BOM!G997&amp;"")</f>
        <v/>
      </c>
      <c r="N997" s="36" t="str">
        <f t="shared" si="79"/>
        <v/>
      </c>
    </row>
    <row r="998" spans="1:14" x14ac:dyDescent="0.25">
      <c r="A998" s="35" t="str">
        <f t="shared" si="75"/>
        <v/>
      </c>
      <c r="B998" s="35" t="str">
        <f>IF(BOM!A998="","",BOM!A998)</f>
        <v/>
      </c>
      <c r="C998" s="35" t="str">
        <f>IF(B998="","",BOM!B998)</f>
        <v/>
      </c>
      <c r="D998" s="35" t="str">
        <f>IF(B998="","",IFERROR(INDEX(DM_NL!$B$5:$B$304,MATCH(C998,DM_NL!$A$5:$A$304,0)),""))</f>
        <v/>
      </c>
      <c r="E998" s="35" t="str">
        <f>IF(B998="","",IFERROR(INDEX(DM_NL!$C$5:$C$304,MATCH(C998,DM_NL!$A$5:$A$304,0)),""))</f>
        <v/>
      </c>
      <c r="F998" s="39" t="str">
        <f>IF(B998="","",SUMIFS(Mau15a!$F$11:$F$310,Mau15a!$B$11:$B$310,B998))</f>
        <v/>
      </c>
      <c r="G998" s="39" t="str">
        <f>IF(B998="","",IF(OR(M998="KXDDM",BOM!F998=""),0,BOM!F998))</f>
        <v/>
      </c>
      <c r="H998" s="39" t="str">
        <f t="shared" si="76"/>
        <v/>
      </c>
      <c r="I998" s="39" t="str">
        <f>IF(B998="","",SUMIFS(Mau15a!$H$11:$H$310,Mau15a!$B$11:$B$310,B998)+SUMIFS(Mau15a!$I$11:$I$310,Mau15a!$B$11:$B$310,B998)+SUMIFS(Mau15a!$J$11:$J$310,Mau15a!$B$11:$B$310,B998)-SUMIFS(Mau15a!$G$11:$G$310,Mau15a!$B$11:$B$310,B998))</f>
        <v/>
      </c>
      <c r="J998" s="39" t="str">
        <f t="shared" si="77"/>
        <v/>
      </c>
      <c r="K998" s="39" t="str">
        <f>IF(B998="","",(SUMIFS(Mau15a!$K$11:$K$310,Mau15a!$B$11:$B$310,B998)-SUMIFS(Mau15a!$E$11:$E$310,Mau15a!$B$11:$B$310,B998))*G998)</f>
        <v/>
      </c>
      <c r="L998" s="36" t="str">
        <f t="shared" si="78"/>
        <v/>
      </c>
      <c r="M998" s="36" t="str">
        <f>IF(B998="","",BOM!G998&amp;"")</f>
        <v/>
      </c>
      <c r="N998" s="36" t="str">
        <f t="shared" si="79"/>
        <v/>
      </c>
    </row>
    <row r="999" spans="1:14" x14ac:dyDescent="0.25">
      <c r="A999" s="35" t="str">
        <f t="shared" si="75"/>
        <v/>
      </c>
      <c r="B999" s="35" t="str">
        <f>IF(BOM!A999="","",BOM!A999)</f>
        <v/>
      </c>
      <c r="C999" s="35" t="str">
        <f>IF(B999="","",BOM!B999)</f>
        <v/>
      </c>
      <c r="D999" s="35" t="str">
        <f>IF(B999="","",IFERROR(INDEX(DM_NL!$B$5:$B$304,MATCH(C999,DM_NL!$A$5:$A$304,0)),""))</f>
        <v/>
      </c>
      <c r="E999" s="35" t="str">
        <f>IF(B999="","",IFERROR(INDEX(DM_NL!$C$5:$C$304,MATCH(C999,DM_NL!$A$5:$A$304,0)),""))</f>
        <v/>
      </c>
      <c r="F999" s="39" t="str">
        <f>IF(B999="","",SUMIFS(Mau15a!$F$11:$F$310,Mau15a!$B$11:$B$310,B999))</f>
        <v/>
      </c>
      <c r="G999" s="39" t="str">
        <f>IF(B999="","",IF(OR(M999="KXDDM",BOM!F999=""),0,BOM!F999))</f>
        <v/>
      </c>
      <c r="H999" s="39" t="str">
        <f t="shared" si="76"/>
        <v/>
      </c>
      <c r="I999" s="39" t="str">
        <f>IF(B999="","",SUMIFS(Mau15a!$H$11:$H$310,Mau15a!$B$11:$B$310,B999)+SUMIFS(Mau15a!$I$11:$I$310,Mau15a!$B$11:$B$310,B999)+SUMIFS(Mau15a!$J$11:$J$310,Mau15a!$B$11:$B$310,B999)-SUMIFS(Mau15a!$G$11:$G$310,Mau15a!$B$11:$B$310,B999))</f>
        <v/>
      </c>
      <c r="J999" s="39" t="str">
        <f t="shared" si="77"/>
        <v/>
      </c>
      <c r="K999" s="39" t="str">
        <f>IF(B999="","",(SUMIFS(Mau15a!$K$11:$K$310,Mau15a!$B$11:$B$310,B999)-SUMIFS(Mau15a!$E$11:$E$310,Mau15a!$B$11:$B$310,B999))*G999)</f>
        <v/>
      </c>
      <c r="L999" s="36" t="str">
        <f t="shared" si="78"/>
        <v/>
      </c>
      <c r="M999" s="36" t="str">
        <f>IF(B999="","",BOM!G999&amp;"")</f>
        <v/>
      </c>
      <c r="N999" s="36" t="str">
        <f t="shared" si="79"/>
        <v/>
      </c>
    </row>
    <row r="1000" spans="1:14" x14ac:dyDescent="0.25">
      <c r="A1000" s="35" t="str">
        <f t="shared" si="75"/>
        <v/>
      </c>
      <c r="B1000" s="35" t="str">
        <f>IF(BOM!A1000="","",BOM!A1000)</f>
        <v/>
      </c>
      <c r="C1000" s="35" t="str">
        <f>IF(B1000="","",BOM!B1000)</f>
        <v/>
      </c>
      <c r="D1000" s="35" t="str">
        <f>IF(B1000="","",IFERROR(INDEX(DM_NL!$B$5:$B$304,MATCH(C1000,DM_NL!$A$5:$A$304,0)),""))</f>
        <v/>
      </c>
      <c r="E1000" s="35" t="str">
        <f>IF(B1000="","",IFERROR(INDEX(DM_NL!$C$5:$C$304,MATCH(C1000,DM_NL!$A$5:$A$304,0)),""))</f>
        <v/>
      </c>
      <c r="F1000" s="39" t="str">
        <f>IF(B1000="","",SUMIFS(Mau15a!$F$11:$F$310,Mau15a!$B$11:$B$310,B1000))</f>
        <v/>
      </c>
      <c r="G1000" s="39" t="str">
        <f>IF(B1000="","",IF(OR(M1000="KXDDM",BOM!F1000=""),0,BOM!F1000))</f>
        <v/>
      </c>
      <c r="H1000" s="39" t="str">
        <f t="shared" si="76"/>
        <v/>
      </c>
      <c r="I1000" s="39" t="str">
        <f>IF(B1000="","",SUMIFS(Mau15a!$H$11:$H$310,Mau15a!$B$11:$B$310,B1000)+SUMIFS(Mau15a!$I$11:$I$310,Mau15a!$B$11:$B$310,B1000)+SUMIFS(Mau15a!$J$11:$J$310,Mau15a!$B$11:$B$310,B1000)-SUMIFS(Mau15a!$G$11:$G$310,Mau15a!$B$11:$B$310,B1000))</f>
        <v/>
      </c>
      <c r="J1000" s="39" t="str">
        <f t="shared" si="77"/>
        <v/>
      </c>
      <c r="K1000" s="39" t="str">
        <f>IF(B1000="","",(SUMIFS(Mau15a!$K$11:$K$310,Mau15a!$B$11:$B$310,B1000)-SUMIFS(Mau15a!$E$11:$E$310,Mau15a!$B$11:$B$310,B1000))*G1000)</f>
        <v/>
      </c>
      <c r="L1000" s="36" t="str">
        <f t="shared" si="78"/>
        <v/>
      </c>
      <c r="M1000" s="36" t="str">
        <f>IF(B1000="","",BOM!G1000&amp;"")</f>
        <v/>
      </c>
      <c r="N1000" s="36" t="str">
        <f t="shared" si="79"/>
        <v/>
      </c>
    </row>
    <row r="1001" spans="1:14" x14ac:dyDescent="0.25">
      <c r="A1001" s="35" t="str">
        <f t="shared" si="75"/>
        <v/>
      </c>
      <c r="B1001" s="35" t="str">
        <f>IF(BOM!A1001="","",BOM!A1001)</f>
        <v/>
      </c>
      <c r="C1001" s="35" t="str">
        <f>IF(B1001="","",BOM!B1001)</f>
        <v/>
      </c>
      <c r="D1001" s="35" t="str">
        <f>IF(B1001="","",IFERROR(INDEX(DM_NL!$B$5:$B$304,MATCH(C1001,DM_NL!$A$5:$A$304,0)),""))</f>
        <v/>
      </c>
      <c r="E1001" s="35" t="str">
        <f>IF(B1001="","",IFERROR(INDEX(DM_NL!$C$5:$C$304,MATCH(C1001,DM_NL!$A$5:$A$304,0)),""))</f>
        <v/>
      </c>
      <c r="F1001" s="39" t="str">
        <f>IF(B1001="","",SUMIFS(Mau15a!$F$11:$F$310,Mau15a!$B$11:$B$310,B1001))</f>
        <v/>
      </c>
      <c r="G1001" s="39" t="str">
        <f>IF(B1001="","",IF(OR(M1001="KXDDM",BOM!F1001=""),0,BOM!F1001))</f>
        <v/>
      </c>
      <c r="H1001" s="39" t="str">
        <f t="shared" si="76"/>
        <v/>
      </c>
      <c r="I1001" s="39" t="str">
        <f>IF(B1001="","",SUMIFS(Mau15a!$H$11:$H$310,Mau15a!$B$11:$B$310,B1001)+SUMIFS(Mau15a!$I$11:$I$310,Mau15a!$B$11:$B$310,B1001)+SUMIFS(Mau15a!$J$11:$J$310,Mau15a!$B$11:$B$310,B1001)-SUMIFS(Mau15a!$G$11:$G$310,Mau15a!$B$11:$B$310,B1001))</f>
        <v/>
      </c>
      <c r="J1001" s="39" t="str">
        <f t="shared" si="77"/>
        <v/>
      </c>
      <c r="K1001" s="39" t="str">
        <f>IF(B1001="","",(SUMIFS(Mau15a!$K$11:$K$310,Mau15a!$B$11:$B$310,B1001)-SUMIFS(Mau15a!$E$11:$E$310,Mau15a!$B$11:$B$310,B1001))*G1001)</f>
        <v/>
      </c>
      <c r="L1001" s="36" t="str">
        <f t="shared" si="78"/>
        <v/>
      </c>
      <c r="M1001" s="36" t="str">
        <f>IF(B1001="","",BOM!G1001&amp;"")</f>
        <v/>
      </c>
      <c r="N1001" s="36" t="str">
        <f t="shared" si="79"/>
        <v/>
      </c>
    </row>
    <row r="1002" spans="1:14" x14ac:dyDescent="0.25">
      <c r="A1002" s="35" t="str">
        <f t="shared" si="75"/>
        <v/>
      </c>
      <c r="B1002" s="35" t="str">
        <f>IF(BOM!A1002="","",BOM!A1002)</f>
        <v/>
      </c>
      <c r="C1002" s="35" t="str">
        <f>IF(B1002="","",BOM!B1002)</f>
        <v/>
      </c>
      <c r="D1002" s="35" t="str">
        <f>IF(B1002="","",IFERROR(INDEX(DM_NL!$B$5:$B$304,MATCH(C1002,DM_NL!$A$5:$A$304,0)),""))</f>
        <v/>
      </c>
      <c r="E1002" s="35" t="str">
        <f>IF(B1002="","",IFERROR(INDEX(DM_NL!$C$5:$C$304,MATCH(C1002,DM_NL!$A$5:$A$304,0)),""))</f>
        <v/>
      </c>
      <c r="F1002" s="39" t="str">
        <f>IF(B1002="","",SUMIFS(Mau15a!$F$11:$F$310,Mau15a!$B$11:$B$310,B1002))</f>
        <v/>
      </c>
      <c r="G1002" s="39" t="str">
        <f>IF(B1002="","",IF(OR(M1002="KXDDM",BOM!F1002=""),0,BOM!F1002))</f>
        <v/>
      </c>
      <c r="H1002" s="39" t="str">
        <f t="shared" si="76"/>
        <v/>
      </c>
      <c r="I1002" s="39" t="str">
        <f>IF(B1002="","",SUMIFS(Mau15a!$H$11:$H$310,Mau15a!$B$11:$B$310,B1002)+SUMIFS(Mau15a!$I$11:$I$310,Mau15a!$B$11:$B$310,B1002)+SUMIFS(Mau15a!$J$11:$J$310,Mau15a!$B$11:$B$310,B1002)-SUMIFS(Mau15a!$G$11:$G$310,Mau15a!$B$11:$B$310,B1002))</f>
        <v/>
      </c>
      <c r="J1002" s="39" t="str">
        <f t="shared" si="77"/>
        <v/>
      </c>
      <c r="K1002" s="39" t="str">
        <f>IF(B1002="","",(SUMIFS(Mau15a!$K$11:$K$310,Mau15a!$B$11:$B$310,B1002)-SUMIFS(Mau15a!$E$11:$E$310,Mau15a!$B$11:$B$310,B1002))*G1002)</f>
        <v/>
      </c>
      <c r="L1002" s="36" t="str">
        <f t="shared" si="78"/>
        <v/>
      </c>
      <c r="M1002" s="36" t="str">
        <f>IF(B1002="","",BOM!G1002&amp;"")</f>
        <v/>
      </c>
      <c r="N1002" s="36" t="str">
        <f t="shared" si="79"/>
        <v/>
      </c>
    </row>
    <row r="1003" spans="1:14" x14ac:dyDescent="0.25">
      <c r="A1003" s="35" t="str">
        <f t="shared" si="75"/>
        <v/>
      </c>
      <c r="B1003" s="35" t="str">
        <f>IF(BOM!A1003="","",BOM!A1003)</f>
        <v/>
      </c>
      <c r="C1003" s="35" t="str">
        <f>IF(B1003="","",BOM!B1003)</f>
        <v/>
      </c>
      <c r="D1003" s="35" t="str">
        <f>IF(B1003="","",IFERROR(INDEX(DM_NL!$B$5:$B$304,MATCH(C1003,DM_NL!$A$5:$A$304,0)),""))</f>
        <v/>
      </c>
      <c r="E1003" s="35" t="str">
        <f>IF(B1003="","",IFERROR(INDEX(DM_NL!$C$5:$C$304,MATCH(C1003,DM_NL!$A$5:$A$304,0)),""))</f>
        <v/>
      </c>
      <c r="F1003" s="39" t="str">
        <f>IF(B1003="","",SUMIFS(Mau15a!$F$11:$F$310,Mau15a!$B$11:$B$310,B1003))</f>
        <v/>
      </c>
      <c r="G1003" s="39" t="str">
        <f>IF(B1003="","",IF(OR(M1003="KXDDM",BOM!F1003=""),0,BOM!F1003))</f>
        <v/>
      </c>
      <c r="H1003" s="39" t="str">
        <f t="shared" si="76"/>
        <v/>
      </c>
      <c r="I1003" s="39" t="str">
        <f>IF(B1003="","",SUMIFS(Mau15a!$H$11:$H$310,Mau15a!$B$11:$B$310,B1003)+SUMIFS(Mau15a!$I$11:$I$310,Mau15a!$B$11:$B$310,B1003)+SUMIFS(Mau15a!$J$11:$J$310,Mau15a!$B$11:$B$310,B1003)-SUMIFS(Mau15a!$G$11:$G$310,Mau15a!$B$11:$B$310,B1003))</f>
        <v/>
      </c>
      <c r="J1003" s="39" t="str">
        <f t="shared" si="77"/>
        <v/>
      </c>
      <c r="K1003" s="39" t="str">
        <f>IF(B1003="","",(SUMIFS(Mau15a!$K$11:$K$310,Mau15a!$B$11:$B$310,B1003)-SUMIFS(Mau15a!$E$11:$E$310,Mau15a!$B$11:$B$310,B1003))*G1003)</f>
        <v/>
      </c>
      <c r="L1003" s="36" t="str">
        <f t="shared" si="78"/>
        <v/>
      </c>
      <c r="M1003" s="36" t="str">
        <f>IF(B1003="","",BOM!G1003&amp;"")</f>
        <v/>
      </c>
      <c r="N1003" s="36" t="str">
        <f t="shared" si="79"/>
        <v/>
      </c>
    </row>
    <row r="1004" spans="1:14" x14ac:dyDescent="0.25">
      <c r="A1004" s="35" t="str">
        <f t="shared" si="75"/>
        <v/>
      </c>
      <c r="B1004" s="35" t="str">
        <f>IF(BOM!A1004="","",BOM!A1004)</f>
        <v/>
      </c>
      <c r="C1004" s="35" t="str">
        <f>IF(B1004="","",BOM!B1004)</f>
        <v/>
      </c>
      <c r="D1004" s="35" t="str">
        <f>IF(B1004="","",IFERROR(INDEX(DM_NL!$B$5:$B$304,MATCH(C1004,DM_NL!$A$5:$A$304,0)),""))</f>
        <v/>
      </c>
      <c r="E1004" s="35" t="str">
        <f>IF(B1004="","",IFERROR(INDEX(DM_NL!$C$5:$C$304,MATCH(C1004,DM_NL!$A$5:$A$304,0)),""))</f>
        <v/>
      </c>
      <c r="F1004" s="39" t="str">
        <f>IF(B1004="","",SUMIFS(Mau15a!$F$11:$F$310,Mau15a!$B$11:$B$310,B1004))</f>
        <v/>
      </c>
      <c r="G1004" s="39" t="str">
        <f>IF(B1004="","",IF(OR(M1004="KXDDM",BOM!F1004=""),0,BOM!F1004))</f>
        <v/>
      </c>
      <c r="H1004" s="39" t="str">
        <f t="shared" si="76"/>
        <v/>
      </c>
      <c r="I1004" s="39" t="str">
        <f>IF(B1004="","",SUMIFS(Mau15a!$H$11:$H$310,Mau15a!$B$11:$B$310,B1004)+SUMIFS(Mau15a!$I$11:$I$310,Mau15a!$B$11:$B$310,B1004)+SUMIFS(Mau15a!$J$11:$J$310,Mau15a!$B$11:$B$310,B1004)-SUMIFS(Mau15a!$G$11:$G$310,Mau15a!$B$11:$B$310,B1004))</f>
        <v/>
      </c>
      <c r="J1004" s="39" t="str">
        <f t="shared" si="77"/>
        <v/>
      </c>
      <c r="K1004" s="39" t="str">
        <f>IF(B1004="","",(SUMIFS(Mau15a!$K$11:$K$310,Mau15a!$B$11:$B$310,B1004)-SUMIFS(Mau15a!$E$11:$E$310,Mau15a!$B$11:$B$310,B1004))*G1004)</f>
        <v/>
      </c>
      <c r="L1004" s="36" t="str">
        <f t="shared" si="78"/>
        <v/>
      </c>
      <c r="M1004" s="36" t="str">
        <f>IF(B1004="","",BOM!G1004&amp;"")</f>
        <v/>
      </c>
      <c r="N1004" s="36" t="str">
        <f t="shared" si="79"/>
        <v/>
      </c>
    </row>
  </sheetData>
  <sheetProtection password="D0B3" sheet="1" objects="1" scenarios="1" formatColumns="0" formatRows="0" autoFilter="0"/>
  <conditionalFormatting sqref="L5:L1004">
    <cfRule type="cellIs" dxfId="55" priority="1" operator="equal">
      <formula>"Pass"</formula>
    </cfRule>
    <cfRule type="cellIs" dxfId="54" priority="2" operator="equal">
      <formula>"Khớp"</formula>
    </cfRule>
    <cfRule type="cellIs" dxfId="53" priority="3" operator="equal">
      <formula>"OK"</formula>
    </cfRule>
    <cfRule type="cellIs" dxfId="52" priority="4" operator="equal">
      <formula>"Xem xét"</formula>
    </cfRule>
    <cfRule type="cellIs" dxfId="51" priority="5" operator="equal">
      <formula>"Lệch"</formula>
    </cfRule>
  </conditionalFormatting>
  <hyperlinks>
    <hyperlink ref="A3" r:id="rId1" xr:uid="{00000000-0004-0000-0F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0AD47"/>
  </sheetPr>
  <dimension ref="A1:N304"/>
  <sheetViews>
    <sheetView showGridLines="0" workbookViewId="0">
      <pane xSplit="2" ySplit="4" topLeftCell="C5" activePane="bottomRight" state="frozen"/>
      <selection pane="topRight"/>
      <selection pane="bottomLeft"/>
      <selection pane="bottomRight"/>
    </sheetView>
  </sheetViews>
  <sheetFormatPr defaultRowHeight="14.4" x14ac:dyDescent="0.25"/>
  <cols>
    <col min="1" max="1" width="6" customWidth="1"/>
    <col min="2" max="2" width="12" customWidth="1"/>
    <col min="3" max="3" width="26" customWidth="1"/>
    <col min="4" max="4" width="8" customWidth="1"/>
    <col min="5" max="5" width="16" customWidth="1"/>
    <col min="6" max="9" width="14" customWidth="1"/>
    <col min="10" max="11" width="16" customWidth="1"/>
    <col min="12" max="12" width="14" customWidth="1"/>
    <col min="13" max="14" width="12" customWidth="1"/>
  </cols>
  <sheetData>
    <row r="1" spans="1:14" ht="17.55" x14ac:dyDescent="0.3">
      <c r="A1" s="1" t="s">
        <v>375</v>
      </c>
    </row>
    <row r="2" spans="1:14" x14ac:dyDescent="0.25">
      <c r="A2" s="30" t="str">
        <f>"(6) NL thực tế dùng cho SP Mẫu 16 so với (7) Σ SX × ĐMTT (dòng nguồn nhập khẩu). Pass khi |tỷ lệ chênh| ≤ "&amp;TEXT(ThongTin!$C$11,"0.0%")</f>
        <v>(6) NL thực tế dùng cho SP Mẫu 16 so với (7) Σ SX × ĐMTT (dòng nguồn nhập khẩu). Pass khi |tỷ lệ chênh| ≤ 0.5%</v>
      </c>
    </row>
    <row r="3" spans="1:14" x14ac:dyDescent="0.25">
      <c r="A3" s="28" t="s">
        <v>4</v>
      </c>
      <c r="K3" s="9" t="s">
        <v>376</v>
      </c>
      <c r="M3" s="43" t="str">
        <f>COUNTIF(N5:N304,"Pass")&amp;"/"&amp;COUNT(A5:A304)</f>
        <v>4/6</v>
      </c>
    </row>
    <row r="4" spans="1:14" ht="48.05" customHeight="1" x14ac:dyDescent="0.25">
      <c r="A4" s="11" t="s">
        <v>298</v>
      </c>
      <c r="B4" s="11" t="s">
        <v>239</v>
      </c>
      <c r="C4" s="11" t="s">
        <v>364</v>
      </c>
      <c r="D4" s="11" t="s">
        <v>377</v>
      </c>
      <c r="E4" s="11" t="s">
        <v>378</v>
      </c>
      <c r="F4" s="11" t="s">
        <v>379</v>
      </c>
      <c r="G4" s="11" t="s">
        <v>380</v>
      </c>
      <c r="H4" s="11" t="s">
        <v>381</v>
      </c>
      <c r="I4" s="11" t="s">
        <v>382</v>
      </c>
      <c r="J4" s="11" t="s">
        <v>111</v>
      </c>
      <c r="K4" s="11" t="s">
        <v>114</v>
      </c>
      <c r="L4" s="11" t="s">
        <v>116</v>
      </c>
      <c r="M4" s="11" t="s">
        <v>383</v>
      </c>
      <c r="N4" s="11" t="s">
        <v>311</v>
      </c>
    </row>
    <row r="5" spans="1:14" x14ac:dyDescent="0.25">
      <c r="A5" s="35">
        <f t="shared" ref="A5:A68" si="0">IF(B5="","",ROW()-4)</f>
        <v>1</v>
      </c>
      <c r="B5" s="35" t="str">
        <f>IF('Mau15'!B11="","",'Mau15'!B11)</f>
        <v>VAI01</v>
      </c>
      <c r="C5" s="35" t="str">
        <f>IF(B5="","",'Mau15'!C11)</f>
        <v>Vải chính 100% polyester</v>
      </c>
      <c r="D5" s="35" t="str">
        <f>IF(B5="","",'Mau15'!D11)</f>
        <v>MTR</v>
      </c>
      <c r="E5" s="39">
        <f>IF(B5="","",'Mau15'!I11)</f>
        <v>34400</v>
      </c>
      <c r="F5" s="39">
        <f>IF(B5="","",SUMIFS(Cau_noi!$B$5:$B$304,Cau_noi!$A$5:$A$304,B5))</f>
        <v>2000</v>
      </c>
      <c r="G5" s="39">
        <f>IF(B5="","",SUMIFS(Cau_noi!$C$5:$C$304,Cau_noi!$A$5:$A$304,B5))</f>
        <v>800</v>
      </c>
      <c r="H5" s="39">
        <f>IF(B5="","",SUMIFS(Cau_noi!$D$5:$D$304,Cau_noi!$A$5:$A$304,B5))</f>
        <v>1000</v>
      </c>
      <c r="I5" s="39">
        <f>IF(B5="","",SUMIFS(Cau_noi!$E$5:$E$304,Cau_noi!$A$5:$A$304,B5))</f>
        <v>0</v>
      </c>
      <c r="J5" s="39">
        <f t="shared" ref="J5:J68" si="1">IF(B5="","",E5+F5+G5-H5-I5)</f>
        <v>36200</v>
      </c>
      <c r="K5" s="39">
        <f>IF(B5="","",SUMIFS(KT_DMTT_ChiTiet!$H$5:$H$1004,KT_DMTT_ChiTiet!$C$5:$C$1004,B5,KT_DMTT_ChiTiet!$N$5:$N$1004,1))</f>
        <v>36153</v>
      </c>
      <c r="L5" s="39">
        <f t="shared" ref="L5:L68" si="2">IF(B5="","",J5-K5)</f>
        <v>47</v>
      </c>
      <c r="M5" s="46">
        <f t="shared" ref="M5:M68" si="3">IF(OR(B5="",K5=0),"",L5/K5)</f>
        <v>1.3000304262440186E-3</v>
      </c>
      <c r="N5" s="35" t="str">
        <f>IF(B5="","",IF(K5=0,IF(J5=0,"Pass",IF(COUNTIFS(BOM!$B$5:$B$1004,B5,BOM!$G$5:$G$1004,"KXDDM")&gt;0,"KXDDM","Xem xét")),IF(ABS(M5)&lt;=ThongTin!$C$11,"Pass","Xem xét")))</f>
        <v>Pass</v>
      </c>
    </row>
    <row r="6" spans="1:14" x14ac:dyDescent="0.25">
      <c r="A6" s="35">
        <f t="shared" si="0"/>
        <v>2</v>
      </c>
      <c r="B6" s="35" t="str">
        <f>IF('Mau15'!B12="","",'Mau15'!B12)</f>
        <v>CHI01</v>
      </c>
      <c r="C6" s="35" t="str">
        <f>IF(B6="","",'Mau15'!C12)</f>
        <v>Chỉ may</v>
      </c>
      <c r="D6" s="35" t="str">
        <f>IF(B6="","",'Mau15'!D12)</f>
        <v>MTR</v>
      </c>
      <c r="E6" s="39">
        <f>IF(B6="","",'Mau15'!I12)</f>
        <v>2410000</v>
      </c>
      <c r="F6" s="39">
        <f>IF(B6="","",SUMIFS(Cau_noi!$B$5:$B$304,Cau_noi!$A$5:$A$304,B6))</f>
        <v>0</v>
      </c>
      <c r="G6" s="39">
        <f>IF(B6="","",SUMIFS(Cau_noi!$C$5:$C$304,Cau_noi!$A$5:$A$304,B6))</f>
        <v>0</v>
      </c>
      <c r="H6" s="39">
        <f>IF(B6="","",SUMIFS(Cau_noi!$D$5:$D$304,Cau_noi!$A$5:$A$304,B6))</f>
        <v>0</v>
      </c>
      <c r="I6" s="39">
        <f>IF(B6="","",SUMIFS(Cau_noi!$E$5:$E$304,Cau_noi!$A$5:$A$304,B6))</f>
        <v>5000</v>
      </c>
      <c r="J6" s="39">
        <f t="shared" si="1"/>
        <v>2405000</v>
      </c>
      <c r="K6" s="39">
        <f>IF(B6="","",SUMIFS(KT_DMTT_ChiTiet!$H$5:$H$1004,KT_DMTT_ChiTiet!$C$5:$C$1004,B6,KT_DMTT_ChiTiet!$N$5:$N$1004,1))</f>
        <v>2404500</v>
      </c>
      <c r="L6" s="39">
        <f t="shared" si="2"/>
        <v>500</v>
      </c>
      <c r="M6" s="46">
        <f t="shared" si="3"/>
        <v>2.0794343938448741E-4</v>
      </c>
      <c r="N6" s="35" t="str">
        <f>IF(B6="","",IF(K6=0,IF(J6=0,"Pass",IF(COUNTIFS(BOM!$B$5:$B$1004,B6,BOM!$G$5:$G$1004,"KXDDM")&gt;0,"KXDDM","Xem xét")),IF(ABS(M6)&lt;=ThongTin!$C$11,"Pass","Xem xét")))</f>
        <v>Pass</v>
      </c>
    </row>
    <row r="7" spans="1:14" x14ac:dyDescent="0.25">
      <c r="A7" s="35">
        <f t="shared" si="0"/>
        <v>3</v>
      </c>
      <c r="B7" s="35" t="str">
        <f>IF('Mau15'!B13="","",'Mau15'!B13)</f>
        <v>NUT01</v>
      </c>
      <c r="C7" s="35" t="str">
        <f>IF(B7="","",'Mau15'!C13)</f>
        <v>Nút nhựa</v>
      </c>
      <c r="D7" s="35" t="str">
        <f>IF(B7="","",'Mau15'!D13)</f>
        <v>PCE</v>
      </c>
      <c r="E7" s="39">
        <f>IF(B7="","",'Mau15'!I13)</f>
        <v>79000</v>
      </c>
      <c r="F7" s="39">
        <f>IF(B7="","",SUMIFS(Cau_noi!$B$5:$B$304,Cau_noi!$A$5:$A$304,B7))</f>
        <v>0</v>
      </c>
      <c r="G7" s="39">
        <f>IF(B7="","",SUMIFS(Cau_noi!$C$5:$C$304,Cau_noi!$A$5:$A$304,B7))</f>
        <v>0</v>
      </c>
      <c r="H7" s="39">
        <f>IF(B7="","",SUMIFS(Cau_noi!$D$5:$D$304,Cau_noi!$A$5:$A$304,B7))</f>
        <v>0</v>
      </c>
      <c r="I7" s="39">
        <f>IF(B7="","",SUMIFS(Cau_noi!$E$5:$E$304,Cau_noi!$A$5:$A$304,B7))</f>
        <v>0</v>
      </c>
      <c r="J7" s="39">
        <f t="shared" si="1"/>
        <v>79000</v>
      </c>
      <c r="K7" s="39">
        <f>IF(B7="","",SUMIFS(KT_DMTT_ChiTiet!$H$5:$H$1004,KT_DMTT_ChiTiet!$C$5:$C$1004,B7,KT_DMTT_ChiTiet!$N$5:$N$1004,1))</f>
        <v>77520</v>
      </c>
      <c r="L7" s="39">
        <f t="shared" si="2"/>
        <v>1480</v>
      </c>
      <c r="M7" s="46">
        <f t="shared" si="3"/>
        <v>1.9091847265221878E-2</v>
      </c>
      <c r="N7" s="35" t="str">
        <f>IF(B7="","",IF(K7=0,IF(J7=0,"Pass",IF(COUNTIFS(BOM!$B$5:$B$1004,B7,BOM!$G$5:$G$1004,"KXDDM")&gt;0,"KXDDM","Xem xét")),IF(ABS(M7)&lt;=ThongTin!$C$11,"Pass","Xem xét")))</f>
        <v>Xem xét</v>
      </c>
    </row>
    <row r="8" spans="1:14" x14ac:dyDescent="0.25">
      <c r="A8" s="35">
        <f t="shared" si="0"/>
        <v>4</v>
      </c>
      <c r="B8" s="35" t="str">
        <f>IF('Mau15'!B14="","",'Mau15'!B14)</f>
        <v>KHOA01</v>
      </c>
      <c r="C8" s="35" t="str">
        <f>IF(B8="","",'Mau15'!C14)</f>
        <v>Khóa kéo</v>
      </c>
      <c r="D8" s="35" t="str">
        <f>IF(B8="","",'Mau15'!D14)</f>
        <v>PCE</v>
      </c>
      <c r="E8" s="39">
        <f>IF(B8="","",'Mau15'!I14)</f>
        <v>23230</v>
      </c>
      <c r="F8" s="39">
        <f>IF(B8="","",SUMIFS(Cau_noi!$B$5:$B$304,Cau_noi!$A$5:$A$304,B8))</f>
        <v>0</v>
      </c>
      <c r="G8" s="39">
        <f>IF(B8="","",SUMIFS(Cau_noi!$C$5:$C$304,Cau_noi!$A$5:$A$304,B8))</f>
        <v>0</v>
      </c>
      <c r="H8" s="39">
        <f>IF(B8="","",SUMIFS(Cau_noi!$D$5:$D$304,Cau_noi!$A$5:$A$304,B8))</f>
        <v>0</v>
      </c>
      <c r="I8" s="39">
        <f>IF(B8="","",SUMIFS(Cau_noi!$E$5:$E$304,Cau_noi!$A$5:$A$304,B8))</f>
        <v>0</v>
      </c>
      <c r="J8" s="39">
        <f t="shared" si="1"/>
        <v>23230</v>
      </c>
      <c r="K8" s="39">
        <f>IF(B8="","",SUMIFS(KT_DMTT_ChiTiet!$H$5:$H$1004,KT_DMTT_ChiTiet!$C$5:$C$1004,B8,KT_DMTT_ChiTiet!$N$5:$N$1004,1))</f>
        <v>23230</v>
      </c>
      <c r="L8" s="39">
        <f t="shared" si="2"/>
        <v>0</v>
      </c>
      <c r="M8" s="46">
        <f t="shared" si="3"/>
        <v>0</v>
      </c>
      <c r="N8" s="35" t="str">
        <f>IF(B8="","",IF(K8=0,IF(J8=0,"Pass",IF(COUNTIFS(BOM!$B$5:$B$1004,B8,BOM!$G$5:$G$1004,"KXDDM")&gt;0,"KXDDM","Xem xét")),IF(ABS(M8)&lt;=ThongTin!$C$11,"Pass","Xem xét")))</f>
        <v>Pass</v>
      </c>
    </row>
    <row r="9" spans="1:14" x14ac:dyDescent="0.25">
      <c r="A9" s="35">
        <f t="shared" si="0"/>
        <v>5</v>
      </c>
      <c r="B9" s="35" t="str">
        <f>IF('Mau15'!B15="","",'Mau15'!B15)</f>
        <v>NHAN01</v>
      </c>
      <c r="C9" s="35" t="str">
        <f>IF(B9="","",'Mau15'!C15)</f>
        <v>Nhãn vải</v>
      </c>
      <c r="D9" s="35" t="str">
        <f>IF(B9="","",'Mau15'!D15)</f>
        <v>PCE</v>
      </c>
      <c r="E9" s="39">
        <f>IF(B9="","",'Mau15'!I15)</f>
        <v>33350</v>
      </c>
      <c r="F9" s="39">
        <f>IF(B9="","",SUMIFS(Cau_noi!$B$5:$B$304,Cau_noi!$A$5:$A$304,B9))</f>
        <v>0</v>
      </c>
      <c r="G9" s="39">
        <f>IF(B9="","",SUMIFS(Cau_noi!$C$5:$C$304,Cau_noi!$A$5:$A$304,B9))</f>
        <v>0</v>
      </c>
      <c r="H9" s="39">
        <f>IF(B9="","",SUMIFS(Cau_noi!$D$5:$D$304,Cau_noi!$A$5:$A$304,B9))</f>
        <v>0</v>
      </c>
      <c r="I9" s="39">
        <f>IF(B9="","",SUMIFS(Cau_noi!$E$5:$E$304,Cau_noi!$A$5:$A$304,B9))</f>
        <v>0</v>
      </c>
      <c r="J9" s="39">
        <f t="shared" si="1"/>
        <v>33350</v>
      </c>
      <c r="K9" s="39">
        <f>IF(B9="","",SUMIFS(KT_DMTT_ChiTiet!$H$5:$H$1004,KT_DMTT_ChiTiet!$C$5:$C$1004,B9,KT_DMTT_ChiTiet!$N$5:$N$1004,1))</f>
        <v>33330</v>
      </c>
      <c r="L9" s="39">
        <f t="shared" si="2"/>
        <v>20</v>
      </c>
      <c r="M9" s="46">
        <f t="shared" si="3"/>
        <v>6.0006000600060011E-4</v>
      </c>
      <c r="N9" s="35" t="str">
        <f>IF(B9="","",IF(K9=0,IF(J9=0,"Pass",IF(COUNTIFS(BOM!$B$5:$B$1004,B9,BOM!$G$5:$G$1004,"KXDDM")&gt;0,"KXDDM","Xem xét")),IF(ABS(M9)&lt;=ThongTin!$C$11,"Pass","Xem xét")))</f>
        <v>Pass</v>
      </c>
    </row>
    <row r="10" spans="1:14" x14ac:dyDescent="0.25">
      <c r="A10" s="35">
        <f t="shared" si="0"/>
        <v>6</v>
      </c>
      <c r="B10" s="35" t="str">
        <f>IF('Mau15'!B16="","",'Mau15'!B16)</f>
        <v>PHAN01</v>
      </c>
      <c r="C10" s="35" t="str">
        <f>IF(B10="","",'Mau15'!C16)</f>
        <v>Phấn vẽ rập</v>
      </c>
      <c r="D10" s="35" t="str">
        <f>IF(B10="","",'Mau15'!D16)</f>
        <v>Viên</v>
      </c>
      <c r="E10" s="39">
        <f>IF(B10="","",'Mau15'!I16)</f>
        <v>900</v>
      </c>
      <c r="F10" s="39">
        <f>IF(B10="","",SUMIFS(Cau_noi!$B$5:$B$304,Cau_noi!$A$5:$A$304,B10))</f>
        <v>0</v>
      </c>
      <c r="G10" s="39">
        <f>IF(B10="","",SUMIFS(Cau_noi!$C$5:$C$304,Cau_noi!$A$5:$A$304,B10))</f>
        <v>0</v>
      </c>
      <c r="H10" s="39">
        <f>IF(B10="","",SUMIFS(Cau_noi!$D$5:$D$304,Cau_noi!$A$5:$A$304,B10))</f>
        <v>0</v>
      </c>
      <c r="I10" s="39">
        <f>IF(B10="","",SUMIFS(Cau_noi!$E$5:$E$304,Cau_noi!$A$5:$A$304,B10))</f>
        <v>0</v>
      </c>
      <c r="J10" s="39">
        <f t="shared" si="1"/>
        <v>900</v>
      </c>
      <c r="K10" s="39">
        <f>IF(B10="","",SUMIFS(KT_DMTT_ChiTiet!$H$5:$H$1004,KT_DMTT_ChiTiet!$C$5:$C$1004,B10,KT_DMTT_ChiTiet!$N$5:$N$1004,1))</f>
        <v>0</v>
      </c>
      <c r="L10" s="39">
        <f t="shared" si="2"/>
        <v>900</v>
      </c>
      <c r="M10" s="46" t="str">
        <f t="shared" si="3"/>
        <v/>
      </c>
      <c r="N10" s="35" t="str">
        <f>IF(B10="","",IF(K10=0,IF(J10=0,"Pass",IF(COUNTIFS(BOM!$B$5:$B$1004,B10,BOM!$G$5:$G$1004,"KXDDM")&gt;0,"KXDDM","Xem xét")),IF(ABS(M10)&lt;=ThongTin!$C$11,"Pass","Xem xét")))</f>
        <v>KXDDM</v>
      </c>
    </row>
    <row r="11" spans="1:14" x14ac:dyDescent="0.25">
      <c r="A11" s="35" t="str">
        <f t="shared" si="0"/>
        <v/>
      </c>
      <c r="B11" s="35" t="str">
        <f>IF('Mau15'!B17="","",'Mau15'!B17)</f>
        <v/>
      </c>
      <c r="C11" s="35" t="str">
        <f>IF(B11="","",'Mau15'!C17)</f>
        <v/>
      </c>
      <c r="D11" s="35" t="str">
        <f>IF(B11="","",'Mau15'!D17)</f>
        <v/>
      </c>
      <c r="E11" s="39" t="str">
        <f>IF(B11="","",'Mau15'!I17)</f>
        <v/>
      </c>
      <c r="F11" s="39" t="str">
        <f>IF(B11="","",SUMIFS(Cau_noi!$B$5:$B$304,Cau_noi!$A$5:$A$304,B11))</f>
        <v/>
      </c>
      <c r="G11" s="39" t="str">
        <f>IF(B11="","",SUMIFS(Cau_noi!$C$5:$C$304,Cau_noi!$A$5:$A$304,B11))</f>
        <v/>
      </c>
      <c r="H11" s="39" t="str">
        <f>IF(B11="","",SUMIFS(Cau_noi!$D$5:$D$304,Cau_noi!$A$5:$A$304,B11))</f>
        <v/>
      </c>
      <c r="I11" s="39" t="str">
        <f>IF(B11="","",SUMIFS(Cau_noi!$E$5:$E$304,Cau_noi!$A$5:$A$304,B11))</f>
        <v/>
      </c>
      <c r="J11" s="39" t="str">
        <f t="shared" si="1"/>
        <v/>
      </c>
      <c r="K11" s="39" t="str">
        <f>IF(B11="","",SUMIFS(KT_DMTT_ChiTiet!$H$5:$H$1004,KT_DMTT_ChiTiet!$C$5:$C$1004,B11,KT_DMTT_ChiTiet!$N$5:$N$1004,1))</f>
        <v/>
      </c>
      <c r="L11" s="39" t="str">
        <f t="shared" si="2"/>
        <v/>
      </c>
      <c r="M11" s="46" t="str">
        <f t="shared" si="3"/>
        <v/>
      </c>
      <c r="N11" s="35" t="str">
        <f>IF(B11="","",IF(K11=0,IF(J11=0,"Pass",IF(COUNTIFS(BOM!$B$5:$B$1004,B11,BOM!$G$5:$G$1004,"KXDDM")&gt;0,"KXDDM","Xem xét")),IF(ABS(M11)&lt;=ThongTin!$C$11,"Pass","Xem xét")))</f>
        <v/>
      </c>
    </row>
    <row r="12" spans="1:14" x14ac:dyDescent="0.25">
      <c r="A12" s="35" t="str">
        <f t="shared" si="0"/>
        <v/>
      </c>
      <c r="B12" s="35" t="str">
        <f>IF('Mau15'!B18="","",'Mau15'!B18)</f>
        <v/>
      </c>
      <c r="C12" s="35" t="str">
        <f>IF(B12="","",'Mau15'!C18)</f>
        <v/>
      </c>
      <c r="D12" s="35" t="str">
        <f>IF(B12="","",'Mau15'!D18)</f>
        <v/>
      </c>
      <c r="E12" s="39" t="str">
        <f>IF(B12="","",'Mau15'!I18)</f>
        <v/>
      </c>
      <c r="F12" s="39" t="str">
        <f>IF(B12="","",SUMIFS(Cau_noi!$B$5:$B$304,Cau_noi!$A$5:$A$304,B12))</f>
        <v/>
      </c>
      <c r="G12" s="39" t="str">
        <f>IF(B12="","",SUMIFS(Cau_noi!$C$5:$C$304,Cau_noi!$A$5:$A$304,B12))</f>
        <v/>
      </c>
      <c r="H12" s="39" t="str">
        <f>IF(B12="","",SUMIFS(Cau_noi!$D$5:$D$304,Cau_noi!$A$5:$A$304,B12))</f>
        <v/>
      </c>
      <c r="I12" s="39" t="str">
        <f>IF(B12="","",SUMIFS(Cau_noi!$E$5:$E$304,Cau_noi!$A$5:$A$304,B12))</f>
        <v/>
      </c>
      <c r="J12" s="39" t="str">
        <f t="shared" si="1"/>
        <v/>
      </c>
      <c r="K12" s="39" t="str">
        <f>IF(B12="","",SUMIFS(KT_DMTT_ChiTiet!$H$5:$H$1004,KT_DMTT_ChiTiet!$C$5:$C$1004,B12,KT_DMTT_ChiTiet!$N$5:$N$1004,1))</f>
        <v/>
      </c>
      <c r="L12" s="39" t="str">
        <f t="shared" si="2"/>
        <v/>
      </c>
      <c r="M12" s="46" t="str">
        <f t="shared" si="3"/>
        <v/>
      </c>
      <c r="N12" s="35" t="str">
        <f>IF(B12="","",IF(K12=0,IF(J12=0,"Pass",IF(COUNTIFS(BOM!$B$5:$B$1004,B12,BOM!$G$5:$G$1004,"KXDDM")&gt;0,"KXDDM","Xem xét")),IF(ABS(M12)&lt;=ThongTin!$C$11,"Pass","Xem xét")))</f>
        <v/>
      </c>
    </row>
    <row r="13" spans="1:14" x14ac:dyDescent="0.25">
      <c r="A13" s="35" t="str">
        <f t="shared" si="0"/>
        <v/>
      </c>
      <c r="B13" s="35" t="str">
        <f>IF('Mau15'!B19="","",'Mau15'!B19)</f>
        <v/>
      </c>
      <c r="C13" s="35" t="str">
        <f>IF(B13="","",'Mau15'!C19)</f>
        <v/>
      </c>
      <c r="D13" s="35" t="str">
        <f>IF(B13="","",'Mau15'!D19)</f>
        <v/>
      </c>
      <c r="E13" s="39" t="str">
        <f>IF(B13="","",'Mau15'!I19)</f>
        <v/>
      </c>
      <c r="F13" s="39" t="str">
        <f>IF(B13="","",SUMIFS(Cau_noi!$B$5:$B$304,Cau_noi!$A$5:$A$304,B13))</f>
        <v/>
      </c>
      <c r="G13" s="39" t="str">
        <f>IF(B13="","",SUMIFS(Cau_noi!$C$5:$C$304,Cau_noi!$A$5:$A$304,B13))</f>
        <v/>
      </c>
      <c r="H13" s="39" t="str">
        <f>IF(B13="","",SUMIFS(Cau_noi!$D$5:$D$304,Cau_noi!$A$5:$A$304,B13))</f>
        <v/>
      </c>
      <c r="I13" s="39" t="str">
        <f>IF(B13="","",SUMIFS(Cau_noi!$E$5:$E$304,Cau_noi!$A$5:$A$304,B13))</f>
        <v/>
      </c>
      <c r="J13" s="39" t="str">
        <f t="shared" si="1"/>
        <v/>
      </c>
      <c r="K13" s="39" t="str">
        <f>IF(B13="","",SUMIFS(KT_DMTT_ChiTiet!$H$5:$H$1004,KT_DMTT_ChiTiet!$C$5:$C$1004,B13,KT_DMTT_ChiTiet!$N$5:$N$1004,1))</f>
        <v/>
      </c>
      <c r="L13" s="39" t="str">
        <f t="shared" si="2"/>
        <v/>
      </c>
      <c r="M13" s="46" t="str">
        <f t="shared" si="3"/>
        <v/>
      </c>
      <c r="N13" s="35" t="str">
        <f>IF(B13="","",IF(K13=0,IF(J13=0,"Pass",IF(COUNTIFS(BOM!$B$5:$B$1004,B13,BOM!$G$5:$G$1004,"KXDDM")&gt;0,"KXDDM","Xem xét")),IF(ABS(M13)&lt;=ThongTin!$C$11,"Pass","Xem xét")))</f>
        <v/>
      </c>
    </row>
    <row r="14" spans="1:14" x14ac:dyDescent="0.25">
      <c r="A14" s="35" t="str">
        <f t="shared" si="0"/>
        <v/>
      </c>
      <c r="B14" s="35" t="str">
        <f>IF('Mau15'!B20="","",'Mau15'!B20)</f>
        <v/>
      </c>
      <c r="C14" s="35" t="str">
        <f>IF(B14="","",'Mau15'!C20)</f>
        <v/>
      </c>
      <c r="D14" s="35" t="str">
        <f>IF(B14="","",'Mau15'!D20)</f>
        <v/>
      </c>
      <c r="E14" s="39" t="str">
        <f>IF(B14="","",'Mau15'!I20)</f>
        <v/>
      </c>
      <c r="F14" s="39" t="str">
        <f>IF(B14="","",SUMIFS(Cau_noi!$B$5:$B$304,Cau_noi!$A$5:$A$304,B14))</f>
        <v/>
      </c>
      <c r="G14" s="39" t="str">
        <f>IF(B14="","",SUMIFS(Cau_noi!$C$5:$C$304,Cau_noi!$A$5:$A$304,B14))</f>
        <v/>
      </c>
      <c r="H14" s="39" t="str">
        <f>IF(B14="","",SUMIFS(Cau_noi!$D$5:$D$304,Cau_noi!$A$5:$A$304,B14))</f>
        <v/>
      </c>
      <c r="I14" s="39" t="str">
        <f>IF(B14="","",SUMIFS(Cau_noi!$E$5:$E$304,Cau_noi!$A$5:$A$304,B14))</f>
        <v/>
      </c>
      <c r="J14" s="39" t="str">
        <f t="shared" si="1"/>
        <v/>
      </c>
      <c r="K14" s="39" t="str">
        <f>IF(B14="","",SUMIFS(KT_DMTT_ChiTiet!$H$5:$H$1004,KT_DMTT_ChiTiet!$C$5:$C$1004,B14,KT_DMTT_ChiTiet!$N$5:$N$1004,1))</f>
        <v/>
      </c>
      <c r="L14" s="39" t="str">
        <f t="shared" si="2"/>
        <v/>
      </c>
      <c r="M14" s="46" t="str">
        <f t="shared" si="3"/>
        <v/>
      </c>
      <c r="N14" s="35" t="str">
        <f>IF(B14="","",IF(K14=0,IF(J14=0,"Pass",IF(COUNTIFS(BOM!$B$5:$B$1004,B14,BOM!$G$5:$G$1004,"KXDDM")&gt;0,"KXDDM","Xem xét")),IF(ABS(M14)&lt;=ThongTin!$C$11,"Pass","Xem xét")))</f>
        <v/>
      </c>
    </row>
    <row r="15" spans="1:14" x14ac:dyDescent="0.25">
      <c r="A15" s="35" t="str">
        <f t="shared" si="0"/>
        <v/>
      </c>
      <c r="B15" s="35" t="str">
        <f>IF('Mau15'!B21="","",'Mau15'!B21)</f>
        <v/>
      </c>
      <c r="C15" s="35" t="str">
        <f>IF(B15="","",'Mau15'!C21)</f>
        <v/>
      </c>
      <c r="D15" s="35" t="str">
        <f>IF(B15="","",'Mau15'!D21)</f>
        <v/>
      </c>
      <c r="E15" s="39" t="str">
        <f>IF(B15="","",'Mau15'!I21)</f>
        <v/>
      </c>
      <c r="F15" s="39" t="str">
        <f>IF(B15="","",SUMIFS(Cau_noi!$B$5:$B$304,Cau_noi!$A$5:$A$304,B15))</f>
        <v/>
      </c>
      <c r="G15" s="39" t="str">
        <f>IF(B15="","",SUMIFS(Cau_noi!$C$5:$C$304,Cau_noi!$A$5:$A$304,B15))</f>
        <v/>
      </c>
      <c r="H15" s="39" t="str">
        <f>IF(B15="","",SUMIFS(Cau_noi!$D$5:$D$304,Cau_noi!$A$5:$A$304,B15))</f>
        <v/>
      </c>
      <c r="I15" s="39" t="str">
        <f>IF(B15="","",SUMIFS(Cau_noi!$E$5:$E$304,Cau_noi!$A$5:$A$304,B15))</f>
        <v/>
      </c>
      <c r="J15" s="39" t="str">
        <f t="shared" si="1"/>
        <v/>
      </c>
      <c r="K15" s="39" t="str">
        <f>IF(B15="","",SUMIFS(KT_DMTT_ChiTiet!$H$5:$H$1004,KT_DMTT_ChiTiet!$C$5:$C$1004,B15,KT_DMTT_ChiTiet!$N$5:$N$1004,1))</f>
        <v/>
      </c>
      <c r="L15" s="39" t="str">
        <f t="shared" si="2"/>
        <v/>
      </c>
      <c r="M15" s="46" t="str">
        <f t="shared" si="3"/>
        <v/>
      </c>
      <c r="N15" s="35" t="str">
        <f>IF(B15="","",IF(K15=0,IF(J15=0,"Pass",IF(COUNTIFS(BOM!$B$5:$B$1004,B15,BOM!$G$5:$G$1004,"KXDDM")&gt;0,"KXDDM","Xem xét")),IF(ABS(M15)&lt;=ThongTin!$C$11,"Pass","Xem xét")))</f>
        <v/>
      </c>
    </row>
    <row r="16" spans="1:14" x14ac:dyDescent="0.25">
      <c r="A16" s="35" t="str">
        <f t="shared" si="0"/>
        <v/>
      </c>
      <c r="B16" s="35" t="str">
        <f>IF('Mau15'!B22="","",'Mau15'!B22)</f>
        <v/>
      </c>
      <c r="C16" s="35" t="str">
        <f>IF(B16="","",'Mau15'!C22)</f>
        <v/>
      </c>
      <c r="D16" s="35" t="str">
        <f>IF(B16="","",'Mau15'!D22)</f>
        <v/>
      </c>
      <c r="E16" s="39" t="str">
        <f>IF(B16="","",'Mau15'!I22)</f>
        <v/>
      </c>
      <c r="F16" s="39" t="str">
        <f>IF(B16="","",SUMIFS(Cau_noi!$B$5:$B$304,Cau_noi!$A$5:$A$304,B16))</f>
        <v/>
      </c>
      <c r="G16" s="39" t="str">
        <f>IF(B16="","",SUMIFS(Cau_noi!$C$5:$C$304,Cau_noi!$A$5:$A$304,B16))</f>
        <v/>
      </c>
      <c r="H16" s="39" t="str">
        <f>IF(B16="","",SUMIFS(Cau_noi!$D$5:$D$304,Cau_noi!$A$5:$A$304,B16))</f>
        <v/>
      </c>
      <c r="I16" s="39" t="str">
        <f>IF(B16="","",SUMIFS(Cau_noi!$E$5:$E$304,Cau_noi!$A$5:$A$304,B16))</f>
        <v/>
      </c>
      <c r="J16" s="39" t="str">
        <f t="shared" si="1"/>
        <v/>
      </c>
      <c r="K16" s="39" t="str">
        <f>IF(B16="","",SUMIFS(KT_DMTT_ChiTiet!$H$5:$H$1004,KT_DMTT_ChiTiet!$C$5:$C$1004,B16,KT_DMTT_ChiTiet!$N$5:$N$1004,1))</f>
        <v/>
      </c>
      <c r="L16" s="39" t="str">
        <f t="shared" si="2"/>
        <v/>
      </c>
      <c r="M16" s="46" t="str">
        <f t="shared" si="3"/>
        <v/>
      </c>
      <c r="N16" s="35" t="str">
        <f>IF(B16="","",IF(K16=0,IF(J16=0,"Pass",IF(COUNTIFS(BOM!$B$5:$B$1004,B16,BOM!$G$5:$G$1004,"KXDDM")&gt;0,"KXDDM","Xem xét")),IF(ABS(M16)&lt;=ThongTin!$C$11,"Pass","Xem xét")))</f>
        <v/>
      </c>
    </row>
    <row r="17" spans="1:14" x14ac:dyDescent="0.25">
      <c r="A17" s="35" t="str">
        <f t="shared" si="0"/>
        <v/>
      </c>
      <c r="B17" s="35" t="str">
        <f>IF('Mau15'!B23="","",'Mau15'!B23)</f>
        <v/>
      </c>
      <c r="C17" s="35" t="str">
        <f>IF(B17="","",'Mau15'!C23)</f>
        <v/>
      </c>
      <c r="D17" s="35" t="str">
        <f>IF(B17="","",'Mau15'!D23)</f>
        <v/>
      </c>
      <c r="E17" s="39" t="str">
        <f>IF(B17="","",'Mau15'!I23)</f>
        <v/>
      </c>
      <c r="F17" s="39" t="str">
        <f>IF(B17="","",SUMIFS(Cau_noi!$B$5:$B$304,Cau_noi!$A$5:$A$304,B17))</f>
        <v/>
      </c>
      <c r="G17" s="39" t="str">
        <f>IF(B17="","",SUMIFS(Cau_noi!$C$5:$C$304,Cau_noi!$A$5:$A$304,B17))</f>
        <v/>
      </c>
      <c r="H17" s="39" t="str">
        <f>IF(B17="","",SUMIFS(Cau_noi!$D$5:$D$304,Cau_noi!$A$5:$A$304,B17))</f>
        <v/>
      </c>
      <c r="I17" s="39" t="str">
        <f>IF(B17="","",SUMIFS(Cau_noi!$E$5:$E$304,Cau_noi!$A$5:$A$304,B17))</f>
        <v/>
      </c>
      <c r="J17" s="39" t="str">
        <f t="shared" si="1"/>
        <v/>
      </c>
      <c r="K17" s="39" t="str">
        <f>IF(B17="","",SUMIFS(KT_DMTT_ChiTiet!$H$5:$H$1004,KT_DMTT_ChiTiet!$C$5:$C$1004,B17,KT_DMTT_ChiTiet!$N$5:$N$1004,1))</f>
        <v/>
      </c>
      <c r="L17" s="39" t="str">
        <f t="shared" si="2"/>
        <v/>
      </c>
      <c r="M17" s="46" t="str">
        <f t="shared" si="3"/>
        <v/>
      </c>
      <c r="N17" s="35" t="str">
        <f>IF(B17="","",IF(K17=0,IF(J17=0,"Pass",IF(COUNTIFS(BOM!$B$5:$B$1004,B17,BOM!$G$5:$G$1004,"KXDDM")&gt;0,"KXDDM","Xem xét")),IF(ABS(M17)&lt;=ThongTin!$C$11,"Pass","Xem xét")))</f>
        <v/>
      </c>
    </row>
    <row r="18" spans="1:14" x14ac:dyDescent="0.25">
      <c r="A18" s="35" t="str">
        <f t="shared" si="0"/>
        <v/>
      </c>
      <c r="B18" s="35" t="str">
        <f>IF('Mau15'!B24="","",'Mau15'!B24)</f>
        <v/>
      </c>
      <c r="C18" s="35" t="str">
        <f>IF(B18="","",'Mau15'!C24)</f>
        <v/>
      </c>
      <c r="D18" s="35" t="str">
        <f>IF(B18="","",'Mau15'!D24)</f>
        <v/>
      </c>
      <c r="E18" s="39" t="str">
        <f>IF(B18="","",'Mau15'!I24)</f>
        <v/>
      </c>
      <c r="F18" s="39" t="str">
        <f>IF(B18="","",SUMIFS(Cau_noi!$B$5:$B$304,Cau_noi!$A$5:$A$304,B18))</f>
        <v/>
      </c>
      <c r="G18" s="39" t="str">
        <f>IF(B18="","",SUMIFS(Cau_noi!$C$5:$C$304,Cau_noi!$A$5:$A$304,B18))</f>
        <v/>
      </c>
      <c r="H18" s="39" t="str">
        <f>IF(B18="","",SUMIFS(Cau_noi!$D$5:$D$304,Cau_noi!$A$5:$A$304,B18))</f>
        <v/>
      </c>
      <c r="I18" s="39" t="str">
        <f>IF(B18="","",SUMIFS(Cau_noi!$E$5:$E$304,Cau_noi!$A$5:$A$304,B18))</f>
        <v/>
      </c>
      <c r="J18" s="39" t="str">
        <f t="shared" si="1"/>
        <v/>
      </c>
      <c r="K18" s="39" t="str">
        <f>IF(B18="","",SUMIFS(KT_DMTT_ChiTiet!$H$5:$H$1004,KT_DMTT_ChiTiet!$C$5:$C$1004,B18,KT_DMTT_ChiTiet!$N$5:$N$1004,1))</f>
        <v/>
      </c>
      <c r="L18" s="39" t="str">
        <f t="shared" si="2"/>
        <v/>
      </c>
      <c r="M18" s="46" t="str">
        <f t="shared" si="3"/>
        <v/>
      </c>
      <c r="N18" s="35" t="str">
        <f>IF(B18="","",IF(K18=0,IF(J18=0,"Pass",IF(COUNTIFS(BOM!$B$5:$B$1004,B18,BOM!$G$5:$G$1004,"KXDDM")&gt;0,"KXDDM","Xem xét")),IF(ABS(M18)&lt;=ThongTin!$C$11,"Pass","Xem xét")))</f>
        <v/>
      </c>
    </row>
    <row r="19" spans="1:14" x14ac:dyDescent="0.25">
      <c r="A19" s="35" t="str">
        <f t="shared" si="0"/>
        <v/>
      </c>
      <c r="B19" s="35" t="str">
        <f>IF('Mau15'!B25="","",'Mau15'!B25)</f>
        <v/>
      </c>
      <c r="C19" s="35" t="str">
        <f>IF(B19="","",'Mau15'!C25)</f>
        <v/>
      </c>
      <c r="D19" s="35" t="str">
        <f>IF(B19="","",'Mau15'!D25)</f>
        <v/>
      </c>
      <c r="E19" s="39" t="str">
        <f>IF(B19="","",'Mau15'!I25)</f>
        <v/>
      </c>
      <c r="F19" s="39" t="str">
        <f>IF(B19="","",SUMIFS(Cau_noi!$B$5:$B$304,Cau_noi!$A$5:$A$304,B19))</f>
        <v/>
      </c>
      <c r="G19" s="39" t="str">
        <f>IF(B19="","",SUMIFS(Cau_noi!$C$5:$C$304,Cau_noi!$A$5:$A$304,B19))</f>
        <v/>
      </c>
      <c r="H19" s="39" t="str">
        <f>IF(B19="","",SUMIFS(Cau_noi!$D$5:$D$304,Cau_noi!$A$5:$A$304,B19))</f>
        <v/>
      </c>
      <c r="I19" s="39" t="str">
        <f>IF(B19="","",SUMIFS(Cau_noi!$E$5:$E$304,Cau_noi!$A$5:$A$304,B19))</f>
        <v/>
      </c>
      <c r="J19" s="39" t="str">
        <f t="shared" si="1"/>
        <v/>
      </c>
      <c r="K19" s="39" t="str">
        <f>IF(B19="","",SUMIFS(KT_DMTT_ChiTiet!$H$5:$H$1004,KT_DMTT_ChiTiet!$C$5:$C$1004,B19,KT_DMTT_ChiTiet!$N$5:$N$1004,1))</f>
        <v/>
      </c>
      <c r="L19" s="39" t="str">
        <f t="shared" si="2"/>
        <v/>
      </c>
      <c r="M19" s="46" t="str">
        <f t="shared" si="3"/>
        <v/>
      </c>
      <c r="N19" s="35" t="str">
        <f>IF(B19="","",IF(K19=0,IF(J19=0,"Pass",IF(COUNTIFS(BOM!$B$5:$B$1004,B19,BOM!$G$5:$G$1004,"KXDDM")&gt;0,"KXDDM","Xem xét")),IF(ABS(M19)&lt;=ThongTin!$C$11,"Pass","Xem xét")))</f>
        <v/>
      </c>
    </row>
    <row r="20" spans="1:14" x14ac:dyDescent="0.25">
      <c r="A20" s="35" t="str">
        <f t="shared" si="0"/>
        <v/>
      </c>
      <c r="B20" s="35" t="str">
        <f>IF('Mau15'!B26="","",'Mau15'!B26)</f>
        <v/>
      </c>
      <c r="C20" s="35" t="str">
        <f>IF(B20="","",'Mau15'!C26)</f>
        <v/>
      </c>
      <c r="D20" s="35" t="str">
        <f>IF(B20="","",'Mau15'!D26)</f>
        <v/>
      </c>
      <c r="E20" s="39" t="str">
        <f>IF(B20="","",'Mau15'!I26)</f>
        <v/>
      </c>
      <c r="F20" s="39" t="str">
        <f>IF(B20="","",SUMIFS(Cau_noi!$B$5:$B$304,Cau_noi!$A$5:$A$304,B20))</f>
        <v/>
      </c>
      <c r="G20" s="39" t="str">
        <f>IF(B20="","",SUMIFS(Cau_noi!$C$5:$C$304,Cau_noi!$A$5:$A$304,B20))</f>
        <v/>
      </c>
      <c r="H20" s="39" t="str">
        <f>IF(B20="","",SUMIFS(Cau_noi!$D$5:$D$304,Cau_noi!$A$5:$A$304,B20))</f>
        <v/>
      </c>
      <c r="I20" s="39" t="str">
        <f>IF(B20="","",SUMIFS(Cau_noi!$E$5:$E$304,Cau_noi!$A$5:$A$304,B20))</f>
        <v/>
      </c>
      <c r="J20" s="39" t="str">
        <f t="shared" si="1"/>
        <v/>
      </c>
      <c r="K20" s="39" t="str">
        <f>IF(B20="","",SUMIFS(KT_DMTT_ChiTiet!$H$5:$H$1004,KT_DMTT_ChiTiet!$C$5:$C$1004,B20,KT_DMTT_ChiTiet!$N$5:$N$1004,1))</f>
        <v/>
      </c>
      <c r="L20" s="39" t="str">
        <f t="shared" si="2"/>
        <v/>
      </c>
      <c r="M20" s="46" t="str">
        <f t="shared" si="3"/>
        <v/>
      </c>
      <c r="N20" s="35" t="str">
        <f>IF(B20="","",IF(K20=0,IF(J20=0,"Pass",IF(COUNTIFS(BOM!$B$5:$B$1004,B20,BOM!$G$5:$G$1004,"KXDDM")&gt;0,"KXDDM","Xem xét")),IF(ABS(M20)&lt;=ThongTin!$C$11,"Pass","Xem xét")))</f>
        <v/>
      </c>
    </row>
    <row r="21" spans="1:14" x14ac:dyDescent="0.25">
      <c r="A21" s="35" t="str">
        <f t="shared" si="0"/>
        <v/>
      </c>
      <c r="B21" s="35" t="str">
        <f>IF('Mau15'!B27="","",'Mau15'!B27)</f>
        <v/>
      </c>
      <c r="C21" s="35" t="str">
        <f>IF(B21="","",'Mau15'!C27)</f>
        <v/>
      </c>
      <c r="D21" s="35" t="str">
        <f>IF(B21="","",'Mau15'!D27)</f>
        <v/>
      </c>
      <c r="E21" s="39" t="str">
        <f>IF(B21="","",'Mau15'!I27)</f>
        <v/>
      </c>
      <c r="F21" s="39" t="str">
        <f>IF(B21="","",SUMIFS(Cau_noi!$B$5:$B$304,Cau_noi!$A$5:$A$304,B21))</f>
        <v/>
      </c>
      <c r="G21" s="39" t="str">
        <f>IF(B21="","",SUMIFS(Cau_noi!$C$5:$C$304,Cau_noi!$A$5:$A$304,B21))</f>
        <v/>
      </c>
      <c r="H21" s="39" t="str">
        <f>IF(B21="","",SUMIFS(Cau_noi!$D$5:$D$304,Cau_noi!$A$5:$A$304,B21))</f>
        <v/>
      </c>
      <c r="I21" s="39" t="str">
        <f>IF(B21="","",SUMIFS(Cau_noi!$E$5:$E$304,Cau_noi!$A$5:$A$304,B21))</f>
        <v/>
      </c>
      <c r="J21" s="39" t="str">
        <f t="shared" si="1"/>
        <v/>
      </c>
      <c r="K21" s="39" t="str">
        <f>IF(B21="","",SUMIFS(KT_DMTT_ChiTiet!$H$5:$H$1004,KT_DMTT_ChiTiet!$C$5:$C$1004,B21,KT_DMTT_ChiTiet!$N$5:$N$1004,1))</f>
        <v/>
      </c>
      <c r="L21" s="39" t="str">
        <f t="shared" si="2"/>
        <v/>
      </c>
      <c r="M21" s="46" t="str">
        <f t="shared" si="3"/>
        <v/>
      </c>
      <c r="N21" s="35" t="str">
        <f>IF(B21="","",IF(K21=0,IF(J21=0,"Pass",IF(COUNTIFS(BOM!$B$5:$B$1004,B21,BOM!$G$5:$G$1004,"KXDDM")&gt;0,"KXDDM","Xem xét")),IF(ABS(M21)&lt;=ThongTin!$C$11,"Pass","Xem xét")))</f>
        <v/>
      </c>
    </row>
    <row r="22" spans="1:14" x14ac:dyDescent="0.25">
      <c r="A22" s="35" t="str">
        <f t="shared" si="0"/>
        <v/>
      </c>
      <c r="B22" s="35" t="str">
        <f>IF('Mau15'!B28="","",'Mau15'!B28)</f>
        <v/>
      </c>
      <c r="C22" s="35" t="str">
        <f>IF(B22="","",'Mau15'!C28)</f>
        <v/>
      </c>
      <c r="D22" s="35" t="str">
        <f>IF(B22="","",'Mau15'!D28)</f>
        <v/>
      </c>
      <c r="E22" s="39" t="str">
        <f>IF(B22="","",'Mau15'!I28)</f>
        <v/>
      </c>
      <c r="F22" s="39" t="str">
        <f>IF(B22="","",SUMIFS(Cau_noi!$B$5:$B$304,Cau_noi!$A$5:$A$304,B22))</f>
        <v/>
      </c>
      <c r="G22" s="39" t="str">
        <f>IF(B22="","",SUMIFS(Cau_noi!$C$5:$C$304,Cau_noi!$A$5:$A$304,B22))</f>
        <v/>
      </c>
      <c r="H22" s="39" t="str">
        <f>IF(B22="","",SUMIFS(Cau_noi!$D$5:$D$304,Cau_noi!$A$5:$A$304,B22))</f>
        <v/>
      </c>
      <c r="I22" s="39" t="str">
        <f>IF(B22="","",SUMIFS(Cau_noi!$E$5:$E$304,Cau_noi!$A$5:$A$304,B22))</f>
        <v/>
      </c>
      <c r="J22" s="39" t="str">
        <f t="shared" si="1"/>
        <v/>
      </c>
      <c r="K22" s="39" t="str">
        <f>IF(B22="","",SUMIFS(KT_DMTT_ChiTiet!$H$5:$H$1004,KT_DMTT_ChiTiet!$C$5:$C$1004,B22,KT_DMTT_ChiTiet!$N$5:$N$1004,1))</f>
        <v/>
      </c>
      <c r="L22" s="39" t="str">
        <f t="shared" si="2"/>
        <v/>
      </c>
      <c r="M22" s="46" t="str">
        <f t="shared" si="3"/>
        <v/>
      </c>
      <c r="N22" s="35" t="str">
        <f>IF(B22="","",IF(K22=0,IF(J22=0,"Pass",IF(COUNTIFS(BOM!$B$5:$B$1004,B22,BOM!$G$5:$G$1004,"KXDDM")&gt;0,"KXDDM","Xem xét")),IF(ABS(M22)&lt;=ThongTin!$C$11,"Pass","Xem xét")))</f>
        <v/>
      </c>
    </row>
    <row r="23" spans="1:14" x14ac:dyDescent="0.25">
      <c r="A23" s="35" t="str">
        <f t="shared" si="0"/>
        <v/>
      </c>
      <c r="B23" s="35" t="str">
        <f>IF('Mau15'!B29="","",'Mau15'!B29)</f>
        <v/>
      </c>
      <c r="C23" s="35" t="str">
        <f>IF(B23="","",'Mau15'!C29)</f>
        <v/>
      </c>
      <c r="D23" s="35" t="str">
        <f>IF(B23="","",'Mau15'!D29)</f>
        <v/>
      </c>
      <c r="E23" s="39" t="str">
        <f>IF(B23="","",'Mau15'!I29)</f>
        <v/>
      </c>
      <c r="F23" s="39" t="str">
        <f>IF(B23="","",SUMIFS(Cau_noi!$B$5:$B$304,Cau_noi!$A$5:$A$304,B23))</f>
        <v/>
      </c>
      <c r="G23" s="39" t="str">
        <f>IF(B23="","",SUMIFS(Cau_noi!$C$5:$C$304,Cau_noi!$A$5:$A$304,B23))</f>
        <v/>
      </c>
      <c r="H23" s="39" t="str">
        <f>IF(B23="","",SUMIFS(Cau_noi!$D$5:$D$304,Cau_noi!$A$5:$A$304,B23))</f>
        <v/>
      </c>
      <c r="I23" s="39" t="str">
        <f>IF(B23="","",SUMIFS(Cau_noi!$E$5:$E$304,Cau_noi!$A$5:$A$304,B23))</f>
        <v/>
      </c>
      <c r="J23" s="39" t="str">
        <f t="shared" si="1"/>
        <v/>
      </c>
      <c r="K23" s="39" t="str">
        <f>IF(B23="","",SUMIFS(KT_DMTT_ChiTiet!$H$5:$H$1004,KT_DMTT_ChiTiet!$C$5:$C$1004,B23,KT_DMTT_ChiTiet!$N$5:$N$1004,1))</f>
        <v/>
      </c>
      <c r="L23" s="39" t="str">
        <f t="shared" si="2"/>
        <v/>
      </c>
      <c r="M23" s="46" t="str">
        <f t="shared" si="3"/>
        <v/>
      </c>
      <c r="N23" s="35" t="str">
        <f>IF(B23="","",IF(K23=0,IF(J23=0,"Pass",IF(COUNTIFS(BOM!$B$5:$B$1004,B23,BOM!$G$5:$G$1004,"KXDDM")&gt;0,"KXDDM","Xem xét")),IF(ABS(M23)&lt;=ThongTin!$C$11,"Pass","Xem xét")))</f>
        <v/>
      </c>
    </row>
    <row r="24" spans="1:14" x14ac:dyDescent="0.25">
      <c r="A24" s="35" t="str">
        <f t="shared" si="0"/>
        <v/>
      </c>
      <c r="B24" s="35" t="str">
        <f>IF('Mau15'!B30="","",'Mau15'!B30)</f>
        <v/>
      </c>
      <c r="C24" s="35" t="str">
        <f>IF(B24="","",'Mau15'!C30)</f>
        <v/>
      </c>
      <c r="D24" s="35" t="str">
        <f>IF(B24="","",'Mau15'!D30)</f>
        <v/>
      </c>
      <c r="E24" s="39" t="str">
        <f>IF(B24="","",'Mau15'!I30)</f>
        <v/>
      </c>
      <c r="F24" s="39" t="str">
        <f>IF(B24="","",SUMIFS(Cau_noi!$B$5:$B$304,Cau_noi!$A$5:$A$304,B24))</f>
        <v/>
      </c>
      <c r="G24" s="39" t="str">
        <f>IF(B24="","",SUMIFS(Cau_noi!$C$5:$C$304,Cau_noi!$A$5:$A$304,B24))</f>
        <v/>
      </c>
      <c r="H24" s="39" t="str">
        <f>IF(B24="","",SUMIFS(Cau_noi!$D$5:$D$304,Cau_noi!$A$5:$A$304,B24))</f>
        <v/>
      </c>
      <c r="I24" s="39" t="str">
        <f>IF(B24="","",SUMIFS(Cau_noi!$E$5:$E$304,Cau_noi!$A$5:$A$304,B24))</f>
        <v/>
      </c>
      <c r="J24" s="39" t="str">
        <f t="shared" si="1"/>
        <v/>
      </c>
      <c r="K24" s="39" t="str">
        <f>IF(B24="","",SUMIFS(KT_DMTT_ChiTiet!$H$5:$H$1004,KT_DMTT_ChiTiet!$C$5:$C$1004,B24,KT_DMTT_ChiTiet!$N$5:$N$1004,1))</f>
        <v/>
      </c>
      <c r="L24" s="39" t="str">
        <f t="shared" si="2"/>
        <v/>
      </c>
      <c r="M24" s="46" t="str">
        <f t="shared" si="3"/>
        <v/>
      </c>
      <c r="N24" s="35" t="str">
        <f>IF(B24="","",IF(K24=0,IF(J24=0,"Pass",IF(COUNTIFS(BOM!$B$5:$B$1004,B24,BOM!$G$5:$G$1004,"KXDDM")&gt;0,"KXDDM","Xem xét")),IF(ABS(M24)&lt;=ThongTin!$C$11,"Pass","Xem xét")))</f>
        <v/>
      </c>
    </row>
    <row r="25" spans="1:14" x14ac:dyDescent="0.25">
      <c r="A25" s="35" t="str">
        <f t="shared" si="0"/>
        <v/>
      </c>
      <c r="B25" s="35" t="str">
        <f>IF('Mau15'!B31="","",'Mau15'!B31)</f>
        <v/>
      </c>
      <c r="C25" s="35" t="str">
        <f>IF(B25="","",'Mau15'!C31)</f>
        <v/>
      </c>
      <c r="D25" s="35" t="str">
        <f>IF(B25="","",'Mau15'!D31)</f>
        <v/>
      </c>
      <c r="E25" s="39" t="str">
        <f>IF(B25="","",'Mau15'!I31)</f>
        <v/>
      </c>
      <c r="F25" s="39" t="str">
        <f>IF(B25="","",SUMIFS(Cau_noi!$B$5:$B$304,Cau_noi!$A$5:$A$304,B25))</f>
        <v/>
      </c>
      <c r="G25" s="39" t="str">
        <f>IF(B25="","",SUMIFS(Cau_noi!$C$5:$C$304,Cau_noi!$A$5:$A$304,B25))</f>
        <v/>
      </c>
      <c r="H25" s="39" t="str">
        <f>IF(B25="","",SUMIFS(Cau_noi!$D$5:$D$304,Cau_noi!$A$5:$A$304,B25))</f>
        <v/>
      </c>
      <c r="I25" s="39" t="str">
        <f>IF(B25="","",SUMIFS(Cau_noi!$E$5:$E$304,Cau_noi!$A$5:$A$304,B25))</f>
        <v/>
      </c>
      <c r="J25" s="39" t="str">
        <f t="shared" si="1"/>
        <v/>
      </c>
      <c r="K25" s="39" t="str">
        <f>IF(B25="","",SUMIFS(KT_DMTT_ChiTiet!$H$5:$H$1004,KT_DMTT_ChiTiet!$C$5:$C$1004,B25,KT_DMTT_ChiTiet!$N$5:$N$1004,1))</f>
        <v/>
      </c>
      <c r="L25" s="39" t="str">
        <f t="shared" si="2"/>
        <v/>
      </c>
      <c r="M25" s="46" t="str">
        <f t="shared" si="3"/>
        <v/>
      </c>
      <c r="N25" s="35" t="str">
        <f>IF(B25="","",IF(K25=0,IF(J25=0,"Pass",IF(COUNTIFS(BOM!$B$5:$B$1004,B25,BOM!$G$5:$G$1004,"KXDDM")&gt;0,"KXDDM","Xem xét")),IF(ABS(M25)&lt;=ThongTin!$C$11,"Pass","Xem xét")))</f>
        <v/>
      </c>
    </row>
    <row r="26" spans="1:14" x14ac:dyDescent="0.25">
      <c r="A26" s="35" t="str">
        <f t="shared" si="0"/>
        <v/>
      </c>
      <c r="B26" s="35" t="str">
        <f>IF('Mau15'!B32="","",'Mau15'!B32)</f>
        <v/>
      </c>
      <c r="C26" s="35" t="str">
        <f>IF(B26="","",'Mau15'!C32)</f>
        <v/>
      </c>
      <c r="D26" s="35" t="str">
        <f>IF(B26="","",'Mau15'!D32)</f>
        <v/>
      </c>
      <c r="E26" s="39" t="str">
        <f>IF(B26="","",'Mau15'!I32)</f>
        <v/>
      </c>
      <c r="F26" s="39" t="str">
        <f>IF(B26="","",SUMIFS(Cau_noi!$B$5:$B$304,Cau_noi!$A$5:$A$304,B26))</f>
        <v/>
      </c>
      <c r="G26" s="39" t="str">
        <f>IF(B26="","",SUMIFS(Cau_noi!$C$5:$C$304,Cau_noi!$A$5:$A$304,B26))</f>
        <v/>
      </c>
      <c r="H26" s="39" t="str">
        <f>IF(B26="","",SUMIFS(Cau_noi!$D$5:$D$304,Cau_noi!$A$5:$A$304,B26))</f>
        <v/>
      </c>
      <c r="I26" s="39" t="str">
        <f>IF(B26="","",SUMIFS(Cau_noi!$E$5:$E$304,Cau_noi!$A$5:$A$304,B26))</f>
        <v/>
      </c>
      <c r="J26" s="39" t="str">
        <f t="shared" si="1"/>
        <v/>
      </c>
      <c r="K26" s="39" t="str">
        <f>IF(B26="","",SUMIFS(KT_DMTT_ChiTiet!$H$5:$H$1004,KT_DMTT_ChiTiet!$C$5:$C$1004,B26,KT_DMTT_ChiTiet!$N$5:$N$1004,1))</f>
        <v/>
      </c>
      <c r="L26" s="39" t="str">
        <f t="shared" si="2"/>
        <v/>
      </c>
      <c r="M26" s="46" t="str">
        <f t="shared" si="3"/>
        <v/>
      </c>
      <c r="N26" s="35" t="str">
        <f>IF(B26="","",IF(K26=0,IF(J26=0,"Pass",IF(COUNTIFS(BOM!$B$5:$B$1004,B26,BOM!$G$5:$G$1004,"KXDDM")&gt;0,"KXDDM","Xem xét")),IF(ABS(M26)&lt;=ThongTin!$C$11,"Pass","Xem xét")))</f>
        <v/>
      </c>
    </row>
    <row r="27" spans="1:14" x14ac:dyDescent="0.25">
      <c r="A27" s="35" t="str">
        <f t="shared" si="0"/>
        <v/>
      </c>
      <c r="B27" s="35" t="str">
        <f>IF('Mau15'!B33="","",'Mau15'!B33)</f>
        <v/>
      </c>
      <c r="C27" s="35" t="str">
        <f>IF(B27="","",'Mau15'!C33)</f>
        <v/>
      </c>
      <c r="D27" s="35" t="str">
        <f>IF(B27="","",'Mau15'!D33)</f>
        <v/>
      </c>
      <c r="E27" s="39" t="str">
        <f>IF(B27="","",'Mau15'!I33)</f>
        <v/>
      </c>
      <c r="F27" s="39" t="str">
        <f>IF(B27="","",SUMIFS(Cau_noi!$B$5:$B$304,Cau_noi!$A$5:$A$304,B27))</f>
        <v/>
      </c>
      <c r="G27" s="39" t="str">
        <f>IF(B27="","",SUMIFS(Cau_noi!$C$5:$C$304,Cau_noi!$A$5:$A$304,B27))</f>
        <v/>
      </c>
      <c r="H27" s="39" t="str">
        <f>IF(B27="","",SUMIFS(Cau_noi!$D$5:$D$304,Cau_noi!$A$5:$A$304,B27))</f>
        <v/>
      </c>
      <c r="I27" s="39" t="str">
        <f>IF(B27="","",SUMIFS(Cau_noi!$E$5:$E$304,Cau_noi!$A$5:$A$304,B27))</f>
        <v/>
      </c>
      <c r="J27" s="39" t="str">
        <f t="shared" si="1"/>
        <v/>
      </c>
      <c r="K27" s="39" t="str">
        <f>IF(B27="","",SUMIFS(KT_DMTT_ChiTiet!$H$5:$H$1004,KT_DMTT_ChiTiet!$C$5:$C$1004,B27,KT_DMTT_ChiTiet!$N$5:$N$1004,1))</f>
        <v/>
      </c>
      <c r="L27" s="39" t="str">
        <f t="shared" si="2"/>
        <v/>
      </c>
      <c r="M27" s="46" t="str">
        <f t="shared" si="3"/>
        <v/>
      </c>
      <c r="N27" s="35" t="str">
        <f>IF(B27="","",IF(K27=0,IF(J27=0,"Pass",IF(COUNTIFS(BOM!$B$5:$B$1004,B27,BOM!$G$5:$G$1004,"KXDDM")&gt;0,"KXDDM","Xem xét")),IF(ABS(M27)&lt;=ThongTin!$C$11,"Pass","Xem xét")))</f>
        <v/>
      </c>
    </row>
    <row r="28" spans="1:14" x14ac:dyDescent="0.25">
      <c r="A28" s="35" t="str">
        <f t="shared" si="0"/>
        <v/>
      </c>
      <c r="B28" s="35" t="str">
        <f>IF('Mau15'!B34="","",'Mau15'!B34)</f>
        <v/>
      </c>
      <c r="C28" s="35" t="str">
        <f>IF(B28="","",'Mau15'!C34)</f>
        <v/>
      </c>
      <c r="D28" s="35" t="str">
        <f>IF(B28="","",'Mau15'!D34)</f>
        <v/>
      </c>
      <c r="E28" s="39" t="str">
        <f>IF(B28="","",'Mau15'!I34)</f>
        <v/>
      </c>
      <c r="F28" s="39" t="str">
        <f>IF(B28="","",SUMIFS(Cau_noi!$B$5:$B$304,Cau_noi!$A$5:$A$304,B28))</f>
        <v/>
      </c>
      <c r="G28" s="39" t="str">
        <f>IF(B28="","",SUMIFS(Cau_noi!$C$5:$C$304,Cau_noi!$A$5:$A$304,B28))</f>
        <v/>
      </c>
      <c r="H28" s="39" t="str">
        <f>IF(B28="","",SUMIFS(Cau_noi!$D$5:$D$304,Cau_noi!$A$5:$A$304,B28))</f>
        <v/>
      </c>
      <c r="I28" s="39" t="str">
        <f>IF(B28="","",SUMIFS(Cau_noi!$E$5:$E$304,Cau_noi!$A$5:$A$304,B28))</f>
        <v/>
      </c>
      <c r="J28" s="39" t="str">
        <f t="shared" si="1"/>
        <v/>
      </c>
      <c r="K28" s="39" t="str">
        <f>IF(B28="","",SUMIFS(KT_DMTT_ChiTiet!$H$5:$H$1004,KT_DMTT_ChiTiet!$C$5:$C$1004,B28,KT_DMTT_ChiTiet!$N$5:$N$1004,1))</f>
        <v/>
      </c>
      <c r="L28" s="39" t="str">
        <f t="shared" si="2"/>
        <v/>
      </c>
      <c r="M28" s="46" t="str">
        <f t="shared" si="3"/>
        <v/>
      </c>
      <c r="N28" s="35" t="str">
        <f>IF(B28="","",IF(K28=0,IF(J28=0,"Pass",IF(COUNTIFS(BOM!$B$5:$B$1004,B28,BOM!$G$5:$G$1004,"KXDDM")&gt;0,"KXDDM","Xem xét")),IF(ABS(M28)&lt;=ThongTin!$C$11,"Pass","Xem xét")))</f>
        <v/>
      </c>
    </row>
    <row r="29" spans="1:14" x14ac:dyDescent="0.25">
      <c r="A29" s="35" t="str">
        <f t="shared" si="0"/>
        <v/>
      </c>
      <c r="B29" s="35" t="str">
        <f>IF('Mau15'!B35="","",'Mau15'!B35)</f>
        <v/>
      </c>
      <c r="C29" s="35" t="str">
        <f>IF(B29="","",'Mau15'!C35)</f>
        <v/>
      </c>
      <c r="D29" s="35" t="str">
        <f>IF(B29="","",'Mau15'!D35)</f>
        <v/>
      </c>
      <c r="E29" s="39" t="str">
        <f>IF(B29="","",'Mau15'!I35)</f>
        <v/>
      </c>
      <c r="F29" s="39" t="str">
        <f>IF(B29="","",SUMIFS(Cau_noi!$B$5:$B$304,Cau_noi!$A$5:$A$304,B29))</f>
        <v/>
      </c>
      <c r="G29" s="39" t="str">
        <f>IF(B29="","",SUMIFS(Cau_noi!$C$5:$C$304,Cau_noi!$A$5:$A$304,B29))</f>
        <v/>
      </c>
      <c r="H29" s="39" t="str">
        <f>IF(B29="","",SUMIFS(Cau_noi!$D$5:$D$304,Cau_noi!$A$5:$A$304,B29))</f>
        <v/>
      </c>
      <c r="I29" s="39" t="str">
        <f>IF(B29="","",SUMIFS(Cau_noi!$E$5:$E$304,Cau_noi!$A$5:$A$304,B29))</f>
        <v/>
      </c>
      <c r="J29" s="39" t="str">
        <f t="shared" si="1"/>
        <v/>
      </c>
      <c r="K29" s="39" t="str">
        <f>IF(B29="","",SUMIFS(KT_DMTT_ChiTiet!$H$5:$H$1004,KT_DMTT_ChiTiet!$C$5:$C$1004,B29,KT_DMTT_ChiTiet!$N$5:$N$1004,1))</f>
        <v/>
      </c>
      <c r="L29" s="39" t="str">
        <f t="shared" si="2"/>
        <v/>
      </c>
      <c r="M29" s="46" t="str">
        <f t="shared" si="3"/>
        <v/>
      </c>
      <c r="N29" s="35" t="str">
        <f>IF(B29="","",IF(K29=0,IF(J29=0,"Pass",IF(COUNTIFS(BOM!$B$5:$B$1004,B29,BOM!$G$5:$G$1004,"KXDDM")&gt;0,"KXDDM","Xem xét")),IF(ABS(M29)&lt;=ThongTin!$C$11,"Pass","Xem xét")))</f>
        <v/>
      </c>
    </row>
    <row r="30" spans="1:14" x14ac:dyDescent="0.25">
      <c r="A30" s="35" t="str">
        <f t="shared" si="0"/>
        <v/>
      </c>
      <c r="B30" s="35" t="str">
        <f>IF('Mau15'!B36="","",'Mau15'!B36)</f>
        <v/>
      </c>
      <c r="C30" s="35" t="str">
        <f>IF(B30="","",'Mau15'!C36)</f>
        <v/>
      </c>
      <c r="D30" s="35" t="str">
        <f>IF(B30="","",'Mau15'!D36)</f>
        <v/>
      </c>
      <c r="E30" s="39" t="str">
        <f>IF(B30="","",'Mau15'!I36)</f>
        <v/>
      </c>
      <c r="F30" s="39" t="str">
        <f>IF(B30="","",SUMIFS(Cau_noi!$B$5:$B$304,Cau_noi!$A$5:$A$304,B30))</f>
        <v/>
      </c>
      <c r="G30" s="39" t="str">
        <f>IF(B30="","",SUMIFS(Cau_noi!$C$5:$C$304,Cau_noi!$A$5:$A$304,B30))</f>
        <v/>
      </c>
      <c r="H30" s="39" t="str">
        <f>IF(B30="","",SUMIFS(Cau_noi!$D$5:$D$304,Cau_noi!$A$5:$A$304,B30))</f>
        <v/>
      </c>
      <c r="I30" s="39" t="str">
        <f>IF(B30="","",SUMIFS(Cau_noi!$E$5:$E$304,Cau_noi!$A$5:$A$304,B30))</f>
        <v/>
      </c>
      <c r="J30" s="39" t="str">
        <f t="shared" si="1"/>
        <v/>
      </c>
      <c r="K30" s="39" t="str">
        <f>IF(B30="","",SUMIFS(KT_DMTT_ChiTiet!$H$5:$H$1004,KT_DMTT_ChiTiet!$C$5:$C$1004,B30,KT_DMTT_ChiTiet!$N$5:$N$1004,1))</f>
        <v/>
      </c>
      <c r="L30" s="39" t="str">
        <f t="shared" si="2"/>
        <v/>
      </c>
      <c r="M30" s="46" t="str">
        <f t="shared" si="3"/>
        <v/>
      </c>
      <c r="N30" s="35" t="str">
        <f>IF(B30="","",IF(K30=0,IF(J30=0,"Pass",IF(COUNTIFS(BOM!$B$5:$B$1004,B30,BOM!$G$5:$G$1004,"KXDDM")&gt;0,"KXDDM","Xem xét")),IF(ABS(M30)&lt;=ThongTin!$C$11,"Pass","Xem xét")))</f>
        <v/>
      </c>
    </row>
    <row r="31" spans="1:14" x14ac:dyDescent="0.25">
      <c r="A31" s="35" t="str">
        <f t="shared" si="0"/>
        <v/>
      </c>
      <c r="B31" s="35" t="str">
        <f>IF('Mau15'!B37="","",'Mau15'!B37)</f>
        <v/>
      </c>
      <c r="C31" s="35" t="str">
        <f>IF(B31="","",'Mau15'!C37)</f>
        <v/>
      </c>
      <c r="D31" s="35" t="str">
        <f>IF(B31="","",'Mau15'!D37)</f>
        <v/>
      </c>
      <c r="E31" s="39" t="str">
        <f>IF(B31="","",'Mau15'!I37)</f>
        <v/>
      </c>
      <c r="F31" s="39" t="str">
        <f>IF(B31="","",SUMIFS(Cau_noi!$B$5:$B$304,Cau_noi!$A$5:$A$304,B31))</f>
        <v/>
      </c>
      <c r="G31" s="39" t="str">
        <f>IF(B31="","",SUMIFS(Cau_noi!$C$5:$C$304,Cau_noi!$A$5:$A$304,B31))</f>
        <v/>
      </c>
      <c r="H31" s="39" t="str">
        <f>IF(B31="","",SUMIFS(Cau_noi!$D$5:$D$304,Cau_noi!$A$5:$A$304,B31))</f>
        <v/>
      </c>
      <c r="I31" s="39" t="str">
        <f>IF(B31="","",SUMIFS(Cau_noi!$E$5:$E$304,Cau_noi!$A$5:$A$304,B31))</f>
        <v/>
      </c>
      <c r="J31" s="39" t="str">
        <f t="shared" si="1"/>
        <v/>
      </c>
      <c r="K31" s="39" t="str">
        <f>IF(B31="","",SUMIFS(KT_DMTT_ChiTiet!$H$5:$H$1004,KT_DMTT_ChiTiet!$C$5:$C$1004,B31,KT_DMTT_ChiTiet!$N$5:$N$1004,1))</f>
        <v/>
      </c>
      <c r="L31" s="39" t="str">
        <f t="shared" si="2"/>
        <v/>
      </c>
      <c r="M31" s="46" t="str">
        <f t="shared" si="3"/>
        <v/>
      </c>
      <c r="N31" s="35" t="str">
        <f>IF(B31="","",IF(K31=0,IF(J31=0,"Pass",IF(COUNTIFS(BOM!$B$5:$B$1004,B31,BOM!$G$5:$G$1004,"KXDDM")&gt;0,"KXDDM","Xem xét")),IF(ABS(M31)&lt;=ThongTin!$C$11,"Pass","Xem xét")))</f>
        <v/>
      </c>
    </row>
    <row r="32" spans="1:14" x14ac:dyDescent="0.25">
      <c r="A32" s="35" t="str">
        <f t="shared" si="0"/>
        <v/>
      </c>
      <c r="B32" s="35" t="str">
        <f>IF('Mau15'!B38="","",'Mau15'!B38)</f>
        <v/>
      </c>
      <c r="C32" s="35" t="str">
        <f>IF(B32="","",'Mau15'!C38)</f>
        <v/>
      </c>
      <c r="D32" s="35" t="str">
        <f>IF(B32="","",'Mau15'!D38)</f>
        <v/>
      </c>
      <c r="E32" s="39" t="str">
        <f>IF(B32="","",'Mau15'!I38)</f>
        <v/>
      </c>
      <c r="F32" s="39" t="str">
        <f>IF(B32="","",SUMIFS(Cau_noi!$B$5:$B$304,Cau_noi!$A$5:$A$304,B32))</f>
        <v/>
      </c>
      <c r="G32" s="39" t="str">
        <f>IF(B32="","",SUMIFS(Cau_noi!$C$5:$C$304,Cau_noi!$A$5:$A$304,B32))</f>
        <v/>
      </c>
      <c r="H32" s="39" t="str">
        <f>IF(B32="","",SUMIFS(Cau_noi!$D$5:$D$304,Cau_noi!$A$5:$A$304,B32))</f>
        <v/>
      </c>
      <c r="I32" s="39" t="str">
        <f>IF(B32="","",SUMIFS(Cau_noi!$E$5:$E$304,Cau_noi!$A$5:$A$304,B32))</f>
        <v/>
      </c>
      <c r="J32" s="39" t="str">
        <f t="shared" si="1"/>
        <v/>
      </c>
      <c r="K32" s="39" t="str">
        <f>IF(B32="","",SUMIFS(KT_DMTT_ChiTiet!$H$5:$H$1004,KT_DMTT_ChiTiet!$C$5:$C$1004,B32,KT_DMTT_ChiTiet!$N$5:$N$1004,1))</f>
        <v/>
      </c>
      <c r="L32" s="39" t="str">
        <f t="shared" si="2"/>
        <v/>
      </c>
      <c r="M32" s="46" t="str">
        <f t="shared" si="3"/>
        <v/>
      </c>
      <c r="N32" s="35" t="str">
        <f>IF(B32="","",IF(K32=0,IF(J32=0,"Pass",IF(COUNTIFS(BOM!$B$5:$B$1004,B32,BOM!$G$5:$G$1004,"KXDDM")&gt;0,"KXDDM","Xem xét")),IF(ABS(M32)&lt;=ThongTin!$C$11,"Pass","Xem xét")))</f>
        <v/>
      </c>
    </row>
    <row r="33" spans="1:14" x14ac:dyDescent="0.25">
      <c r="A33" s="35" t="str">
        <f t="shared" si="0"/>
        <v/>
      </c>
      <c r="B33" s="35" t="str">
        <f>IF('Mau15'!B39="","",'Mau15'!B39)</f>
        <v/>
      </c>
      <c r="C33" s="35" t="str">
        <f>IF(B33="","",'Mau15'!C39)</f>
        <v/>
      </c>
      <c r="D33" s="35" t="str">
        <f>IF(B33="","",'Mau15'!D39)</f>
        <v/>
      </c>
      <c r="E33" s="39" t="str">
        <f>IF(B33="","",'Mau15'!I39)</f>
        <v/>
      </c>
      <c r="F33" s="39" t="str">
        <f>IF(B33="","",SUMIFS(Cau_noi!$B$5:$B$304,Cau_noi!$A$5:$A$304,B33))</f>
        <v/>
      </c>
      <c r="G33" s="39" t="str">
        <f>IF(B33="","",SUMIFS(Cau_noi!$C$5:$C$304,Cau_noi!$A$5:$A$304,B33))</f>
        <v/>
      </c>
      <c r="H33" s="39" t="str">
        <f>IF(B33="","",SUMIFS(Cau_noi!$D$5:$D$304,Cau_noi!$A$5:$A$304,B33))</f>
        <v/>
      </c>
      <c r="I33" s="39" t="str">
        <f>IF(B33="","",SUMIFS(Cau_noi!$E$5:$E$304,Cau_noi!$A$5:$A$304,B33))</f>
        <v/>
      </c>
      <c r="J33" s="39" t="str">
        <f t="shared" si="1"/>
        <v/>
      </c>
      <c r="K33" s="39" t="str">
        <f>IF(B33="","",SUMIFS(KT_DMTT_ChiTiet!$H$5:$H$1004,KT_DMTT_ChiTiet!$C$5:$C$1004,B33,KT_DMTT_ChiTiet!$N$5:$N$1004,1))</f>
        <v/>
      </c>
      <c r="L33" s="39" t="str">
        <f t="shared" si="2"/>
        <v/>
      </c>
      <c r="M33" s="46" t="str">
        <f t="shared" si="3"/>
        <v/>
      </c>
      <c r="N33" s="35" t="str">
        <f>IF(B33="","",IF(K33=0,IF(J33=0,"Pass",IF(COUNTIFS(BOM!$B$5:$B$1004,B33,BOM!$G$5:$G$1004,"KXDDM")&gt;0,"KXDDM","Xem xét")),IF(ABS(M33)&lt;=ThongTin!$C$11,"Pass","Xem xét")))</f>
        <v/>
      </c>
    </row>
    <row r="34" spans="1:14" x14ac:dyDescent="0.25">
      <c r="A34" s="35" t="str">
        <f t="shared" si="0"/>
        <v/>
      </c>
      <c r="B34" s="35" t="str">
        <f>IF('Mau15'!B40="","",'Mau15'!B40)</f>
        <v/>
      </c>
      <c r="C34" s="35" t="str">
        <f>IF(B34="","",'Mau15'!C40)</f>
        <v/>
      </c>
      <c r="D34" s="35" t="str">
        <f>IF(B34="","",'Mau15'!D40)</f>
        <v/>
      </c>
      <c r="E34" s="39" t="str">
        <f>IF(B34="","",'Mau15'!I40)</f>
        <v/>
      </c>
      <c r="F34" s="39" t="str">
        <f>IF(B34="","",SUMIFS(Cau_noi!$B$5:$B$304,Cau_noi!$A$5:$A$304,B34))</f>
        <v/>
      </c>
      <c r="G34" s="39" t="str">
        <f>IF(B34="","",SUMIFS(Cau_noi!$C$5:$C$304,Cau_noi!$A$5:$A$304,B34))</f>
        <v/>
      </c>
      <c r="H34" s="39" t="str">
        <f>IF(B34="","",SUMIFS(Cau_noi!$D$5:$D$304,Cau_noi!$A$5:$A$304,B34))</f>
        <v/>
      </c>
      <c r="I34" s="39" t="str">
        <f>IF(B34="","",SUMIFS(Cau_noi!$E$5:$E$304,Cau_noi!$A$5:$A$304,B34))</f>
        <v/>
      </c>
      <c r="J34" s="39" t="str">
        <f t="shared" si="1"/>
        <v/>
      </c>
      <c r="K34" s="39" t="str">
        <f>IF(B34="","",SUMIFS(KT_DMTT_ChiTiet!$H$5:$H$1004,KT_DMTT_ChiTiet!$C$5:$C$1004,B34,KT_DMTT_ChiTiet!$N$5:$N$1004,1))</f>
        <v/>
      </c>
      <c r="L34" s="39" t="str">
        <f t="shared" si="2"/>
        <v/>
      </c>
      <c r="M34" s="46" t="str">
        <f t="shared" si="3"/>
        <v/>
      </c>
      <c r="N34" s="35" t="str">
        <f>IF(B34="","",IF(K34=0,IF(J34=0,"Pass",IF(COUNTIFS(BOM!$B$5:$B$1004,B34,BOM!$G$5:$G$1004,"KXDDM")&gt;0,"KXDDM","Xem xét")),IF(ABS(M34)&lt;=ThongTin!$C$11,"Pass","Xem xét")))</f>
        <v/>
      </c>
    </row>
    <row r="35" spans="1:14" x14ac:dyDescent="0.25">
      <c r="A35" s="35" t="str">
        <f t="shared" si="0"/>
        <v/>
      </c>
      <c r="B35" s="35" t="str">
        <f>IF('Mau15'!B41="","",'Mau15'!B41)</f>
        <v/>
      </c>
      <c r="C35" s="35" t="str">
        <f>IF(B35="","",'Mau15'!C41)</f>
        <v/>
      </c>
      <c r="D35" s="35" t="str">
        <f>IF(B35="","",'Mau15'!D41)</f>
        <v/>
      </c>
      <c r="E35" s="39" t="str">
        <f>IF(B35="","",'Mau15'!I41)</f>
        <v/>
      </c>
      <c r="F35" s="39" t="str">
        <f>IF(B35="","",SUMIFS(Cau_noi!$B$5:$B$304,Cau_noi!$A$5:$A$304,B35))</f>
        <v/>
      </c>
      <c r="G35" s="39" t="str">
        <f>IF(B35="","",SUMIFS(Cau_noi!$C$5:$C$304,Cau_noi!$A$5:$A$304,B35))</f>
        <v/>
      </c>
      <c r="H35" s="39" t="str">
        <f>IF(B35="","",SUMIFS(Cau_noi!$D$5:$D$304,Cau_noi!$A$5:$A$304,B35))</f>
        <v/>
      </c>
      <c r="I35" s="39" t="str">
        <f>IF(B35="","",SUMIFS(Cau_noi!$E$5:$E$304,Cau_noi!$A$5:$A$304,B35))</f>
        <v/>
      </c>
      <c r="J35" s="39" t="str">
        <f t="shared" si="1"/>
        <v/>
      </c>
      <c r="K35" s="39" t="str">
        <f>IF(B35="","",SUMIFS(KT_DMTT_ChiTiet!$H$5:$H$1004,KT_DMTT_ChiTiet!$C$5:$C$1004,B35,KT_DMTT_ChiTiet!$N$5:$N$1004,1))</f>
        <v/>
      </c>
      <c r="L35" s="39" t="str">
        <f t="shared" si="2"/>
        <v/>
      </c>
      <c r="M35" s="46" t="str">
        <f t="shared" si="3"/>
        <v/>
      </c>
      <c r="N35" s="35" t="str">
        <f>IF(B35="","",IF(K35=0,IF(J35=0,"Pass",IF(COUNTIFS(BOM!$B$5:$B$1004,B35,BOM!$G$5:$G$1004,"KXDDM")&gt;0,"KXDDM","Xem xét")),IF(ABS(M35)&lt;=ThongTin!$C$11,"Pass","Xem xét")))</f>
        <v/>
      </c>
    </row>
    <row r="36" spans="1:14" x14ac:dyDescent="0.25">
      <c r="A36" s="35" t="str">
        <f t="shared" si="0"/>
        <v/>
      </c>
      <c r="B36" s="35" t="str">
        <f>IF('Mau15'!B42="","",'Mau15'!B42)</f>
        <v/>
      </c>
      <c r="C36" s="35" t="str">
        <f>IF(B36="","",'Mau15'!C42)</f>
        <v/>
      </c>
      <c r="D36" s="35" t="str">
        <f>IF(B36="","",'Mau15'!D42)</f>
        <v/>
      </c>
      <c r="E36" s="39" t="str">
        <f>IF(B36="","",'Mau15'!I42)</f>
        <v/>
      </c>
      <c r="F36" s="39" t="str">
        <f>IF(B36="","",SUMIFS(Cau_noi!$B$5:$B$304,Cau_noi!$A$5:$A$304,B36))</f>
        <v/>
      </c>
      <c r="G36" s="39" t="str">
        <f>IF(B36="","",SUMIFS(Cau_noi!$C$5:$C$304,Cau_noi!$A$5:$A$304,B36))</f>
        <v/>
      </c>
      <c r="H36" s="39" t="str">
        <f>IF(B36="","",SUMIFS(Cau_noi!$D$5:$D$304,Cau_noi!$A$5:$A$304,B36))</f>
        <v/>
      </c>
      <c r="I36" s="39" t="str">
        <f>IF(B36="","",SUMIFS(Cau_noi!$E$5:$E$304,Cau_noi!$A$5:$A$304,B36))</f>
        <v/>
      </c>
      <c r="J36" s="39" t="str">
        <f t="shared" si="1"/>
        <v/>
      </c>
      <c r="K36" s="39" t="str">
        <f>IF(B36="","",SUMIFS(KT_DMTT_ChiTiet!$H$5:$H$1004,KT_DMTT_ChiTiet!$C$5:$C$1004,B36,KT_DMTT_ChiTiet!$N$5:$N$1004,1))</f>
        <v/>
      </c>
      <c r="L36" s="39" t="str">
        <f t="shared" si="2"/>
        <v/>
      </c>
      <c r="M36" s="46" t="str">
        <f t="shared" si="3"/>
        <v/>
      </c>
      <c r="N36" s="35" t="str">
        <f>IF(B36="","",IF(K36=0,IF(J36=0,"Pass",IF(COUNTIFS(BOM!$B$5:$B$1004,B36,BOM!$G$5:$G$1004,"KXDDM")&gt;0,"KXDDM","Xem xét")),IF(ABS(M36)&lt;=ThongTin!$C$11,"Pass","Xem xét")))</f>
        <v/>
      </c>
    </row>
    <row r="37" spans="1:14" x14ac:dyDescent="0.25">
      <c r="A37" s="35" t="str">
        <f t="shared" si="0"/>
        <v/>
      </c>
      <c r="B37" s="35" t="str">
        <f>IF('Mau15'!B43="","",'Mau15'!B43)</f>
        <v/>
      </c>
      <c r="C37" s="35" t="str">
        <f>IF(B37="","",'Mau15'!C43)</f>
        <v/>
      </c>
      <c r="D37" s="35" t="str">
        <f>IF(B37="","",'Mau15'!D43)</f>
        <v/>
      </c>
      <c r="E37" s="39" t="str">
        <f>IF(B37="","",'Mau15'!I43)</f>
        <v/>
      </c>
      <c r="F37" s="39" t="str">
        <f>IF(B37="","",SUMIFS(Cau_noi!$B$5:$B$304,Cau_noi!$A$5:$A$304,B37))</f>
        <v/>
      </c>
      <c r="G37" s="39" t="str">
        <f>IF(B37="","",SUMIFS(Cau_noi!$C$5:$C$304,Cau_noi!$A$5:$A$304,B37))</f>
        <v/>
      </c>
      <c r="H37" s="39" t="str">
        <f>IF(B37="","",SUMIFS(Cau_noi!$D$5:$D$304,Cau_noi!$A$5:$A$304,B37))</f>
        <v/>
      </c>
      <c r="I37" s="39" t="str">
        <f>IF(B37="","",SUMIFS(Cau_noi!$E$5:$E$304,Cau_noi!$A$5:$A$304,B37))</f>
        <v/>
      </c>
      <c r="J37" s="39" t="str">
        <f t="shared" si="1"/>
        <v/>
      </c>
      <c r="K37" s="39" t="str">
        <f>IF(B37="","",SUMIFS(KT_DMTT_ChiTiet!$H$5:$H$1004,KT_DMTT_ChiTiet!$C$5:$C$1004,B37,KT_DMTT_ChiTiet!$N$5:$N$1004,1))</f>
        <v/>
      </c>
      <c r="L37" s="39" t="str">
        <f t="shared" si="2"/>
        <v/>
      </c>
      <c r="M37" s="46" t="str">
        <f t="shared" si="3"/>
        <v/>
      </c>
      <c r="N37" s="35" t="str">
        <f>IF(B37="","",IF(K37=0,IF(J37=0,"Pass",IF(COUNTIFS(BOM!$B$5:$B$1004,B37,BOM!$G$5:$G$1004,"KXDDM")&gt;0,"KXDDM","Xem xét")),IF(ABS(M37)&lt;=ThongTin!$C$11,"Pass","Xem xét")))</f>
        <v/>
      </c>
    </row>
    <row r="38" spans="1:14" x14ac:dyDescent="0.25">
      <c r="A38" s="35" t="str">
        <f t="shared" si="0"/>
        <v/>
      </c>
      <c r="B38" s="35" t="str">
        <f>IF('Mau15'!B44="","",'Mau15'!B44)</f>
        <v/>
      </c>
      <c r="C38" s="35" t="str">
        <f>IF(B38="","",'Mau15'!C44)</f>
        <v/>
      </c>
      <c r="D38" s="35" t="str">
        <f>IF(B38="","",'Mau15'!D44)</f>
        <v/>
      </c>
      <c r="E38" s="39" t="str">
        <f>IF(B38="","",'Mau15'!I44)</f>
        <v/>
      </c>
      <c r="F38" s="39" t="str">
        <f>IF(B38="","",SUMIFS(Cau_noi!$B$5:$B$304,Cau_noi!$A$5:$A$304,B38))</f>
        <v/>
      </c>
      <c r="G38" s="39" t="str">
        <f>IF(B38="","",SUMIFS(Cau_noi!$C$5:$C$304,Cau_noi!$A$5:$A$304,B38))</f>
        <v/>
      </c>
      <c r="H38" s="39" t="str">
        <f>IF(B38="","",SUMIFS(Cau_noi!$D$5:$D$304,Cau_noi!$A$5:$A$304,B38))</f>
        <v/>
      </c>
      <c r="I38" s="39" t="str">
        <f>IF(B38="","",SUMIFS(Cau_noi!$E$5:$E$304,Cau_noi!$A$5:$A$304,B38))</f>
        <v/>
      </c>
      <c r="J38" s="39" t="str">
        <f t="shared" si="1"/>
        <v/>
      </c>
      <c r="K38" s="39" t="str">
        <f>IF(B38="","",SUMIFS(KT_DMTT_ChiTiet!$H$5:$H$1004,KT_DMTT_ChiTiet!$C$5:$C$1004,B38,KT_DMTT_ChiTiet!$N$5:$N$1004,1))</f>
        <v/>
      </c>
      <c r="L38" s="39" t="str">
        <f t="shared" si="2"/>
        <v/>
      </c>
      <c r="M38" s="46" t="str">
        <f t="shared" si="3"/>
        <v/>
      </c>
      <c r="N38" s="35" t="str">
        <f>IF(B38="","",IF(K38=0,IF(J38=0,"Pass",IF(COUNTIFS(BOM!$B$5:$B$1004,B38,BOM!$G$5:$G$1004,"KXDDM")&gt;0,"KXDDM","Xem xét")),IF(ABS(M38)&lt;=ThongTin!$C$11,"Pass","Xem xét")))</f>
        <v/>
      </c>
    </row>
    <row r="39" spans="1:14" x14ac:dyDescent="0.25">
      <c r="A39" s="35" t="str">
        <f t="shared" si="0"/>
        <v/>
      </c>
      <c r="B39" s="35" t="str">
        <f>IF('Mau15'!B45="","",'Mau15'!B45)</f>
        <v/>
      </c>
      <c r="C39" s="35" t="str">
        <f>IF(B39="","",'Mau15'!C45)</f>
        <v/>
      </c>
      <c r="D39" s="35" t="str">
        <f>IF(B39="","",'Mau15'!D45)</f>
        <v/>
      </c>
      <c r="E39" s="39" t="str">
        <f>IF(B39="","",'Mau15'!I45)</f>
        <v/>
      </c>
      <c r="F39" s="39" t="str">
        <f>IF(B39="","",SUMIFS(Cau_noi!$B$5:$B$304,Cau_noi!$A$5:$A$304,B39))</f>
        <v/>
      </c>
      <c r="G39" s="39" t="str">
        <f>IF(B39="","",SUMIFS(Cau_noi!$C$5:$C$304,Cau_noi!$A$5:$A$304,B39))</f>
        <v/>
      </c>
      <c r="H39" s="39" t="str">
        <f>IF(B39="","",SUMIFS(Cau_noi!$D$5:$D$304,Cau_noi!$A$5:$A$304,B39))</f>
        <v/>
      </c>
      <c r="I39" s="39" t="str">
        <f>IF(B39="","",SUMIFS(Cau_noi!$E$5:$E$304,Cau_noi!$A$5:$A$304,B39))</f>
        <v/>
      </c>
      <c r="J39" s="39" t="str">
        <f t="shared" si="1"/>
        <v/>
      </c>
      <c r="K39" s="39" t="str">
        <f>IF(B39="","",SUMIFS(KT_DMTT_ChiTiet!$H$5:$H$1004,KT_DMTT_ChiTiet!$C$5:$C$1004,B39,KT_DMTT_ChiTiet!$N$5:$N$1004,1))</f>
        <v/>
      </c>
      <c r="L39" s="39" t="str">
        <f t="shared" si="2"/>
        <v/>
      </c>
      <c r="M39" s="46" t="str">
        <f t="shared" si="3"/>
        <v/>
      </c>
      <c r="N39" s="35" t="str">
        <f>IF(B39="","",IF(K39=0,IF(J39=0,"Pass",IF(COUNTIFS(BOM!$B$5:$B$1004,B39,BOM!$G$5:$G$1004,"KXDDM")&gt;0,"KXDDM","Xem xét")),IF(ABS(M39)&lt;=ThongTin!$C$11,"Pass","Xem xét")))</f>
        <v/>
      </c>
    </row>
    <row r="40" spans="1:14" x14ac:dyDescent="0.25">
      <c r="A40" s="35" t="str">
        <f t="shared" si="0"/>
        <v/>
      </c>
      <c r="B40" s="35" t="str">
        <f>IF('Mau15'!B46="","",'Mau15'!B46)</f>
        <v/>
      </c>
      <c r="C40" s="35" t="str">
        <f>IF(B40="","",'Mau15'!C46)</f>
        <v/>
      </c>
      <c r="D40" s="35" t="str">
        <f>IF(B40="","",'Mau15'!D46)</f>
        <v/>
      </c>
      <c r="E40" s="39" t="str">
        <f>IF(B40="","",'Mau15'!I46)</f>
        <v/>
      </c>
      <c r="F40" s="39" t="str">
        <f>IF(B40="","",SUMIFS(Cau_noi!$B$5:$B$304,Cau_noi!$A$5:$A$304,B40))</f>
        <v/>
      </c>
      <c r="G40" s="39" t="str">
        <f>IF(B40="","",SUMIFS(Cau_noi!$C$5:$C$304,Cau_noi!$A$5:$A$304,B40))</f>
        <v/>
      </c>
      <c r="H40" s="39" t="str">
        <f>IF(B40="","",SUMIFS(Cau_noi!$D$5:$D$304,Cau_noi!$A$5:$A$304,B40))</f>
        <v/>
      </c>
      <c r="I40" s="39" t="str">
        <f>IF(B40="","",SUMIFS(Cau_noi!$E$5:$E$304,Cau_noi!$A$5:$A$304,B40))</f>
        <v/>
      </c>
      <c r="J40" s="39" t="str">
        <f t="shared" si="1"/>
        <v/>
      </c>
      <c r="K40" s="39" t="str">
        <f>IF(B40="","",SUMIFS(KT_DMTT_ChiTiet!$H$5:$H$1004,KT_DMTT_ChiTiet!$C$5:$C$1004,B40,KT_DMTT_ChiTiet!$N$5:$N$1004,1))</f>
        <v/>
      </c>
      <c r="L40" s="39" t="str">
        <f t="shared" si="2"/>
        <v/>
      </c>
      <c r="M40" s="46" t="str">
        <f t="shared" si="3"/>
        <v/>
      </c>
      <c r="N40" s="35" t="str">
        <f>IF(B40="","",IF(K40=0,IF(J40=0,"Pass",IF(COUNTIFS(BOM!$B$5:$B$1004,B40,BOM!$G$5:$G$1004,"KXDDM")&gt;0,"KXDDM","Xem xét")),IF(ABS(M40)&lt;=ThongTin!$C$11,"Pass","Xem xét")))</f>
        <v/>
      </c>
    </row>
    <row r="41" spans="1:14" x14ac:dyDescent="0.25">
      <c r="A41" s="35" t="str">
        <f t="shared" si="0"/>
        <v/>
      </c>
      <c r="B41" s="35" t="str">
        <f>IF('Mau15'!B47="","",'Mau15'!B47)</f>
        <v/>
      </c>
      <c r="C41" s="35" t="str">
        <f>IF(B41="","",'Mau15'!C47)</f>
        <v/>
      </c>
      <c r="D41" s="35" t="str">
        <f>IF(B41="","",'Mau15'!D47)</f>
        <v/>
      </c>
      <c r="E41" s="39" t="str">
        <f>IF(B41="","",'Mau15'!I47)</f>
        <v/>
      </c>
      <c r="F41" s="39" t="str">
        <f>IF(B41="","",SUMIFS(Cau_noi!$B$5:$B$304,Cau_noi!$A$5:$A$304,B41))</f>
        <v/>
      </c>
      <c r="G41" s="39" t="str">
        <f>IF(B41="","",SUMIFS(Cau_noi!$C$5:$C$304,Cau_noi!$A$5:$A$304,B41))</f>
        <v/>
      </c>
      <c r="H41" s="39" t="str">
        <f>IF(B41="","",SUMIFS(Cau_noi!$D$5:$D$304,Cau_noi!$A$5:$A$304,B41))</f>
        <v/>
      </c>
      <c r="I41" s="39" t="str">
        <f>IF(B41="","",SUMIFS(Cau_noi!$E$5:$E$304,Cau_noi!$A$5:$A$304,B41))</f>
        <v/>
      </c>
      <c r="J41" s="39" t="str">
        <f t="shared" si="1"/>
        <v/>
      </c>
      <c r="K41" s="39" t="str">
        <f>IF(B41="","",SUMIFS(KT_DMTT_ChiTiet!$H$5:$H$1004,KT_DMTT_ChiTiet!$C$5:$C$1004,B41,KT_DMTT_ChiTiet!$N$5:$N$1004,1))</f>
        <v/>
      </c>
      <c r="L41" s="39" t="str">
        <f t="shared" si="2"/>
        <v/>
      </c>
      <c r="M41" s="46" t="str">
        <f t="shared" si="3"/>
        <v/>
      </c>
      <c r="N41" s="35" t="str">
        <f>IF(B41="","",IF(K41=0,IF(J41=0,"Pass",IF(COUNTIFS(BOM!$B$5:$B$1004,B41,BOM!$G$5:$G$1004,"KXDDM")&gt;0,"KXDDM","Xem xét")),IF(ABS(M41)&lt;=ThongTin!$C$11,"Pass","Xem xét")))</f>
        <v/>
      </c>
    </row>
    <row r="42" spans="1:14" x14ac:dyDescent="0.25">
      <c r="A42" s="35" t="str">
        <f t="shared" si="0"/>
        <v/>
      </c>
      <c r="B42" s="35" t="str">
        <f>IF('Mau15'!B48="","",'Mau15'!B48)</f>
        <v/>
      </c>
      <c r="C42" s="35" t="str">
        <f>IF(B42="","",'Mau15'!C48)</f>
        <v/>
      </c>
      <c r="D42" s="35" t="str">
        <f>IF(B42="","",'Mau15'!D48)</f>
        <v/>
      </c>
      <c r="E42" s="39" t="str">
        <f>IF(B42="","",'Mau15'!I48)</f>
        <v/>
      </c>
      <c r="F42" s="39" t="str">
        <f>IF(B42="","",SUMIFS(Cau_noi!$B$5:$B$304,Cau_noi!$A$5:$A$304,B42))</f>
        <v/>
      </c>
      <c r="G42" s="39" t="str">
        <f>IF(B42="","",SUMIFS(Cau_noi!$C$5:$C$304,Cau_noi!$A$5:$A$304,B42))</f>
        <v/>
      </c>
      <c r="H42" s="39" t="str">
        <f>IF(B42="","",SUMIFS(Cau_noi!$D$5:$D$304,Cau_noi!$A$5:$A$304,B42))</f>
        <v/>
      </c>
      <c r="I42" s="39" t="str">
        <f>IF(B42="","",SUMIFS(Cau_noi!$E$5:$E$304,Cau_noi!$A$5:$A$304,B42))</f>
        <v/>
      </c>
      <c r="J42" s="39" t="str">
        <f t="shared" si="1"/>
        <v/>
      </c>
      <c r="K42" s="39" t="str">
        <f>IF(B42="","",SUMIFS(KT_DMTT_ChiTiet!$H$5:$H$1004,KT_DMTT_ChiTiet!$C$5:$C$1004,B42,KT_DMTT_ChiTiet!$N$5:$N$1004,1))</f>
        <v/>
      </c>
      <c r="L42" s="39" t="str">
        <f t="shared" si="2"/>
        <v/>
      </c>
      <c r="M42" s="46" t="str">
        <f t="shared" si="3"/>
        <v/>
      </c>
      <c r="N42" s="35" t="str">
        <f>IF(B42="","",IF(K42=0,IF(J42=0,"Pass",IF(COUNTIFS(BOM!$B$5:$B$1004,B42,BOM!$G$5:$G$1004,"KXDDM")&gt;0,"KXDDM","Xem xét")),IF(ABS(M42)&lt;=ThongTin!$C$11,"Pass","Xem xét")))</f>
        <v/>
      </c>
    </row>
    <row r="43" spans="1:14" x14ac:dyDescent="0.25">
      <c r="A43" s="35" t="str">
        <f t="shared" si="0"/>
        <v/>
      </c>
      <c r="B43" s="35" t="str">
        <f>IF('Mau15'!B49="","",'Mau15'!B49)</f>
        <v/>
      </c>
      <c r="C43" s="35" t="str">
        <f>IF(B43="","",'Mau15'!C49)</f>
        <v/>
      </c>
      <c r="D43" s="35" t="str">
        <f>IF(B43="","",'Mau15'!D49)</f>
        <v/>
      </c>
      <c r="E43" s="39" t="str">
        <f>IF(B43="","",'Mau15'!I49)</f>
        <v/>
      </c>
      <c r="F43" s="39" t="str">
        <f>IF(B43="","",SUMIFS(Cau_noi!$B$5:$B$304,Cau_noi!$A$5:$A$304,B43))</f>
        <v/>
      </c>
      <c r="G43" s="39" t="str">
        <f>IF(B43="","",SUMIFS(Cau_noi!$C$5:$C$304,Cau_noi!$A$5:$A$304,B43))</f>
        <v/>
      </c>
      <c r="H43" s="39" t="str">
        <f>IF(B43="","",SUMIFS(Cau_noi!$D$5:$D$304,Cau_noi!$A$5:$A$304,B43))</f>
        <v/>
      </c>
      <c r="I43" s="39" t="str">
        <f>IF(B43="","",SUMIFS(Cau_noi!$E$5:$E$304,Cau_noi!$A$5:$A$304,B43))</f>
        <v/>
      </c>
      <c r="J43" s="39" t="str">
        <f t="shared" si="1"/>
        <v/>
      </c>
      <c r="K43" s="39" t="str">
        <f>IF(B43="","",SUMIFS(KT_DMTT_ChiTiet!$H$5:$H$1004,KT_DMTT_ChiTiet!$C$5:$C$1004,B43,KT_DMTT_ChiTiet!$N$5:$N$1004,1))</f>
        <v/>
      </c>
      <c r="L43" s="39" t="str">
        <f t="shared" si="2"/>
        <v/>
      </c>
      <c r="M43" s="46" t="str">
        <f t="shared" si="3"/>
        <v/>
      </c>
      <c r="N43" s="35" t="str">
        <f>IF(B43="","",IF(K43=0,IF(J43=0,"Pass",IF(COUNTIFS(BOM!$B$5:$B$1004,B43,BOM!$G$5:$G$1004,"KXDDM")&gt;0,"KXDDM","Xem xét")),IF(ABS(M43)&lt;=ThongTin!$C$11,"Pass","Xem xét")))</f>
        <v/>
      </c>
    </row>
    <row r="44" spans="1:14" x14ac:dyDescent="0.25">
      <c r="A44" s="35" t="str">
        <f t="shared" si="0"/>
        <v/>
      </c>
      <c r="B44" s="35" t="str">
        <f>IF('Mau15'!B50="","",'Mau15'!B50)</f>
        <v/>
      </c>
      <c r="C44" s="35" t="str">
        <f>IF(B44="","",'Mau15'!C50)</f>
        <v/>
      </c>
      <c r="D44" s="35" t="str">
        <f>IF(B44="","",'Mau15'!D50)</f>
        <v/>
      </c>
      <c r="E44" s="39" t="str">
        <f>IF(B44="","",'Mau15'!I50)</f>
        <v/>
      </c>
      <c r="F44" s="39" t="str">
        <f>IF(B44="","",SUMIFS(Cau_noi!$B$5:$B$304,Cau_noi!$A$5:$A$304,B44))</f>
        <v/>
      </c>
      <c r="G44" s="39" t="str">
        <f>IF(B44="","",SUMIFS(Cau_noi!$C$5:$C$304,Cau_noi!$A$5:$A$304,B44))</f>
        <v/>
      </c>
      <c r="H44" s="39" t="str">
        <f>IF(B44="","",SUMIFS(Cau_noi!$D$5:$D$304,Cau_noi!$A$5:$A$304,B44))</f>
        <v/>
      </c>
      <c r="I44" s="39" t="str">
        <f>IF(B44="","",SUMIFS(Cau_noi!$E$5:$E$304,Cau_noi!$A$5:$A$304,B44))</f>
        <v/>
      </c>
      <c r="J44" s="39" t="str">
        <f t="shared" si="1"/>
        <v/>
      </c>
      <c r="K44" s="39" t="str">
        <f>IF(B44="","",SUMIFS(KT_DMTT_ChiTiet!$H$5:$H$1004,KT_DMTT_ChiTiet!$C$5:$C$1004,B44,KT_DMTT_ChiTiet!$N$5:$N$1004,1))</f>
        <v/>
      </c>
      <c r="L44" s="39" t="str">
        <f t="shared" si="2"/>
        <v/>
      </c>
      <c r="M44" s="46" t="str">
        <f t="shared" si="3"/>
        <v/>
      </c>
      <c r="N44" s="35" t="str">
        <f>IF(B44="","",IF(K44=0,IF(J44=0,"Pass",IF(COUNTIFS(BOM!$B$5:$B$1004,B44,BOM!$G$5:$G$1004,"KXDDM")&gt;0,"KXDDM","Xem xét")),IF(ABS(M44)&lt;=ThongTin!$C$11,"Pass","Xem xét")))</f>
        <v/>
      </c>
    </row>
    <row r="45" spans="1:14" x14ac:dyDescent="0.25">
      <c r="A45" s="35" t="str">
        <f t="shared" si="0"/>
        <v/>
      </c>
      <c r="B45" s="35" t="str">
        <f>IF('Mau15'!B51="","",'Mau15'!B51)</f>
        <v/>
      </c>
      <c r="C45" s="35" t="str">
        <f>IF(B45="","",'Mau15'!C51)</f>
        <v/>
      </c>
      <c r="D45" s="35" t="str">
        <f>IF(B45="","",'Mau15'!D51)</f>
        <v/>
      </c>
      <c r="E45" s="39" t="str">
        <f>IF(B45="","",'Mau15'!I51)</f>
        <v/>
      </c>
      <c r="F45" s="39" t="str">
        <f>IF(B45="","",SUMIFS(Cau_noi!$B$5:$B$304,Cau_noi!$A$5:$A$304,B45))</f>
        <v/>
      </c>
      <c r="G45" s="39" t="str">
        <f>IF(B45="","",SUMIFS(Cau_noi!$C$5:$C$304,Cau_noi!$A$5:$A$304,B45))</f>
        <v/>
      </c>
      <c r="H45" s="39" t="str">
        <f>IF(B45="","",SUMIFS(Cau_noi!$D$5:$D$304,Cau_noi!$A$5:$A$304,B45))</f>
        <v/>
      </c>
      <c r="I45" s="39" t="str">
        <f>IF(B45="","",SUMIFS(Cau_noi!$E$5:$E$304,Cau_noi!$A$5:$A$304,B45))</f>
        <v/>
      </c>
      <c r="J45" s="39" t="str">
        <f t="shared" si="1"/>
        <v/>
      </c>
      <c r="K45" s="39" t="str">
        <f>IF(B45="","",SUMIFS(KT_DMTT_ChiTiet!$H$5:$H$1004,KT_DMTT_ChiTiet!$C$5:$C$1004,B45,KT_DMTT_ChiTiet!$N$5:$N$1004,1))</f>
        <v/>
      </c>
      <c r="L45" s="39" t="str">
        <f t="shared" si="2"/>
        <v/>
      </c>
      <c r="M45" s="46" t="str">
        <f t="shared" si="3"/>
        <v/>
      </c>
      <c r="N45" s="35" t="str">
        <f>IF(B45="","",IF(K45=0,IF(J45=0,"Pass",IF(COUNTIFS(BOM!$B$5:$B$1004,B45,BOM!$G$5:$G$1004,"KXDDM")&gt;0,"KXDDM","Xem xét")),IF(ABS(M45)&lt;=ThongTin!$C$11,"Pass","Xem xét")))</f>
        <v/>
      </c>
    </row>
    <row r="46" spans="1:14" x14ac:dyDescent="0.25">
      <c r="A46" s="35" t="str">
        <f t="shared" si="0"/>
        <v/>
      </c>
      <c r="B46" s="35" t="str">
        <f>IF('Mau15'!B52="","",'Mau15'!B52)</f>
        <v/>
      </c>
      <c r="C46" s="35" t="str">
        <f>IF(B46="","",'Mau15'!C52)</f>
        <v/>
      </c>
      <c r="D46" s="35" t="str">
        <f>IF(B46="","",'Mau15'!D52)</f>
        <v/>
      </c>
      <c r="E46" s="39" t="str">
        <f>IF(B46="","",'Mau15'!I52)</f>
        <v/>
      </c>
      <c r="F46" s="39" t="str">
        <f>IF(B46="","",SUMIFS(Cau_noi!$B$5:$B$304,Cau_noi!$A$5:$A$304,B46))</f>
        <v/>
      </c>
      <c r="G46" s="39" t="str">
        <f>IF(B46="","",SUMIFS(Cau_noi!$C$5:$C$304,Cau_noi!$A$5:$A$304,B46))</f>
        <v/>
      </c>
      <c r="H46" s="39" t="str">
        <f>IF(B46="","",SUMIFS(Cau_noi!$D$5:$D$304,Cau_noi!$A$5:$A$304,B46))</f>
        <v/>
      </c>
      <c r="I46" s="39" t="str">
        <f>IF(B46="","",SUMIFS(Cau_noi!$E$5:$E$304,Cau_noi!$A$5:$A$304,B46))</f>
        <v/>
      </c>
      <c r="J46" s="39" t="str">
        <f t="shared" si="1"/>
        <v/>
      </c>
      <c r="K46" s="39" t="str">
        <f>IF(B46="","",SUMIFS(KT_DMTT_ChiTiet!$H$5:$H$1004,KT_DMTT_ChiTiet!$C$5:$C$1004,B46,KT_DMTT_ChiTiet!$N$5:$N$1004,1))</f>
        <v/>
      </c>
      <c r="L46" s="39" t="str">
        <f t="shared" si="2"/>
        <v/>
      </c>
      <c r="M46" s="46" t="str">
        <f t="shared" si="3"/>
        <v/>
      </c>
      <c r="N46" s="35" t="str">
        <f>IF(B46="","",IF(K46=0,IF(J46=0,"Pass",IF(COUNTIFS(BOM!$B$5:$B$1004,B46,BOM!$G$5:$G$1004,"KXDDM")&gt;0,"KXDDM","Xem xét")),IF(ABS(M46)&lt;=ThongTin!$C$11,"Pass","Xem xét")))</f>
        <v/>
      </c>
    </row>
    <row r="47" spans="1:14" x14ac:dyDescent="0.25">
      <c r="A47" s="35" t="str">
        <f t="shared" si="0"/>
        <v/>
      </c>
      <c r="B47" s="35" t="str">
        <f>IF('Mau15'!B53="","",'Mau15'!B53)</f>
        <v/>
      </c>
      <c r="C47" s="35" t="str">
        <f>IF(B47="","",'Mau15'!C53)</f>
        <v/>
      </c>
      <c r="D47" s="35" t="str">
        <f>IF(B47="","",'Mau15'!D53)</f>
        <v/>
      </c>
      <c r="E47" s="39" t="str">
        <f>IF(B47="","",'Mau15'!I53)</f>
        <v/>
      </c>
      <c r="F47" s="39" t="str">
        <f>IF(B47="","",SUMIFS(Cau_noi!$B$5:$B$304,Cau_noi!$A$5:$A$304,B47))</f>
        <v/>
      </c>
      <c r="G47" s="39" t="str">
        <f>IF(B47="","",SUMIFS(Cau_noi!$C$5:$C$304,Cau_noi!$A$5:$A$304,B47))</f>
        <v/>
      </c>
      <c r="H47" s="39" t="str">
        <f>IF(B47="","",SUMIFS(Cau_noi!$D$5:$D$304,Cau_noi!$A$5:$A$304,B47))</f>
        <v/>
      </c>
      <c r="I47" s="39" t="str">
        <f>IF(B47="","",SUMIFS(Cau_noi!$E$5:$E$304,Cau_noi!$A$5:$A$304,B47))</f>
        <v/>
      </c>
      <c r="J47" s="39" t="str">
        <f t="shared" si="1"/>
        <v/>
      </c>
      <c r="K47" s="39" t="str">
        <f>IF(B47="","",SUMIFS(KT_DMTT_ChiTiet!$H$5:$H$1004,KT_DMTT_ChiTiet!$C$5:$C$1004,B47,KT_DMTT_ChiTiet!$N$5:$N$1004,1))</f>
        <v/>
      </c>
      <c r="L47" s="39" t="str">
        <f t="shared" si="2"/>
        <v/>
      </c>
      <c r="M47" s="46" t="str">
        <f t="shared" si="3"/>
        <v/>
      </c>
      <c r="N47" s="35" t="str">
        <f>IF(B47="","",IF(K47=0,IF(J47=0,"Pass",IF(COUNTIFS(BOM!$B$5:$B$1004,B47,BOM!$G$5:$G$1004,"KXDDM")&gt;0,"KXDDM","Xem xét")),IF(ABS(M47)&lt;=ThongTin!$C$11,"Pass","Xem xét")))</f>
        <v/>
      </c>
    </row>
    <row r="48" spans="1:14" x14ac:dyDescent="0.25">
      <c r="A48" s="35" t="str">
        <f t="shared" si="0"/>
        <v/>
      </c>
      <c r="B48" s="35" t="str">
        <f>IF('Mau15'!B54="","",'Mau15'!B54)</f>
        <v/>
      </c>
      <c r="C48" s="35" t="str">
        <f>IF(B48="","",'Mau15'!C54)</f>
        <v/>
      </c>
      <c r="D48" s="35" t="str">
        <f>IF(B48="","",'Mau15'!D54)</f>
        <v/>
      </c>
      <c r="E48" s="39" t="str">
        <f>IF(B48="","",'Mau15'!I54)</f>
        <v/>
      </c>
      <c r="F48" s="39" t="str">
        <f>IF(B48="","",SUMIFS(Cau_noi!$B$5:$B$304,Cau_noi!$A$5:$A$304,B48))</f>
        <v/>
      </c>
      <c r="G48" s="39" t="str">
        <f>IF(B48="","",SUMIFS(Cau_noi!$C$5:$C$304,Cau_noi!$A$5:$A$304,B48))</f>
        <v/>
      </c>
      <c r="H48" s="39" t="str">
        <f>IF(B48="","",SUMIFS(Cau_noi!$D$5:$D$304,Cau_noi!$A$5:$A$304,B48))</f>
        <v/>
      </c>
      <c r="I48" s="39" t="str">
        <f>IF(B48="","",SUMIFS(Cau_noi!$E$5:$E$304,Cau_noi!$A$5:$A$304,B48))</f>
        <v/>
      </c>
      <c r="J48" s="39" t="str">
        <f t="shared" si="1"/>
        <v/>
      </c>
      <c r="K48" s="39" t="str">
        <f>IF(B48="","",SUMIFS(KT_DMTT_ChiTiet!$H$5:$H$1004,KT_DMTT_ChiTiet!$C$5:$C$1004,B48,KT_DMTT_ChiTiet!$N$5:$N$1004,1))</f>
        <v/>
      </c>
      <c r="L48" s="39" t="str">
        <f t="shared" si="2"/>
        <v/>
      </c>
      <c r="M48" s="46" t="str">
        <f t="shared" si="3"/>
        <v/>
      </c>
      <c r="N48" s="35" t="str">
        <f>IF(B48="","",IF(K48=0,IF(J48=0,"Pass",IF(COUNTIFS(BOM!$B$5:$B$1004,B48,BOM!$G$5:$G$1004,"KXDDM")&gt;0,"KXDDM","Xem xét")),IF(ABS(M48)&lt;=ThongTin!$C$11,"Pass","Xem xét")))</f>
        <v/>
      </c>
    </row>
    <row r="49" spans="1:14" x14ac:dyDescent="0.25">
      <c r="A49" s="35" t="str">
        <f t="shared" si="0"/>
        <v/>
      </c>
      <c r="B49" s="35" t="str">
        <f>IF('Mau15'!B55="","",'Mau15'!B55)</f>
        <v/>
      </c>
      <c r="C49" s="35" t="str">
        <f>IF(B49="","",'Mau15'!C55)</f>
        <v/>
      </c>
      <c r="D49" s="35" t="str">
        <f>IF(B49="","",'Mau15'!D55)</f>
        <v/>
      </c>
      <c r="E49" s="39" t="str">
        <f>IF(B49="","",'Mau15'!I55)</f>
        <v/>
      </c>
      <c r="F49" s="39" t="str">
        <f>IF(B49="","",SUMIFS(Cau_noi!$B$5:$B$304,Cau_noi!$A$5:$A$304,B49))</f>
        <v/>
      </c>
      <c r="G49" s="39" t="str">
        <f>IF(B49="","",SUMIFS(Cau_noi!$C$5:$C$304,Cau_noi!$A$5:$A$304,B49))</f>
        <v/>
      </c>
      <c r="H49" s="39" t="str">
        <f>IF(B49="","",SUMIFS(Cau_noi!$D$5:$D$304,Cau_noi!$A$5:$A$304,B49))</f>
        <v/>
      </c>
      <c r="I49" s="39" t="str">
        <f>IF(B49="","",SUMIFS(Cau_noi!$E$5:$E$304,Cau_noi!$A$5:$A$304,B49))</f>
        <v/>
      </c>
      <c r="J49" s="39" t="str">
        <f t="shared" si="1"/>
        <v/>
      </c>
      <c r="K49" s="39" t="str">
        <f>IF(B49="","",SUMIFS(KT_DMTT_ChiTiet!$H$5:$H$1004,KT_DMTT_ChiTiet!$C$5:$C$1004,B49,KT_DMTT_ChiTiet!$N$5:$N$1004,1))</f>
        <v/>
      </c>
      <c r="L49" s="39" t="str">
        <f t="shared" si="2"/>
        <v/>
      </c>
      <c r="M49" s="46" t="str">
        <f t="shared" si="3"/>
        <v/>
      </c>
      <c r="N49" s="35" t="str">
        <f>IF(B49="","",IF(K49=0,IF(J49=0,"Pass",IF(COUNTIFS(BOM!$B$5:$B$1004,B49,BOM!$G$5:$G$1004,"KXDDM")&gt;0,"KXDDM","Xem xét")),IF(ABS(M49)&lt;=ThongTin!$C$11,"Pass","Xem xét")))</f>
        <v/>
      </c>
    </row>
    <row r="50" spans="1:14" x14ac:dyDescent="0.25">
      <c r="A50" s="35" t="str">
        <f t="shared" si="0"/>
        <v/>
      </c>
      <c r="B50" s="35" t="str">
        <f>IF('Mau15'!B56="","",'Mau15'!B56)</f>
        <v/>
      </c>
      <c r="C50" s="35" t="str">
        <f>IF(B50="","",'Mau15'!C56)</f>
        <v/>
      </c>
      <c r="D50" s="35" t="str">
        <f>IF(B50="","",'Mau15'!D56)</f>
        <v/>
      </c>
      <c r="E50" s="39" t="str">
        <f>IF(B50="","",'Mau15'!I56)</f>
        <v/>
      </c>
      <c r="F50" s="39" t="str">
        <f>IF(B50="","",SUMIFS(Cau_noi!$B$5:$B$304,Cau_noi!$A$5:$A$304,B50))</f>
        <v/>
      </c>
      <c r="G50" s="39" t="str">
        <f>IF(B50="","",SUMIFS(Cau_noi!$C$5:$C$304,Cau_noi!$A$5:$A$304,B50))</f>
        <v/>
      </c>
      <c r="H50" s="39" t="str">
        <f>IF(B50="","",SUMIFS(Cau_noi!$D$5:$D$304,Cau_noi!$A$5:$A$304,B50))</f>
        <v/>
      </c>
      <c r="I50" s="39" t="str">
        <f>IF(B50="","",SUMIFS(Cau_noi!$E$5:$E$304,Cau_noi!$A$5:$A$304,B50))</f>
        <v/>
      </c>
      <c r="J50" s="39" t="str">
        <f t="shared" si="1"/>
        <v/>
      </c>
      <c r="K50" s="39" t="str">
        <f>IF(B50="","",SUMIFS(KT_DMTT_ChiTiet!$H$5:$H$1004,KT_DMTT_ChiTiet!$C$5:$C$1004,B50,KT_DMTT_ChiTiet!$N$5:$N$1004,1))</f>
        <v/>
      </c>
      <c r="L50" s="39" t="str">
        <f t="shared" si="2"/>
        <v/>
      </c>
      <c r="M50" s="46" t="str">
        <f t="shared" si="3"/>
        <v/>
      </c>
      <c r="N50" s="35" t="str">
        <f>IF(B50="","",IF(K50=0,IF(J50=0,"Pass",IF(COUNTIFS(BOM!$B$5:$B$1004,B50,BOM!$G$5:$G$1004,"KXDDM")&gt;0,"KXDDM","Xem xét")),IF(ABS(M50)&lt;=ThongTin!$C$11,"Pass","Xem xét")))</f>
        <v/>
      </c>
    </row>
    <row r="51" spans="1:14" x14ac:dyDescent="0.25">
      <c r="A51" s="35" t="str">
        <f t="shared" si="0"/>
        <v/>
      </c>
      <c r="B51" s="35" t="str">
        <f>IF('Mau15'!B57="","",'Mau15'!B57)</f>
        <v/>
      </c>
      <c r="C51" s="35" t="str">
        <f>IF(B51="","",'Mau15'!C57)</f>
        <v/>
      </c>
      <c r="D51" s="35" t="str">
        <f>IF(B51="","",'Mau15'!D57)</f>
        <v/>
      </c>
      <c r="E51" s="39" t="str">
        <f>IF(B51="","",'Mau15'!I57)</f>
        <v/>
      </c>
      <c r="F51" s="39" t="str">
        <f>IF(B51="","",SUMIFS(Cau_noi!$B$5:$B$304,Cau_noi!$A$5:$A$304,B51))</f>
        <v/>
      </c>
      <c r="G51" s="39" t="str">
        <f>IF(B51="","",SUMIFS(Cau_noi!$C$5:$C$304,Cau_noi!$A$5:$A$304,B51))</f>
        <v/>
      </c>
      <c r="H51" s="39" t="str">
        <f>IF(B51="","",SUMIFS(Cau_noi!$D$5:$D$304,Cau_noi!$A$5:$A$304,B51))</f>
        <v/>
      </c>
      <c r="I51" s="39" t="str">
        <f>IF(B51="","",SUMIFS(Cau_noi!$E$5:$E$304,Cau_noi!$A$5:$A$304,B51))</f>
        <v/>
      </c>
      <c r="J51" s="39" t="str">
        <f t="shared" si="1"/>
        <v/>
      </c>
      <c r="K51" s="39" t="str">
        <f>IF(B51="","",SUMIFS(KT_DMTT_ChiTiet!$H$5:$H$1004,KT_DMTT_ChiTiet!$C$5:$C$1004,B51,KT_DMTT_ChiTiet!$N$5:$N$1004,1))</f>
        <v/>
      </c>
      <c r="L51" s="39" t="str">
        <f t="shared" si="2"/>
        <v/>
      </c>
      <c r="M51" s="46" t="str">
        <f t="shared" si="3"/>
        <v/>
      </c>
      <c r="N51" s="35" t="str">
        <f>IF(B51="","",IF(K51=0,IF(J51=0,"Pass",IF(COUNTIFS(BOM!$B$5:$B$1004,B51,BOM!$G$5:$G$1004,"KXDDM")&gt;0,"KXDDM","Xem xét")),IF(ABS(M51)&lt;=ThongTin!$C$11,"Pass","Xem xét")))</f>
        <v/>
      </c>
    </row>
    <row r="52" spans="1:14" x14ac:dyDescent="0.25">
      <c r="A52" s="35" t="str">
        <f t="shared" si="0"/>
        <v/>
      </c>
      <c r="B52" s="35" t="str">
        <f>IF('Mau15'!B58="","",'Mau15'!B58)</f>
        <v/>
      </c>
      <c r="C52" s="35" t="str">
        <f>IF(B52="","",'Mau15'!C58)</f>
        <v/>
      </c>
      <c r="D52" s="35" t="str">
        <f>IF(B52="","",'Mau15'!D58)</f>
        <v/>
      </c>
      <c r="E52" s="39" t="str">
        <f>IF(B52="","",'Mau15'!I58)</f>
        <v/>
      </c>
      <c r="F52" s="39" t="str">
        <f>IF(B52="","",SUMIFS(Cau_noi!$B$5:$B$304,Cau_noi!$A$5:$A$304,B52))</f>
        <v/>
      </c>
      <c r="G52" s="39" t="str">
        <f>IF(B52="","",SUMIFS(Cau_noi!$C$5:$C$304,Cau_noi!$A$5:$A$304,B52))</f>
        <v/>
      </c>
      <c r="H52" s="39" t="str">
        <f>IF(B52="","",SUMIFS(Cau_noi!$D$5:$D$304,Cau_noi!$A$5:$A$304,B52))</f>
        <v/>
      </c>
      <c r="I52" s="39" t="str">
        <f>IF(B52="","",SUMIFS(Cau_noi!$E$5:$E$304,Cau_noi!$A$5:$A$304,B52))</f>
        <v/>
      </c>
      <c r="J52" s="39" t="str">
        <f t="shared" si="1"/>
        <v/>
      </c>
      <c r="K52" s="39" t="str">
        <f>IF(B52="","",SUMIFS(KT_DMTT_ChiTiet!$H$5:$H$1004,KT_DMTT_ChiTiet!$C$5:$C$1004,B52,KT_DMTT_ChiTiet!$N$5:$N$1004,1))</f>
        <v/>
      </c>
      <c r="L52" s="39" t="str">
        <f t="shared" si="2"/>
        <v/>
      </c>
      <c r="M52" s="46" t="str">
        <f t="shared" si="3"/>
        <v/>
      </c>
      <c r="N52" s="35" t="str">
        <f>IF(B52="","",IF(K52=0,IF(J52=0,"Pass",IF(COUNTIFS(BOM!$B$5:$B$1004,B52,BOM!$G$5:$G$1004,"KXDDM")&gt;0,"KXDDM","Xem xét")),IF(ABS(M52)&lt;=ThongTin!$C$11,"Pass","Xem xét")))</f>
        <v/>
      </c>
    </row>
    <row r="53" spans="1:14" x14ac:dyDescent="0.25">
      <c r="A53" s="35" t="str">
        <f t="shared" si="0"/>
        <v/>
      </c>
      <c r="B53" s="35" t="str">
        <f>IF('Mau15'!B59="","",'Mau15'!B59)</f>
        <v/>
      </c>
      <c r="C53" s="35" t="str">
        <f>IF(B53="","",'Mau15'!C59)</f>
        <v/>
      </c>
      <c r="D53" s="35" t="str">
        <f>IF(B53="","",'Mau15'!D59)</f>
        <v/>
      </c>
      <c r="E53" s="39" t="str">
        <f>IF(B53="","",'Mau15'!I59)</f>
        <v/>
      </c>
      <c r="F53" s="39" t="str">
        <f>IF(B53="","",SUMIFS(Cau_noi!$B$5:$B$304,Cau_noi!$A$5:$A$304,B53))</f>
        <v/>
      </c>
      <c r="G53" s="39" t="str">
        <f>IF(B53="","",SUMIFS(Cau_noi!$C$5:$C$304,Cau_noi!$A$5:$A$304,B53))</f>
        <v/>
      </c>
      <c r="H53" s="39" t="str">
        <f>IF(B53="","",SUMIFS(Cau_noi!$D$5:$D$304,Cau_noi!$A$5:$A$304,B53))</f>
        <v/>
      </c>
      <c r="I53" s="39" t="str">
        <f>IF(B53="","",SUMIFS(Cau_noi!$E$5:$E$304,Cau_noi!$A$5:$A$304,B53))</f>
        <v/>
      </c>
      <c r="J53" s="39" t="str">
        <f t="shared" si="1"/>
        <v/>
      </c>
      <c r="K53" s="39" t="str">
        <f>IF(B53="","",SUMIFS(KT_DMTT_ChiTiet!$H$5:$H$1004,KT_DMTT_ChiTiet!$C$5:$C$1004,B53,KT_DMTT_ChiTiet!$N$5:$N$1004,1))</f>
        <v/>
      </c>
      <c r="L53" s="39" t="str">
        <f t="shared" si="2"/>
        <v/>
      </c>
      <c r="M53" s="46" t="str">
        <f t="shared" si="3"/>
        <v/>
      </c>
      <c r="N53" s="35" t="str">
        <f>IF(B53="","",IF(K53=0,IF(J53=0,"Pass",IF(COUNTIFS(BOM!$B$5:$B$1004,B53,BOM!$G$5:$G$1004,"KXDDM")&gt;0,"KXDDM","Xem xét")),IF(ABS(M53)&lt;=ThongTin!$C$11,"Pass","Xem xét")))</f>
        <v/>
      </c>
    </row>
    <row r="54" spans="1:14" x14ac:dyDescent="0.25">
      <c r="A54" s="35" t="str">
        <f t="shared" si="0"/>
        <v/>
      </c>
      <c r="B54" s="35" t="str">
        <f>IF('Mau15'!B60="","",'Mau15'!B60)</f>
        <v/>
      </c>
      <c r="C54" s="35" t="str">
        <f>IF(B54="","",'Mau15'!C60)</f>
        <v/>
      </c>
      <c r="D54" s="35" t="str">
        <f>IF(B54="","",'Mau15'!D60)</f>
        <v/>
      </c>
      <c r="E54" s="39" t="str">
        <f>IF(B54="","",'Mau15'!I60)</f>
        <v/>
      </c>
      <c r="F54" s="39" t="str">
        <f>IF(B54="","",SUMIFS(Cau_noi!$B$5:$B$304,Cau_noi!$A$5:$A$304,B54))</f>
        <v/>
      </c>
      <c r="G54" s="39" t="str">
        <f>IF(B54="","",SUMIFS(Cau_noi!$C$5:$C$304,Cau_noi!$A$5:$A$304,B54))</f>
        <v/>
      </c>
      <c r="H54" s="39" t="str">
        <f>IF(B54="","",SUMIFS(Cau_noi!$D$5:$D$304,Cau_noi!$A$5:$A$304,B54))</f>
        <v/>
      </c>
      <c r="I54" s="39" t="str">
        <f>IF(B54="","",SUMIFS(Cau_noi!$E$5:$E$304,Cau_noi!$A$5:$A$304,B54))</f>
        <v/>
      </c>
      <c r="J54" s="39" t="str">
        <f t="shared" si="1"/>
        <v/>
      </c>
      <c r="K54" s="39" t="str">
        <f>IF(B54="","",SUMIFS(KT_DMTT_ChiTiet!$H$5:$H$1004,KT_DMTT_ChiTiet!$C$5:$C$1004,B54,KT_DMTT_ChiTiet!$N$5:$N$1004,1))</f>
        <v/>
      </c>
      <c r="L54" s="39" t="str">
        <f t="shared" si="2"/>
        <v/>
      </c>
      <c r="M54" s="46" t="str">
        <f t="shared" si="3"/>
        <v/>
      </c>
      <c r="N54" s="35" t="str">
        <f>IF(B54="","",IF(K54=0,IF(J54=0,"Pass",IF(COUNTIFS(BOM!$B$5:$B$1004,B54,BOM!$G$5:$G$1004,"KXDDM")&gt;0,"KXDDM","Xem xét")),IF(ABS(M54)&lt;=ThongTin!$C$11,"Pass","Xem xét")))</f>
        <v/>
      </c>
    </row>
    <row r="55" spans="1:14" x14ac:dyDescent="0.25">
      <c r="A55" s="35" t="str">
        <f t="shared" si="0"/>
        <v/>
      </c>
      <c r="B55" s="35" t="str">
        <f>IF('Mau15'!B61="","",'Mau15'!B61)</f>
        <v/>
      </c>
      <c r="C55" s="35" t="str">
        <f>IF(B55="","",'Mau15'!C61)</f>
        <v/>
      </c>
      <c r="D55" s="35" t="str">
        <f>IF(B55="","",'Mau15'!D61)</f>
        <v/>
      </c>
      <c r="E55" s="39" t="str">
        <f>IF(B55="","",'Mau15'!I61)</f>
        <v/>
      </c>
      <c r="F55" s="39" t="str">
        <f>IF(B55="","",SUMIFS(Cau_noi!$B$5:$B$304,Cau_noi!$A$5:$A$304,B55))</f>
        <v/>
      </c>
      <c r="G55" s="39" t="str">
        <f>IF(B55="","",SUMIFS(Cau_noi!$C$5:$C$304,Cau_noi!$A$5:$A$304,B55))</f>
        <v/>
      </c>
      <c r="H55" s="39" t="str">
        <f>IF(B55="","",SUMIFS(Cau_noi!$D$5:$D$304,Cau_noi!$A$5:$A$304,B55))</f>
        <v/>
      </c>
      <c r="I55" s="39" t="str">
        <f>IF(B55="","",SUMIFS(Cau_noi!$E$5:$E$304,Cau_noi!$A$5:$A$304,B55))</f>
        <v/>
      </c>
      <c r="J55" s="39" t="str">
        <f t="shared" si="1"/>
        <v/>
      </c>
      <c r="K55" s="39" t="str">
        <f>IF(B55="","",SUMIFS(KT_DMTT_ChiTiet!$H$5:$H$1004,KT_DMTT_ChiTiet!$C$5:$C$1004,B55,KT_DMTT_ChiTiet!$N$5:$N$1004,1))</f>
        <v/>
      </c>
      <c r="L55" s="39" t="str">
        <f t="shared" si="2"/>
        <v/>
      </c>
      <c r="M55" s="46" t="str">
        <f t="shared" si="3"/>
        <v/>
      </c>
      <c r="N55" s="35" t="str">
        <f>IF(B55="","",IF(K55=0,IF(J55=0,"Pass",IF(COUNTIFS(BOM!$B$5:$B$1004,B55,BOM!$G$5:$G$1004,"KXDDM")&gt;0,"KXDDM","Xem xét")),IF(ABS(M55)&lt;=ThongTin!$C$11,"Pass","Xem xét")))</f>
        <v/>
      </c>
    </row>
    <row r="56" spans="1:14" x14ac:dyDescent="0.25">
      <c r="A56" s="35" t="str">
        <f t="shared" si="0"/>
        <v/>
      </c>
      <c r="B56" s="35" t="str">
        <f>IF('Mau15'!B62="","",'Mau15'!B62)</f>
        <v/>
      </c>
      <c r="C56" s="35" t="str">
        <f>IF(B56="","",'Mau15'!C62)</f>
        <v/>
      </c>
      <c r="D56" s="35" t="str">
        <f>IF(B56="","",'Mau15'!D62)</f>
        <v/>
      </c>
      <c r="E56" s="39" t="str">
        <f>IF(B56="","",'Mau15'!I62)</f>
        <v/>
      </c>
      <c r="F56" s="39" t="str">
        <f>IF(B56="","",SUMIFS(Cau_noi!$B$5:$B$304,Cau_noi!$A$5:$A$304,B56))</f>
        <v/>
      </c>
      <c r="G56" s="39" t="str">
        <f>IF(B56="","",SUMIFS(Cau_noi!$C$5:$C$304,Cau_noi!$A$5:$A$304,B56))</f>
        <v/>
      </c>
      <c r="H56" s="39" t="str">
        <f>IF(B56="","",SUMIFS(Cau_noi!$D$5:$D$304,Cau_noi!$A$5:$A$304,B56))</f>
        <v/>
      </c>
      <c r="I56" s="39" t="str">
        <f>IF(B56="","",SUMIFS(Cau_noi!$E$5:$E$304,Cau_noi!$A$5:$A$304,B56))</f>
        <v/>
      </c>
      <c r="J56" s="39" t="str">
        <f t="shared" si="1"/>
        <v/>
      </c>
      <c r="K56" s="39" t="str">
        <f>IF(B56="","",SUMIFS(KT_DMTT_ChiTiet!$H$5:$H$1004,KT_DMTT_ChiTiet!$C$5:$C$1004,B56,KT_DMTT_ChiTiet!$N$5:$N$1004,1))</f>
        <v/>
      </c>
      <c r="L56" s="39" t="str">
        <f t="shared" si="2"/>
        <v/>
      </c>
      <c r="M56" s="46" t="str">
        <f t="shared" si="3"/>
        <v/>
      </c>
      <c r="N56" s="35" t="str">
        <f>IF(B56="","",IF(K56=0,IF(J56=0,"Pass",IF(COUNTIFS(BOM!$B$5:$B$1004,B56,BOM!$G$5:$G$1004,"KXDDM")&gt;0,"KXDDM","Xem xét")),IF(ABS(M56)&lt;=ThongTin!$C$11,"Pass","Xem xét")))</f>
        <v/>
      </c>
    </row>
    <row r="57" spans="1:14" x14ac:dyDescent="0.25">
      <c r="A57" s="35" t="str">
        <f t="shared" si="0"/>
        <v/>
      </c>
      <c r="B57" s="35" t="str">
        <f>IF('Mau15'!B63="","",'Mau15'!B63)</f>
        <v/>
      </c>
      <c r="C57" s="35" t="str">
        <f>IF(B57="","",'Mau15'!C63)</f>
        <v/>
      </c>
      <c r="D57" s="35" t="str">
        <f>IF(B57="","",'Mau15'!D63)</f>
        <v/>
      </c>
      <c r="E57" s="39" t="str">
        <f>IF(B57="","",'Mau15'!I63)</f>
        <v/>
      </c>
      <c r="F57" s="39" t="str">
        <f>IF(B57="","",SUMIFS(Cau_noi!$B$5:$B$304,Cau_noi!$A$5:$A$304,B57))</f>
        <v/>
      </c>
      <c r="G57" s="39" t="str">
        <f>IF(B57="","",SUMIFS(Cau_noi!$C$5:$C$304,Cau_noi!$A$5:$A$304,B57))</f>
        <v/>
      </c>
      <c r="H57" s="39" t="str">
        <f>IF(B57="","",SUMIFS(Cau_noi!$D$5:$D$304,Cau_noi!$A$5:$A$304,B57))</f>
        <v/>
      </c>
      <c r="I57" s="39" t="str">
        <f>IF(B57="","",SUMIFS(Cau_noi!$E$5:$E$304,Cau_noi!$A$5:$A$304,B57))</f>
        <v/>
      </c>
      <c r="J57" s="39" t="str">
        <f t="shared" si="1"/>
        <v/>
      </c>
      <c r="K57" s="39" t="str">
        <f>IF(B57="","",SUMIFS(KT_DMTT_ChiTiet!$H$5:$H$1004,KT_DMTT_ChiTiet!$C$5:$C$1004,B57,KT_DMTT_ChiTiet!$N$5:$N$1004,1))</f>
        <v/>
      </c>
      <c r="L57" s="39" t="str">
        <f t="shared" si="2"/>
        <v/>
      </c>
      <c r="M57" s="46" t="str">
        <f t="shared" si="3"/>
        <v/>
      </c>
      <c r="N57" s="35" t="str">
        <f>IF(B57="","",IF(K57=0,IF(J57=0,"Pass",IF(COUNTIFS(BOM!$B$5:$B$1004,B57,BOM!$G$5:$G$1004,"KXDDM")&gt;0,"KXDDM","Xem xét")),IF(ABS(M57)&lt;=ThongTin!$C$11,"Pass","Xem xét")))</f>
        <v/>
      </c>
    </row>
    <row r="58" spans="1:14" x14ac:dyDescent="0.25">
      <c r="A58" s="35" t="str">
        <f t="shared" si="0"/>
        <v/>
      </c>
      <c r="B58" s="35" t="str">
        <f>IF('Mau15'!B64="","",'Mau15'!B64)</f>
        <v/>
      </c>
      <c r="C58" s="35" t="str">
        <f>IF(B58="","",'Mau15'!C64)</f>
        <v/>
      </c>
      <c r="D58" s="35" t="str">
        <f>IF(B58="","",'Mau15'!D64)</f>
        <v/>
      </c>
      <c r="E58" s="39" t="str">
        <f>IF(B58="","",'Mau15'!I64)</f>
        <v/>
      </c>
      <c r="F58" s="39" t="str">
        <f>IF(B58="","",SUMIFS(Cau_noi!$B$5:$B$304,Cau_noi!$A$5:$A$304,B58))</f>
        <v/>
      </c>
      <c r="G58" s="39" t="str">
        <f>IF(B58="","",SUMIFS(Cau_noi!$C$5:$C$304,Cau_noi!$A$5:$A$304,B58))</f>
        <v/>
      </c>
      <c r="H58" s="39" t="str">
        <f>IF(B58="","",SUMIFS(Cau_noi!$D$5:$D$304,Cau_noi!$A$5:$A$304,B58))</f>
        <v/>
      </c>
      <c r="I58" s="39" t="str">
        <f>IF(B58="","",SUMIFS(Cau_noi!$E$5:$E$304,Cau_noi!$A$5:$A$304,B58))</f>
        <v/>
      </c>
      <c r="J58" s="39" t="str">
        <f t="shared" si="1"/>
        <v/>
      </c>
      <c r="K58" s="39" t="str">
        <f>IF(B58="","",SUMIFS(KT_DMTT_ChiTiet!$H$5:$H$1004,KT_DMTT_ChiTiet!$C$5:$C$1004,B58,KT_DMTT_ChiTiet!$N$5:$N$1004,1))</f>
        <v/>
      </c>
      <c r="L58" s="39" t="str">
        <f t="shared" si="2"/>
        <v/>
      </c>
      <c r="M58" s="46" t="str">
        <f t="shared" si="3"/>
        <v/>
      </c>
      <c r="N58" s="35" t="str">
        <f>IF(B58="","",IF(K58=0,IF(J58=0,"Pass",IF(COUNTIFS(BOM!$B$5:$B$1004,B58,BOM!$G$5:$G$1004,"KXDDM")&gt;0,"KXDDM","Xem xét")),IF(ABS(M58)&lt;=ThongTin!$C$11,"Pass","Xem xét")))</f>
        <v/>
      </c>
    </row>
    <row r="59" spans="1:14" x14ac:dyDescent="0.25">
      <c r="A59" s="35" t="str">
        <f t="shared" si="0"/>
        <v/>
      </c>
      <c r="B59" s="35" t="str">
        <f>IF('Mau15'!B65="","",'Mau15'!B65)</f>
        <v/>
      </c>
      <c r="C59" s="35" t="str">
        <f>IF(B59="","",'Mau15'!C65)</f>
        <v/>
      </c>
      <c r="D59" s="35" t="str">
        <f>IF(B59="","",'Mau15'!D65)</f>
        <v/>
      </c>
      <c r="E59" s="39" t="str">
        <f>IF(B59="","",'Mau15'!I65)</f>
        <v/>
      </c>
      <c r="F59" s="39" t="str">
        <f>IF(B59="","",SUMIFS(Cau_noi!$B$5:$B$304,Cau_noi!$A$5:$A$304,B59))</f>
        <v/>
      </c>
      <c r="G59" s="39" t="str">
        <f>IF(B59="","",SUMIFS(Cau_noi!$C$5:$C$304,Cau_noi!$A$5:$A$304,B59))</f>
        <v/>
      </c>
      <c r="H59" s="39" t="str">
        <f>IF(B59="","",SUMIFS(Cau_noi!$D$5:$D$304,Cau_noi!$A$5:$A$304,B59))</f>
        <v/>
      </c>
      <c r="I59" s="39" t="str">
        <f>IF(B59="","",SUMIFS(Cau_noi!$E$5:$E$304,Cau_noi!$A$5:$A$304,B59))</f>
        <v/>
      </c>
      <c r="J59" s="39" t="str">
        <f t="shared" si="1"/>
        <v/>
      </c>
      <c r="K59" s="39" t="str">
        <f>IF(B59="","",SUMIFS(KT_DMTT_ChiTiet!$H$5:$H$1004,KT_DMTT_ChiTiet!$C$5:$C$1004,B59,KT_DMTT_ChiTiet!$N$5:$N$1004,1))</f>
        <v/>
      </c>
      <c r="L59" s="39" t="str">
        <f t="shared" si="2"/>
        <v/>
      </c>
      <c r="M59" s="46" t="str">
        <f t="shared" si="3"/>
        <v/>
      </c>
      <c r="N59" s="35" t="str">
        <f>IF(B59="","",IF(K59=0,IF(J59=0,"Pass",IF(COUNTIFS(BOM!$B$5:$B$1004,B59,BOM!$G$5:$G$1004,"KXDDM")&gt;0,"KXDDM","Xem xét")),IF(ABS(M59)&lt;=ThongTin!$C$11,"Pass","Xem xét")))</f>
        <v/>
      </c>
    </row>
    <row r="60" spans="1:14" x14ac:dyDescent="0.25">
      <c r="A60" s="35" t="str">
        <f t="shared" si="0"/>
        <v/>
      </c>
      <c r="B60" s="35" t="str">
        <f>IF('Mau15'!B66="","",'Mau15'!B66)</f>
        <v/>
      </c>
      <c r="C60" s="35" t="str">
        <f>IF(B60="","",'Mau15'!C66)</f>
        <v/>
      </c>
      <c r="D60" s="35" t="str">
        <f>IF(B60="","",'Mau15'!D66)</f>
        <v/>
      </c>
      <c r="E60" s="39" t="str">
        <f>IF(B60="","",'Mau15'!I66)</f>
        <v/>
      </c>
      <c r="F60" s="39" t="str">
        <f>IF(B60="","",SUMIFS(Cau_noi!$B$5:$B$304,Cau_noi!$A$5:$A$304,B60))</f>
        <v/>
      </c>
      <c r="G60" s="39" t="str">
        <f>IF(B60="","",SUMIFS(Cau_noi!$C$5:$C$304,Cau_noi!$A$5:$A$304,B60))</f>
        <v/>
      </c>
      <c r="H60" s="39" t="str">
        <f>IF(B60="","",SUMIFS(Cau_noi!$D$5:$D$304,Cau_noi!$A$5:$A$304,B60))</f>
        <v/>
      </c>
      <c r="I60" s="39" t="str">
        <f>IF(B60="","",SUMIFS(Cau_noi!$E$5:$E$304,Cau_noi!$A$5:$A$304,B60))</f>
        <v/>
      </c>
      <c r="J60" s="39" t="str">
        <f t="shared" si="1"/>
        <v/>
      </c>
      <c r="K60" s="39" t="str">
        <f>IF(B60="","",SUMIFS(KT_DMTT_ChiTiet!$H$5:$H$1004,KT_DMTT_ChiTiet!$C$5:$C$1004,B60,KT_DMTT_ChiTiet!$N$5:$N$1004,1))</f>
        <v/>
      </c>
      <c r="L60" s="39" t="str">
        <f t="shared" si="2"/>
        <v/>
      </c>
      <c r="M60" s="46" t="str">
        <f t="shared" si="3"/>
        <v/>
      </c>
      <c r="N60" s="35" t="str">
        <f>IF(B60="","",IF(K60=0,IF(J60=0,"Pass",IF(COUNTIFS(BOM!$B$5:$B$1004,B60,BOM!$G$5:$G$1004,"KXDDM")&gt;0,"KXDDM","Xem xét")),IF(ABS(M60)&lt;=ThongTin!$C$11,"Pass","Xem xét")))</f>
        <v/>
      </c>
    </row>
    <row r="61" spans="1:14" x14ac:dyDescent="0.25">
      <c r="A61" s="35" t="str">
        <f t="shared" si="0"/>
        <v/>
      </c>
      <c r="B61" s="35" t="str">
        <f>IF('Mau15'!B67="","",'Mau15'!B67)</f>
        <v/>
      </c>
      <c r="C61" s="35" t="str">
        <f>IF(B61="","",'Mau15'!C67)</f>
        <v/>
      </c>
      <c r="D61" s="35" t="str">
        <f>IF(B61="","",'Mau15'!D67)</f>
        <v/>
      </c>
      <c r="E61" s="39" t="str">
        <f>IF(B61="","",'Mau15'!I67)</f>
        <v/>
      </c>
      <c r="F61" s="39" t="str">
        <f>IF(B61="","",SUMIFS(Cau_noi!$B$5:$B$304,Cau_noi!$A$5:$A$304,B61))</f>
        <v/>
      </c>
      <c r="G61" s="39" t="str">
        <f>IF(B61="","",SUMIFS(Cau_noi!$C$5:$C$304,Cau_noi!$A$5:$A$304,B61))</f>
        <v/>
      </c>
      <c r="H61" s="39" t="str">
        <f>IF(B61="","",SUMIFS(Cau_noi!$D$5:$D$304,Cau_noi!$A$5:$A$304,B61))</f>
        <v/>
      </c>
      <c r="I61" s="39" t="str">
        <f>IF(B61="","",SUMIFS(Cau_noi!$E$5:$E$304,Cau_noi!$A$5:$A$304,B61))</f>
        <v/>
      </c>
      <c r="J61" s="39" t="str">
        <f t="shared" si="1"/>
        <v/>
      </c>
      <c r="K61" s="39" t="str">
        <f>IF(B61="","",SUMIFS(KT_DMTT_ChiTiet!$H$5:$H$1004,KT_DMTT_ChiTiet!$C$5:$C$1004,B61,KT_DMTT_ChiTiet!$N$5:$N$1004,1))</f>
        <v/>
      </c>
      <c r="L61" s="39" t="str">
        <f t="shared" si="2"/>
        <v/>
      </c>
      <c r="M61" s="46" t="str">
        <f t="shared" si="3"/>
        <v/>
      </c>
      <c r="N61" s="35" t="str">
        <f>IF(B61="","",IF(K61=0,IF(J61=0,"Pass",IF(COUNTIFS(BOM!$B$5:$B$1004,B61,BOM!$G$5:$G$1004,"KXDDM")&gt;0,"KXDDM","Xem xét")),IF(ABS(M61)&lt;=ThongTin!$C$11,"Pass","Xem xét")))</f>
        <v/>
      </c>
    </row>
    <row r="62" spans="1:14" x14ac:dyDescent="0.25">
      <c r="A62" s="35" t="str">
        <f t="shared" si="0"/>
        <v/>
      </c>
      <c r="B62" s="35" t="str">
        <f>IF('Mau15'!B68="","",'Mau15'!B68)</f>
        <v/>
      </c>
      <c r="C62" s="35" t="str">
        <f>IF(B62="","",'Mau15'!C68)</f>
        <v/>
      </c>
      <c r="D62" s="35" t="str">
        <f>IF(B62="","",'Mau15'!D68)</f>
        <v/>
      </c>
      <c r="E62" s="39" t="str">
        <f>IF(B62="","",'Mau15'!I68)</f>
        <v/>
      </c>
      <c r="F62" s="39" t="str">
        <f>IF(B62="","",SUMIFS(Cau_noi!$B$5:$B$304,Cau_noi!$A$5:$A$304,B62))</f>
        <v/>
      </c>
      <c r="G62" s="39" t="str">
        <f>IF(B62="","",SUMIFS(Cau_noi!$C$5:$C$304,Cau_noi!$A$5:$A$304,B62))</f>
        <v/>
      </c>
      <c r="H62" s="39" t="str">
        <f>IF(B62="","",SUMIFS(Cau_noi!$D$5:$D$304,Cau_noi!$A$5:$A$304,B62))</f>
        <v/>
      </c>
      <c r="I62" s="39" t="str">
        <f>IF(B62="","",SUMIFS(Cau_noi!$E$5:$E$304,Cau_noi!$A$5:$A$304,B62))</f>
        <v/>
      </c>
      <c r="J62" s="39" t="str">
        <f t="shared" si="1"/>
        <v/>
      </c>
      <c r="K62" s="39" t="str">
        <f>IF(B62="","",SUMIFS(KT_DMTT_ChiTiet!$H$5:$H$1004,KT_DMTT_ChiTiet!$C$5:$C$1004,B62,KT_DMTT_ChiTiet!$N$5:$N$1004,1))</f>
        <v/>
      </c>
      <c r="L62" s="39" t="str">
        <f t="shared" si="2"/>
        <v/>
      </c>
      <c r="M62" s="46" t="str">
        <f t="shared" si="3"/>
        <v/>
      </c>
      <c r="N62" s="35" t="str">
        <f>IF(B62="","",IF(K62=0,IF(J62=0,"Pass",IF(COUNTIFS(BOM!$B$5:$B$1004,B62,BOM!$G$5:$G$1004,"KXDDM")&gt;0,"KXDDM","Xem xét")),IF(ABS(M62)&lt;=ThongTin!$C$11,"Pass","Xem xét")))</f>
        <v/>
      </c>
    </row>
    <row r="63" spans="1:14" x14ac:dyDescent="0.25">
      <c r="A63" s="35" t="str">
        <f t="shared" si="0"/>
        <v/>
      </c>
      <c r="B63" s="35" t="str">
        <f>IF('Mau15'!B69="","",'Mau15'!B69)</f>
        <v/>
      </c>
      <c r="C63" s="35" t="str">
        <f>IF(B63="","",'Mau15'!C69)</f>
        <v/>
      </c>
      <c r="D63" s="35" t="str">
        <f>IF(B63="","",'Mau15'!D69)</f>
        <v/>
      </c>
      <c r="E63" s="39" t="str">
        <f>IF(B63="","",'Mau15'!I69)</f>
        <v/>
      </c>
      <c r="F63" s="39" t="str">
        <f>IF(B63="","",SUMIFS(Cau_noi!$B$5:$B$304,Cau_noi!$A$5:$A$304,B63))</f>
        <v/>
      </c>
      <c r="G63" s="39" t="str">
        <f>IF(B63="","",SUMIFS(Cau_noi!$C$5:$C$304,Cau_noi!$A$5:$A$304,B63))</f>
        <v/>
      </c>
      <c r="H63" s="39" t="str">
        <f>IF(B63="","",SUMIFS(Cau_noi!$D$5:$D$304,Cau_noi!$A$5:$A$304,B63))</f>
        <v/>
      </c>
      <c r="I63" s="39" t="str">
        <f>IF(B63="","",SUMIFS(Cau_noi!$E$5:$E$304,Cau_noi!$A$5:$A$304,B63))</f>
        <v/>
      </c>
      <c r="J63" s="39" t="str">
        <f t="shared" si="1"/>
        <v/>
      </c>
      <c r="K63" s="39" t="str">
        <f>IF(B63="","",SUMIFS(KT_DMTT_ChiTiet!$H$5:$H$1004,KT_DMTT_ChiTiet!$C$5:$C$1004,B63,KT_DMTT_ChiTiet!$N$5:$N$1004,1))</f>
        <v/>
      </c>
      <c r="L63" s="39" t="str">
        <f t="shared" si="2"/>
        <v/>
      </c>
      <c r="M63" s="46" t="str">
        <f t="shared" si="3"/>
        <v/>
      </c>
      <c r="N63" s="35" t="str">
        <f>IF(B63="","",IF(K63=0,IF(J63=0,"Pass",IF(COUNTIFS(BOM!$B$5:$B$1004,B63,BOM!$G$5:$G$1004,"KXDDM")&gt;0,"KXDDM","Xem xét")),IF(ABS(M63)&lt;=ThongTin!$C$11,"Pass","Xem xét")))</f>
        <v/>
      </c>
    </row>
    <row r="64" spans="1:14" x14ac:dyDescent="0.25">
      <c r="A64" s="35" t="str">
        <f t="shared" si="0"/>
        <v/>
      </c>
      <c r="B64" s="35" t="str">
        <f>IF('Mau15'!B70="","",'Mau15'!B70)</f>
        <v/>
      </c>
      <c r="C64" s="35" t="str">
        <f>IF(B64="","",'Mau15'!C70)</f>
        <v/>
      </c>
      <c r="D64" s="35" t="str">
        <f>IF(B64="","",'Mau15'!D70)</f>
        <v/>
      </c>
      <c r="E64" s="39" t="str">
        <f>IF(B64="","",'Mau15'!I70)</f>
        <v/>
      </c>
      <c r="F64" s="39" t="str">
        <f>IF(B64="","",SUMIFS(Cau_noi!$B$5:$B$304,Cau_noi!$A$5:$A$304,B64))</f>
        <v/>
      </c>
      <c r="G64" s="39" t="str">
        <f>IF(B64="","",SUMIFS(Cau_noi!$C$5:$C$304,Cau_noi!$A$5:$A$304,B64))</f>
        <v/>
      </c>
      <c r="H64" s="39" t="str">
        <f>IF(B64="","",SUMIFS(Cau_noi!$D$5:$D$304,Cau_noi!$A$5:$A$304,B64))</f>
        <v/>
      </c>
      <c r="I64" s="39" t="str">
        <f>IF(B64="","",SUMIFS(Cau_noi!$E$5:$E$304,Cau_noi!$A$5:$A$304,B64))</f>
        <v/>
      </c>
      <c r="J64" s="39" t="str">
        <f t="shared" si="1"/>
        <v/>
      </c>
      <c r="K64" s="39" t="str">
        <f>IF(B64="","",SUMIFS(KT_DMTT_ChiTiet!$H$5:$H$1004,KT_DMTT_ChiTiet!$C$5:$C$1004,B64,KT_DMTT_ChiTiet!$N$5:$N$1004,1))</f>
        <v/>
      </c>
      <c r="L64" s="39" t="str">
        <f t="shared" si="2"/>
        <v/>
      </c>
      <c r="M64" s="46" t="str">
        <f t="shared" si="3"/>
        <v/>
      </c>
      <c r="N64" s="35" t="str">
        <f>IF(B64="","",IF(K64=0,IF(J64=0,"Pass",IF(COUNTIFS(BOM!$B$5:$B$1004,B64,BOM!$G$5:$G$1004,"KXDDM")&gt;0,"KXDDM","Xem xét")),IF(ABS(M64)&lt;=ThongTin!$C$11,"Pass","Xem xét")))</f>
        <v/>
      </c>
    </row>
    <row r="65" spans="1:14" x14ac:dyDescent="0.25">
      <c r="A65" s="35" t="str">
        <f t="shared" si="0"/>
        <v/>
      </c>
      <c r="B65" s="35" t="str">
        <f>IF('Mau15'!B71="","",'Mau15'!B71)</f>
        <v/>
      </c>
      <c r="C65" s="35" t="str">
        <f>IF(B65="","",'Mau15'!C71)</f>
        <v/>
      </c>
      <c r="D65" s="35" t="str">
        <f>IF(B65="","",'Mau15'!D71)</f>
        <v/>
      </c>
      <c r="E65" s="39" t="str">
        <f>IF(B65="","",'Mau15'!I71)</f>
        <v/>
      </c>
      <c r="F65" s="39" t="str">
        <f>IF(B65="","",SUMIFS(Cau_noi!$B$5:$B$304,Cau_noi!$A$5:$A$304,B65))</f>
        <v/>
      </c>
      <c r="G65" s="39" t="str">
        <f>IF(B65="","",SUMIFS(Cau_noi!$C$5:$C$304,Cau_noi!$A$5:$A$304,B65))</f>
        <v/>
      </c>
      <c r="H65" s="39" t="str">
        <f>IF(B65="","",SUMIFS(Cau_noi!$D$5:$D$304,Cau_noi!$A$5:$A$304,B65))</f>
        <v/>
      </c>
      <c r="I65" s="39" t="str">
        <f>IF(B65="","",SUMIFS(Cau_noi!$E$5:$E$304,Cau_noi!$A$5:$A$304,B65))</f>
        <v/>
      </c>
      <c r="J65" s="39" t="str">
        <f t="shared" si="1"/>
        <v/>
      </c>
      <c r="K65" s="39" t="str">
        <f>IF(B65="","",SUMIFS(KT_DMTT_ChiTiet!$H$5:$H$1004,KT_DMTT_ChiTiet!$C$5:$C$1004,B65,KT_DMTT_ChiTiet!$N$5:$N$1004,1))</f>
        <v/>
      </c>
      <c r="L65" s="39" t="str">
        <f t="shared" si="2"/>
        <v/>
      </c>
      <c r="M65" s="46" t="str">
        <f t="shared" si="3"/>
        <v/>
      </c>
      <c r="N65" s="35" t="str">
        <f>IF(B65="","",IF(K65=0,IF(J65=0,"Pass",IF(COUNTIFS(BOM!$B$5:$B$1004,B65,BOM!$G$5:$G$1004,"KXDDM")&gt;0,"KXDDM","Xem xét")),IF(ABS(M65)&lt;=ThongTin!$C$11,"Pass","Xem xét")))</f>
        <v/>
      </c>
    </row>
    <row r="66" spans="1:14" x14ac:dyDescent="0.25">
      <c r="A66" s="35" t="str">
        <f t="shared" si="0"/>
        <v/>
      </c>
      <c r="B66" s="35" t="str">
        <f>IF('Mau15'!B72="","",'Mau15'!B72)</f>
        <v/>
      </c>
      <c r="C66" s="35" t="str">
        <f>IF(B66="","",'Mau15'!C72)</f>
        <v/>
      </c>
      <c r="D66" s="35" t="str">
        <f>IF(B66="","",'Mau15'!D72)</f>
        <v/>
      </c>
      <c r="E66" s="39" t="str">
        <f>IF(B66="","",'Mau15'!I72)</f>
        <v/>
      </c>
      <c r="F66" s="39" t="str">
        <f>IF(B66="","",SUMIFS(Cau_noi!$B$5:$B$304,Cau_noi!$A$5:$A$304,B66))</f>
        <v/>
      </c>
      <c r="G66" s="39" t="str">
        <f>IF(B66="","",SUMIFS(Cau_noi!$C$5:$C$304,Cau_noi!$A$5:$A$304,B66))</f>
        <v/>
      </c>
      <c r="H66" s="39" t="str">
        <f>IF(B66="","",SUMIFS(Cau_noi!$D$5:$D$304,Cau_noi!$A$5:$A$304,B66))</f>
        <v/>
      </c>
      <c r="I66" s="39" t="str">
        <f>IF(B66="","",SUMIFS(Cau_noi!$E$5:$E$304,Cau_noi!$A$5:$A$304,B66))</f>
        <v/>
      </c>
      <c r="J66" s="39" t="str">
        <f t="shared" si="1"/>
        <v/>
      </c>
      <c r="K66" s="39" t="str">
        <f>IF(B66="","",SUMIFS(KT_DMTT_ChiTiet!$H$5:$H$1004,KT_DMTT_ChiTiet!$C$5:$C$1004,B66,KT_DMTT_ChiTiet!$N$5:$N$1004,1))</f>
        <v/>
      </c>
      <c r="L66" s="39" t="str">
        <f t="shared" si="2"/>
        <v/>
      </c>
      <c r="M66" s="46" t="str">
        <f t="shared" si="3"/>
        <v/>
      </c>
      <c r="N66" s="35" t="str">
        <f>IF(B66="","",IF(K66=0,IF(J66=0,"Pass",IF(COUNTIFS(BOM!$B$5:$B$1004,B66,BOM!$G$5:$G$1004,"KXDDM")&gt;0,"KXDDM","Xem xét")),IF(ABS(M66)&lt;=ThongTin!$C$11,"Pass","Xem xét")))</f>
        <v/>
      </c>
    </row>
    <row r="67" spans="1:14" x14ac:dyDescent="0.25">
      <c r="A67" s="35" t="str">
        <f t="shared" si="0"/>
        <v/>
      </c>
      <c r="B67" s="35" t="str">
        <f>IF('Mau15'!B73="","",'Mau15'!B73)</f>
        <v/>
      </c>
      <c r="C67" s="35" t="str">
        <f>IF(B67="","",'Mau15'!C73)</f>
        <v/>
      </c>
      <c r="D67" s="35" t="str">
        <f>IF(B67="","",'Mau15'!D73)</f>
        <v/>
      </c>
      <c r="E67" s="39" t="str">
        <f>IF(B67="","",'Mau15'!I73)</f>
        <v/>
      </c>
      <c r="F67" s="39" t="str">
        <f>IF(B67="","",SUMIFS(Cau_noi!$B$5:$B$304,Cau_noi!$A$5:$A$304,B67))</f>
        <v/>
      </c>
      <c r="G67" s="39" t="str">
        <f>IF(B67="","",SUMIFS(Cau_noi!$C$5:$C$304,Cau_noi!$A$5:$A$304,B67))</f>
        <v/>
      </c>
      <c r="H67" s="39" t="str">
        <f>IF(B67="","",SUMIFS(Cau_noi!$D$5:$D$304,Cau_noi!$A$5:$A$304,B67))</f>
        <v/>
      </c>
      <c r="I67" s="39" t="str">
        <f>IF(B67="","",SUMIFS(Cau_noi!$E$5:$E$304,Cau_noi!$A$5:$A$304,B67))</f>
        <v/>
      </c>
      <c r="J67" s="39" t="str">
        <f t="shared" si="1"/>
        <v/>
      </c>
      <c r="K67" s="39" t="str">
        <f>IF(B67="","",SUMIFS(KT_DMTT_ChiTiet!$H$5:$H$1004,KT_DMTT_ChiTiet!$C$5:$C$1004,B67,KT_DMTT_ChiTiet!$N$5:$N$1004,1))</f>
        <v/>
      </c>
      <c r="L67" s="39" t="str">
        <f t="shared" si="2"/>
        <v/>
      </c>
      <c r="M67" s="46" t="str">
        <f t="shared" si="3"/>
        <v/>
      </c>
      <c r="N67" s="35" t="str">
        <f>IF(B67="","",IF(K67=0,IF(J67=0,"Pass",IF(COUNTIFS(BOM!$B$5:$B$1004,B67,BOM!$G$5:$G$1004,"KXDDM")&gt;0,"KXDDM","Xem xét")),IF(ABS(M67)&lt;=ThongTin!$C$11,"Pass","Xem xét")))</f>
        <v/>
      </c>
    </row>
    <row r="68" spans="1:14" x14ac:dyDescent="0.25">
      <c r="A68" s="35" t="str">
        <f t="shared" si="0"/>
        <v/>
      </c>
      <c r="B68" s="35" t="str">
        <f>IF('Mau15'!B74="","",'Mau15'!B74)</f>
        <v/>
      </c>
      <c r="C68" s="35" t="str">
        <f>IF(B68="","",'Mau15'!C74)</f>
        <v/>
      </c>
      <c r="D68" s="35" t="str">
        <f>IF(B68="","",'Mau15'!D74)</f>
        <v/>
      </c>
      <c r="E68" s="39" t="str">
        <f>IF(B68="","",'Mau15'!I74)</f>
        <v/>
      </c>
      <c r="F68" s="39" t="str">
        <f>IF(B68="","",SUMIFS(Cau_noi!$B$5:$B$304,Cau_noi!$A$5:$A$304,B68))</f>
        <v/>
      </c>
      <c r="G68" s="39" t="str">
        <f>IF(B68="","",SUMIFS(Cau_noi!$C$5:$C$304,Cau_noi!$A$5:$A$304,B68))</f>
        <v/>
      </c>
      <c r="H68" s="39" t="str">
        <f>IF(B68="","",SUMIFS(Cau_noi!$D$5:$D$304,Cau_noi!$A$5:$A$304,B68))</f>
        <v/>
      </c>
      <c r="I68" s="39" t="str">
        <f>IF(B68="","",SUMIFS(Cau_noi!$E$5:$E$304,Cau_noi!$A$5:$A$304,B68))</f>
        <v/>
      </c>
      <c r="J68" s="39" t="str">
        <f t="shared" si="1"/>
        <v/>
      </c>
      <c r="K68" s="39" t="str">
        <f>IF(B68="","",SUMIFS(KT_DMTT_ChiTiet!$H$5:$H$1004,KT_DMTT_ChiTiet!$C$5:$C$1004,B68,KT_DMTT_ChiTiet!$N$5:$N$1004,1))</f>
        <v/>
      </c>
      <c r="L68" s="39" t="str">
        <f t="shared" si="2"/>
        <v/>
      </c>
      <c r="M68" s="46" t="str">
        <f t="shared" si="3"/>
        <v/>
      </c>
      <c r="N68" s="35" t="str">
        <f>IF(B68="","",IF(K68=0,IF(J68=0,"Pass",IF(COUNTIFS(BOM!$B$5:$B$1004,B68,BOM!$G$5:$G$1004,"KXDDM")&gt;0,"KXDDM","Xem xét")),IF(ABS(M68)&lt;=ThongTin!$C$11,"Pass","Xem xét")))</f>
        <v/>
      </c>
    </row>
    <row r="69" spans="1:14" x14ac:dyDescent="0.25">
      <c r="A69" s="35" t="str">
        <f t="shared" ref="A69:A132" si="4">IF(B69="","",ROW()-4)</f>
        <v/>
      </c>
      <c r="B69" s="35" t="str">
        <f>IF('Mau15'!B75="","",'Mau15'!B75)</f>
        <v/>
      </c>
      <c r="C69" s="35" t="str">
        <f>IF(B69="","",'Mau15'!C75)</f>
        <v/>
      </c>
      <c r="D69" s="35" t="str">
        <f>IF(B69="","",'Mau15'!D75)</f>
        <v/>
      </c>
      <c r="E69" s="39" t="str">
        <f>IF(B69="","",'Mau15'!I75)</f>
        <v/>
      </c>
      <c r="F69" s="39" t="str">
        <f>IF(B69="","",SUMIFS(Cau_noi!$B$5:$B$304,Cau_noi!$A$5:$A$304,B69))</f>
        <v/>
      </c>
      <c r="G69" s="39" t="str">
        <f>IF(B69="","",SUMIFS(Cau_noi!$C$5:$C$304,Cau_noi!$A$5:$A$304,B69))</f>
        <v/>
      </c>
      <c r="H69" s="39" t="str">
        <f>IF(B69="","",SUMIFS(Cau_noi!$D$5:$D$304,Cau_noi!$A$5:$A$304,B69))</f>
        <v/>
      </c>
      <c r="I69" s="39" t="str">
        <f>IF(B69="","",SUMIFS(Cau_noi!$E$5:$E$304,Cau_noi!$A$5:$A$304,B69))</f>
        <v/>
      </c>
      <c r="J69" s="39" t="str">
        <f t="shared" ref="J69:J132" si="5">IF(B69="","",E69+F69+G69-H69-I69)</f>
        <v/>
      </c>
      <c r="K69" s="39" t="str">
        <f>IF(B69="","",SUMIFS(KT_DMTT_ChiTiet!$H$5:$H$1004,KT_DMTT_ChiTiet!$C$5:$C$1004,B69,KT_DMTT_ChiTiet!$N$5:$N$1004,1))</f>
        <v/>
      </c>
      <c r="L69" s="39" t="str">
        <f t="shared" ref="L69:L132" si="6">IF(B69="","",J69-K69)</f>
        <v/>
      </c>
      <c r="M69" s="46" t="str">
        <f t="shared" ref="M69:M132" si="7">IF(OR(B69="",K69=0),"",L69/K69)</f>
        <v/>
      </c>
      <c r="N69" s="35" t="str">
        <f>IF(B69="","",IF(K69=0,IF(J69=0,"Pass",IF(COUNTIFS(BOM!$B$5:$B$1004,B69,BOM!$G$5:$G$1004,"KXDDM")&gt;0,"KXDDM","Xem xét")),IF(ABS(M69)&lt;=ThongTin!$C$11,"Pass","Xem xét")))</f>
        <v/>
      </c>
    </row>
    <row r="70" spans="1:14" x14ac:dyDescent="0.25">
      <c r="A70" s="35" t="str">
        <f t="shared" si="4"/>
        <v/>
      </c>
      <c r="B70" s="35" t="str">
        <f>IF('Mau15'!B76="","",'Mau15'!B76)</f>
        <v/>
      </c>
      <c r="C70" s="35" t="str">
        <f>IF(B70="","",'Mau15'!C76)</f>
        <v/>
      </c>
      <c r="D70" s="35" t="str">
        <f>IF(B70="","",'Mau15'!D76)</f>
        <v/>
      </c>
      <c r="E70" s="39" t="str">
        <f>IF(B70="","",'Mau15'!I76)</f>
        <v/>
      </c>
      <c r="F70" s="39" t="str">
        <f>IF(B70="","",SUMIFS(Cau_noi!$B$5:$B$304,Cau_noi!$A$5:$A$304,B70))</f>
        <v/>
      </c>
      <c r="G70" s="39" t="str">
        <f>IF(B70="","",SUMIFS(Cau_noi!$C$5:$C$304,Cau_noi!$A$5:$A$304,B70))</f>
        <v/>
      </c>
      <c r="H70" s="39" t="str">
        <f>IF(B70="","",SUMIFS(Cau_noi!$D$5:$D$304,Cau_noi!$A$5:$A$304,B70))</f>
        <v/>
      </c>
      <c r="I70" s="39" t="str">
        <f>IF(B70="","",SUMIFS(Cau_noi!$E$5:$E$304,Cau_noi!$A$5:$A$304,B70))</f>
        <v/>
      </c>
      <c r="J70" s="39" t="str">
        <f t="shared" si="5"/>
        <v/>
      </c>
      <c r="K70" s="39" t="str">
        <f>IF(B70="","",SUMIFS(KT_DMTT_ChiTiet!$H$5:$H$1004,KT_DMTT_ChiTiet!$C$5:$C$1004,B70,KT_DMTT_ChiTiet!$N$5:$N$1004,1))</f>
        <v/>
      </c>
      <c r="L70" s="39" t="str">
        <f t="shared" si="6"/>
        <v/>
      </c>
      <c r="M70" s="46" t="str">
        <f t="shared" si="7"/>
        <v/>
      </c>
      <c r="N70" s="35" t="str">
        <f>IF(B70="","",IF(K70=0,IF(J70=0,"Pass",IF(COUNTIFS(BOM!$B$5:$B$1004,B70,BOM!$G$5:$G$1004,"KXDDM")&gt;0,"KXDDM","Xem xét")),IF(ABS(M70)&lt;=ThongTin!$C$11,"Pass","Xem xét")))</f>
        <v/>
      </c>
    </row>
    <row r="71" spans="1:14" x14ac:dyDescent="0.25">
      <c r="A71" s="35" t="str">
        <f t="shared" si="4"/>
        <v/>
      </c>
      <c r="B71" s="35" t="str">
        <f>IF('Mau15'!B77="","",'Mau15'!B77)</f>
        <v/>
      </c>
      <c r="C71" s="35" t="str">
        <f>IF(B71="","",'Mau15'!C77)</f>
        <v/>
      </c>
      <c r="D71" s="35" t="str">
        <f>IF(B71="","",'Mau15'!D77)</f>
        <v/>
      </c>
      <c r="E71" s="39" t="str">
        <f>IF(B71="","",'Mau15'!I77)</f>
        <v/>
      </c>
      <c r="F71" s="39" t="str">
        <f>IF(B71="","",SUMIFS(Cau_noi!$B$5:$B$304,Cau_noi!$A$5:$A$304,B71))</f>
        <v/>
      </c>
      <c r="G71" s="39" t="str">
        <f>IF(B71="","",SUMIFS(Cau_noi!$C$5:$C$304,Cau_noi!$A$5:$A$304,B71))</f>
        <v/>
      </c>
      <c r="H71" s="39" t="str">
        <f>IF(B71="","",SUMIFS(Cau_noi!$D$5:$D$304,Cau_noi!$A$5:$A$304,B71))</f>
        <v/>
      </c>
      <c r="I71" s="39" t="str">
        <f>IF(B71="","",SUMIFS(Cau_noi!$E$5:$E$304,Cau_noi!$A$5:$A$304,B71))</f>
        <v/>
      </c>
      <c r="J71" s="39" t="str">
        <f t="shared" si="5"/>
        <v/>
      </c>
      <c r="K71" s="39" t="str">
        <f>IF(B71="","",SUMIFS(KT_DMTT_ChiTiet!$H$5:$H$1004,KT_DMTT_ChiTiet!$C$5:$C$1004,B71,KT_DMTT_ChiTiet!$N$5:$N$1004,1))</f>
        <v/>
      </c>
      <c r="L71" s="39" t="str">
        <f t="shared" si="6"/>
        <v/>
      </c>
      <c r="M71" s="46" t="str">
        <f t="shared" si="7"/>
        <v/>
      </c>
      <c r="N71" s="35" t="str">
        <f>IF(B71="","",IF(K71=0,IF(J71=0,"Pass",IF(COUNTIFS(BOM!$B$5:$B$1004,B71,BOM!$G$5:$G$1004,"KXDDM")&gt;0,"KXDDM","Xem xét")),IF(ABS(M71)&lt;=ThongTin!$C$11,"Pass","Xem xét")))</f>
        <v/>
      </c>
    </row>
    <row r="72" spans="1:14" x14ac:dyDescent="0.25">
      <c r="A72" s="35" t="str">
        <f t="shared" si="4"/>
        <v/>
      </c>
      <c r="B72" s="35" t="str">
        <f>IF('Mau15'!B78="","",'Mau15'!B78)</f>
        <v/>
      </c>
      <c r="C72" s="35" t="str">
        <f>IF(B72="","",'Mau15'!C78)</f>
        <v/>
      </c>
      <c r="D72" s="35" t="str">
        <f>IF(B72="","",'Mau15'!D78)</f>
        <v/>
      </c>
      <c r="E72" s="39" t="str">
        <f>IF(B72="","",'Mau15'!I78)</f>
        <v/>
      </c>
      <c r="F72" s="39" t="str">
        <f>IF(B72="","",SUMIFS(Cau_noi!$B$5:$B$304,Cau_noi!$A$5:$A$304,B72))</f>
        <v/>
      </c>
      <c r="G72" s="39" t="str">
        <f>IF(B72="","",SUMIFS(Cau_noi!$C$5:$C$304,Cau_noi!$A$5:$A$304,B72))</f>
        <v/>
      </c>
      <c r="H72" s="39" t="str">
        <f>IF(B72="","",SUMIFS(Cau_noi!$D$5:$D$304,Cau_noi!$A$5:$A$304,B72))</f>
        <v/>
      </c>
      <c r="I72" s="39" t="str">
        <f>IF(B72="","",SUMIFS(Cau_noi!$E$5:$E$304,Cau_noi!$A$5:$A$304,B72))</f>
        <v/>
      </c>
      <c r="J72" s="39" t="str">
        <f t="shared" si="5"/>
        <v/>
      </c>
      <c r="K72" s="39" t="str">
        <f>IF(B72="","",SUMIFS(KT_DMTT_ChiTiet!$H$5:$H$1004,KT_DMTT_ChiTiet!$C$5:$C$1004,B72,KT_DMTT_ChiTiet!$N$5:$N$1004,1))</f>
        <v/>
      </c>
      <c r="L72" s="39" t="str">
        <f t="shared" si="6"/>
        <v/>
      </c>
      <c r="M72" s="46" t="str">
        <f t="shared" si="7"/>
        <v/>
      </c>
      <c r="N72" s="35" t="str">
        <f>IF(B72="","",IF(K72=0,IF(J72=0,"Pass",IF(COUNTIFS(BOM!$B$5:$B$1004,B72,BOM!$G$5:$G$1004,"KXDDM")&gt;0,"KXDDM","Xem xét")),IF(ABS(M72)&lt;=ThongTin!$C$11,"Pass","Xem xét")))</f>
        <v/>
      </c>
    </row>
    <row r="73" spans="1:14" x14ac:dyDescent="0.25">
      <c r="A73" s="35" t="str">
        <f t="shared" si="4"/>
        <v/>
      </c>
      <c r="B73" s="35" t="str">
        <f>IF('Mau15'!B79="","",'Mau15'!B79)</f>
        <v/>
      </c>
      <c r="C73" s="35" t="str">
        <f>IF(B73="","",'Mau15'!C79)</f>
        <v/>
      </c>
      <c r="D73" s="35" t="str">
        <f>IF(B73="","",'Mau15'!D79)</f>
        <v/>
      </c>
      <c r="E73" s="39" t="str">
        <f>IF(B73="","",'Mau15'!I79)</f>
        <v/>
      </c>
      <c r="F73" s="39" t="str">
        <f>IF(B73="","",SUMIFS(Cau_noi!$B$5:$B$304,Cau_noi!$A$5:$A$304,B73))</f>
        <v/>
      </c>
      <c r="G73" s="39" t="str">
        <f>IF(B73="","",SUMIFS(Cau_noi!$C$5:$C$304,Cau_noi!$A$5:$A$304,B73))</f>
        <v/>
      </c>
      <c r="H73" s="39" t="str">
        <f>IF(B73="","",SUMIFS(Cau_noi!$D$5:$D$304,Cau_noi!$A$5:$A$304,B73))</f>
        <v/>
      </c>
      <c r="I73" s="39" t="str">
        <f>IF(B73="","",SUMIFS(Cau_noi!$E$5:$E$304,Cau_noi!$A$5:$A$304,B73))</f>
        <v/>
      </c>
      <c r="J73" s="39" t="str">
        <f t="shared" si="5"/>
        <v/>
      </c>
      <c r="K73" s="39" t="str">
        <f>IF(B73="","",SUMIFS(KT_DMTT_ChiTiet!$H$5:$H$1004,KT_DMTT_ChiTiet!$C$5:$C$1004,B73,KT_DMTT_ChiTiet!$N$5:$N$1004,1))</f>
        <v/>
      </c>
      <c r="L73" s="39" t="str">
        <f t="shared" si="6"/>
        <v/>
      </c>
      <c r="M73" s="46" t="str">
        <f t="shared" si="7"/>
        <v/>
      </c>
      <c r="N73" s="35" t="str">
        <f>IF(B73="","",IF(K73=0,IF(J73=0,"Pass",IF(COUNTIFS(BOM!$B$5:$B$1004,B73,BOM!$G$5:$G$1004,"KXDDM")&gt;0,"KXDDM","Xem xét")),IF(ABS(M73)&lt;=ThongTin!$C$11,"Pass","Xem xét")))</f>
        <v/>
      </c>
    </row>
    <row r="74" spans="1:14" x14ac:dyDescent="0.25">
      <c r="A74" s="35" t="str">
        <f t="shared" si="4"/>
        <v/>
      </c>
      <c r="B74" s="35" t="str">
        <f>IF('Mau15'!B80="","",'Mau15'!B80)</f>
        <v/>
      </c>
      <c r="C74" s="35" t="str">
        <f>IF(B74="","",'Mau15'!C80)</f>
        <v/>
      </c>
      <c r="D74" s="35" t="str">
        <f>IF(B74="","",'Mau15'!D80)</f>
        <v/>
      </c>
      <c r="E74" s="39" t="str">
        <f>IF(B74="","",'Mau15'!I80)</f>
        <v/>
      </c>
      <c r="F74" s="39" t="str">
        <f>IF(B74="","",SUMIFS(Cau_noi!$B$5:$B$304,Cau_noi!$A$5:$A$304,B74))</f>
        <v/>
      </c>
      <c r="G74" s="39" t="str">
        <f>IF(B74="","",SUMIFS(Cau_noi!$C$5:$C$304,Cau_noi!$A$5:$A$304,B74))</f>
        <v/>
      </c>
      <c r="H74" s="39" t="str">
        <f>IF(B74="","",SUMIFS(Cau_noi!$D$5:$D$304,Cau_noi!$A$5:$A$304,B74))</f>
        <v/>
      </c>
      <c r="I74" s="39" t="str">
        <f>IF(B74="","",SUMIFS(Cau_noi!$E$5:$E$304,Cau_noi!$A$5:$A$304,B74))</f>
        <v/>
      </c>
      <c r="J74" s="39" t="str">
        <f t="shared" si="5"/>
        <v/>
      </c>
      <c r="K74" s="39" t="str">
        <f>IF(B74="","",SUMIFS(KT_DMTT_ChiTiet!$H$5:$H$1004,KT_DMTT_ChiTiet!$C$5:$C$1004,B74,KT_DMTT_ChiTiet!$N$5:$N$1004,1))</f>
        <v/>
      </c>
      <c r="L74" s="39" t="str">
        <f t="shared" si="6"/>
        <v/>
      </c>
      <c r="M74" s="46" t="str">
        <f t="shared" si="7"/>
        <v/>
      </c>
      <c r="N74" s="35" t="str">
        <f>IF(B74="","",IF(K74=0,IF(J74=0,"Pass",IF(COUNTIFS(BOM!$B$5:$B$1004,B74,BOM!$G$5:$G$1004,"KXDDM")&gt;0,"KXDDM","Xem xét")),IF(ABS(M74)&lt;=ThongTin!$C$11,"Pass","Xem xét")))</f>
        <v/>
      </c>
    </row>
    <row r="75" spans="1:14" x14ac:dyDescent="0.25">
      <c r="A75" s="35" t="str">
        <f t="shared" si="4"/>
        <v/>
      </c>
      <c r="B75" s="35" t="str">
        <f>IF('Mau15'!B81="","",'Mau15'!B81)</f>
        <v/>
      </c>
      <c r="C75" s="35" t="str">
        <f>IF(B75="","",'Mau15'!C81)</f>
        <v/>
      </c>
      <c r="D75" s="35" t="str">
        <f>IF(B75="","",'Mau15'!D81)</f>
        <v/>
      </c>
      <c r="E75" s="39" t="str">
        <f>IF(B75="","",'Mau15'!I81)</f>
        <v/>
      </c>
      <c r="F75" s="39" t="str">
        <f>IF(B75="","",SUMIFS(Cau_noi!$B$5:$B$304,Cau_noi!$A$5:$A$304,B75))</f>
        <v/>
      </c>
      <c r="G75" s="39" t="str">
        <f>IF(B75="","",SUMIFS(Cau_noi!$C$5:$C$304,Cau_noi!$A$5:$A$304,B75))</f>
        <v/>
      </c>
      <c r="H75" s="39" t="str">
        <f>IF(B75="","",SUMIFS(Cau_noi!$D$5:$D$304,Cau_noi!$A$5:$A$304,B75))</f>
        <v/>
      </c>
      <c r="I75" s="39" t="str">
        <f>IF(B75="","",SUMIFS(Cau_noi!$E$5:$E$304,Cau_noi!$A$5:$A$304,B75))</f>
        <v/>
      </c>
      <c r="J75" s="39" t="str">
        <f t="shared" si="5"/>
        <v/>
      </c>
      <c r="K75" s="39" t="str">
        <f>IF(B75="","",SUMIFS(KT_DMTT_ChiTiet!$H$5:$H$1004,KT_DMTT_ChiTiet!$C$5:$C$1004,B75,KT_DMTT_ChiTiet!$N$5:$N$1004,1))</f>
        <v/>
      </c>
      <c r="L75" s="39" t="str">
        <f t="shared" si="6"/>
        <v/>
      </c>
      <c r="M75" s="46" t="str">
        <f t="shared" si="7"/>
        <v/>
      </c>
      <c r="N75" s="35" t="str">
        <f>IF(B75="","",IF(K75=0,IF(J75=0,"Pass",IF(COUNTIFS(BOM!$B$5:$B$1004,B75,BOM!$G$5:$G$1004,"KXDDM")&gt;0,"KXDDM","Xem xét")),IF(ABS(M75)&lt;=ThongTin!$C$11,"Pass","Xem xét")))</f>
        <v/>
      </c>
    </row>
    <row r="76" spans="1:14" x14ac:dyDescent="0.25">
      <c r="A76" s="35" t="str">
        <f t="shared" si="4"/>
        <v/>
      </c>
      <c r="B76" s="35" t="str">
        <f>IF('Mau15'!B82="","",'Mau15'!B82)</f>
        <v/>
      </c>
      <c r="C76" s="35" t="str">
        <f>IF(B76="","",'Mau15'!C82)</f>
        <v/>
      </c>
      <c r="D76" s="35" t="str">
        <f>IF(B76="","",'Mau15'!D82)</f>
        <v/>
      </c>
      <c r="E76" s="39" t="str">
        <f>IF(B76="","",'Mau15'!I82)</f>
        <v/>
      </c>
      <c r="F76" s="39" t="str">
        <f>IF(B76="","",SUMIFS(Cau_noi!$B$5:$B$304,Cau_noi!$A$5:$A$304,B76))</f>
        <v/>
      </c>
      <c r="G76" s="39" t="str">
        <f>IF(B76="","",SUMIFS(Cau_noi!$C$5:$C$304,Cau_noi!$A$5:$A$304,B76))</f>
        <v/>
      </c>
      <c r="H76" s="39" t="str">
        <f>IF(B76="","",SUMIFS(Cau_noi!$D$5:$D$304,Cau_noi!$A$5:$A$304,B76))</f>
        <v/>
      </c>
      <c r="I76" s="39" t="str">
        <f>IF(B76="","",SUMIFS(Cau_noi!$E$5:$E$304,Cau_noi!$A$5:$A$304,B76))</f>
        <v/>
      </c>
      <c r="J76" s="39" t="str">
        <f t="shared" si="5"/>
        <v/>
      </c>
      <c r="K76" s="39" t="str">
        <f>IF(B76="","",SUMIFS(KT_DMTT_ChiTiet!$H$5:$H$1004,KT_DMTT_ChiTiet!$C$5:$C$1004,B76,KT_DMTT_ChiTiet!$N$5:$N$1004,1))</f>
        <v/>
      </c>
      <c r="L76" s="39" t="str">
        <f t="shared" si="6"/>
        <v/>
      </c>
      <c r="M76" s="46" t="str">
        <f t="shared" si="7"/>
        <v/>
      </c>
      <c r="N76" s="35" t="str">
        <f>IF(B76="","",IF(K76=0,IF(J76=0,"Pass",IF(COUNTIFS(BOM!$B$5:$B$1004,B76,BOM!$G$5:$G$1004,"KXDDM")&gt;0,"KXDDM","Xem xét")),IF(ABS(M76)&lt;=ThongTin!$C$11,"Pass","Xem xét")))</f>
        <v/>
      </c>
    </row>
    <row r="77" spans="1:14" x14ac:dyDescent="0.25">
      <c r="A77" s="35" t="str">
        <f t="shared" si="4"/>
        <v/>
      </c>
      <c r="B77" s="35" t="str">
        <f>IF('Mau15'!B83="","",'Mau15'!B83)</f>
        <v/>
      </c>
      <c r="C77" s="35" t="str">
        <f>IF(B77="","",'Mau15'!C83)</f>
        <v/>
      </c>
      <c r="D77" s="35" t="str">
        <f>IF(B77="","",'Mau15'!D83)</f>
        <v/>
      </c>
      <c r="E77" s="39" t="str">
        <f>IF(B77="","",'Mau15'!I83)</f>
        <v/>
      </c>
      <c r="F77" s="39" t="str">
        <f>IF(B77="","",SUMIFS(Cau_noi!$B$5:$B$304,Cau_noi!$A$5:$A$304,B77))</f>
        <v/>
      </c>
      <c r="G77" s="39" t="str">
        <f>IF(B77="","",SUMIFS(Cau_noi!$C$5:$C$304,Cau_noi!$A$5:$A$304,B77))</f>
        <v/>
      </c>
      <c r="H77" s="39" t="str">
        <f>IF(B77="","",SUMIFS(Cau_noi!$D$5:$D$304,Cau_noi!$A$5:$A$304,B77))</f>
        <v/>
      </c>
      <c r="I77" s="39" t="str">
        <f>IF(B77="","",SUMIFS(Cau_noi!$E$5:$E$304,Cau_noi!$A$5:$A$304,B77))</f>
        <v/>
      </c>
      <c r="J77" s="39" t="str">
        <f t="shared" si="5"/>
        <v/>
      </c>
      <c r="K77" s="39" t="str">
        <f>IF(B77="","",SUMIFS(KT_DMTT_ChiTiet!$H$5:$H$1004,KT_DMTT_ChiTiet!$C$5:$C$1004,B77,KT_DMTT_ChiTiet!$N$5:$N$1004,1))</f>
        <v/>
      </c>
      <c r="L77" s="39" t="str">
        <f t="shared" si="6"/>
        <v/>
      </c>
      <c r="M77" s="46" t="str">
        <f t="shared" si="7"/>
        <v/>
      </c>
      <c r="N77" s="35" t="str">
        <f>IF(B77="","",IF(K77=0,IF(J77=0,"Pass",IF(COUNTIFS(BOM!$B$5:$B$1004,B77,BOM!$G$5:$G$1004,"KXDDM")&gt;0,"KXDDM","Xem xét")),IF(ABS(M77)&lt;=ThongTin!$C$11,"Pass","Xem xét")))</f>
        <v/>
      </c>
    </row>
    <row r="78" spans="1:14" x14ac:dyDescent="0.25">
      <c r="A78" s="35" t="str">
        <f t="shared" si="4"/>
        <v/>
      </c>
      <c r="B78" s="35" t="str">
        <f>IF('Mau15'!B84="","",'Mau15'!B84)</f>
        <v/>
      </c>
      <c r="C78" s="35" t="str">
        <f>IF(B78="","",'Mau15'!C84)</f>
        <v/>
      </c>
      <c r="D78" s="35" t="str">
        <f>IF(B78="","",'Mau15'!D84)</f>
        <v/>
      </c>
      <c r="E78" s="39" t="str">
        <f>IF(B78="","",'Mau15'!I84)</f>
        <v/>
      </c>
      <c r="F78" s="39" t="str">
        <f>IF(B78="","",SUMIFS(Cau_noi!$B$5:$B$304,Cau_noi!$A$5:$A$304,B78))</f>
        <v/>
      </c>
      <c r="G78" s="39" t="str">
        <f>IF(B78="","",SUMIFS(Cau_noi!$C$5:$C$304,Cau_noi!$A$5:$A$304,B78))</f>
        <v/>
      </c>
      <c r="H78" s="39" t="str">
        <f>IF(B78="","",SUMIFS(Cau_noi!$D$5:$D$304,Cau_noi!$A$5:$A$304,B78))</f>
        <v/>
      </c>
      <c r="I78" s="39" t="str">
        <f>IF(B78="","",SUMIFS(Cau_noi!$E$5:$E$304,Cau_noi!$A$5:$A$304,B78))</f>
        <v/>
      </c>
      <c r="J78" s="39" t="str">
        <f t="shared" si="5"/>
        <v/>
      </c>
      <c r="K78" s="39" t="str">
        <f>IF(B78="","",SUMIFS(KT_DMTT_ChiTiet!$H$5:$H$1004,KT_DMTT_ChiTiet!$C$5:$C$1004,B78,KT_DMTT_ChiTiet!$N$5:$N$1004,1))</f>
        <v/>
      </c>
      <c r="L78" s="39" t="str">
        <f t="shared" si="6"/>
        <v/>
      </c>
      <c r="M78" s="46" t="str">
        <f t="shared" si="7"/>
        <v/>
      </c>
      <c r="N78" s="35" t="str">
        <f>IF(B78="","",IF(K78=0,IF(J78=0,"Pass",IF(COUNTIFS(BOM!$B$5:$B$1004,B78,BOM!$G$5:$G$1004,"KXDDM")&gt;0,"KXDDM","Xem xét")),IF(ABS(M78)&lt;=ThongTin!$C$11,"Pass","Xem xét")))</f>
        <v/>
      </c>
    </row>
    <row r="79" spans="1:14" x14ac:dyDescent="0.25">
      <c r="A79" s="35" t="str">
        <f t="shared" si="4"/>
        <v/>
      </c>
      <c r="B79" s="35" t="str">
        <f>IF('Mau15'!B85="","",'Mau15'!B85)</f>
        <v/>
      </c>
      <c r="C79" s="35" t="str">
        <f>IF(B79="","",'Mau15'!C85)</f>
        <v/>
      </c>
      <c r="D79" s="35" t="str">
        <f>IF(B79="","",'Mau15'!D85)</f>
        <v/>
      </c>
      <c r="E79" s="39" t="str">
        <f>IF(B79="","",'Mau15'!I85)</f>
        <v/>
      </c>
      <c r="F79" s="39" t="str">
        <f>IF(B79="","",SUMIFS(Cau_noi!$B$5:$B$304,Cau_noi!$A$5:$A$304,B79))</f>
        <v/>
      </c>
      <c r="G79" s="39" t="str">
        <f>IF(B79="","",SUMIFS(Cau_noi!$C$5:$C$304,Cau_noi!$A$5:$A$304,B79))</f>
        <v/>
      </c>
      <c r="H79" s="39" t="str">
        <f>IF(B79="","",SUMIFS(Cau_noi!$D$5:$D$304,Cau_noi!$A$5:$A$304,B79))</f>
        <v/>
      </c>
      <c r="I79" s="39" t="str">
        <f>IF(B79="","",SUMIFS(Cau_noi!$E$5:$E$304,Cau_noi!$A$5:$A$304,B79))</f>
        <v/>
      </c>
      <c r="J79" s="39" t="str">
        <f t="shared" si="5"/>
        <v/>
      </c>
      <c r="K79" s="39" t="str">
        <f>IF(B79="","",SUMIFS(KT_DMTT_ChiTiet!$H$5:$H$1004,KT_DMTT_ChiTiet!$C$5:$C$1004,B79,KT_DMTT_ChiTiet!$N$5:$N$1004,1))</f>
        <v/>
      </c>
      <c r="L79" s="39" t="str">
        <f t="shared" si="6"/>
        <v/>
      </c>
      <c r="M79" s="46" t="str">
        <f t="shared" si="7"/>
        <v/>
      </c>
      <c r="N79" s="35" t="str">
        <f>IF(B79="","",IF(K79=0,IF(J79=0,"Pass",IF(COUNTIFS(BOM!$B$5:$B$1004,B79,BOM!$G$5:$G$1004,"KXDDM")&gt;0,"KXDDM","Xem xét")),IF(ABS(M79)&lt;=ThongTin!$C$11,"Pass","Xem xét")))</f>
        <v/>
      </c>
    </row>
    <row r="80" spans="1:14" x14ac:dyDescent="0.25">
      <c r="A80" s="35" t="str">
        <f t="shared" si="4"/>
        <v/>
      </c>
      <c r="B80" s="35" t="str">
        <f>IF('Mau15'!B86="","",'Mau15'!B86)</f>
        <v/>
      </c>
      <c r="C80" s="35" t="str">
        <f>IF(B80="","",'Mau15'!C86)</f>
        <v/>
      </c>
      <c r="D80" s="35" t="str">
        <f>IF(B80="","",'Mau15'!D86)</f>
        <v/>
      </c>
      <c r="E80" s="39" t="str">
        <f>IF(B80="","",'Mau15'!I86)</f>
        <v/>
      </c>
      <c r="F80" s="39" t="str">
        <f>IF(B80="","",SUMIFS(Cau_noi!$B$5:$B$304,Cau_noi!$A$5:$A$304,B80))</f>
        <v/>
      </c>
      <c r="G80" s="39" t="str">
        <f>IF(B80="","",SUMIFS(Cau_noi!$C$5:$C$304,Cau_noi!$A$5:$A$304,B80))</f>
        <v/>
      </c>
      <c r="H80" s="39" t="str">
        <f>IF(B80="","",SUMIFS(Cau_noi!$D$5:$D$304,Cau_noi!$A$5:$A$304,B80))</f>
        <v/>
      </c>
      <c r="I80" s="39" t="str">
        <f>IF(B80="","",SUMIFS(Cau_noi!$E$5:$E$304,Cau_noi!$A$5:$A$304,B80))</f>
        <v/>
      </c>
      <c r="J80" s="39" t="str">
        <f t="shared" si="5"/>
        <v/>
      </c>
      <c r="K80" s="39" t="str">
        <f>IF(B80="","",SUMIFS(KT_DMTT_ChiTiet!$H$5:$H$1004,KT_DMTT_ChiTiet!$C$5:$C$1004,B80,KT_DMTT_ChiTiet!$N$5:$N$1004,1))</f>
        <v/>
      </c>
      <c r="L80" s="39" t="str">
        <f t="shared" si="6"/>
        <v/>
      </c>
      <c r="M80" s="46" t="str">
        <f t="shared" si="7"/>
        <v/>
      </c>
      <c r="N80" s="35" t="str">
        <f>IF(B80="","",IF(K80=0,IF(J80=0,"Pass",IF(COUNTIFS(BOM!$B$5:$B$1004,B80,BOM!$G$5:$G$1004,"KXDDM")&gt;0,"KXDDM","Xem xét")),IF(ABS(M80)&lt;=ThongTin!$C$11,"Pass","Xem xét")))</f>
        <v/>
      </c>
    </row>
    <row r="81" spans="1:14" x14ac:dyDescent="0.25">
      <c r="A81" s="35" t="str">
        <f t="shared" si="4"/>
        <v/>
      </c>
      <c r="B81" s="35" t="str">
        <f>IF('Mau15'!B87="","",'Mau15'!B87)</f>
        <v/>
      </c>
      <c r="C81" s="35" t="str">
        <f>IF(B81="","",'Mau15'!C87)</f>
        <v/>
      </c>
      <c r="D81" s="35" t="str">
        <f>IF(B81="","",'Mau15'!D87)</f>
        <v/>
      </c>
      <c r="E81" s="39" t="str">
        <f>IF(B81="","",'Mau15'!I87)</f>
        <v/>
      </c>
      <c r="F81" s="39" t="str">
        <f>IF(B81="","",SUMIFS(Cau_noi!$B$5:$B$304,Cau_noi!$A$5:$A$304,B81))</f>
        <v/>
      </c>
      <c r="G81" s="39" t="str">
        <f>IF(B81="","",SUMIFS(Cau_noi!$C$5:$C$304,Cau_noi!$A$5:$A$304,B81))</f>
        <v/>
      </c>
      <c r="H81" s="39" t="str">
        <f>IF(B81="","",SUMIFS(Cau_noi!$D$5:$D$304,Cau_noi!$A$5:$A$304,B81))</f>
        <v/>
      </c>
      <c r="I81" s="39" t="str">
        <f>IF(B81="","",SUMIFS(Cau_noi!$E$5:$E$304,Cau_noi!$A$5:$A$304,B81))</f>
        <v/>
      </c>
      <c r="J81" s="39" t="str">
        <f t="shared" si="5"/>
        <v/>
      </c>
      <c r="K81" s="39" t="str">
        <f>IF(B81="","",SUMIFS(KT_DMTT_ChiTiet!$H$5:$H$1004,KT_DMTT_ChiTiet!$C$5:$C$1004,B81,KT_DMTT_ChiTiet!$N$5:$N$1004,1))</f>
        <v/>
      </c>
      <c r="L81" s="39" t="str">
        <f t="shared" si="6"/>
        <v/>
      </c>
      <c r="M81" s="46" t="str">
        <f t="shared" si="7"/>
        <v/>
      </c>
      <c r="N81" s="35" t="str">
        <f>IF(B81="","",IF(K81=0,IF(J81=0,"Pass",IF(COUNTIFS(BOM!$B$5:$B$1004,B81,BOM!$G$5:$G$1004,"KXDDM")&gt;0,"KXDDM","Xem xét")),IF(ABS(M81)&lt;=ThongTin!$C$11,"Pass","Xem xét")))</f>
        <v/>
      </c>
    </row>
    <row r="82" spans="1:14" x14ac:dyDescent="0.25">
      <c r="A82" s="35" t="str">
        <f t="shared" si="4"/>
        <v/>
      </c>
      <c r="B82" s="35" t="str">
        <f>IF('Mau15'!B88="","",'Mau15'!B88)</f>
        <v/>
      </c>
      <c r="C82" s="35" t="str">
        <f>IF(B82="","",'Mau15'!C88)</f>
        <v/>
      </c>
      <c r="D82" s="35" t="str">
        <f>IF(B82="","",'Mau15'!D88)</f>
        <v/>
      </c>
      <c r="E82" s="39" t="str">
        <f>IF(B82="","",'Mau15'!I88)</f>
        <v/>
      </c>
      <c r="F82" s="39" t="str">
        <f>IF(B82="","",SUMIFS(Cau_noi!$B$5:$B$304,Cau_noi!$A$5:$A$304,B82))</f>
        <v/>
      </c>
      <c r="G82" s="39" t="str">
        <f>IF(B82="","",SUMIFS(Cau_noi!$C$5:$C$304,Cau_noi!$A$5:$A$304,B82))</f>
        <v/>
      </c>
      <c r="H82" s="39" t="str">
        <f>IF(B82="","",SUMIFS(Cau_noi!$D$5:$D$304,Cau_noi!$A$5:$A$304,B82))</f>
        <v/>
      </c>
      <c r="I82" s="39" t="str">
        <f>IF(B82="","",SUMIFS(Cau_noi!$E$5:$E$304,Cau_noi!$A$5:$A$304,B82))</f>
        <v/>
      </c>
      <c r="J82" s="39" t="str">
        <f t="shared" si="5"/>
        <v/>
      </c>
      <c r="K82" s="39" t="str">
        <f>IF(B82="","",SUMIFS(KT_DMTT_ChiTiet!$H$5:$H$1004,KT_DMTT_ChiTiet!$C$5:$C$1004,B82,KT_DMTT_ChiTiet!$N$5:$N$1004,1))</f>
        <v/>
      </c>
      <c r="L82" s="39" t="str">
        <f t="shared" si="6"/>
        <v/>
      </c>
      <c r="M82" s="46" t="str">
        <f t="shared" si="7"/>
        <v/>
      </c>
      <c r="N82" s="35" t="str">
        <f>IF(B82="","",IF(K82=0,IF(J82=0,"Pass",IF(COUNTIFS(BOM!$B$5:$B$1004,B82,BOM!$G$5:$G$1004,"KXDDM")&gt;0,"KXDDM","Xem xét")),IF(ABS(M82)&lt;=ThongTin!$C$11,"Pass","Xem xét")))</f>
        <v/>
      </c>
    </row>
    <row r="83" spans="1:14" x14ac:dyDescent="0.25">
      <c r="A83" s="35" t="str">
        <f t="shared" si="4"/>
        <v/>
      </c>
      <c r="B83" s="35" t="str">
        <f>IF('Mau15'!B89="","",'Mau15'!B89)</f>
        <v/>
      </c>
      <c r="C83" s="35" t="str">
        <f>IF(B83="","",'Mau15'!C89)</f>
        <v/>
      </c>
      <c r="D83" s="35" t="str">
        <f>IF(B83="","",'Mau15'!D89)</f>
        <v/>
      </c>
      <c r="E83" s="39" t="str">
        <f>IF(B83="","",'Mau15'!I89)</f>
        <v/>
      </c>
      <c r="F83" s="39" t="str">
        <f>IF(B83="","",SUMIFS(Cau_noi!$B$5:$B$304,Cau_noi!$A$5:$A$304,B83))</f>
        <v/>
      </c>
      <c r="G83" s="39" t="str">
        <f>IF(B83="","",SUMIFS(Cau_noi!$C$5:$C$304,Cau_noi!$A$5:$A$304,B83))</f>
        <v/>
      </c>
      <c r="H83" s="39" t="str">
        <f>IF(B83="","",SUMIFS(Cau_noi!$D$5:$D$304,Cau_noi!$A$5:$A$304,B83))</f>
        <v/>
      </c>
      <c r="I83" s="39" t="str">
        <f>IF(B83="","",SUMIFS(Cau_noi!$E$5:$E$304,Cau_noi!$A$5:$A$304,B83))</f>
        <v/>
      </c>
      <c r="J83" s="39" t="str">
        <f t="shared" si="5"/>
        <v/>
      </c>
      <c r="K83" s="39" t="str">
        <f>IF(B83="","",SUMIFS(KT_DMTT_ChiTiet!$H$5:$H$1004,KT_DMTT_ChiTiet!$C$5:$C$1004,B83,KT_DMTT_ChiTiet!$N$5:$N$1004,1))</f>
        <v/>
      </c>
      <c r="L83" s="39" t="str">
        <f t="shared" si="6"/>
        <v/>
      </c>
      <c r="M83" s="46" t="str">
        <f t="shared" si="7"/>
        <v/>
      </c>
      <c r="N83" s="35" t="str">
        <f>IF(B83="","",IF(K83=0,IF(J83=0,"Pass",IF(COUNTIFS(BOM!$B$5:$B$1004,B83,BOM!$G$5:$G$1004,"KXDDM")&gt;0,"KXDDM","Xem xét")),IF(ABS(M83)&lt;=ThongTin!$C$11,"Pass","Xem xét")))</f>
        <v/>
      </c>
    </row>
    <row r="84" spans="1:14" x14ac:dyDescent="0.25">
      <c r="A84" s="35" t="str">
        <f t="shared" si="4"/>
        <v/>
      </c>
      <c r="B84" s="35" t="str">
        <f>IF('Mau15'!B90="","",'Mau15'!B90)</f>
        <v/>
      </c>
      <c r="C84" s="35" t="str">
        <f>IF(B84="","",'Mau15'!C90)</f>
        <v/>
      </c>
      <c r="D84" s="35" t="str">
        <f>IF(B84="","",'Mau15'!D90)</f>
        <v/>
      </c>
      <c r="E84" s="39" t="str">
        <f>IF(B84="","",'Mau15'!I90)</f>
        <v/>
      </c>
      <c r="F84" s="39" t="str">
        <f>IF(B84="","",SUMIFS(Cau_noi!$B$5:$B$304,Cau_noi!$A$5:$A$304,B84))</f>
        <v/>
      </c>
      <c r="G84" s="39" t="str">
        <f>IF(B84="","",SUMIFS(Cau_noi!$C$5:$C$304,Cau_noi!$A$5:$A$304,B84))</f>
        <v/>
      </c>
      <c r="H84" s="39" t="str">
        <f>IF(B84="","",SUMIFS(Cau_noi!$D$5:$D$304,Cau_noi!$A$5:$A$304,B84))</f>
        <v/>
      </c>
      <c r="I84" s="39" t="str">
        <f>IF(B84="","",SUMIFS(Cau_noi!$E$5:$E$304,Cau_noi!$A$5:$A$304,B84))</f>
        <v/>
      </c>
      <c r="J84" s="39" t="str">
        <f t="shared" si="5"/>
        <v/>
      </c>
      <c r="K84" s="39" t="str">
        <f>IF(B84="","",SUMIFS(KT_DMTT_ChiTiet!$H$5:$H$1004,KT_DMTT_ChiTiet!$C$5:$C$1004,B84,KT_DMTT_ChiTiet!$N$5:$N$1004,1))</f>
        <v/>
      </c>
      <c r="L84" s="39" t="str">
        <f t="shared" si="6"/>
        <v/>
      </c>
      <c r="M84" s="46" t="str">
        <f t="shared" si="7"/>
        <v/>
      </c>
      <c r="N84" s="35" t="str">
        <f>IF(B84="","",IF(K84=0,IF(J84=0,"Pass",IF(COUNTIFS(BOM!$B$5:$B$1004,B84,BOM!$G$5:$G$1004,"KXDDM")&gt;0,"KXDDM","Xem xét")),IF(ABS(M84)&lt;=ThongTin!$C$11,"Pass","Xem xét")))</f>
        <v/>
      </c>
    </row>
    <row r="85" spans="1:14" x14ac:dyDescent="0.25">
      <c r="A85" s="35" t="str">
        <f t="shared" si="4"/>
        <v/>
      </c>
      <c r="B85" s="35" t="str">
        <f>IF('Mau15'!B91="","",'Mau15'!B91)</f>
        <v/>
      </c>
      <c r="C85" s="35" t="str">
        <f>IF(B85="","",'Mau15'!C91)</f>
        <v/>
      </c>
      <c r="D85" s="35" t="str">
        <f>IF(B85="","",'Mau15'!D91)</f>
        <v/>
      </c>
      <c r="E85" s="39" t="str">
        <f>IF(B85="","",'Mau15'!I91)</f>
        <v/>
      </c>
      <c r="F85" s="39" t="str">
        <f>IF(B85="","",SUMIFS(Cau_noi!$B$5:$B$304,Cau_noi!$A$5:$A$304,B85))</f>
        <v/>
      </c>
      <c r="G85" s="39" t="str">
        <f>IF(B85="","",SUMIFS(Cau_noi!$C$5:$C$304,Cau_noi!$A$5:$A$304,B85))</f>
        <v/>
      </c>
      <c r="H85" s="39" t="str">
        <f>IF(B85="","",SUMIFS(Cau_noi!$D$5:$D$304,Cau_noi!$A$5:$A$304,B85))</f>
        <v/>
      </c>
      <c r="I85" s="39" t="str">
        <f>IF(B85="","",SUMIFS(Cau_noi!$E$5:$E$304,Cau_noi!$A$5:$A$304,B85))</f>
        <v/>
      </c>
      <c r="J85" s="39" t="str">
        <f t="shared" si="5"/>
        <v/>
      </c>
      <c r="K85" s="39" t="str">
        <f>IF(B85="","",SUMIFS(KT_DMTT_ChiTiet!$H$5:$H$1004,KT_DMTT_ChiTiet!$C$5:$C$1004,B85,KT_DMTT_ChiTiet!$N$5:$N$1004,1))</f>
        <v/>
      </c>
      <c r="L85" s="39" t="str">
        <f t="shared" si="6"/>
        <v/>
      </c>
      <c r="M85" s="46" t="str">
        <f t="shared" si="7"/>
        <v/>
      </c>
      <c r="N85" s="35" t="str">
        <f>IF(B85="","",IF(K85=0,IF(J85=0,"Pass",IF(COUNTIFS(BOM!$B$5:$B$1004,B85,BOM!$G$5:$G$1004,"KXDDM")&gt;0,"KXDDM","Xem xét")),IF(ABS(M85)&lt;=ThongTin!$C$11,"Pass","Xem xét")))</f>
        <v/>
      </c>
    </row>
    <row r="86" spans="1:14" x14ac:dyDescent="0.25">
      <c r="A86" s="35" t="str">
        <f t="shared" si="4"/>
        <v/>
      </c>
      <c r="B86" s="35" t="str">
        <f>IF('Mau15'!B92="","",'Mau15'!B92)</f>
        <v/>
      </c>
      <c r="C86" s="35" t="str">
        <f>IF(B86="","",'Mau15'!C92)</f>
        <v/>
      </c>
      <c r="D86" s="35" t="str">
        <f>IF(B86="","",'Mau15'!D92)</f>
        <v/>
      </c>
      <c r="E86" s="39" t="str">
        <f>IF(B86="","",'Mau15'!I92)</f>
        <v/>
      </c>
      <c r="F86" s="39" t="str">
        <f>IF(B86="","",SUMIFS(Cau_noi!$B$5:$B$304,Cau_noi!$A$5:$A$304,B86))</f>
        <v/>
      </c>
      <c r="G86" s="39" t="str">
        <f>IF(B86="","",SUMIFS(Cau_noi!$C$5:$C$304,Cau_noi!$A$5:$A$304,B86))</f>
        <v/>
      </c>
      <c r="H86" s="39" t="str">
        <f>IF(B86="","",SUMIFS(Cau_noi!$D$5:$D$304,Cau_noi!$A$5:$A$304,B86))</f>
        <v/>
      </c>
      <c r="I86" s="39" t="str">
        <f>IF(B86="","",SUMIFS(Cau_noi!$E$5:$E$304,Cau_noi!$A$5:$A$304,B86))</f>
        <v/>
      </c>
      <c r="J86" s="39" t="str">
        <f t="shared" si="5"/>
        <v/>
      </c>
      <c r="K86" s="39" t="str">
        <f>IF(B86="","",SUMIFS(KT_DMTT_ChiTiet!$H$5:$H$1004,KT_DMTT_ChiTiet!$C$5:$C$1004,B86,KT_DMTT_ChiTiet!$N$5:$N$1004,1))</f>
        <v/>
      </c>
      <c r="L86" s="39" t="str">
        <f t="shared" si="6"/>
        <v/>
      </c>
      <c r="M86" s="46" t="str">
        <f t="shared" si="7"/>
        <v/>
      </c>
      <c r="N86" s="35" t="str">
        <f>IF(B86="","",IF(K86=0,IF(J86=0,"Pass",IF(COUNTIFS(BOM!$B$5:$B$1004,B86,BOM!$G$5:$G$1004,"KXDDM")&gt;0,"KXDDM","Xem xét")),IF(ABS(M86)&lt;=ThongTin!$C$11,"Pass","Xem xét")))</f>
        <v/>
      </c>
    </row>
    <row r="87" spans="1:14" x14ac:dyDescent="0.25">
      <c r="A87" s="35" t="str">
        <f t="shared" si="4"/>
        <v/>
      </c>
      <c r="B87" s="35" t="str">
        <f>IF('Mau15'!B93="","",'Mau15'!B93)</f>
        <v/>
      </c>
      <c r="C87" s="35" t="str">
        <f>IF(B87="","",'Mau15'!C93)</f>
        <v/>
      </c>
      <c r="D87" s="35" t="str">
        <f>IF(B87="","",'Mau15'!D93)</f>
        <v/>
      </c>
      <c r="E87" s="39" t="str">
        <f>IF(B87="","",'Mau15'!I93)</f>
        <v/>
      </c>
      <c r="F87" s="39" t="str">
        <f>IF(B87="","",SUMIFS(Cau_noi!$B$5:$B$304,Cau_noi!$A$5:$A$304,B87))</f>
        <v/>
      </c>
      <c r="G87" s="39" t="str">
        <f>IF(B87="","",SUMIFS(Cau_noi!$C$5:$C$304,Cau_noi!$A$5:$A$304,B87))</f>
        <v/>
      </c>
      <c r="H87" s="39" t="str">
        <f>IF(B87="","",SUMIFS(Cau_noi!$D$5:$D$304,Cau_noi!$A$5:$A$304,B87))</f>
        <v/>
      </c>
      <c r="I87" s="39" t="str">
        <f>IF(B87="","",SUMIFS(Cau_noi!$E$5:$E$304,Cau_noi!$A$5:$A$304,B87))</f>
        <v/>
      </c>
      <c r="J87" s="39" t="str">
        <f t="shared" si="5"/>
        <v/>
      </c>
      <c r="K87" s="39" t="str">
        <f>IF(B87="","",SUMIFS(KT_DMTT_ChiTiet!$H$5:$H$1004,KT_DMTT_ChiTiet!$C$5:$C$1004,B87,KT_DMTT_ChiTiet!$N$5:$N$1004,1))</f>
        <v/>
      </c>
      <c r="L87" s="39" t="str">
        <f t="shared" si="6"/>
        <v/>
      </c>
      <c r="M87" s="46" t="str">
        <f t="shared" si="7"/>
        <v/>
      </c>
      <c r="N87" s="35" t="str">
        <f>IF(B87="","",IF(K87=0,IF(J87=0,"Pass",IF(COUNTIFS(BOM!$B$5:$B$1004,B87,BOM!$G$5:$G$1004,"KXDDM")&gt;0,"KXDDM","Xem xét")),IF(ABS(M87)&lt;=ThongTin!$C$11,"Pass","Xem xét")))</f>
        <v/>
      </c>
    </row>
    <row r="88" spans="1:14" x14ac:dyDescent="0.25">
      <c r="A88" s="35" t="str">
        <f t="shared" si="4"/>
        <v/>
      </c>
      <c r="B88" s="35" t="str">
        <f>IF('Mau15'!B94="","",'Mau15'!B94)</f>
        <v/>
      </c>
      <c r="C88" s="35" t="str">
        <f>IF(B88="","",'Mau15'!C94)</f>
        <v/>
      </c>
      <c r="D88" s="35" t="str">
        <f>IF(B88="","",'Mau15'!D94)</f>
        <v/>
      </c>
      <c r="E88" s="39" t="str">
        <f>IF(B88="","",'Mau15'!I94)</f>
        <v/>
      </c>
      <c r="F88" s="39" t="str">
        <f>IF(B88="","",SUMIFS(Cau_noi!$B$5:$B$304,Cau_noi!$A$5:$A$304,B88))</f>
        <v/>
      </c>
      <c r="G88" s="39" t="str">
        <f>IF(B88="","",SUMIFS(Cau_noi!$C$5:$C$304,Cau_noi!$A$5:$A$304,B88))</f>
        <v/>
      </c>
      <c r="H88" s="39" t="str">
        <f>IF(B88="","",SUMIFS(Cau_noi!$D$5:$D$304,Cau_noi!$A$5:$A$304,B88))</f>
        <v/>
      </c>
      <c r="I88" s="39" t="str">
        <f>IF(B88="","",SUMIFS(Cau_noi!$E$5:$E$304,Cau_noi!$A$5:$A$304,B88))</f>
        <v/>
      </c>
      <c r="J88" s="39" t="str">
        <f t="shared" si="5"/>
        <v/>
      </c>
      <c r="K88" s="39" t="str">
        <f>IF(B88="","",SUMIFS(KT_DMTT_ChiTiet!$H$5:$H$1004,KT_DMTT_ChiTiet!$C$5:$C$1004,B88,KT_DMTT_ChiTiet!$N$5:$N$1004,1))</f>
        <v/>
      </c>
      <c r="L88" s="39" t="str">
        <f t="shared" si="6"/>
        <v/>
      </c>
      <c r="M88" s="46" t="str">
        <f t="shared" si="7"/>
        <v/>
      </c>
      <c r="N88" s="35" t="str">
        <f>IF(B88="","",IF(K88=0,IF(J88=0,"Pass",IF(COUNTIFS(BOM!$B$5:$B$1004,B88,BOM!$G$5:$G$1004,"KXDDM")&gt;0,"KXDDM","Xem xét")),IF(ABS(M88)&lt;=ThongTin!$C$11,"Pass","Xem xét")))</f>
        <v/>
      </c>
    </row>
    <row r="89" spans="1:14" x14ac:dyDescent="0.25">
      <c r="A89" s="35" t="str">
        <f t="shared" si="4"/>
        <v/>
      </c>
      <c r="B89" s="35" t="str">
        <f>IF('Mau15'!B95="","",'Mau15'!B95)</f>
        <v/>
      </c>
      <c r="C89" s="35" t="str">
        <f>IF(B89="","",'Mau15'!C95)</f>
        <v/>
      </c>
      <c r="D89" s="35" t="str">
        <f>IF(B89="","",'Mau15'!D95)</f>
        <v/>
      </c>
      <c r="E89" s="39" t="str">
        <f>IF(B89="","",'Mau15'!I95)</f>
        <v/>
      </c>
      <c r="F89" s="39" t="str">
        <f>IF(B89="","",SUMIFS(Cau_noi!$B$5:$B$304,Cau_noi!$A$5:$A$304,B89))</f>
        <v/>
      </c>
      <c r="G89" s="39" t="str">
        <f>IF(B89="","",SUMIFS(Cau_noi!$C$5:$C$304,Cau_noi!$A$5:$A$304,B89))</f>
        <v/>
      </c>
      <c r="H89" s="39" t="str">
        <f>IF(B89="","",SUMIFS(Cau_noi!$D$5:$D$304,Cau_noi!$A$5:$A$304,B89))</f>
        <v/>
      </c>
      <c r="I89" s="39" t="str">
        <f>IF(B89="","",SUMIFS(Cau_noi!$E$5:$E$304,Cau_noi!$A$5:$A$304,B89))</f>
        <v/>
      </c>
      <c r="J89" s="39" t="str">
        <f t="shared" si="5"/>
        <v/>
      </c>
      <c r="K89" s="39" t="str">
        <f>IF(B89="","",SUMIFS(KT_DMTT_ChiTiet!$H$5:$H$1004,KT_DMTT_ChiTiet!$C$5:$C$1004,B89,KT_DMTT_ChiTiet!$N$5:$N$1004,1))</f>
        <v/>
      </c>
      <c r="L89" s="39" t="str">
        <f t="shared" si="6"/>
        <v/>
      </c>
      <c r="M89" s="46" t="str">
        <f t="shared" si="7"/>
        <v/>
      </c>
      <c r="N89" s="35" t="str">
        <f>IF(B89="","",IF(K89=0,IF(J89=0,"Pass",IF(COUNTIFS(BOM!$B$5:$B$1004,B89,BOM!$G$5:$G$1004,"KXDDM")&gt;0,"KXDDM","Xem xét")),IF(ABS(M89)&lt;=ThongTin!$C$11,"Pass","Xem xét")))</f>
        <v/>
      </c>
    </row>
    <row r="90" spans="1:14" x14ac:dyDescent="0.25">
      <c r="A90" s="35" t="str">
        <f t="shared" si="4"/>
        <v/>
      </c>
      <c r="B90" s="35" t="str">
        <f>IF('Mau15'!B96="","",'Mau15'!B96)</f>
        <v/>
      </c>
      <c r="C90" s="35" t="str">
        <f>IF(B90="","",'Mau15'!C96)</f>
        <v/>
      </c>
      <c r="D90" s="35" t="str">
        <f>IF(B90="","",'Mau15'!D96)</f>
        <v/>
      </c>
      <c r="E90" s="39" t="str">
        <f>IF(B90="","",'Mau15'!I96)</f>
        <v/>
      </c>
      <c r="F90" s="39" t="str">
        <f>IF(B90="","",SUMIFS(Cau_noi!$B$5:$B$304,Cau_noi!$A$5:$A$304,B90))</f>
        <v/>
      </c>
      <c r="G90" s="39" t="str">
        <f>IF(B90="","",SUMIFS(Cau_noi!$C$5:$C$304,Cau_noi!$A$5:$A$304,B90))</f>
        <v/>
      </c>
      <c r="H90" s="39" t="str">
        <f>IF(B90="","",SUMIFS(Cau_noi!$D$5:$D$304,Cau_noi!$A$5:$A$304,B90))</f>
        <v/>
      </c>
      <c r="I90" s="39" t="str">
        <f>IF(B90="","",SUMIFS(Cau_noi!$E$5:$E$304,Cau_noi!$A$5:$A$304,B90))</f>
        <v/>
      </c>
      <c r="J90" s="39" t="str">
        <f t="shared" si="5"/>
        <v/>
      </c>
      <c r="K90" s="39" t="str">
        <f>IF(B90="","",SUMIFS(KT_DMTT_ChiTiet!$H$5:$H$1004,KT_DMTT_ChiTiet!$C$5:$C$1004,B90,KT_DMTT_ChiTiet!$N$5:$N$1004,1))</f>
        <v/>
      </c>
      <c r="L90" s="39" t="str">
        <f t="shared" si="6"/>
        <v/>
      </c>
      <c r="M90" s="46" t="str">
        <f t="shared" si="7"/>
        <v/>
      </c>
      <c r="N90" s="35" t="str">
        <f>IF(B90="","",IF(K90=0,IF(J90=0,"Pass",IF(COUNTIFS(BOM!$B$5:$B$1004,B90,BOM!$G$5:$G$1004,"KXDDM")&gt;0,"KXDDM","Xem xét")),IF(ABS(M90)&lt;=ThongTin!$C$11,"Pass","Xem xét")))</f>
        <v/>
      </c>
    </row>
    <row r="91" spans="1:14" x14ac:dyDescent="0.25">
      <c r="A91" s="35" t="str">
        <f t="shared" si="4"/>
        <v/>
      </c>
      <c r="B91" s="35" t="str">
        <f>IF('Mau15'!B97="","",'Mau15'!B97)</f>
        <v/>
      </c>
      <c r="C91" s="35" t="str">
        <f>IF(B91="","",'Mau15'!C97)</f>
        <v/>
      </c>
      <c r="D91" s="35" t="str">
        <f>IF(B91="","",'Mau15'!D97)</f>
        <v/>
      </c>
      <c r="E91" s="39" t="str">
        <f>IF(B91="","",'Mau15'!I97)</f>
        <v/>
      </c>
      <c r="F91" s="39" t="str">
        <f>IF(B91="","",SUMIFS(Cau_noi!$B$5:$B$304,Cau_noi!$A$5:$A$304,B91))</f>
        <v/>
      </c>
      <c r="G91" s="39" t="str">
        <f>IF(B91="","",SUMIFS(Cau_noi!$C$5:$C$304,Cau_noi!$A$5:$A$304,B91))</f>
        <v/>
      </c>
      <c r="H91" s="39" t="str">
        <f>IF(B91="","",SUMIFS(Cau_noi!$D$5:$D$304,Cau_noi!$A$5:$A$304,B91))</f>
        <v/>
      </c>
      <c r="I91" s="39" t="str">
        <f>IF(B91="","",SUMIFS(Cau_noi!$E$5:$E$304,Cau_noi!$A$5:$A$304,B91))</f>
        <v/>
      </c>
      <c r="J91" s="39" t="str">
        <f t="shared" si="5"/>
        <v/>
      </c>
      <c r="K91" s="39" t="str">
        <f>IF(B91="","",SUMIFS(KT_DMTT_ChiTiet!$H$5:$H$1004,KT_DMTT_ChiTiet!$C$5:$C$1004,B91,KT_DMTT_ChiTiet!$N$5:$N$1004,1))</f>
        <v/>
      </c>
      <c r="L91" s="39" t="str">
        <f t="shared" si="6"/>
        <v/>
      </c>
      <c r="M91" s="46" t="str">
        <f t="shared" si="7"/>
        <v/>
      </c>
      <c r="N91" s="35" t="str">
        <f>IF(B91="","",IF(K91=0,IF(J91=0,"Pass",IF(COUNTIFS(BOM!$B$5:$B$1004,B91,BOM!$G$5:$G$1004,"KXDDM")&gt;0,"KXDDM","Xem xét")),IF(ABS(M91)&lt;=ThongTin!$C$11,"Pass","Xem xét")))</f>
        <v/>
      </c>
    </row>
    <row r="92" spans="1:14" x14ac:dyDescent="0.25">
      <c r="A92" s="35" t="str">
        <f t="shared" si="4"/>
        <v/>
      </c>
      <c r="B92" s="35" t="str">
        <f>IF('Mau15'!B98="","",'Mau15'!B98)</f>
        <v/>
      </c>
      <c r="C92" s="35" t="str">
        <f>IF(B92="","",'Mau15'!C98)</f>
        <v/>
      </c>
      <c r="D92" s="35" t="str">
        <f>IF(B92="","",'Mau15'!D98)</f>
        <v/>
      </c>
      <c r="E92" s="39" t="str">
        <f>IF(B92="","",'Mau15'!I98)</f>
        <v/>
      </c>
      <c r="F92" s="39" t="str">
        <f>IF(B92="","",SUMIFS(Cau_noi!$B$5:$B$304,Cau_noi!$A$5:$A$304,B92))</f>
        <v/>
      </c>
      <c r="G92" s="39" t="str">
        <f>IF(B92="","",SUMIFS(Cau_noi!$C$5:$C$304,Cau_noi!$A$5:$A$304,B92))</f>
        <v/>
      </c>
      <c r="H92" s="39" t="str">
        <f>IF(B92="","",SUMIFS(Cau_noi!$D$5:$D$304,Cau_noi!$A$5:$A$304,B92))</f>
        <v/>
      </c>
      <c r="I92" s="39" t="str">
        <f>IF(B92="","",SUMIFS(Cau_noi!$E$5:$E$304,Cau_noi!$A$5:$A$304,B92))</f>
        <v/>
      </c>
      <c r="J92" s="39" t="str">
        <f t="shared" si="5"/>
        <v/>
      </c>
      <c r="K92" s="39" t="str">
        <f>IF(B92="","",SUMIFS(KT_DMTT_ChiTiet!$H$5:$H$1004,KT_DMTT_ChiTiet!$C$5:$C$1004,B92,KT_DMTT_ChiTiet!$N$5:$N$1004,1))</f>
        <v/>
      </c>
      <c r="L92" s="39" t="str">
        <f t="shared" si="6"/>
        <v/>
      </c>
      <c r="M92" s="46" t="str">
        <f t="shared" si="7"/>
        <v/>
      </c>
      <c r="N92" s="35" t="str">
        <f>IF(B92="","",IF(K92=0,IF(J92=0,"Pass",IF(COUNTIFS(BOM!$B$5:$B$1004,B92,BOM!$G$5:$G$1004,"KXDDM")&gt;0,"KXDDM","Xem xét")),IF(ABS(M92)&lt;=ThongTin!$C$11,"Pass","Xem xét")))</f>
        <v/>
      </c>
    </row>
    <row r="93" spans="1:14" x14ac:dyDescent="0.25">
      <c r="A93" s="35" t="str">
        <f t="shared" si="4"/>
        <v/>
      </c>
      <c r="B93" s="35" t="str">
        <f>IF('Mau15'!B99="","",'Mau15'!B99)</f>
        <v/>
      </c>
      <c r="C93" s="35" t="str">
        <f>IF(B93="","",'Mau15'!C99)</f>
        <v/>
      </c>
      <c r="D93" s="35" t="str">
        <f>IF(B93="","",'Mau15'!D99)</f>
        <v/>
      </c>
      <c r="E93" s="39" t="str">
        <f>IF(B93="","",'Mau15'!I99)</f>
        <v/>
      </c>
      <c r="F93" s="39" t="str">
        <f>IF(B93="","",SUMIFS(Cau_noi!$B$5:$B$304,Cau_noi!$A$5:$A$304,B93))</f>
        <v/>
      </c>
      <c r="G93" s="39" t="str">
        <f>IF(B93="","",SUMIFS(Cau_noi!$C$5:$C$304,Cau_noi!$A$5:$A$304,B93))</f>
        <v/>
      </c>
      <c r="H93" s="39" t="str">
        <f>IF(B93="","",SUMIFS(Cau_noi!$D$5:$D$304,Cau_noi!$A$5:$A$304,B93))</f>
        <v/>
      </c>
      <c r="I93" s="39" t="str">
        <f>IF(B93="","",SUMIFS(Cau_noi!$E$5:$E$304,Cau_noi!$A$5:$A$304,B93))</f>
        <v/>
      </c>
      <c r="J93" s="39" t="str">
        <f t="shared" si="5"/>
        <v/>
      </c>
      <c r="K93" s="39" t="str">
        <f>IF(B93="","",SUMIFS(KT_DMTT_ChiTiet!$H$5:$H$1004,KT_DMTT_ChiTiet!$C$5:$C$1004,B93,KT_DMTT_ChiTiet!$N$5:$N$1004,1))</f>
        <v/>
      </c>
      <c r="L93" s="39" t="str">
        <f t="shared" si="6"/>
        <v/>
      </c>
      <c r="M93" s="46" t="str">
        <f t="shared" si="7"/>
        <v/>
      </c>
      <c r="N93" s="35" t="str">
        <f>IF(B93="","",IF(K93=0,IF(J93=0,"Pass",IF(COUNTIFS(BOM!$B$5:$B$1004,B93,BOM!$G$5:$G$1004,"KXDDM")&gt;0,"KXDDM","Xem xét")),IF(ABS(M93)&lt;=ThongTin!$C$11,"Pass","Xem xét")))</f>
        <v/>
      </c>
    </row>
    <row r="94" spans="1:14" x14ac:dyDescent="0.25">
      <c r="A94" s="35" t="str">
        <f t="shared" si="4"/>
        <v/>
      </c>
      <c r="B94" s="35" t="str">
        <f>IF('Mau15'!B100="","",'Mau15'!B100)</f>
        <v/>
      </c>
      <c r="C94" s="35" t="str">
        <f>IF(B94="","",'Mau15'!C100)</f>
        <v/>
      </c>
      <c r="D94" s="35" t="str">
        <f>IF(B94="","",'Mau15'!D100)</f>
        <v/>
      </c>
      <c r="E94" s="39" t="str">
        <f>IF(B94="","",'Mau15'!I100)</f>
        <v/>
      </c>
      <c r="F94" s="39" t="str">
        <f>IF(B94="","",SUMIFS(Cau_noi!$B$5:$B$304,Cau_noi!$A$5:$A$304,B94))</f>
        <v/>
      </c>
      <c r="G94" s="39" t="str">
        <f>IF(B94="","",SUMIFS(Cau_noi!$C$5:$C$304,Cau_noi!$A$5:$A$304,B94))</f>
        <v/>
      </c>
      <c r="H94" s="39" t="str">
        <f>IF(B94="","",SUMIFS(Cau_noi!$D$5:$D$304,Cau_noi!$A$5:$A$304,B94))</f>
        <v/>
      </c>
      <c r="I94" s="39" t="str">
        <f>IF(B94="","",SUMIFS(Cau_noi!$E$5:$E$304,Cau_noi!$A$5:$A$304,B94))</f>
        <v/>
      </c>
      <c r="J94" s="39" t="str">
        <f t="shared" si="5"/>
        <v/>
      </c>
      <c r="K94" s="39" t="str">
        <f>IF(B94="","",SUMIFS(KT_DMTT_ChiTiet!$H$5:$H$1004,KT_DMTT_ChiTiet!$C$5:$C$1004,B94,KT_DMTT_ChiTiet!$N$5:$N$1004,1))</f>
        <v/>
      </c>
      <c r="L94" s="39" t="str">
        <f t="shared" si="6"/>
        <v/>
      </c>
      <c r="M94" s="46" t="str">
        <f t="shared" si="7"/>
        <v/>
      </c>
      <c r="N94" s="35" t="str">
        <f>IF(B94="","",IF(K94=0,IF(J94=0,"Pass",IF(COUNTIFS(BOM!$B$5:$B$1004,B94,BOM!$G$5:$G$1004,"KXDDM")&gt;0,"KXDDM","Xem xét")),IF(ABS(M94)&lt;=ThongTin!$C$11,"Pass","Xem xét")))</f>
        <v/>
      </c>
    </row>
    <row r="95" spans="1:14" x14ac:dyDescent="0.25">
      <c r="A95" s="35" t="str">
        <f t="shared" si="4"/>
        <v/>
      </c>
      <c r="B95" s="35" t="str">
        <f>IF('Mau15'!B101="","",'Mau15'!B101)</f>
        <v/>
      </c>
      <c r="C95" s="35" t="str">
        <f>IF(B95="","",'Mau15'!C101)</f>
        <v/>
      </c>
      <c r="D95" s="35" t="str">
        <f>IF(B95="","",'Mau15'!D101)</f>
        <v/>
      </c>
      <c r="E95" s="39" t="str">
        <f>IF(B95="","",'Mau15'!I101)</f>
        <v/>
      </c>
      <c r="F95" s="39" t="str">
        <f>IF(B95="","",SUMIFS(Cau_noi!$B$5:$B$304,Cau_noi!$A$5:$A$304,B95))</f>
        <v/>
      </c>
      <c r="G95" s="39" t="str">
        <f>IF(B95="","",SUMIFS(Cau_noi!$C$5:$C$304,Cau_noi!$A$5:$A$304,B95))</f>
        <v/>
      </c>
      <c r="H95" s="39" t="str">
        <f>IF(B95="","",SUMIFS(Cau_noi!$D$5:$D$304,Cau_noi!$A$5:$A$304,B95))</f>
        <v/>
      </c>
      <c r="I95" s="39" t="str">
        <f>IF(B95="","",SUMIFS(Cau_noi!$E$5:$E$304,Cau_noi!$A$5:$A$304,B95))</f>
        <v/>
      </c>
      <c r="J95" s="39" t="str">
        <f t="shared" si="5"/>
        <v/>
      </c>
      <c r="K95" s="39" t="str">
        <f>IF(B95="","",SUMIFS(KT_DMTT_ChiTiet!$H$5:$H$1004,KT_DMTT_ChiTiet!$C$5:$C$1004,B95,KT_DMTT_ChiTiet!$N$5:$N$1004,1))</f>
        <v/>
      </c>
      <c r="L95" s="39" t="str">
        <f t="shared" si="6"/>
        <v/>
      </c>
      <c r="M95" s="46" t="str">
        <f t="shared" si="7"/>
        <v/>
      </c>
      <c r="N95" s="35" t="str">
        <f>IF(B95="","",IF(K95=0,IF(J95=0,"Pass",IF(COUNTIFS(BOM!$B$5:$B$1004,B95,BOM!$G$5:$G$1004,"KXDDM")&gt;0,"KXDDM","Xem xét")),IF(ABS(M95)&lt;=ThongTin!$C$11,"Pass","Xem xét")))</f>
        <v/>
      </c>
    </row>
    <row r="96" spans="1:14" x14ac:dyDescent="0.25">
      <c r="A96" s="35" t="str">
        <f t="shared" si="4"/>
        <v/>
      </c>
      <c r="B96" s="35" t="str">
        <f>IF('Mau15'!B102="","",'Mau15'!B102)</f>
        <v/>
      </c>
      <c r="C96" s="35" t="str">
        <f>IF(B96="","",'Mau15'!C102)</f>
        <v/>
      </c>
      <c r="D96" s="35" t="str">
        <f>IF(B96="","",'Mau15'!D102)</f>
        <v/>
      </c>
      <c r="E96" s="39" t="str">
        <f>IF(B96="","",'Mau15'!I102)</f>
        <v/>
      </c>
      <c r="F96" s="39" t="str">
        <f>IF(B96="","",SUMIFS(Cau_noi!$B$5:$B$304,Cau_noi!$A$5:$A$304,B96))</f>
        <v/>
      </c>
      <c r="G96" s="39" t="str">
        <f>IF(B96="","",SUMIFS(Cau_noi!$C$5:$C$304,Cau_noi!$A$5:$A$304,B96))</f>
        <v/>
      </c>
      <c r="H96" s="39" t="str">
        <f>IF(B96="","",SUMIFS(Cau_noi!$D$5:$D$304,Cau_noi!$A$5:$A$304,B96))</f>
        <v/>
      </c>
      <c r="I96" s="39" t="str">
        <f>IF(B96="","",SUMIFS(Cau_noi!$E$5:$E$304,Cau_noi!$A$5:$A$304,B96))</f>
        <v/>
      </c>
      <c r="J96" s="39" t="str">
        <f t="shared" si="5"/>
        <v/>
      </c>
      <c r="K96" s="39" t="str">
        <f>IF(B96="","",SUMIFS(KT_DMTT_ChiTiet!$H$5:$H$1004,KT_DMTT_ChiTiet!$C$5:$C$1004,B96,KT_DMTT_ChiTiet!$N$5:$N$1004,1))</f>
        <v/>
      </c>
      <c r="L96" s="39" t="str">
        <f t="shared" si="6"/>
        <v/>
      </c>
      <c r="M96" s="46" t="str">
        <f t="shared" si="7"/>
        <v/>
      </c>
      <c r="N96" s="35" t="str">
        <f>IF(B96="","",IF(K96=0,IF(J96=0,"Pass",IF(COUNTIFS(BOM!$B$5:$B$1004,B96,BOM!$G$5:$G$1004,"KXDDM")&gt;0,"KXDDM","Xem xét")),IF(ABS(M96)&lt;=ThongTin!$C$11,"Pass","Xem xét")))</f>
        <v/>
      </c>
    </row>
    <row r="97" spans="1:14" x14ac:dyDescent="0.25">
      <c r="A97" s="35" t="str">
        <f t="shared" si="4"/>
        <v/>
      </c>
      <c r="B97" s="35" t="str">
        <f>IF('Mau15'!B103="","",'Mau15'!B103)</f>
        <v/>
      </c>
      <c r="C97" s="35" t="str">
        <f>IF(B97="","",'Mau15'!C103)</f>
        <v/>
      </c>
      <c r="D97" s="35" t="str">
        <f>IF(B97="","",'Mau15'!D103)</f>
        <v/>
      </c>
      <c r="E97" s="39" t="str">
        <f>IF(B97="","",'Mau15'!I103)</f>
        <v/>
      </c>
      <c r="F97" s="39" t="str">
        <f>IF(B97="","",SUMIFS(Cau_noi!$B$5:$B$304,Cau_noi!$A$5:$A$304,B97))</f>
        <v/>
      </c>
      <c r="G97" s="39" t="str">
        <f>IF(B97="","",SUMIFS(Cau_noi!$C$5:$C$304,Cau_noi!$A$5:$A$304,B97))</f>
        <v/>
      </c>
      <c r="H97" s="39" t="str">
        <f>IF(B97="","",SUMIFS(Cau_noi!$D$5:$D$304,Cau_noi!$A$5:$A$304,B97))</f>
        <v/>
      </c>
      <c r="I97" s="39" t="str">
        <f>IF(B97="","",SUMIFS(Cau_noi!$E$5:$E$304,Cau_noi!$A$5:$A$304,B97))</f>
        <v/>
      </c>
      <c r="J97" s="39" t="str">
        <f t="shared" si="5"/>
        <v/>
      </c>
      <c r="K97" s="39" t="str">
        <f>IF(B97="","",SUMIFS(KT_DMTT_ChiTiet!$H$5:$H$1004,KT_DMTT_ChiTiet!$C$5:$C$1004,B97,KT_DMTT_ChiTiet!$N$5:$N$1004,1))</f>
        <v/>
      </c>
      <c r="L97" s="39" t="str">
        <f t="shared" si="6"/>
        <v/>
      </c>
      <c r="M97" s="46" t="str">
        <f t="shared" si="7"/>
        <v/>
      </c>
      <c r="N97" s="35" t="str">
        <f>IF(B97="","",IF(K97=0,IF(J97=0,"Pass",IF(COUNTIFS(BOM!$B$5:$B$1004,B97,BOM!$G$5:$G$1004,"KXDDM")&gt;0,"KXDDM","Xem xét")),IF(ABS(M97)&lt;=ThongTin!$C$11,"Pass","Xem xét")))</f>
        <v/>
      </c>
    </row>
    <row r="98" spans="1:14" x14ac:dyDescent="0.25">
      <c r="A98" s="35" t="str">
        <f t="shared" si="4"/>
        <v/>
      </c>
      <c r="B98" s="35" t="str">
        <f>IF('Mau15'!B104="","",'Mau15'!B104)</f>
        <v/>
      </c>
      <c r="C98" s="35" t="str">
        <f>IF(B98="","",'Mau15'!C104)</f>
        <v/>
      </c>
      <c r="D98" s="35" t="str">
        <f>IF(B98="","",'Mau15'!D104)</f>
        <v/>
      </c>
      <c r="E98" s="39" t="str">
        <f>IF(B98="","",'Mau15'!I104)</f>
        <v/>
      </c>
      <c r="F98" s="39" t="str">
        <f>IF(B98="","",SUMIFS(Cau_noi!$B$5:$B$304,Cau_noi!$A$5:$A$304,B98))</f>
        <v/>
      </c>
      <c r="G98" s="39" t="str">
        <f>IF(B98="","",SUMIFS(Cau_noi!$C$5:$C$304,Cau_noi!$A$5:$A$304,B98))</f>
        <v/>
      </c>
      <c r="H98" s="39" t="str">
        <f>IF(B98="","",SUMIFS(Cau_noi!$D$5:$D$304,Cau_noi!$A$5:$A$304,B98))</f>
        <v/>
      </c>
      <c r="I98" s="39" t="str">
        <f>IF(B98="","",SUMIFS(Cau_noi!$E$5:$E$304,Cau_noi!$A$5:$A$304,B98))</f>
        <v/>
      </c>
      <c r="J98" s="39" t="str">
        <f t="shared" si="5"/>
        <v/>
      </c>
      <c r="K98" s="39" t="str">
        <f>IF(B98="","",SUMIFS(KT_DMTT_ChiTiet!$H$5:$H$1004,KT_DMTT_ChiTiet!$C$5:$C$1004,B98,KT_DMTT_ChiTiet!$N$5:$N$1004,1))</f>
        <v/>
      </c>
      <c r="L98" s="39" t="str">
        <f t="shared" si="6"/>
        <v/>
      </c>
      <c r="M98" s="46" t="str">
        <f t="shared" si="7"/>
        <v/>
      </c>
      <c r="N98" s="35" t="str">
        <f>IF(B98="","",IF(K98=0,IF(J98=0,"Pass",IF(COUNTIFS(BOM!$B$5:$B$1004,B98,BOM!$G$5:$G$1004,"KXDDM")&gt;0,"KXDDM","Xem xét")),IF(ABS(M98)&lt;=ThongTin!$C$11,"Pass","Xem xét")))</f>
        <v/>
      </c>
    </row>
    <row r="99" spans="1:14" x14ac:dyDescent="0.25">
      <c r="A99" s="35" t="str">
        <f t="shared" si="4"/>
        <v/>
      </c>
      <c r="B99" s="35" t="str">
        <f>IF('Mau15'!B105="","",'Mau15'!B105)</f>
        <v/>
      </c>
      <c r="C99" s="35" t="str">
        <f>IF(B99="","",'Mau15'!C105)</f>
        <v/>
      </c>
      <c r="D99" s="35" t="str">
        <f>IF(B99="","",'Mau15'!D105)</f>
        <v/>
      </c>
      <c r="E99" s="39" t="str">
        <f>IF(B99="","",'Mau15'!I105)</f>
        <v/>
      </c>
      <c r="F99" s="39" t="str">
        <f>IF(B99="","",SUMIFS(Cau_noi!$B$5:$B$304,Cau_noi!$A$5:$A$304,B99))</f>
        <v/>
      </c>
      <c r="G99" s="39" t="str">
        <f>IF(B99="","",SUMIFS(Cau_noi!$C$5:$C$304,Cau_noi!$A$5:$A$304,B99))</f>
        <v/>
      </c>
      <c r="H99" s="39" t="str">
        <f>IF(B99="","",SUMIFS(Cau_noi!$D$5:$D$304,Cau_noi!$A$5:$A$304,B99))</f>
        <v/>
      </c>
      <c r="I99" s="39" t="str">
        <f>IF(B99="","",SUMIFS(Cau_noi!$E$5:$E$304,Cau_noi!$A$5:$A$304,B99))</f>
        <v/>
      </c>
      <c r="J99" s="39" t="str">
        <f t="shared" si="5"/>
        <v/>
      </c>
      <c r="K99" s="39" t="str">
        <f>IF(B99="","",SUMIFS(KT_DMTT_ChiTiet!$H$5:$H$1004,KT_DMTT_ChiTiet!$C$5:$C$1004,B99,KT_DMTT_ChiTiet!$N$5:$N$1004,1))</f>
        <v/>
      </c>
      <c r="L99" s="39" t="str">
        <f t="shared" si="6"/>
        <v/>
      </c>
      <c r="M99" s="46" t="str">
        <f t="shared" si="7"/>
        <v/>
      </c>
      <c r="N99" s="35" t="str">
        <f>IF(B99="","",IF(K99=0,IF(J99=0,"Pass",IF(COUNTIFS(BOM!$B$5:$B$1004,B99,BOM!$G$5:$G$1004,"KXDDM")&gt;0,"KXDDM","Xem xét")),IF(ABS(M99)&lt;=ThongTin!$C$11,"Pass","Xem xét")))</f>
        <v/>
      </c>
    </row>
    <row r="100" spans="1:14" x14ac:dyDescent="0.25">
      <c r="A100" s="35" t="str">
        <f t="shared" si="4"/>
        <v/>
      </c>
      <c r="B100" s="35" t="str">
        <f>IF('Mau15'!B106="","",'Mau15'!B106)</f>
        <v/>
      </c>
      <c r="C100" s="35" t="str">
        <f>IF(B100="","",'Mau15'!C106)</f>
        <v/>
      </c>
      <c r="D100" s="35" t="str">
        <f>IF(B100="","",'Mau15'!D106)</f>
        <v/>
      </c>
      <c r="E100" s="39" t="str">
        <f>IF(B100="","",'Mau15'!I106)</f>
        <v/>
      </c>
      <c r="F100" s="39" t="str">
        <f>IF(B100="","",SUMIFS(Cau_noi!$B$5:$B$304,Cau_noi!$A$5:$A$304,B100))</f>
        <v/>
      </c>
      <c r="G100" s="39" t="str">
        <f>IF(B100="","",SUMIFS(Cau_noi!$C$5:$C$304,Cau_noi!$A$5:$A$304,B100))</f>
        <v/>
      </c>
      <c r="H100" s="39" t="str">
        <f>IF(B100="","",SUMIFS(Cau_noi!$D$5:$D$304,Cau_noi!$A$5:$A$304,B100))</f>
        <v/>
      </c>
      <c r="I100" s="39" t="str">
        <f>IF(B100="","",SUMIFS(Cau_noi!$E$5:$E$304,Cau_noi!$A$5:$A$304,B100))</f>
        <v/>
      </c>
      <c r="J100" s="39" t="str">
        <f t="shared" si="5"/>
        <v/>
      </c>
      <c r="K100" s="39" t="str">
        <f>IF(B100="","",SUMIFS(KT_DMTT_ChiTiet!$H$5:$H$1004,KT_DMTT_ChiTiet!$C$5:$C$1004,B100,KT_DMTT_ChiTiet!$N$5:$N$1004,1))</f>
        <v/>
      </c>
      <c r="L100" s="39" t="str">
        <f t="shared" si="6"/>
        <v/>
      </c>
      <c r="M100" s="46" t="str">
        <f t="shared" si="7"/>
        <v/>
      </c>
      <c r="N100" s="35" t="str">
        <f>IF(B100="","",IF(K100=0,IF(J100=0,"Pass",IF(COUNTIFS(BOM!$B$5:$B$1004,B100,BOM!$G$5:$G$1004,"KXDDM")&gt;0,"KXDDM","Xem xét")),IF(ABS(M100)&lt;=ThongTin!$C$11,"Pass","Xem xét")))</f>
        <v/>
      </c>
    </row>
    <row r="101" spans="1:14" x14ac:dyDescent="0.25">
      <c r="A101" s="35" t="str">
        <f t="shared" si="4"/>
        <v/>
      </c>
      <c r="B101" s="35" t="str">
        <f>IF('Mau15'!B107="","",'Mau15'!B107)</f>
        <v/>
      </c>
      <c r="C101" s="35" t="str">
        <f>IF(B101="","",'Mau15'!C107)</f>
        <v/>
      </c>
      <c r="D101" s="35" t="str">
        <f>IF(B101="","",'Mau15'!D107)</f>
        <v/>
      </c>
      <c r="E101" s="39" t="str">
        <f>IF(B101="","",'Mau15'!I107)</f>
        <v/>
      </c>
      <c r="F101" s="39" t="str">
        <f>IF(B101="","",SUMIFS(Cau_noi!$B$5:$B$304,Cau_noi!$A$5:$A$304,B101))</f>
        <v/>
      </c>
      <c r="G101" s="39" t="str">
        <f>IF(B101="","",SUMIFS(Cau_noi!$C$5:$C$304,Cau_noi!$A$5:$A$304,B101))</f>
        <v/>
      </c>
      <c r="H101" s="39" t="str">
        <f>IF(B101="","",SUMIFS(Cau_noi!$D$5:$D$304,Cau_noi!$A$5:$A$304,B101))</f>
        <v/>
      </c>
      <c r="I101" s="39" t="str">
        <f>IF(B101="","",SUMIFS(Cau_noi!$E$5:$E$304,Cau_noi!$A$5:$A$304,B101))</f>
        <v/>
      </c>
      <c r="J101" s="39" t="str">
        <f t="shared" si="5"/>
        <v/>
      </c>
      <c r="K101" s="39" t="str">
        <f>IF(B101="","",SUMIFS(KT_DMTT_ChiTiet!$H$5:$H$1004,KT_DMTT_ChiTiet!$C$5:$C$1004,B101,KT_DMTT_ChiTiet!$N$5:$N$1004,1))</f>
        <v/>
      </c>
      <c r="L101" s="39" t="str">
        <f t="shared" si="6"/>
        <v/>
      </c>
      <c r="M101" s="46" t="str">
        <f t="shared" si="7"/>
        <v/>
      </c>
      <c r="N101" s="35" t="str">
        <f>IF(B101="","",IF(K101=0,IF(J101=0,"Pass",IF(COUNTIFS(BOM!$B$5:$B$1004,B101,BOM!$G$5:$G$1004,"KXDDM")&gt;0,"KXDDM","Xem xét")),IF(ABS(M101)&lt;=ThongTin!$C$11,"Pass","Xem xét")))</f>
        <v/>
      </c>
    </row>
    <row r="102" spans="1:14" x14ac:dyDescent="0.25">
      <c r="A102" s="35" t="str">
        <f t="shared" si="4"/>
        <v/>
      </c>
      <c r="B102" s="35" t="str">
        <f>IF('Mau15'!B108="","",'Mau15'!B108)</f>
        <v/>
      </c>
      <c r="C102" s="35" t="str">
        <f>IF(B102="","",'Mau15'!C108)</f>
        <v/>
      </c>
      <c r="D102" s="35" t="str">
        <f>IF(B102="","",'Mau15'!D108)</f>
        <v/>
      </c>
      <c r="E102" s="39" t="str">
        <f>IF(B102="","",'Mau15'!I108)</f>
        <v/>
      </c>
      <c r="F102" s="39" t="str">
        <f>IF(B102="","",SUMIFS(Cau_noi!$B$5:$B$304,Cau_noi!$A$5:$A$304,B102))</f>
        <v/>
      </c>
      <c r="G102" s="39" t="str">
        <f>IF(B102="","",SUMIFS(Cau_noi!$C$5:$C$304,Cau_noi!$A$5:$A$304,B102))</f>
        <v/>
      </c>
      <c r="H102" s="39" t="str">
        <f>IF(B102="","",SUMIFS(Cau_noi!$D$5:$D$304,Cau_noi!$A$5:$A$304,B102))</f>
        <v/>
      </c>
      <c r="I102" s="39" t="str">
        <f>IF(B102="","",SUMIFS(Cau_noi!$E$5:$E$304,Cau_noi!$A$5:$A$304,B102))</f>
        <v/>
      </c>
      <c r="J102" s="39" t="str">
        <f t="shared" si="5"/>
        <v/>
      </c>
      <c r="K102" s="39" t="str">
        <f>IF(B102="","",SUMIFS(KT_DMTT_ChiTiet!$H$5:$H$1004,KT_DMTT_ChiTiet!$C$5:$C$1004,B102,KT_DMTT_ChiTiet!$N$5:$N$1004,1))</f>
        <v/>
      </c>
      <c r="L102" s="39" t="str">
        <f t="shared" si="6"/>
        <v/>
      </c>
      <c r="M102" s="46" t="str">
        <f t="shared" si="7"/>
        <v/>
      </c>
      <c r="N102" s="35" t="str">
        <f>IF(B102="","",IF(K102=0,IF(J102=0,"Pass",IF(COUNTIFS(BOM!$B$5:$B$1004,B102,BOM!$G$5:$G$1004,"KXDDM")&gt;0,"KXDDM","Xem xét")),IF(ABS(M102)&lt;=ThongTin!$C$11,"Pass","Xem xét")))</f>
        <v/>
      </c>
    </row>
    <row r="103" spans="1:14" x14ac:dyDescent="0.25">
      <c r="A103" s="35" t="str">
        <f t="shared" si="4"/>
        <v/>
      </c>
      <c r="B103" s="35" t="str">
        <f>IF('Mau15'!B109="","",'Mau15'!B109)</f>
        <v/>
      </c>
      <c r="C103" s="35" t="str">
        <f>IF(B103="","",'Mau15'!C109)</f>
        <v/>
      </c>
      <c r="D103" s="35" t="str">
        <f>IF(B103="","",'Mau15'!D109)</f>
        <v/>
      </c>
      <c r="E103" s="39" t="str">
        <f>IF(B103="","",'Mau15'!I109)</f>
        <v/>
      </c>
      <c r="F103" s="39" t="str">
        <f>IF(B103="","",SUMIFS(Cau_noi!$B$5:$B$304,Cau_noi!$A$5:$A$304,B103))</f>
        <v/>
      </c>
      <c r="G103" s="39" t="str">
        <f>IF(B103="","",SUMIFS(Cau_noi!$C$5:$C$304,Cau_noi!$A$5:$A$304,B103))</f>
        <v/>
      </c>
      <c r="H103" s="39" t="str">
        <f>IF(B103="","",SUMIFS(Cau_noi!$D$5:$D$304,Cau_noi!$A$5:$A$304,B103))</f>
        <v/>
      </c>
      <c r="I103" s="39" t="str">
        <f>IF(B103="","",SUMIFS(Cau_noi!$E$5:$E$304,Cau_noi!$A$5:$A$304,B103))</f>
        <v/>
      </c>
      <c r="J103" s="39" t="str">
        <f t="shared" si="5"/>
        <v/>
      </c>
      <c r="K103" s="39" t="str">
        <f>IF(B103="","",SUMIFS(KT_DMTT_ChiTiet!$H$5:$H$1004,KT_DMTT_ChiTiet!$C$5:$C$1004,B103,KT_DMTT_ChiTiet!$N$5:$N$1004,1))</f>
        <v/>
      </c>
      <c r="L103" s="39" t="str">
        <f t="shared" si="6"/>
        <v/>
      </c>
      <c r="M103" s="46" t="str">
        <f t="shared" si="7"/>
        <v/>
      </c>
      <c r="N103" s="35" t="str">
        <f>IF(B103="","",IF(K103=0,IF(J103=0,"Pass",IF(COUNTIFS(BOM!$B$5:$B$1004,B103,BOM!$G$5:$G$1004,"KXDDM")&gt;0,"KXDDM","Xem xét")),IF(ABS(M103)&lt;=ThongTin!$C$11,"Pass","Xem xét")))</f>
        <v/>
      </c>
    </row>
    <row r="104" spans="1:14" x14ac:dyDescent="0.25">
      <c r="A104" s="35" t="str">
        <f t="shared" si="4"/>
        <v/>
      </c>
      <c r="B104" s="35" t="str">
        <f>IF('Mau15'!B110="","",'Mau15'!B110)</f>
        <v/>
      </c>
      <c r="C104" s="35" t="str">
        <f>IF(B104="","",'Mau15'!C110)</f>
        <v/>
      </c>
      <c r="D104" s="35" t="str">
        <f>IF(B104="","",'Mau15'!D110)</f>
        <v/>
      </c>
      <c r="E104" s="39" t="str">
        <f>IF(B104="","",'Mau15'!I110)</f>
        <v/>
      </c>
      <c r="F104" s="39" t="str">
        <f>IF(B104="","",SUMIFS(Cau_noi!$B$5:$B$304,Cau_noi!$A$5:$A$304,B104))</f>
        <v/>
      </c>
      <c r="G104" s="39" t="str">
        <f>IF(B104="","",SUMIFS(Cau_noi!$C$5:$C$304,Cau_noi!$A$5:$A$304,B104))</f>
        <v/>
      </c>
      <c r="H104" s="39" t="str">
        <f>IF(B104="","",SUMIFS(Cau_noi!$D$5:$D$304,Cau_noi!$A$5:$A$304,B104))</f>
        <v/>
      </c>
      <c r="I104" s="39" t="str">
        <f>IF(B104="","",SUMIFS(Cau_noi!$E$5:$E$304,Cau_noi!$A$5:$A$304,B104))</f>
        <v/>
      </c>
      <c r="J104" s="39" t="str">
        <f t="shared" si="5"/>
        <v/>
      </c>
      <c r="K104" s="39" t="str">
        <f>IF(B104="","",SUMIFS(KT_DMTT_ChiTiet!$H$5:$H$1004,KT_DMTT_ChiTiet!$C$5:$C$1004,B104,KT_DMTT_ChiTiet!$N$5:$N$1004,1))</f>
        <v/>
      </c>
      <c r="L104" s="39" t="str">
        <f t="shared" si="6"/>
        <v/>
      </c>
      <c r="M104" s="46" t="str">
        <f t="shared" si="7"/>
        <v/>
      </c>
      <c r="N104" s="35" t="str">
        <f>IF(B104="","",IF(K104=0,IF(J104=0,"Pass",IF(COUNTIFS(BOM!$B$5:$B$1004,B104,BOM!$G$5:$G$1004,"KXDDM")&gt;0,"KXDDM","Xem xét")),IF(ABS(M104)&lt;=ThongTin!$C$11,"Pass","Xem xét")))</f>
        <v/>
      </c>
    </row>
    <row r="105" spans="1:14" x14ac:dyDescent="0.25">
      <c r="A105" s="35" t="str">
        <f t="shared" si="4"/>
        <v/>
      </c>
      <c r="B105" s="35" t="str">
        <f>IF('Mau15'!B111="","",'Mau15'!B111)</f>
        <v/>
      </c>
      <c r="C105" s="35" t="str">
        <f>IF(B105="","",'Mau15'!C111)</f>
        <v/>
      </c>
      <c r="D105" s="35" t="str">
        <f>IF(B105="","",'Mau15'!D111)</f>
        <v/>
      </c>
      <c r="E105" s="39" t="str">
        <f>IF(B105="","",'Mau15'!I111)</f>
        <v/>
      </c>
      <c r="F105" s="39" t="str">
        <f>IF(B105="","",SUMIFS(Cau_noi!$B$5:$B$304,Cau_noi!$A$5:$A$304,B105))</f>
        <v/>
      </c>
      <c r="G105" s="39" t="str">
        <f>IF(B105="","",SUMIFS(Cau_noi!$C$5:$C$304,Cau_noi!$A$5:$A$304,B105))</f>
        <v/>
      </c>
      <c r="H105" s="39" t="str">
        <f>IF(B105="","",SUMIFS(Cau_noi!$D$5:$D$304,Cau_noi!$A$5:$A$304,B105))</f>
        <v/>
      </c>
      <c r="I105" s="39" t="str">
        <f>IF(B105="","",SUMIFS(Cau_noi!$E$5:$E$304,Cau_noi!$A$5:$A$304,B105))</f>
        <v/>
      </c>
      <c r="J105" s="39" t="str">
        <f t="shared" si="5"/>
        <v/>
      </c>
      <c r="K105" s="39" t="str">
        <f>IF(B105="","",SUMIFS(KT_DMTT_ChiTiet!$H$5:$H$1004,KT_DMTT_ChiTiet!$C$5:$C$1004,B105,KT_DMTT_ChiTiet!$N$5:$N$1004,1))</f>
        <v/>
      </c>
      <c r="L105" s="39" t="str">
        <f t="shared" si="6"/>
        <v/>
      </c>
      <c r="M105" s="46" t="str">
        <f t="shared" si="7"/>
        <v/>
      </c>
      <c r="N105" s="35" t="str">
        <f>IF(B105="","",IF(K105=0,IF(J105=0,"Pass",IF(COUNTIFS(BOM!$B$5:$B$1004,B105,BOM!$G$5:$G$1004,"KXDDM")&gt;0,"KXDDM","Xem xét")),IF(ABS(M105)&lt;=ThongTin!$C$11,"Pass","Xem xét")))</f>
        <v/>
      </c>
    </row>
    <row r="106" spans="1:14" x14ac:dyDescent="0.25">
      <c r="A106" s="35" t="str">
        <f t="shared" si="4"/>
        <v/>
      </c>
      <c r="B106" s="35" t="str">
        <f>IF('Mau15'!B112="","",'Mau15'!B112)</f>
        <v/>
      </c>
      <c r="C106" s="35" t="str">
        <f>IF(B106="","",'Mau15'!C112)</f>
        <v/>
      </c>
      <c r="D106" s="35" t="str">
        <f>IF(B106="","",'Mau15'!D112)</f>
        <v/>
      </c>
      <c r="E106" s="39" t="str">
        <f>IF(B106="","",'Mau15'!I112)</f>
        <v/>
      </c>
      <c r="F106" s="39" t="str">
        <f>IF(B106="","",SUMIFS(Cau_noi!$B$5:$B$304,Cau_noi!$A$5:$A$304,B106))</f>
        <v/>
      </c>
      <c r="G106" s="39" t="str">
        <f>IF(B106="","",SUMIFS(Cau_noi!$C$5:$C$304,Cau_noi!$A$5:$A$304,B106))</f>
        <v/>
      </c>
      <c r="H106" s="39" t="str">
        <f>IF(B106="","",SUMIFS(Cau_noi!$D$5:$D$304,Cau_noi!$A$5:$A$304,B106))</f>
        <v/>
      </c>
      <c r="I106" s="39" t="str">
        <f>IF(B106="","",SUMIFS(Cau_noi!$E$5:$E$304,Cau_noi!$A$5:$A$304,B106))</f>
        <v/>
      </c>
      <c r="J106" s="39" t="str">
        <f t="shared" si="5"/>
        <v/>
      </c>
      <c r="K106" s="39" t="str">
        <f>IF(B106="","",SUMIFS(KT_DMTT_ChiTiet!$H$5:$H$1004,KT_DMTT_ChiTiet!$C$5:$C$1004,B106,KT_DMTT_ChiTiet!$N$5:$N$1004,1))</f>
        <v/>
      </c>
      <c r="L106" s="39" t="str">
        <f t="shared" si="6"/>
        <v/>
      </c>
      <c r="M106" s="46" t="str">
        <f t="shared" si="7"/>
        <v/>
      </c>
      <c r="N106" s="35" t="str">
        <f>IF(B106="","",IF(K106=0,IF(J106=0,"Pass",IF(COUNTIFS(BOM!$B$5:$B$1004,B106,BOM!$G$5:$G$1004,"KXDDM")&gt;0,"KXDDM","Xem xét")),IF(ABS(M106)&lt;=ThongTin!$C$11,"Pass","Xem xét")))</f>
        <v/>
      </c>
    </row>
    <row r="107" spans="1:14" x14ac:dyDescent="0.25">
      <c r="A107" s="35" t="str">
        <f t="shared" si="4"/>
        <v/>
      </c>
      <c r="B107" s="35" t="str">
        <f>IF('Mau15'!B113="","",'Mau15'!B113)</f>
        <v/>
      </c>
      <c r="C107" s="35" t="str">
        <f>IF(B107="","",'Mau15'!C113)</f>
        <v/>
      </c>
      <c r="D107" s="35" t="str">
        <f>IF(B107="","",'Mau15'!D113)</f>
        <v/>
      </c>
      <c r="E107" s="39" t="str">
        <f>IF(B107="","",'Mau15'!I113)</f>
        <v/>
      </c>
      <c r="F107" s="39" t="str">
        <f>IF(B107="","",SUMIFS(Cau_noi!$B$5:$B$304,Cau_noi!$A$5:$A$304,B107))</f>
        <v/>
      </c>
      <c r="G107" s="39" t="str">
        <f>IF(B107="","",SUMIFS(Cau_noi!$C$5:$C$304,Cau_noi!$A$5:$A$304,B107))</f>
        <v/>
      </c>
      <c r="H107" s="39" t="str">
        <f>IF(B107="","",SUMIFS(Cau_noi!$D$5:$D$304,Cau_noi!$A$5:$A$304,B107))</f>
        <v/>
      </c>
      <c r="I107" s="39" t="str">
        <f>IF(B107="","",SUMIFS(Cau_noi!$E$5:$E$304,Cau_noi!$A$5:$A$304,B107))</f>
        <v/>
      </c>
      <c r="J107" s="39" t="str">
        <f t="shared" si="5"/>
        <v/>
      </c>
      <c r="K107" s="39" t="str">
        <f>IF(B107="","",SUMIFS(KT_DMTT_ChiTiet!$H$5:$H$1004,KT_DMTT_ChiTiet!$C$5:$C$1004,B107,KT_DMTT_ChiTiet!$N$5:$N$1004,1))</f>
        <v/>
      </c>
      <c r="L107" s="39" t="str">
        <f t="shared" si="6"/>
        <v/>
      </c>
      <c r="M107" s="46" t="str">
        <f t="shared" si="7"/>
        <v/>
      </c>
      <c r="N107" s="35" t="str">
        <f>IF(B107="","",IF(K107=0,IF(J107=0,"Pass",IF(COUNTIFS(BOM!$B$5:$B$1004,B107,BOM!$G$5:$G$1004,"KXDDM")&gt;0,"KXDDM","Xem xét")),IF(ABS(M107)&lt;=ThongTin!$C$11,"Pass","Xem xét")))</f>
        <v/>
      </c>
    </row>
    <row r="108" spans="1:14" x14ac:dyDescent="0.25">
      <c r="A108" s="35" t="str">
        <f t="shared" si="4"/>
        <v/>
      </c>
      <c r="B108" s="35" t="str">
        <f>IF('Mau15'!B114="","",'Mau15'!B114)</f>
        <v/>
      </c>
      <c r="C108" s="35" t="str">
        <f>IF(B108="","",'Mau15'!C114)</f>
        <v/>
      </c>
      <c r="D108" s="35" t="str">
        <f>IF(B108="","",'Mau15'!D114)</f>
        <v/>
      </c>
      <c r="E108" s="39" t="str">
        <f>IF(B108="","",'Mau15'!I114)</f>
        <v/>
      </c>
      <c r="F108" s="39" t="str">
        <f>IF(B108="","",SUMIFS(Cau_noi!$B$5:$B$304,Cau_noi!$A$5:$A$304,B108))</f>
        <v/>
      </c>
      <c r="G108" s="39" t="str">
        <f>IF(B108="","",SUMIFS(Cau_noi!$C$5:$C$304,Cau_noi!$A$5:$A$304,B108))</f>
        <v/>
      </c>
      <c r="H108" s="39" t="str">
        <f>IF(B108="","",SUMIFS(Cau_noi!$D$5:$D$304,Cau_noi!$A$5:$A$304,B108))</f>
        <v/>
      </c>
      <c r="I108" s="39" t="str">
        <f>IF(B108="","",SUMIFS(Cau_noi!$E$5:$E$304,Cau_noi!$A$5:$A$304,B108))</f>
        <v/>
      </c>
      <c r="J108" s="39" t="str">
        <f t="shared" si="5"/>
        <v/>
      </c>
      <c r="K108" s="39" t="str">
        <f>IF(B108="","",SUMIFS(KT_DMTT_ChiTiet!$H$5:$H$1004,KT_DMTT_ChiTiet!$C$5:$C$1004,B108,KT_DMTT_ChiTiet!$N$5:$N$1004,1))</f>
        <v/>
      </c>
      <c r="L108" s="39" t="str">
        <f t="shared" si="6"/>
        <v/>
      </c>
      <c r="M108" s="46" t="str">
        <f t="shared" si="7"/>
        <v/>
      </c>
      <c r="N108" s="35" t="str">
        <f>IF(B108="","",IF(K108=0,IF(J108=0,"Pass",IF(COUNTIFS(BOM!$B$5:$B$1004,B108,BOM!$G$5:$G$1004,"KXDDM")&gt;0,"KXDDM","Xem xét")),IF(ABS(M108)&lt;=ThongTin!$C$11,"Pass","Xem xét")))</f>
        <v/>
      </c>
    </row>
    <row r="109" spans="1:14" x14ac:dyDescent="0.25">
      <c r="A109" s="35" t="str">
        <f t="shared" si="4"/>
        <v/>
      </c>
      <c r="B109" s="35" t="str">
        <f>IF('Mau15'!B115="","",'Mau15'!B115)</f>
        <v/>
      </c>
      <c r="C109" s="35" t="str">
        <f>IF(B109="","",'Mau15'!C115)</f>
        <v/>
      </c>
      <c r="D109" s="35" t="str">
        <f>IF(B109="","",'Mau15'!D115)</f>
        <v/>
      </c>
      <c r="E109" s="39" t="str">
        <f>IF(B109="","",'Mau15'!I115)</f>
        <v/>
      </c>
      <c r="F109" s="39" t="str">
        <f>IF(B109="","",SUMIFS(Cau_noi!$B$5:$B$304,Cau_noi!$A$5:$A$304,B109))</f>
        <v/>
      </c>
      <c r="G109" s="39" t="str">
        <f>IF(B109="","",SUMIFS(Cau_noi!$C$5:$C$304,Cau_noi!$A$5:$A$304,B109))</f>
        <v/>
      </c>
      <c r="H109" s="39" t="str">
        <f>IF(B109="","",SUMIFS(Cau_noi!$D$5:$D$304,Cau_noi!$A$5:$A$304,B109))</f>
        <v/>
      </c>
      <c r="I109" s="39" t="str">
        <f>IF(B109="","",SUMIFS(Cau_noi!$E$5:$E$304,Cau_noi!$A$5:$A$304,B109))</f>
        <v/>
      </c>
      <c r="J109" s="39" t="str">
        <f t="shared" si="5"/>
        <v/>
      </c>
      <c r="K109" s="39" t="str">
        <f>IF(B109="","",SUMIFS(KT_DMTT_ChiTiet!$H$5:$H$1004,KT_DMTT_ChiTiet!$C$5:$C$1004,B109,KT_DMTT_ChiTiet!$N$5:$N$1004,1))</f>
        <v/>
      </c>
      <c r="L109" s="39" t="str">
        <f t="shared" si="6"/>
        <v/>
      </c>
      <c r="M109" s="46" t="str">
        <f t="shared" si="7"/>
        <v/>
      </c>
      <c r="N109" s="35" t="str">
        <f>IF(B109="","",IF(K109=0,IF(J109=0,"Pass",IF(COUNTIFS(BOM!$B$5:$B$1004,B109,BOM!$G$5:$G$1004,"KXDDM")&gt;0,"KXDDM","Xem xét")),IF(ABS(M109)&lt;=ThongTin!$C$11,"Pass","Xem xét")))</f>
        <v/>
      </c>
    </row>
    <row r="110" spans="1:14" x14ac:dyDescent="0.25">
      <c r="A110" s="35" t="str">
        <f t="shared" si="4"/>
        <v/>
      </c>
      <c r="B110" s="35" t="str">
        <f>IF('Mau15'!B116="","",'Mau15'!B116)</f>
        <v/>
      </c>
      <c r="C110" s="35" t="str">
        <f>IF(B110="","",'Mau15'!C116)</f>
        <v/>
      </c>
      <c r="D110" s="35" t="str">
        <f>IF(B110="","",'Mau15'!D116)</f>
        <v/>
      </c>
      <c r="E110" s="39" t="str">
        <f>IF(B110="","",'Mau15'!I116)</f>
        <v/>
      </c>
      <c r="F110" s="39" t="str">
        <f>IF(B110="","",SUMIFS(Cau_noi!$B$5:$B$304,Cau_noi!$A$5:$A$304,B110))</f>
        <v/>
      </c>
      <c r="G110" s="39" t="str">
        <f>IF(B110="","",SUMIFS(Cau_noi!$C$5:$C$304,Cau_noi!$A$5:$A$304,B110))</f>
        <v/>
      </c>
      <c r="H110" s="39" t="str">
        <f>IF(B110="","",SUMIFS(Cau_noi!$D$5:$D$304,Cau_noi!$A$5:$A$304,B110))</f>
        <v/>
      </c>
      <c r="I110" s="39" t="str">
        <f>IF(B110="","",SUMIFS(Cau_noi!$E$5:$E$304,Cau_noi!$A$5:$A$304,B110))</f>
        <v/>
      </c>
      <c r="J110" s="39" t="str">
        <f t="shared" si="5"/>
        <v/>
      </c>
      <c r="K110" s="39" t="str">
        <f>IF(B110="","",SUMIFS(KT_DMTT_ChiTiet!$H$5:$H$1004,KT_DMTT_ChiTiet!$C$5:$C$1004,B110,KT_DMTT_ChiTiet!$N$5:$N$1004,1))</f>
        <v/>
      </c>
      <c r="L110" s="39" t="str">
        <f t="shared" si="6"/>
        <v/>
      </c>
      <c r="M110" s="46" t="str">
        <f t="shared" si="7"/>
        <v/>
      </c>
      <c r="N110" s="35" t="str">
        <f>IF(B110="","",IF(K110=0,IF(J110=0,"Pass",IF(COUNTIFS(BOM!$B$5:$B$1004,B110,BOM!$G$5:$G$1004,"KXDDM")&gt;0,"KXDDM","Xem xét")),IF(ABS(M110)&lt;=ThongTin!$C$11,"Pass","Xem xét")))</f>
        <v/>
      </c>
    </row>
    <row r="111" spans="1:14" x14ac:dyDescent="0.25">
      <c r="A111" s="35" t="str">
        <f t="shared" si="4"/>
        <v/>
      </c>
      <c r="B111" s="35" t="str">
        <f>IF('Mau15'!B117="","",'Mau15'!B117)</f>
        <v/>
      </c>
      <c r="C111" s="35" t="str">
        <f>IF(B111="","",'Mau15'!C117)</f>
        <v/>
      </c>
      <c r="D111" s="35" t="str">
        <f>IF(B111="","",'Mau15'!D117)</f>
        <v/>
      </c>
      <c r="E111" s="39" t="str">
        <f>IF(B111="","",'Mau15'!I117)</f>
        <v/>
      </c>
      <c r="F111" s="39" t="str">
        <f>IF(B111="","",SUMIFS(Cau_noi!$B$5:$B$304,Cau_noi!$A$5:$A$304,B111))</f>
        <v/>
      </c>
      <c r="G111" s="39" t="str">
        <f>IF(B111="","",SUMIFS(Cau_noi!$C$5:$C$304,Cau_noi!$A$5:$A$304,B111))</f>
        <v/>
      </c>
      <c r="H111" s="39" t="str">
        <f>IF(B111="","",SUMIFS(Cau_noi!$D$5:$D$304,Cau_noi!$A$5:$A$304,B111))</f>
        <v/>
      </c>
      <c r="I111" s="39" t="str">
        <f>IF(B111="","",SUMIFS(Cau_noi!$E$5:$E$304,Cau_noi!$A$5:$A$304,B111))</f>
        <v/>
      </c>
      <c r="J111" s="39" t="str">
        <f t="shared" si="5"/>
        <v/>
      </c>
      <c r="K111" s="39" t="str">
        <f>IF(B111="","",SUMIFS(KT_DMTT_ChiTiet!$H$5:$H$1004,KT_DMTT_ChiTiet!$C$5:$C$1004,B111,KT_DMTT_ChiTiet!$N$5:$N$1004,1))</f>
        <v/>
      </c>
      <c r="L111" s="39" t="str">
        <f t="shared" si="6"/>
        <v/>
      </c>
      <c r="M111" s="46" t="str">
        <f t="shared" si="7"/>
        <v/>
      </c>
      <c r="N111" s="35" t="str">
        <f>IF(B111="","",IF(K111=0,IF(J111=0,"Pass",IF(COUNTIFS(BOM!$B$5:$B$1004,B111,BOM!$G$5:$G$1004,"KXDDM")&gt;0,"KXDDM","Xem xét")),IF(ABS(M111)&lt;=ThongTin!$C$11,"Pass","Xem xét")))</f>
        <v/>
      </c>
    </row>
    <row r="112" spans="1:14" x14ac:dyDescent="0.25">
      <c r="A112" s="35" t="str">
        <f t="shared" si="4"/>
        <v/>
      </c>
      <c r="B112" s="35" t="str">
        <f>IF('Mau15'!B118="","",'Mau15'!B118)</f>
        <v/>
      </c>
      <c r="C112" s="35" t="str">
        <f>IF(B112="","",'Mau15'!C118)</f>
        <v/>
      </c>
      <c r="D112" s="35" t="str">
        <f>IF(B112="","",'Mau15'!D118)</f>
        <v/>
      </c>
      <c r="E112" s="39" t="str">
        <f>IF(B112="","",'Mau15'!I118)</f>
        <v/>
      </c>
      <c r="F112" s="39" t="str">
        <f>IF(B112="","",SUMIFS(Cau_noi!$B$5:$B$304,Cau_noi!$A$5:$A$304,B112))</f>
        <v/>
      </c>
      <c r="G112" s="39" t="str">
        <f>IF(B112="","",SUMIFS(Cau_noi!$C$5:$C$304,Cau_noi!$A$5:$A$304,B112))</f>
        <v/>
      </c>
      <c r="H112" s="39" t="str">
        <f>IF(B112="","",SUMIFS(Cau_noi!$D$5:$D$304,Cau_noi!$A$5:$A$304,B112))</f>
        <v/>
      </c>
      <c r="I112" s="39" t="str">
        <f>IF(B112="","",SUMIFS(Cau_noi!$E$5:$E$304,Cau_noi!$A$5:$A$304,B112))</f>
        <v/>
      </c>
      <c r="J112" s="39" t="str">
        <f t="shared" si="5"/>
        <v/>
      </c>
      <c r="K112" s="39" t="str">
        <f>IF(B112="","",SUMIFS(KT_DMTT_ChiTiet!$H$5:$H$1004,KT_DMTT_ChiTiet!$C$5:$C$1004,B112,KT_DMTT_ChiTiet!$N$5:$N$1004,1))</f>
        <v/>
      </c>
      <c r="L112" s="39" t="str">
        <f t="shared" si="6"/>
        <v/>
      </c>
      <c r="M112" s="46" t="str">
        <f t="shared" si="7"/>
        <v/>
      </c>
      <c r="N112" s="35" t="str">
        <f>IF(B112="","",IF(K112=0,IF(J112=0,"Pass",IF(COUNTIFS(BOM!$B$5:$B$1004,B112,BOM!$G$5:$G$1004,"KXDDM")&gt;0,"KXDDM","Xem xét")),IF(ABS(M112)&lt;=ThongTin!$C$11,"Pass","Xem xét")))</f>
        <v/>
      </c>
    </row>
    <row r="113" spans="1:14" x14ac:dyDescent="0.25">
      <c r="A113" s="35" t="str">
        <f t="shared" si="4"/>
        <v/>
      </c>
      <c r="B113" s="35" t="str">
        <f>IF('Mau15'!B119="","",'Mau15'!B119)</f>
        <v/>
      </c>
      <c r="C113" s="35" t="str">
        <f>IF(B113="","",'Mau15'!C119)</f>
        <v/>
      </c>
      <c r="D113" s="35" t="str">
        <f>IF(B113="","",'Mau15'!D119)</f>
        <v/>
      </c>
      <c r="E113" s="39" t="str">
        <f>IF(B113="","",'Mau15'!I119)</f>
        <v/>
      </c>
      <c r="F113" s="39" t="str">
        <f>IF(B113="","",SUMIFS(Cau_noi!$B$5:$B$304,Cau_noi!$A$5:$A$304,B113))</f>
        <v/>
      </c>
      <c r="G113" s="39" t="str">
        <f>IF(B113="","",SUMIFS(Cau_noi!$C$5:$C$304,Cau_noi!$A$5:$A$304,B113))</f>
        <v/>
      </c>
      <c r="H113" s="39" t="str">
        <f>IF(B113="","",SUMIFS(Cau_noi!$D$5:$D$304,Cau_noi!$A$5:$A$304,B113))</f>
        <v/>
      </c>
      <c r="I113" s="39" t="str">
        <f>IF(B113="","",SUMIFS(Cau_noi!$E$5:$E$304,Cau_noi!$A$5:$A$304,B113))</f>
        <v/>
      </c>
      <c r="J113" s="39" t="str">
        <f t="shared" si="5"/>
        <v/>
      </c>
      <c r="K113" s="39" t="str">
        <f>IF(B113="","",SUMIFS(KT_DMTT_ChiTiet!$H$5:$H$1004,KT_DMTT_ChiTiet!$C$5:$C$1004,B113,KT_DMTT_ChiTiet!$N$5:$N$1004,1))</f>
        <v/>
      </c>
      <c r="L113" s="39" t="str">
        <f t="shared" si="6"/>
        <v/>
      </c>
      <c r="M113" s="46" t="str">
        <f t="shared" si="7"/>
        <v/>
      </c>
      <c r="N113" s="35" t="str">
        <f>IF(B113="","",IF(K113=0,IF(J113=0,"Pass",IF(COUNTIFS(BOM!$B$5:$B$1004,B113,BOM!$G$5:$G$1004,"KXDDM")&gt;0,"KXDDM","Xem xét")),IF(ABS(M113)&lt;=ThongTin!$C$11,"Pass","Xem xét")))</f>
        <v/>
      </c>
    </row>
    <row r="114" spans="1:14" x14ac:dyDescent="0.25">
      <c r="A114" s="35" t="str">
        <f t="shared" si="4"/>
        <v/>
      </c>
      <c r="B114" s="35" t="str">
        <f>IF('Mau15'!B120="","",'Mau15'!B120)</f>
        <v/>
      </c>
      <c r="C114" s="35" t="str">
        <f>IF(B114="","",'Mau15'!C120)</f>
        <v/>
      </c>
      <c r="D114" s="35" t="str">
        <f>IF(B114="","",'Mau15'!D120)</f>
        <v/>
      </c>
      <c r="E114" s="39" t="str">
        <f>IF(B114="","",'Mau15'!I120)</f>
        <v/>
      </c>
      <c r="F114" s="39" t="str">
        <f>IF(B114="","",SUMIFS(Cau_noi!$B$5:$B$304,Cau_noi!$A$5:$A$304,B114))</f>
        <v/>
      </c>
      <c r="G114" s="39" t="str">
        <f>IF(B114="","",SUMIFS(Cau_noi!$C$5:$C$304,Cau_noi!$A$5:$A$304,B114))</f>
        <v/>
      </c>
      <c r="H114" s="39" t="str">
        <f>IF(B114="","",SUMIFS(Cau_noi!$D$5:$D$304,Cau_noi!$A$5:$A$304,B114))</f>
        <v/>
      </c>
      <c r="I114" s="39" t="str">
        <f>IF(B114="","",SUMIFS(Cau_noi!$E$5:$E$304,Cau_noi!$A$5:$A$304,B114))</f>
        <v/>
      </c>
      <c r="J114" s="39" t="str">
        <f t="shared" si="5"/>
        <v/>
      </c>
      <c r="K114" s="39" t="str">
        <f>IF(B114="","",SUMIFS(KT_DMTT_ChiTiet!$H$5:$H$1004,KT_DMTT_ChiTiet!$C$5:$C$1004,B114,KT_DMTT_ChiTiet!$N$5:$N$1004,1))</f>
        <v/>
      </c>
      <c r="L114" s="39" t="str">
        <f t="shared" si="6"/>
        <v/>
      </c>
      <c r="M114" s="46" t="str">
        <f t="shared" si="7"/>
        <v/>
      </c>
      <c r="N114" s="35" t="str">
        <f>IF(B114="","",IF(K114=0,IF(J114=0,"Pass",IF(COUNTIFS(BOM!$B$5:$B$1004,B114,BOM!$G$5:$G$1004,"KXDDM")&gt;0,"KXDDM","Xem xét")),IF(ABS(M114)&lt;=ThongTin!$C$11,"Pass","Xem xét")))</f>
        <v/>
      </c>
    </row>
    <row r="115" spans="1:14" x14ac:dyDescent="0.25">
      <c r="A115" s="35" t="str">
        <f t="shared" si="4"/>
        <v/>
      </c>
      <c r="B115" s="35" t="str">
        <f>IF('Mau15'!B121="","",'Mau15'!B121)</f>
        <v/>
      </c>
      <c r="C115" s="35" t="str">
        <f>IF(B115="","",'Mau15'!C121)</f>
        <v/>
      </c>
      <c r="D115" s="35" t="str">
        <f>IF(B115="","",'Mau15'!D121)</f>
        <v/>
      </c>
      <c r="E115" s="39" t="str">
        <f>IF(B115="","",'Mau15'!I121)</f>
        <v/>
      </c>
      <c r="F115" s="39" t="str">
        <f>IF(B115="","",SUMIFS(Cau_noi!$B$5:$B$304,Cau_noi!$A$5:$A$304,B115))</f>
        <v/>
      </c>
      <c r="G115" s="39" t="str">
        <f>IF(B115="","",SUMIFS(Cau_noi!$C$5:$C$304,Cau_noi!$A$5:$A$304,B115))</f>
        <v/>
      </c>
      <c r="H115" s="39" t="str">
        <f>IF(B115="","",SUMIFS(Cau_noi!$D$5:$D$304,Cau_noi!$A$5:$A$304,B115))</f>
        <v/>
      </c>
      <c r="I115" s="39" t="str">
        <f>IF(B115="","",SUMIFS(Cau_noi!$E$5:$E$304,Cau_noi!$A$5:$A$304,B115))</f>
        <v/>
      </c>
      <c r="J115" s="39" t="str">
        <f t="shared" si="5"/>
        <v/>
      </c>
      <c r="K115" s="39" t="str">
        <f>IF(B115="","",SUMIFS(KT_DMTT_ChiTiet!$H$5:$H$1004,KT_DMTT_ChiTiet!$C$5:$C$1004,B115,KT_DMTT_ChiTiet!$N$5:$N$1004,1))</f>
        <v/>
      </c>
      <c r="L115" s="39" t="str">
        <f t="shared" si="6"/>
        <v/>
      </c>
      <c r="M115" s="46" t="str">
        <f t="shared" si="7"/>
        <v/>
      </c>
      <c r="N115" s="35" t="str">
        <f>IF(B115="","",IF(K115=0,IF(J115=0,"Pass",IF(COUNTIFS(BOM!$B$5:$B$1004,B115,BOM!$G$5:$G$1004,"KXDDM")&gt;0,"KXDDM","Xem xét")),IF(ABS(M115)&lt;=ThongTin!$C$11,"Pass","Xem xét")))</f>
        <v/>
      </c>
    </row>
    <row r="116" spans="1:14" x14ac:dyDescent="0.25">
      <c r="A116" s="35" t="str">
        <f t="shared" si="4"/>
        <v/>
      </c>
      <c r="B116" s="35" t="str">
        <f>IF('Mau15'!B122="","",'Mau15'!B122)</f>
        <v/>
      </c>
      <c r="C116" s="35" t="str">
        <f>IF(B116="","",'Mau15'!C122)</f>
        <v/>
      </c>
      <c r="D116" s="35" t="str">
        <f>IF(B116="","",'Mau15'!D122)</f>
        <v/>
      </c>
      <c r="E116" s="39" t="str">
        <f>IF(B116="","",'Mau15'!I122)</f>
        <v/>
      </c>
      <c r="F116" s="39" t="str">
        <f>IF(B116="","",SUMIFS(Cau_noi!$B$5:$B$304,Cau_noi!$A$5:$A$304,B116))</f>
        <v/>
      </c>
      <c r="G116" s="39" t="str">
        <f>IF(B116="","",SUMIFS(Cau_noi!$C$5:$C$304,Cau_noi!$A$5:$A$304,B116))</f>
        <v/>
      </c>
      <c r="H116" s="39" t="str">
        <f>IF(B116="","",SUMIFS(Cau_noi!$D$5:$D$304,Cau_noi!$A$5:$A$304,B116))</f>
        <v/>
      </c>
      <c r="I116" s="39" t="str">
        <f>IF(B116="","",SUMIFS(Cau_noi!$E$5:$E$304,Cau_noi!$A$5:$A$304,B116))</f>
        <v/>
      </c>
      <c r="J116" s="39" t="str">
        <f t="shared" si="5"/>
        <v/>
      </c>
      <c r="K116" s="39" t="str">
        <f>IF(B116="","",SUMIFS(KT_DMTT_ChiTiet!$H$5:$H$1004,KT_DMTT_ChiTiet!$C$5:$C$1004,B116,KT_DMTT_ChiTiet!$N$5:$N$1004,1))</f>
        <v/>
      </c>
      <c r="L116" s="39" t="str">
        <f t="shared" si="6"/>
        <v/>
      </c>
      <c r="M116" s="46" t="str">
        <f t="shared" si="7"/>
        <v/>
      </c>
      <c r="N116" s="35" t="str">
        <f>IF(B116="","",IF(K116=0,IF(J116=0,"Pass",IF(COUNTIFS(BOM!$B$5:$B$1004,B116,BOM!$G$5:$G$1004,"KXDDM")&gt;0,"KXDDM","Xem xét")),IF(ABS(M116)&lt;=ThongTin!$C$11,"Pass","Xem xét")))</f>
        <v/>
      </c>
    </row>
    <row r="117" spans="1:14" x14ac:dyDescent="0.25">
      <c r="A117" s="35" t="str">
        <f t="shared" si="4"/>
        <v/>
      </c>
      <c r="B117" s="35" t="str">
        <f>IF('Mau15'!B123="","",'Mau15'!B123)</f>
        <v/>
      </c>
      <c r="C117" s="35" t="str">
        <f>IF(B117="","",'Mau15'!C123)</f>
        <v/>
      </c>
      <c r="D117" s="35" t="str">
        <f>IF(B117="","",'Mau15'!D123)</f>
        <v/>
      </c>
      <c r="E117" s="39" t="str">
        <f>IF(B117="","",'Mau15'!I123)</f>
        <v/>
      </c>
      <c r="F117" s="39" t="str">
        <f>IF(B117="","",SUMIFS(Cau_noi!$B$5:$B$304,Cau_noi!$A$5:$A$304,B117))</f>
        <v/>
      </c>
      <c r="G117" s="39" t="str">
        <f>IF(B117="","",SUMIFS(Cau_noi!$C$5:$C$304,Cau_noi!$A$5:$A$304,B117))</f>
        <v/>
      </c>
      <c r="H117" s="39" t="str">
        <f>IF(B117="","",SUMIFS(Cau_noi!$D$5:$D$304,Cau_noi!$A$5:$A$304,B117))</f>
        <v/>
      </c>
      <c r="I117" s="39" t="str">
        <f>IF(B117="","",SUMIFS(Cau_noi!$E$5:$E$304,Cau_noi!$A$5:$A$304,B117))</f>
        <v/>
      </c>
      <c r="J117" s="39" t="str">
        <f t="shared" si="5"/>
        <v/>
      </c>
      <c r="K117" s="39" t="str">
        <f>IF(B117="","",SUMIFS(KT_DMTT_ChiTiet!$H$5:$H$1004,KT_DMTT_ChiTiet!$C$5:$C$1004,B117,KT_DMTT_ChiTiet!$N$5:$N$1004,1))</f>
        <v/>
      </c>
      <c r="L117" s="39" t="str">
        <f t="shared" si="6"/>
        <v/>
      </c>
      <c r="M117" s="46" t="str">
        <f t="shared" si="7"/>
        <v/>
      </c>
      <c r="N117" s="35" t="str">
        <f>IF(B117="","",IF(K117=0,IF(J117=0,"Pass",IF(COUNTIFS(BOM!$B$5:$B$1004,B117,BOM!$G$5:$G$1004,"KXDDM")&gt;0,"KXDDM","Xem xét")),IF(ABS(M117)&lt;=ThongTin!$C$11,"Pass","Xem xét")))</f>
        <v/>
      </c>
    </row>
    <row r="118" spans="1:14" x14ac:dyDescent="0.25">
      <c r="A118" s="35" t="str">
        <f t="shared" si="4"/>
        <v/>
      </c>
      <c r="B118" s="35" t="str">
        <f>IF('Mau15'!B124="","",'Mau15'!B124)</f>
        <v/>
      </c>
      <c r="C118" s="35" t="str">
        <f>IF(B118="","",'Mau15'!C124)</f>
        <v/>
      </c>
      <c r="D118" s="35" t="str">
        <f>IF(B118="","",'Mau15'!D124)</f>
        <v/>
      </c>
      <c r="E118" s="39" t="str">
        <f>IF(B118="","",'Mau15'!I124)</f>
        <v/>
      </c>
      <c r="F118" s="39" t="str">
        <f>IF(B118="","",SUMIFS(Cau_noi!$B$5:$B$304,Cau_noi!$A$5:$A$304,B118))</f>
        <v/>
      </c>
      <c r="G118" s="39" t="str">
        <f>IF(B118="","",SUMIFS(Cau_noi!$C$5:$C$304,Cau_noi!$A$5:$A$304,B118))</f>
        <v/>
      </c>
      <c r="H118" s="39" t="str">
        <f>IF(B118="","",SUMIFS(Cau_noi!$D$5:$D$304,Cau_noi!$A$5:$A$304,B118))</f>
        <v/>
      </c>
      <c r="I118" s="39" t="str">
        <f>IF(B118="","",SUMIFS(Cau_noi!$E$5:$E$304,Cau_noi!$A$5:$A$304,B118))</f>
        <v/>
      </c>
      <c r="J118" s="39" t="str">
        <f t="shared" si="5"/>
        <v/>
      </c>
      <c r="K118" s="39" t="str">
        <f>IF(B118="","",SUMIFS(KT_DMTT_ChiTiet!$H$5:$H$1004,KT_DMTT_ChiTiet!$C$5:$C$1004,B118,KT_DMTT_ChiTiet!$N$5:$N$1004,1))</f>
        <v/>
      </c>
      <c r="L118" s="39" t="str">
        <f t="shared" si="6"/>
        <v/>
      </c>
      <c r="M118" s="46" t="str">
        <f t="shared" si="7"/>
        <v/>
      </c>
      <c r="N118" s="35" t="str">
        <f>IF(B118="","",IF(K118=0,IF(J118=0,"Pass",IF(COUNTIFS(BOM!$B$5:$B$1004,B118,BOM!$G$5:$G$1004,"KXDDM")&gt;0,"KXDDM","Xem xét")),IF(ABS(M118)&lt;=ThongTin!$C$11,"Pass","Xem xét")))</f>
        <v/>
      </c>
    </row>
    <row r="119" spans="1:14" x14ac:dyDescent="0.25">
      <c r="A119" s="35" t="str">
        <f t="shared" si="4"/>
        <v/>
      </c>
      <c r="B119" s="35" t="str">
        <f>IF('Mau15'!B125="","",'Mau15'!B125)</f>
        <v/>
      </c>
      <c r="C119" s="35" t="str">
        <f>IF(B119="","",'Mau15'!C125)</f>
        <v/>
      </c>
      <c r="D119" s="35" t="str">
        <f>IF(B119="","",'Mau15'!D125)</f>
        <v/>
      </c>
      <c r="E119" s="39" t="str">
        <f>IF(B119="","",'Mau15'!I125)</f>
        <v/>
      </c>
      <c r="F119" s="39" t="str">
        <f>IF(B119="","",SUMIFS(Cau_noi!$B$5:$B$304,Cau_noi!$A$5:$A$304,B119))</f>
        <v/>
      </c>
      <c r="G119" s="39" t="str">
        <f>IF(B119="","",SUMIFS(Cau_noi!$C$5:$C$304,Cau_noi!$A$5:$A$304,B119))</f>
        <v/>
      </c>
      <c r="H119" s="39" t="str">
        <f>IF(B119="","",SUMIFS(Cau_noi!$D$5:$D$304,Cau_noi!$A$5:$A$304,B119))</f>
        <v/>
      </c>
      <c r="I119" s="39" t="str">
        <f>IF(B119="","",SUMIFS(Cau_noi!$E$5:$E$304,Cau_noi!$A$5:$A$304,B119))</f>
        <v/>
      </c>
      <c r="J119" s="39" t="str">
        <f t="shared" si="5"/>
        <v/>
      </c>
      <c r="K119" s="39" t="str">
        <f>IF(B119="","",SUMIFS(KT_DMTT_ChiTiet!$H$5:$H$1004,KT_DMTT_ChiTiet!$C$5:$C$1004,B119,KT_DMTT_ChiTiet!$N$5:$N$1004,1))</f>
        <v/>
      </c>
      <c r="L119" s="39" t="str">
        <f t="shared" si="6"/>
        <v/>
      </c>
      <c r="M119" s="46" t="str">
        <f t="shared" si="7"/>
        <v/>
      </c>
      <c r="N119" s="35" t="str">
        <f>IF(B119="","",IF(K119=0,IF(J119=0,"Pass",IF(COUNTIFS(BOM!$B$5:$B$1004,B119,BOM!$G$5:$G$1004,"KXDDM")&gt;0,"KXDDM","Xem xét")),IF(ABS(M119)&lt;=ThongTin!$C$11,"Pass","Xem xét")))</f>
        <v/>
      </c>
    </row>
    <row r="120" spans="1:14" x14ac:dyDescent="0.25">
      <c r="A120" s="35" t="str">
        <f t="shared" si="4"/>
        <v/>
      </c>
      <c r="B120" s="35" t="str">
        <f>IF('Mau15'!B126="","",'Mau15'!B126)</f>
        <v/>
      </c>
      <c r="C120" s="35" t="str">
        <f>IF(B120="","",'Mau15'!C126)</f>
        <v/>
      </c>
      <c r="D120" s="35" t="str">
        <f>IF(B120="","",'Mau15'!D126)</f>
        <v/>
      </c>
      <c r="E120" s="39" t="str">
        <f>IF(B120="","",'Mau15'!I126)</f>
        <v/>
      </c>
      <c r="F120" s="39" t="str">
        <f>IF(B120="","",SUMIFS(Cau_noi!$B$5:$B$304,Cau_noi!$A$5:$A$304,B120))</f>
        <v/>
      </c>
      <c r="G120" s="39" t="str">
        <f>IF(B120="","",SUMIFS(Cau_noi!$C$5:$C$304,Cau_noi!$A$5:$A$304,B120))</f>
        <v/>
      </c>
      <c r="H120" s="39" t="str">
        <f>IF(B120="","",SUMIFS(Cau_noi!$D$5:$D$304,Cau_noi!$A$5:$A$304,B120))</f>
        <v/>
      </c>
      <c r="I120" s="39" t="str">
        <f>IF(B120="","",SUMIFS(Cau_noi!$E$5:$E$304,Cau_noi!$A$5:$A$304,B120))</f>
        <v/>
      </c>
      <c r="J120" s="39" t="str">
        <f t="shared" si="5"/>
        <v/>
      </c>
      <c r="K120" s="39" t="str">
        <f>IF(B120="","",SUMIFS(KT_DMTT_ChiTiet!$H$5:$H$1004,KT_DMTT_ChiTiet!$C$5:$C$1004,B120,KT_DMTT_ChiTiet!$N$5:$N$1004,1))</f>
        <v/>
      </c>
      <c r="L120" s="39" t="str">
        <f t="shared" si="6"/>
        <v/>
      </c>
      <c r="M120" s="46" t="str">
        <f t="shared" si="7"/>
        <v/>
      </c>
      <c r="N120" s="35" t="str">
        <f>IF(B120="","",IF(K120=0,IF(J120=0,"Pass",IF(COUNTIFS(BOM!$B$5:$B$1004,B120,BOM!$G$5:$G$1004,"KXDDM")&gt;0,"KXDDM","Xem xét")),IF(ABS(M120)&lt;=ThongTin!$C$11,"Pass","Xem xét")))</f>
        <v/>
      </c>
    </row>
    <row r="121" spans="1:14" x14ac:dyDescent="0.25">
      <c r="A121" s="35" t="str">
        <f t="shared" si="4"/>
        <v/>
      </c>
      <c r="B121" s="35" t="str">
        <f>IF('Mau15'!B127="","",'Mau15'!B127)</f>
        <v/>
      </c>
      <c r="C121" s="35" t="str">
        <f>IF(B121="","",'Mau15'!C127)</f>
        <v/>
      </c>
      <c r="D121" s="35" t="str">
        <f>IF(B121="","",'Mau15'!D127)</f>
        <v/>
      </c>
      <c r="E121" s="39" t="str">
        <f>IF(B121="","",'Mau15'!I127)</f>
        <v/>
      </c>
      <c r="F121" s="39" t="str">
        <f>IF(B121="","",SUMIFS(Cau_noi!$B$5:$B$304,Cau_noi!$A$5:$A$304,B121))</f>
        <v/>
      </c>
      <c r="G121" s="39" t="str">
        <f>IF(B121="","",SUMIFS(Cau_noi!$C$5:$C$304,Cau_noi!$A$5:$A$304,B121))</f>
        <v/>
      </c>
      <c r="H121" s="39" t="str">
        <f>IF(B121="","",SUMIFS(Cau_noi!$D$5:$D$304,Cau_noi!$A$5:$A$304,B121))</f>
        <v/>
      </c>
      <c r="I121" s="39" t="str">
        <f>IF(B121="","",SUMIFS(Cau_noi!$E$5:$E$304,Cau_noi!$A$5:$A$304,B121))</f>
        <v/>
      </c>
      <c r="J121" s="39" t="str">
        <f t="shared" si="5"/>
        <v/>
      </c>
      <c r="K121" s="39" t="str">
        <f>IF(B121="","",SUMIFS(KT_DMTT_ChiTiet!$H$5:$H$1004,KT_DMTT_ChiTiet!$C$5:$C$1004,B121,KT_DMTT_ChiTiet!$N$5:$N$1004,1))</f>
        <v/>
      </c>
      <c r="L121" s="39" t="str">
        <f t="shared" si="6"/>
        <v/>
      </c>
      <c r="M121" s="46" t="str">
        <f t="shared" si="7"/>
        <v/>
      </c>
      <c r="N121" s="35" t="str">
        <f>IF(B121="","",IF(K121=0,IF(J121=0,"Pass",IF(COUNTIFS(BOM!$B$5:$B$1004,B121,BOM!$G$5:$G$1004,"KXDDM")&gt;0,"KXDDM","Xem xét")),IF(ABS(M121)&lt;=ThongTin!$C$11,"Pass","Xem xét")))</f>
        <v/>
      </c>
    </row>
    <row r="122" spans="1:14" x14ac:dyDescent="0.25">
      <c r="A122" s="35" t="str">
        <f t="shared" si="4"/>
        <v/>
      </c>
      <c r="B122" s="35" t="str">
        <f>IF('Mau15'!B128="","",'Mau15'!B128)</f>
        <v/>
      </c>
      <c r="C122" s="35" t="str">
        <f>IF(B122="","",'Mau15'!C128)</f>
        <v/>
      </c>
      <c r="D122" s="35" t="str">
        <f>IF(B122="","",'Mau15'!D128)</f>
        <v/>
      </c>
      <c r="E122" s="39" t="str">
        <f>IF(B122="","",'Mau15'!I128)</f>
        <v/>
      </c>
      <c r="F122" s="39" t="str">
        <f>IF(B122="","",SUMIFS(Cau_noi!$B$5:$B$304,Cau_noi!$A$5:$A$304,B122))</f>
        <v/>
      </c>
      <c r="G122" s="39" t="str">
        <f>IF(B122="","",SUMIFS(Cau_noi!$C$5:$C$304,Cau_noi!$A$5:$A$304,B122))</f>
        <v/>
      </c>
      <c r="H122" s="39" t="str">
        <f>IF(B122="","",SUMIFS(Cau_noi!$D$5:$D$304,Cau_noi!$A$5:$A$304,B122))</f>
        <v/>
      </c>
      <c r="I122" s="39" t="str">
        <f>IF(B122="","",SUMIFS(Cau_noi!$E$5:$E$304,Cau_noi!$A$5:$A$304,B122))</f>
        <v/>
      </c>
      <c r="J122" s="39" t="str">
        <f t="shared" si="5"/>
        <v/>
      </c>
      <c r="K122" s="39" t="str">
        <f>IF(B122="","",SUMIFS(KT_DMTT_ChiTiet!$H$5:$H$1004,KT_DMTT_ChiTiet!$C$5:$C$1004,B122,KT_DMTT_ChiTiet!$N$5:$N$1004,1))</f>
        <v/>
      </c>
      <c r="L122" s="39" t="str">
        <f t="shared" si="6"/>
        <v/>
      </c>
      <c r="M122" s="46" t="str">
        <f t="shared" si="7"/>
        <v/>
      </c>
      <c r="N122" s="35" t="str">
        <f>IF(B122="","",IF(K122=0,IF(J122=0,"Pass",IF(COUNTIFS(BOM!$B$5:$B$1004,B122,BOM!$G$5:$G$1004,"KXDDM")&gt;0,"KXDDM","Xem xét")),IF(ABS(M122)&lt;=ThongTin!$C$11,"Pass","Xem xét")))</f>
        <v/>
      </c>
    </row>
    <row r="123" spans="1:14" x14ac:dyDescent="0.25">
      <c r="A123" s="35" t="str">
        <f t="shared" si="4"/>
        <v/>
      </c>
      <c r="B123" s="35" t="str">
        <f>IF('Mau15'!B129="","",'Mau15'!B129)</f>
        <v/>
      </c>
      <c r="C123" s="35" t="str">
        <f>IF(B123="","",'Mau15'!C129)</f>
        <v/>
      </c>
      <c r="D123" s="35" t="str">
        <f>IF(B123="","",'Mau15'!D129)</f>
        <v/>
      </c>
      <c r="E123" s="39" t="str">
        <f>IF(B123="","",'Mau15'!I129)</f>
        <v/>
      </c>
      <c r="F123" s="39" t="str">
        <f>IF(B123="","",SUMIFS(Cau_noi!$B$5:$B$304,Cau_noi!$A$5:$A$304,B123))</f>
        <v/>
      </c>
      <c r="G123" s="39" t="str">
        <f>IF(B123="","",SUMIFS(Cau_noi!$C$5:$C$304,Cau_noi!$A$5:$A$304,B123))</f>
        <v/>
      </c>
      <c r="H123" s="39" t="str">
        <f>IF(B123="","",SUMIFS(Cau_noi!$D$5:$D$304,Cau_noi!$A$5:$A$304,B123))</f>
        <v/>
      </c>
      <c r="I123" s="39" t="str">
        <f>IF(B123="","",SUMIFS(Cau_noi!$E$5:$E$304,Cau_noi!$A$5:$A$304,B123))</f>
        <v/>
      </c>
      <c r="J123" s="39" t="str">
        <f t="shared" si="5"/>
        <v/>
      </c>
      <c r="K123" s="39" t="str">
        <f>IF(B123="","",SUMIFS(KT_DMTT_ChiTiet!$H$5:$H$1004,KT_DMTT_ChiTiet!$C$5:$C$1004,B123,KT_DMTT_ChiTiet!$N$5:$N$1004,1))</f>
        <v/>
      </c>
      <c r="L123" s="39" t="str">
        <f t="shared" si="6"/>
        <v/>
      </c>
      <c r="M123" s="46" t="str">
        <f t="shared" si="7"/>
        <v/>
      </c>
      <c r="N123" s="35" t="str">
        <f>IF(B123="","",IF(K123=0,IF(J123=0,"Pass",IF(COUNTIFS(BOM!$B$5:$B$1004,B123,BOM!$G$5:$G$1004,"KXDDM")&gt;0,"KXDDM","Xem xét")),IF(ABS(M123)&lt;=ThongTin!$C$11,"Pass","Xem xét")))</f>
        <v/>
      </c>
    </row>
    <row r="124" spans="1:14" x14ac:dyDescent="0.25">
      <c r="A124" s="35" t="str">
        <f t="shared" si="4"/>
        <v/>
      </c>
      <c r="B124" s="35" t="str">
        <f>IF('Mau15'!B130="","",'Mau15'!B130)</f>
        <v/>
      </c>
      <c r="C124" s="35" t="str">
        <f>IF(B124="","",'Mau15'!C130)</f>
        <v/>
      </c>
      <c r="D124" s="35" t="str">
        <f>IF(B124="","",'Mau15'!D130)</f>
        <v/>
      </c>
      <c r="E124" s="39" t="str">
        <f>IF(B124="","",'Mau15'!I130)</f>
        <v/>
      </c>
      <c r="F124" s="39" t="str">
        <f>IF(B124="","",SUMIFS(Cau_noi!$B$5:$B$304,Cau_noi!$A$5:$A$304,B124))</f>
        <v/>
      </c>
      <c r="G124" s="39" t="str">
        <f>IF(B124="","",SUMIFS(Cau_noi!$C$5:$C$304,Cau_noi!$A$5:$A$304,B124))</f>
        <v/>
      </c>
      <c r="H124" s="39" t="str">
        <f>IF(B124="","",SUMIFS(Cau_noi!$D$5:$D$304,Cau_noi!$A$5:$A$304,B124))</f>
        <v/>
      </c>
      <c r="I124" s="39" t="str">
        <f>IF(B124="","",SUMIFS(Cau_noi!$E$5:$E$304,Cau_noi!$A$5:$A$304,B124))</f>
        <v/>
      </c>
      <c r="J124" s="39" t="str">
        <f t="shared" si="5"/>
        <v/>
      </c>
      <c r="K124" s="39" t="str">
        <f>IF(B124="","",SUMIFS(KT_DMTT_ChiTiet!$H$5:$H$1004,KT_DMTT_ChiTiet!$C$5:$C$1004,B124,KT_DMTT_ChiTiet!$N$5:$N$1004,1))</f>
        <v/>
      </c>
      <c r="L124" s="39" t="str">
        <f t="shared" si="6"/>
        <v/>
      </c>
      <c r="M124" s="46" t="str">
        <f t="shared" si="7"/>
        <v/>
      </c>
      <c r="N124" s="35" t="str">
        <f>IF(B124="","",IF(K124=0,IF(J124=0,"Pass",IF(COUNTIFS(BOM!$B$5:$B$1004,B124,BOM!$G$5:$G$1004,"KXDDM")&gt;0,"KXDDM","Xem xét")),IF(ABS(M124)&lt;=ThongTin!$C$11,"Pass","Xem xét")))</f>
        <v/>
      </c>
    </row>
    <row r="125" spans="1:14" x14ac:dyDescent="0.25">
      <c r="A125" s="35" t="str">
        <f t="shared" si="4"/>
        <v/>
      </c>
      <c r="B125" s="35" t="str">
        <f>IF('Mau15'!B131="","",'Mau15'!B131)</f>
        <v/>
      </c>
      <c r="C125" s="35" t="str">
        <f>IF(B125="","",'Mau15'!C131)</f>
        <v/>
      </c>
      <c r="D125" s="35" t="str">
        <f>IF(B125="","",'Mau15'!D131)</f>
        <v/>
      </c>
      <c r="E125" s="39" t="str">
        <f>IF(B125="","",'Mau15'!I131)</f>
        <v/>
      </c>
      <c r="F125" s="39" t="str">
        <f>IF(B125="","",SUMIFS(Cau_noi!$B$5:$B$304,Cau_noi!$A$5:$A$304,B125))</f>
        <v/>
      </c>
      <c r="G125" s="39" t="str">
        <f>IF(B125="","",SUMIFS(Cau_noi!$C$5:$C$304,Cau_noi!$A$5:$A$304,B125))</f>
        <v/>
      </c>
      <c r="H125" s="39" t="str">
        <f>IF(B125="","",SUMIFS(Cau_noi!$D$5:$D$304,Cau_noi!$A$5:$A$304,B125))</f>
        <v/>
      </c>
      <c r="I125" s="39" t="str">
        <f>IF(B125="","",SUMIFS(Cau_noi!$E$5:$E$304,Cau_noi!$A$5:$A$304,B125))</f>
        <v/>
      </c>
      <c r="J125" s="39" t="str">
        <f t="shared" si="5"/>
        <v/>
      </c>
      <c r="K125" s="39" t="str">
        <f>IF(B125="","",SUMIFS(KT_DMTT_ChiTiet!$H$5:$H$1004,KT_DMTT_ChiTiet!$C$5:$C$1004,B125,KT_DMTT_ChiTiet!$N$5:$N$1004,1))</f>
        <v/>
      </c>
      <c r="L125" s="39" t="str">
        <f t="shared" si="6"/>
        <v/>
      </c>
      <c r="M125" s="46" t="str">
        <f t="shared" si="7"/>
        <v/>
      </c>
      <c r="N125" s="35" t="str">
        <f>IF(B125="","",IF(K125=0,IF(J125=0,"Pass",IF(COUNTIFS(BOM!$B$5:$B$1004,B125,BOM!$G$5:$G$1004,"KXDDM")&gt;0,"KXDDM","Xem xét")),IF(ABS(M125)&lt;=ThongTin!$C$11,"Pass","Xem xét")))</f>
        <v/>
      </c>
    </row>
    <row r="126" spans="1:14" x14ac:dyDescent="0.25">
      <c r="A126" s="35" t="str">
        <f t="shared" si="4"/>
        <v/>
      </c>
      <c r="B126" s="35" t="str">
        <f>IF('Mau15'!B132="","",'Mau15'!B132)</f>
        <v/>
      </c>
      <c r="C126" s="35" t="str">
        <f>IF(B126="","",'Mau15'!C132)</f>
        <v/>
      </c>
      <c r="D126" s="35" t="str">
        <f>IF(B126="","",'Mau15'!D132)</f>
        <v/>
      </c>
      <c r="E126" s="39" t="str">
        <f>IF(B126="","",'Mau15'!I132)</f>
        <v/>
      </c>
      <c r="F126" s="39" t="str">
        <f>IF(B126="","",SUMIFS(Cau_noi!$B$5:$B$304,Cau_noi!$A$5:$A$304,B126))</f>
        <v/>
      </c>
      <c r="G126" s="39" t="str">
        <f>IF(B126="","",SUMIFS(Cau_noi!$C$5:$C$304,Cau_noi!$A$5:$A$304,B126))</f>
        <v/>
      </c>
      <c r="H126" s="39" t="str">
        <f>IF(B126="","",SUMIFS(Cau_noi!$D$5:$D$304,Cau_noi!$A$5:$A$304,B126))</f>
        <v/>
      </c>
      <c r="I126" s="39" t="str">
        <f>IF(B126="","",SUMIFS(Cau_noi!$E$5:$E$304,Cau_noi!$A$5:$A$304,B126))</f>
        <v/>
      </c>
      <c r="J126" s="39" t="str">
        <f t="shared" si="5"/>
        <v/>
      </c>
      <c r="K126" s="39" t="str">
        <f>IF(B126="","",SUMIFS(KT_DMTT_ChiTiet!$H$5:$H$1004,KT_DMTT_ChiTiet!$C$5:$C$1004,B126,KT_DMTT_ChiTiet!$N$5:$N$1004,1))</f>
        <v/>
      </c>
      <c r="L126" s="39" t="str">
        <f t="shared" si="6"/>
        <v/>
      </c>
      <c r="M126" s="46" t="str">
        <f t="shared" si="7"/>
        <v/>
      </c>
      <c r="N126" s="35" t="str">
        <f>IF(B126="","",IF(K126=0,IF(J126=0,"Pass",IF(COUNTIFS(BOM!$B$5:$B$1004,B126,BOM!$G$5:$G$1004,"KXDDM")&gt;0,"KXDDM","Xem xét")),IF(ABS(M126)&lt;=ThongTin!$C$11,"Pass","Xem xét")))</f>
        <v/>
      </c>
    </row>
    <row r="127" spans="1:14" x14ac:dyDescent="0.25">
      <c r="A127" s="35" t="str">
        <f t="shared" si="4"/>
        <v/>
      </c>
      <c r="B127" s="35" t="str">
        <f>IF('Mau15'!B133="","",'Mau15'!B133)</f>
        <v/>
      </c>
      <c r="C127" s="35" t="str">
        <f>IF(B127="","",'Mau15'!C133)</f>
        <v/>
      </c>
      <c r="D127" s="35" t="str">
        <f>IF(B127="","",'Mau15'!D133)</f>
        <v/>
      </c>
      <c r="E127" s="39" t="str">
        <f>IF(B127="","",'Mau15'!I133)</f>
        <v/>
      </c>
      <c r="F127" s="39" t="str">
        <f>IF(B127="","",SUMIFS(Cau_noi!$B$5:$B$304,Cau_noi!$A$5:$A$304,B127))</f>
        <v/>
      </c>
      <c r="G127" s="39" t="str">
        <f>IF(B127="","",SUMIFS(Cau_noi!$C$5:$C$304,Cau_noi!$A$5:$A$304,B127))</f>
        <v/>
      </c>
      <c r="H127" s="39" t="str">
        <f>IF(B127="","",SUMIFS(Cau_noi!$D$5:$D$304,Cau_noi!$A$5:$A$304,B127))</f>
        <v/>
      </c>
      <c r="I127" s="39" t="str">
        <f>IF(B127="","",SUMIFS(Cau_noi!$E$5:$E$304,Cau_noi!$A$5:$A$304,B127))</f>
        <v/>
      </c>
      <c r="J127" s="39" t="str">
        <f t="shared" si="5"/>
        <v/>
      </c>
      <c r="K127" s="39" t="str">
        <f>IF(B127="","",SUMIFS(KT_DMTT_ChiTiet!$H$5:$H$1004,KT_DMTT_ChiTiet!$C$5:$C$1004,B127,KT_DMTT_ChiTiet!$N$5:$N$1004,1))</f>
        <v/>
      </c>
      <c r="L127" s="39" t="str">
        <f t="shared" si="6"/>
        <v/>
      </c>
      <c r="M127" s="46" t="str">
        <f t="shared" si="7"/>
        <v/>
      </c>
      <c r="N127" s="35" t="str">
        <f>IF(B127="","",IF(K127=0,IF(J127=0,"Pass",IF(COUNTIFS(BOM!$B$5:$B$1004,B127,BOM!$G$5:$G$1004,"KXDDM")&gt;0,"KXDDM","Xem xét")),IF(ABS(M127)&lt;=ThongTin!$C$11,"Pass","Xem xét")))</f>
        <v/>
      </c>
    </row>
    <row r="128" spans="1:14" x14ac:dyDescent="0.25">
      <c r="A128" s="35" t="str">
        <f t="shared" si="4"/>
        <v/>
      </c>
      <c r="B128" s="35" t="str">
        <f>IF('Mau15'!B134="","",'Mau15'!B134)</f>
        <v/>
      </c>
      <c r="C128" s="35" t="str">
        <f>IF(B128="","",'Mau15'!C134)</f>
        <v/>
      </c>
      <c r="D128" s="35" t="str">
        <f>IF(B128="","",'Mau15'!D134)</f>
        <v/>
      </c>
      <c r="E128" s="39" t="str">
        <f>IF(B128="","",'Mau15'!I134)</f>
        <v/>
      </c>
      <c r="F128" s="39" t="str">
        <f>IF(B128="","",SUMIFS(Cau_noi!$B$5:$B$304,Cau_noi!$A$5:$A$304,B128))</f>
        <v/>
      </c>
      <c r="G128" s="39" t="str">
        <f>IF(B128="","",SUMIFS(Cau_noi!$C$5:$C$304,Cau_noi!$A$5:$A$304,B128))</f>
        <v/>
      </c>
      <c r="H128" s="39" t="str">
        <f>IF(B128="","",SUMIFS(Cau_noi!$D$5:$D$304,Cau_noi!$A$5:$A$304,B128))</f>
        <v/>
      </c>
      <c r="I128" s="39" t="str">
        <f>IF(B128="","",SUMIFS(Cau_noi!$E$5:$E$304,Cau_noi!$A$5:$A$304,B128))</f>
        <v/>
      </c>
      <c r="J128" s="39" t="str">
        <f t="shared" si="5"/>
        <v/>
      </c>
      <c r="K128" s="39" t="str">
        <f>IF(B128="","",SUMIFS(KT_DMTT_ChiTiet!$H$5:$H$1004,KT_DMTT_ChiTiet!$C$5:$C$1004,B128,KT_DMTT_ChiTiet!$N$5:$N$1004,1))</f>
        <v/>
      </c>
      <c r="L128" s="39" t="str">
        <f t="shared" si="6"/>
        <v/>
      </c>
      <c r="M128" s="46" t="str">
        <f t="shared" si="7"/>
        <v/>
      </c>
      <c r="N128" s="35" t="str">
        <f>IF(B128="","",IF(K128=0,IF(J128=0,"Pass",IF(COUNTIFS(BOM!$B$5:$B$1004,B128,BOM!$G$5:$G$1004,"KXDDM")&gt;0,"KXDDM","Xem xét")),IF(ABS(M128)&lt;=ThongTin!$C$11,"Pass","Xem xét")))</f>
        <v/>
      </c>
    </row>
    <row r="129" spans="1:14" x14ac:dyDescent="0.25">
      <c r="A129" s="35" t="str">
        <f t="shared" si="4"/>
        <v/>
      </c>
      <c r="B129" s="35" t="str">
        <f>IF('Mau15'!B135="","",'Mau15'!B135)</f>
        <v/>
      </c>
      <c r="C129" s="35" t="str">
        <f>IF(B129="","",'Mau15'!C135)</f>
        <v/>
      </c>
      <c r="D129" s="35" t="str">
        <f>IF(B129="","",'Mau15'!D135)</f>
        <v/>
      </c>
      <c r="E129" s="39" t="str">
        <f>IF(B129="","",'Mau15'!I135)</f>
        <v/>
      </c>
      <c r="F129" s="39" t="str">
        <f>IF(B129="","",SUMIFS(Cau_noi!$B$5:$B$304,Cau_noi!$A$5:$A$304,B129))</f>
        <v/>
      </c>
      <c r="G129" s="39" t="str">
        <f>IF(B129="","",SUMIFS(Cau_noi!$C$5:$C$304,Cau_noi!$A$5:$A$304,B129))</f>
        <v/>
      </c>
      <c r="H129" s="39" t="str">
        <f>IF(B129="","",SUMIFS(Cau_noi!$D$5:$D$304,Cau_noi!$A$5:$A$304,B129))</f>
        <v/>
      </c>
      <c r="I129" s="39" t="str">
        <f>IF(B129="","",SUMIFS(Cau_noi!$E$5:$E$304,Cau_noi!$A$5:$A$304,B129))</f>
        <v/>
      </c>
      <c r="J129" s="39" t="str">
        <f t="shared" si="5"/>
        <v/>
      </c>
      <c r="K129" s="39" t="str">
        <f>IF(B129="","",SUMIFS(KT_DMTT_ChiTiet!$H$5:$H$1004,KT_DMTT_ChiTiet!$C$5:$C$1004,B129,KT_DMTT_ChiTiet!$N$5:$N$1004,1))</f>
        <v/>
      </c>
      <c r="L129" s="39" t="str">
        <f t="shared" si="6"/>
        <v/>
      </c>
      <c r="M129" s="46" t="str">
        <f t="shared" si="7"/>
        <v/>
      </c>
      <c r="N129" s="35" t="str">
        <f>IF(B129="","",IF(K129=0,IF(J129=0,"Pass",IF(COUNTIFS(BOM!$B$5:$B$1004,B129,BOM!$G$5:$G$1004,"KXDDM")&gt;0,"KXDDM","Xem xét")),IF(ABS(M129)&lt;=ThongTin!$C$11,"Pass","Xem xét")))</f>
        <v/>
      </c>
    </row>
    <row r="130" spans="1:14" x14ac:dyDescent="0.25">
      <c r="A130" s="35" t="str">
        <f t="shared" si="4"/>
        <v/>
      </c>
      <c r="B130" s="35" t="str">
        <f>IF('Mau15'!B136="","",'Mau15'!B136)</f>
        <v/>
      </c>
      <c r="C130" s="35" t="str">
        <f>IF(B130="","",'Mau15'!C136)</f>
        <v/>
      </c>
      <c r="D130" s="35" t="str">
        <f>IF(B130="","",'Mau15'!D136)</f>
        <v/>
      </c>
      <c r="E130" s="39" t="str">
        <f>IF(B130="","",'Mau15'!I136)</f>
        <v/>
      </c>
      <c r="F130" s="39" t="str">
        <f>IF(B130="","",SUMIFS(Cau_noi!$B$5:$B$304,Cau_noi!$A$5:$A$304,B130))</f>
        <v/>
      </c>
      <c r="G130" s="39" t="str">
        <f>IF(B130="","",SUMIFS(Cau_noi!$C$5:$C$304,Cau_noi!$A$5:$A$304,B130))</f>
        <v/>
      </c>
      <c r="H130" s="39" t="str">
        <f>IF(B130="","",SUMIFS(Cau_noi!$D$5:$D$304,Cau_noi!$A$5:$A$304,B130))</f>
        <v/>
      </c>
      <c r="I130" s="39" t="str">
        <f>IF(B130="","",SUMIFS(Cau_noi!$E$5:$E$304,Cau_noi!$A$5:$A$304,B130))</f>
        <v/>
      </c>
      <c r="J130" s="39" t="str">
        <f t="shared" si="5"/>
        <v/>
      </c>
      <c r="K130" s="39" t="str">
        <f>IF(B130="","",SUMIFS(KT_DMTT_ChiTiet!$H$5:$H$1004,KT_DMTT_ChiTiet!$C$5:$C$1004,B130,KT_DMTT_ChiTiet!$N$5:$N$1004,1))</f>
        <v/>
      </c>
      <c r="L130" s="39" t="str">
        <f t="shared" si="6"/>
        <v/>
      </c>
      <c r="M130" s="46" t="str">
        <f t="shared" si="7"/>
        <v/>
      </c>
      <c r="N130" s="35" t="str">
        <f>IF(B130="","",IF(K130=0,IF(J130=0,"Pass",IF(COUNTIFS(BOM!$B$5:$B$1004,B130,BOM!$G$5:$G$1004,"KXDDM")&gt;0,"KXDDM","Xem xét")),IF(ABS(M130)&lt;=ThongTin!$C$11,"Pass","Xem xét")))</f>
        <v/>
      </c>
    </row>
    <row r="131" spans="1:14" x14ac:dyDescent="0.25">
      <c r="A131" s="35" t="str">
        <f t="shared" si="4"/>
        <v/>
      </c>
      <c r="B131" s="35" t="str">
        <f>IF('Mau15'!B137="","",'Mau15'!B137)</f>
        <v/>
      </c>
      <c r="C131" s="35" t="str">
        <f>IF(B131="","",'Mau15'!C137)</f>
        <v/>
      </c>
      <c r="D131" s="35" t="str">
        <f>IF(B131="","",'Mau15'!D137)</f>
        <v/>
      </c>
      <c r="E131" s="39" t="str">
        <f>IF(B131="","",'Mau15'!I137)</f>
        <v/>
      </c>
      <c r="F131" s="39" t="str">
        <f>IF(B131="","",SUMIFS(Cau_noi!$B$5:$B$304,Cau_noi!$A$5:$A$304,B131))</f>
        <v/>
      </c>
      <c r="G131" s="39" t="str">
        <f>IF(B131="","",SUMIFS(Cau_noi!$C$5:$C$304,Cau_noi!$A$5:$A$304,B131))</f>
        <v/>
      </c>
      <c r="H131" s="39" t="str">
        <f>IF(B131="","",SUMIFS(Cau_noi!$D$5:$D$304,Cau_noi!$A$5:$A$304,B131))</f>
        <v/>
      </c>
      <c r="I131" s="39" t="str">
        <f>IF(B131="","",SUMIFS(Cau_noi!$E$5:$E$304,Cau_noi!$A$5:$A$304,B131))</f>
        <v/>
      </c>
      <c r="J131" s="39" t="str">
        <f t="shared" si="5"/>
        <v/>
      </c>
      <c r="K131" s="39" t="str">
        <f>IF(B131="","",SUMIFS(KT_DMTT_ChiTiet!$H$5:$H$1004,KT_DMTT_ChiTiet!$C$5:$C$1004,B131,KT_DMTT_ChiTiet!$N$5:$N$1004,1))</f>
        <v/>
      </c>
      <c r="L131" s="39" t="str">
        <f t="shared" si="6"/>
        <v/>
      </c>
      <c r="M131" s="46" t="str">
        <f t="shared" si="7"/>
        <v/>
      </c>
      <c r="N131" s="35" t="str">
        <f>IF(B131="","",IF(K131=0,IF(J131=0,"Pass",IF(COUNTIFS(BOM!$B$5:$B$1004,B131,BOM!$G$5:$G$1004,"KXDDM")&gt;0,"KXDDM","Xem xét")),IF(ABS(M131)&lt;=ThongTin!$C$11,"Pass","Xem xét")))</f>
        <v/>
      </c>
    </row>
    <row r="132" spans="1:14" x14ac:dyDescent="0.25">
      <c r="A132" s="35" t="str">
        <f t="shared" si="4"/>
        <v/>
      </c>
      <c r="B132" s="35" t="str">
        <f>IF('Mau15'!B138="","",'Mau15'!B138)</f>
        <v/>
      </c>
      <c r="C132" s="35" t="str">
        <f>IF(B132="","",'Mau15'!C138)</f>
        <v/>
      </c>
      <c r="D132" s="35" t="str">
        <f>IF(B132="","",'Mau15'!D138)</f>
        <v/>
      </c>
      <c r="E132" s="39" t="str">
        <f>IF(B132="","",'Mau15'!I138)</f>
        <v/>
      </c>
      <c r="F132" s="39" t="str">
        <f>IF(B132="","",SUMIFS(Cau_noi!$B$5:$B$304,Cau_noi!$A$5:$A$304,B132))</f>
        <v/>
      </c>
      <c r="G132" s="39" t="str">
        <f>IF(B132="","",SUMIFS(Cau_noi!$C$5:$C$304,Cau_noi!$A$5:$A$304,B132))</f>
        <v/>
      </c>
      <c r="H132" s="39" t="str">
        <f>IF(B132="","",SUMIFS(Cau_noi!$D$5:$D$304,Cau_noi!$A$5:$A$304,B132))</f>
        <v/>
      </c>
      <c r="I132" s="39" t="str">
        <f>IF(B132="","",SUMIFS(Cau_noi!$E$5:$E$304,Cau_noi!$A$5:$A$304,B132))</f>
        <v/>
      </c>
      <c r="J132" s="39" t="str">
        <f t="shared" si="5"/>
        <v/>
      </c>
      <c r="K132" s="39" t="str">
        <f>IF(B132="","",SUMIFS(KT_DMTT_ChiTiet!$H$5:$H$1004,KT_DMTT_ChiTiet!$C$5:$C$1004,B132,KT_DMTT_ChiTiet!$N$5:$N$1004,1))</f>
        <v/>
      </c>
      <c r="L132" s="39" t="str">
        <f t="shared" si="6"/>
        <v/>
      </c>
      <c r="M132" s="46" t="str">
        <f t="shared" si="7"/>
        <v/>
      </c>
      <c r="N132" s="35" t="str">
        <f>IF(B132="","",IF(K132=0,IF(J132=0,"Pass",IF(COUNTIFS(BOM!$B$5:$B$1004,B132,BOM!$G$5:$G$1004,"KXDDM")&gt;0,"KXDDM","Xem xét")),IF(ABS(M132)&lt;=ThongTin!$C$11,"Pass","Xem xét")))</f>
        <v/>
      </c>
    </row>
    <row r="133" spans="1:14" x14ac:dyDescent="0.25">
      <c r="A133" s="35" t="str">
        <f t="shared" ref="A133:A196" si="8">IF(B133="","",ROW()-4)</f>
        <v/>
      </c>
      <c r="B133" s="35" t="str">
        <f>IF('Mau15'!B139="","",'Mau15'!B139)</f>
        <v/>
      </c>
      <c r="C133" s="35" t="str">
        <f>IF(B133="","",'Mau15'!C139)</f>
        <v/>
      </c>
      <c r="D133" s="35" t="str">
        <f>IF(B133="","",'Mau15'!D139)</f>
        <v/>
      </c>
      <c r="E133" s="39" t="str">
        <f>IF(B133="","",'Mau15'!I139)</f>
        <v/>
      </c>
      <c r="F133" s="39" t="str">
        <f>IF(B133="","",SUMIFS(Cau_noi!$B$5:$B$304,Cau_noi!$A$5:$A$304,B133))</f>
        <v/>
      </c>
      <c r="G133" s="39" t="str">
        <f>IF(B133="","",SUMIFS(Cau_noi!$C$5:$C$304,Cau_noi!$A$5:$A$304,B133))</f>
        <v/>
      </c>
      <c r="H133" s="39" t="str">
        <f>IF(B133="","",SUMIFS(Cau_noi!$D$5:$D$304,Cau_noi!$A$5:$A$304,B133))</f>
        <v/>
      </c>
      <c r="I133" s="39" t="str">
        <f>IF(B133="","",SUMIFS(Cau_noi!$E$5:$E$304,Cau_noi!$A$5:$A$304,B133))</f>
        <v/>
      </c>
      <c r="J133" s="39" t="str">
        <f t="shared" ref="J133:J196" si="9">IF(B133="","",E133+F133+G133-H133-I133)</f>
        <v/>
      </c>
      <c r="K133" s="39" t="str">
        <f>IF(B133="","",SUMIFS(KT_DMTT_ChiTiet!$H$5:$H$1004,KT_DMTT_ChiTiet!$C$5:$C$1004,B133,KT_DMTT_ChiTiet!$N$5:$N$1004,1))</f>
        <v/>
      </c>
      <c r="L133" s="39" t="str">
        <f t="shared" ref="L133:L196" si="10">IF(B133="","",J133-K133)</f>
        <v/>
      </c>
      <c r="M133" s="46" t="str">
        <f t="shared" ref="M133:M196" si="11">IF(OR(B133="",K133=0),"",L133/K133)</f>
        <v/>
      </c>
      <c r="N133" s="35" t="str">
        <f>IF(B133="","",IF(K133=0,IF(J133=0,"Pass",IF(COUNTIFS(BOM!$B$5:$B$1004,B133,BOM!$G$5:$G$1004,"KXDDM")&gt;0,"KXDDM","Xem xét")),IF(ABS(M133)&lt;=ThongTin!$C$11,"Pass","Xem xét")))</f>
        <v/>
      </c>
    </row>
    <row r="134" spans="1:14" x14ac:dyDescent="0.25">
      <c r="A134" s="35" t="str">
        <f t="shared" si="8"/>
        <v/>
      </c>
      <c r="B134" s="35" t="str">
        <f>IF('Mau15'!B140="","",'Mau15'!B140)</f>
        <v/>
      </c>
      <c r="C134" s="35" t="str">
        <f>IF(B134="","",'Mau15'!C140)</f>
        <v/>
      </c>
      <c r="D134" s="35" t="str">
        <f>IF(B134="","",'Mau15'!D140)</f>
        <v/>
      </c>
      <c r="E134" s="39" t="str">
        <f>IF(B134="","",'Mau15'!I140)</f>
        <v/>
      </c>
      <c r="F134" s="39" t="str">
        <f>IF(B134="","",SUMIFS(Cau_noi!$B$5:$B$304,Cau_noi!$A$5:$A$304,B134))</f>
        <v/>
      </c>
      <c r="G134" s="39" t="str">
        <f>IF(B134="","",SUMIFS(Cau_noi!$C$5:$C$304,Cau_noi!$A$5:$A$304,B134))</f>
        <v/>
      </c>
      <c r="H134" s="39" t="str">
        <f>IF(B134="","",SUMIFS(Cau_noi!$D$5:$D$304,Cau_noi!$A$5:$A$304,B134))</f>
        <v/>
      </c>
      <c r="I134" s="39" t="str">
        <f>IF(B134="","",SUMIFS(Cau_noi!$E$5:$E$304,Cau_noi!$A$5:$A$304,B134))</f>
        <v/>
      </c>
      <c r="J134" s="39" t="str">
        <f t="shared" si="9"/>
        <v/>
      </c>
      <c r="K134" s="39" t="str">
        <f>IF(B134="","",SUMIFS(KT_DMTT_ChiTiet!$H$5:$H$1004,KT_DMTT_ChiTiet!$C$5:$C$1004,B134,KT_DMTT_ChiTiet!$N$5:$N$1004,1))</f>
        <v/>
      </c>
      <c r="L134" s="39" t="str">
        <f t="shared" si="10"/>
        <v/>
      </c>
      <c r="M134" s="46" t="str">
        <f t="shared" si="11"/>
        <v/>
      </c>
      <c r="N134" s="35" t="str">
        <f>IF(B134="","",IF(K134=0,IF(J134=0,"Pass",IF(COUNTIFS(BOM!$B$5:$B$1004,B134,BOM!$G$5:$G$1004,"KXDDM")&gt;0,"KXDDM","Xem xét")),IF(ABS(M134)&lt;=ThongTin!$C$11,"Pass","Xem xét")))</f>
        <v/>
      </c>
    </row>
    <row r="135" spans="1:14" x14ac:dyDescent="0.25">
      <c r="A135" s="35" t="str">
        <f t="shared" si="8"/>
        <v/>
      </c>
      <c r="B135" s="35" t="str">
        <f>IF('Mau15'!B141="","",'Mau15'!B141)</f>
        <v/>
      </c>
      <c r="C135" s="35" t="str">
        <f>IF(B135="","",'Mau15'!C141)</f>
        <v/>
      </c>
      <c r="D135" s="35" t="str">
        <f>IF(B135="","",'Mau15'!D141)</f>
        <v/>
      </c>
      <c r="E135" s="39" t="str">
        <f>IF(B135="","",'Mau15'!I141)</f>
        <v/>
      </c>
      <c r="F135" s="39" t="str">
        <f>IF(B135="","",SUMIFS(Cau_noi!$B$5:$B$304,Cau_noi!$A$5:$A$304,B135))</f>
        <v/>
      </c>
      <c r="G135" s="39" t="str">
        <f>IF(B135="","",SUMIFS(Cau_noi!$C$5:$C$304,Cau_noi!$A$5:$A$304,B135))</f>
        <v/>
      </c>
      <c r="H135" s="39" t="str">
        <f>IF(B135="","",SUMIFS(Cau_noi!$D$5:$D$304,Cau_noi!$A$5:$A$304,B135))</f>
        <v/>
      </c>
      <c r="I135" s="39" t="str">
        <f>IF(B135="","",SUMIFS(Cau_noi!$E$5:$E$304,Cau_noi!$A$5:$A$304,B135))</f>
        <v/>
      </c>
      <c r="J135" s="39" t="str">
        <f t="shared" si="9"/>
        <v/>
      </c>
      <c r="K135" s="39" t="str">
        <f>IF(B135="","",SUMIFS(KT_DMTT_ChiTiet!$H$5:$H$1004,KT_DMTT_ChiTiet!$C$5:$C$1004,B135,KT_DMTT_ChiTiet!$N$5:$N$1004,1))</f>
        <v/>
      </c>
      <c r="L135" s="39" t="str">
        <f t="shared" si="10"/>
        <v/>
      </c>
      <c r="M135" s="46" t="str">
        <f t="shared" si="11"/>
        <v/>
      </c>
      <c r="N135" s="35" t="str">
        <f>IF(B135="","",IF(K135=0,IF(J135=0,"Pass",IF(COUNTIFS(BOM!$B$5:$B$1004,B135,BOM!$G$5:$G$1004,"KXDDM")&gt;0,"KXDDM","Xem xét")),IF(ABS(M135)&lt;=ThongTin!$C$11,"Pass","Xem xét")))</f>
        <v/>
      </c>
    </row>
    <row r="136" spans="1:14" x14ac:dyDescent="0.25">
      <c r="A136" s="35" t="str">
        <f t="shared" si="8"/>
        <v/>
      </c>
      <c r="B136" s="35" t="str">
        <f>IF('Mau15'!B142="","",'Mau15'!B142)</f>
        <v/>
      </c>
      <c r="C136" s="35" t="str">
        <f>IF(B136="","",'Mau15'!C142)</f>
        <v/>
      </c>
      <c r="D136" s="35" t="str">
        <f>IF(B136="","",'Mau15'!D142)</f>
        <v/>
      </c>
      <c r="E136" s="39" t="str">
        <f>IF(B136="","",'Mau15'!I142)</f>
        <v/>
      </c>
      <c r="F136" s="39" t="str">
        <f>IF(B136="","",SUMIFS(Cau_noi!$B$5:$B$304,Cau_noi!$A$5:$A$304,B136))</f>
        <v/>
      </c>
      <c r="G136" s="39" t="str">
        <f>IF(B136="","",SUMIFS(Cau_noi!$C$5:$C$304,Cau_noi!$A$5:$A$304,B136))</f>
        <v/>
      </c>
      <c r="H136" s="39" t="str">
        <f>IF(B136="","",SUMIFS(Cau_noi!$D$5:$D$304,Cau_noi!$A$5:$A$304,B136))</f>
        <v/>
      </c>
      <c r="I136" s="39" t="str">
        <f>IF(B136="","",SUMIFS(Cau_noi!$E$5:$E$304,Cau_noi!$A$5:$A$304,B136))</f>
        <v/>
      </c>
      <c r="J136" s="39" t="str">
        <f t="shared" si="9"/>
        <v/>
      </c>
      <c r="K136" s="39" t="str">
        <f>IF(B136="","",SUMIFS(KT_DMTT_ChiTiet!$H$5:$H$1004,KT_DMTT_ChiTiet!$C$5:$C$1004,B136,KT_DMTT_ChiTiet!$N$5:$N$1004,1))</f>
        <v/>
      </c>
      <c r="L136" s="39" t="str">
        <f t="shared" si="10"/>
        <v/>
      </c>
      <c r="M136" s="46" t="str">
        <f t="shared" si="11"/>
        <v/>
      </c>
      <c r="N136" s="35" t="str">
        <f>IF(B136="","",IF(K136=0,IF(J136=0,"Pass",IF(COUNTIFS(BOM!$B$5:$B$1004,B136,BOM!$G$5:$G$1004,"KXDDM")&gt;0,"KXDDM","Xem xét")),IF(ABS(M136)&lt;=ThongTin!$C$11,"Pass","Xem xét")))</f>
        <v/>
      </c>
    </row>
    <row r="137" spans="1:14" x14ac:dyDescent="0.25">
      <c r="A137" s="35" t="str">
        <f t="shared" si="8"/>
        <v/>
      </c>
      <c r="B137" s="35" t="str">
        <f>IF('Mau15'!B143="","",'Mau15'!B143)</f>
        <v/>
      </c>
      <c r="C137" s="35" t="str">
        <f>IF(B137="","",'Mau15'!C143)</f>
        <v/>
      </c>
      <c r="D137" s="35" t="str">
        <f>IF(B137="","",'Mau15'!D143)</f>
        <v/>
      </c>
      <c r="E137" s="39" t="str">
        <f>IF(B137="","",'Mau15'!I143)</f>
        <v/>
      </c>
      <c r="F137" s="39" t="str">
        <f>IF(B137="","",SUMIFS(Cau_noi!$B$5:$B$304,Cau_noi!$A$5:$A$304,B137))</f>
        <v/>
      </c>
      <c r="G137" s="39" t="str">
        <f>IF(B137="","",SUMIFS(Cau_noi!$C$5:$C$304,Cau_noi!$A$5:$A$304,B137))</f>
        <v/>
      </c>
      <c r="H137" s="39" t="str">
        <f>IF(B137="","",SUMIFS(Cau_noi!$D$5:$D$304,Cau_noi!$A$5:$A$304,B137))</f>
        <v/>
      </c>
      <c r="I137" s="39" t="str">
        <f>IF(B137="","",SUMIFS(Cau_noi!$E$5:$E$304,Cau_noi!$A$5:$A$304,B137))</f>
        <v/>
      </c>
      <c r="J137" s="39" t="str">
        <f t="shared" si="9"/>
        <v/>
      </c>
      <c r="K137" s="39" t="str">
        <f>IF(B137="","",SUMIFS(KT_DMTT_ChiTiet!$H$5:$H$1004,KT_DMTT_ChiTiet!$C$5:$C$1004,B137,KT_DMTT_ChiTiet!$N$5:$N$1004,1))</f>
        <v/>
      </c>
      <c r="L137" s="39" t="str">
        <f t="shared" si="10"/>
        <v/>
      </c>
      <c r="M137" s="46" t="str">
        <f t="shared" si="11"/>
        <v/>
      </c>
      <c r="N137" s="35" t="str">
        <f>IF(B137="","",IF(K137=0,IF(J137=0,"Pass",IF(COUNTIFS(BOM!$B$5:$B$1004,B137,BOM!$G$5:$G$1004,"KXDDM")&gt;0,"KXDDM","Xem xét")),IF(ABS(M137)&lt;=ThongTin!$C$11,"Pass","Xem xét")))</f>
        <v/>
      </c>
    </row>
    <row r="138" spans="1:14" x14ac:dyDescent="0.25">
      <c r="A138" s="35" t="str">
        <f t="shared" si="8"/>
        <v/>
      </c>
      <c r="B138" s="35" t="str">
        <f>IF('Mau15'!B144="","",'Mau15'!B144)</f>
        <v/>
      </c>
      <c r="C138" s="35" t="str">
        <f>IF(B138="","",'Mau15'!C144)</f>
        <v/>
      </c>
      <c r="D138" s="35" t="str">
        <f>IF(B138="","",'Mau15'!D144)</f>
        <v/>
      </c>
      <c r="E138" s="39" t="str">
        <f>IF(B138="","",'Mau15'!I144)</f>
        <v/>
      </c>
      <c r="F138" s="39" t="str">
        <f>IF(B138="","",SUMIFS(Cau_noi!$B$5:$B$304,Cau_noi!$A$5:$A$304,B138))</f>
        <v/>
      </c>
      <c r="G138" s="39" t="str">
        <f>IF(B138="","",SUMIFS(Cau_noi!$C$5:$C$304,Cau_noi!$A$5:$A$304,B138))</f>
        <v/>
      </c>
      <c r="H138" s="39" t="str">
        <f>IF(B138="","",SUMIFS(Cau_noi!$D$5:$D$304,Cau_noi!$A$5:$A$304,B138))</f>
        <v/>
      </c>
      <c r="I138" s="39" t="str">
        <f>IF(B138="","",SUMIFS(Cau_noi!$E$5:$E$304,Cau_noi!$A$5:$A$304,B138))</f>
        <v/>
      </c>
      <c r="J138" s="39" t="str">
        <f t="shared" si="9"/>
        <v/>
      </c>
      <c r="K138" s="39" t="str">
        <f>IF(B138="","",SUMIFS(KT_DMTT_ChiTiet!$H$5:$H$1004,KT_DMTT_ChiTiet!$C$5:$C$1004,B138,KT_DMTT_ChiTiet!$N$5:$N$1004,1))</f>
        <v/>
      </c>
      <c r="L138" s="39" t="str">
        <f t="shared" si="10"/>
        <v/>
      </c>
      <c r="M138" s="46" t="str">
        <f t="shared" si="11"/>
        <v/>
      </c>
      <c r="N138" s="35" t="str">
        <f>IF(B138="","",IF(K138=0,IF(J138=0,"Pass",IF(COUNTIFS(BOM!$B$5:$B$1004,B138,BOM!$G$5:$G$1004,"KXDDM")&gt;0,"KXDDM","Xem xét")),IF(ABS(M138)&lt;=ThongTin!$C$11,"Pass","Xem xét")))</f>
        <v/>
      </c>
    </row>
    <row r="139" spans="1:14" x14ac:dyDescent="0.25">
      <c r="A139" s="35" t="str">
        <f t="shared" si="8"/>
        <v/>
      </c>
      <c r="B139" s="35" t="str">
        <f>IF('Mau15'!B145="","",'Mau15'!B145)</f>
        <v/>
      </c>
      <c r="C139" s="35" t="str">
        <f>IF(B139="","",'Mau15'!C145)</f>
        <v/>
      </c>
      <c r="D139" s="35" t="str">
        <f>IF(B139="","",'Mau15'!D145)</f>
        <v/>
      </c>
      <c r="E139" s="39" t="str">
        <f>IF(B139="","",'Mau15'!I145)</f>
        <v/>
      </c>
      <c r="F139" s="39" t="str">
        <f>IF(B139="","",SUMIFS(Cau_noi!$B$5:$B$304,Cau_noi!$A$5:$A$304,B139))</f>
        <v/>
      </c>
      <c r="G139" s="39" t="str">
        <f>IF(B139="","",SUMIFS(Cau_noi!$C$5:$C$304,Cau_noi!$A$5:$A$304,B139))</f>
        <v/>
      </c>
      <c r="H139" s="39" t="str">
        <f>IF(B139="","",SUMIFS(Cau_noi!$D$5:$D$304,Cau_noi!$A$5:$A$304,B139))</f>
        <v/>
      </c>
      <c r="I139" s="39" t="str">
        <f>IF(B139="","",SUMIFS(Cau_noi!$E$5:$E$304,Cau_noi!$A$5:$A$304,B139))</f>
        <v/>
      </c>
      <c r="J139" s="39" t="str">
        <f t="shared" si="9"/>
        <v/>
      </c>
      <c r="K139" s="39" t="str">
        <f>IF(B139="","",SUMIFS(KT_DMTT_ChiTiet!$H$5:$H$1004,KT_DMTT_ChiTiet!$C$5:$C$1004,B139,KT_DMTT_ChiTiet!$N$5:$N$1004,1))</f>
        <v/>
      </c>
      <c r="L139" s="39" t="str">
        <f t="shared" si="10"/>
        <v/>
      </c>
      <c r="M139" s="46" t="str">
        <f t="shared" si="11"/>
        <v/>
      </c>
      <c r="N139" s="35" t="str">
        <f>IF(B139="","",IF(K139=0,IF(J139=0,"Pass",IF(COUNTIFS(BOM!$B$5:$B$1004,B139,BOM!$G$5:$G$1004,"KXDDM")&gt;0,"KXDDM","Xem xét")),IF(ABS(M139)&lt;=ThongTin!$C$11,"Pass","Xem xét")))</f>
        <v/>
      </c>
    </row>
    <row r="140" spans="1:14" x14ac:dyDescent="0.25">
      <c r="A140" s="35" t="str">
        <f t="shared" si="8"/>
        <v/>
      </c>
      <c r="B140" s="35" t="str">
        <f>IF('Mau15'!B146="","",'Mau15'!B146)</f>
        <v/>
      </c>
      <c r="C140" s="35" t="str">
        <f>IF(B140="","",'Mau15'!C146)</f>
        <v/>
      </c>
      <c r="D140" s="35" t="str">
        <f>IF(B140="","",'Mau15'!D146)</f>
        <v/>
      </c>
      <c r="E140" s="39" t="str">
        <f>IF(B140="","",'Mau15'!I146)</f>
        <v/>
      </c>
      <c r="F140" s="39" t="str">
        <f>IF(B140="","",SUMIFS(Cau_noi!$B$5:$B$304,Cau_noi!$A$5:$A$304,B140))</f>
        <v/>
      </c>
      <c r="G140" s="39" t="str">
        <f>IF(B140="","",SUMIFS(Cau_noi!$C$5:$C$304,Cau_noi!$A$5:$A$304,B140))</f>
        <v/>
      </c>
      <c r="H140" s="39" t="str">
        <f>IF(B140="","",SUMIFS(Cau_noi!$D$5:$D$304,Cau_noi!$A$5:$A$304,B140))</f>
        <v/>
      </c>
      <c r="I140" s="39" t="str">
        <f>IF(B140="","",SUMIFS(Cau_noi!$E$5:$E$304,Cau_noi!$A$5:$A$304,B140))</f>
        <v/>
      </c>
      <c r="J140" s="39" t="str">
        <f t="shared" si="9"/>
        <v/>
      </c>
      <c r="K140" s="39" t="str">
        <f>IF(B140="","",SUMIFS(KT_DMTT_ChiTiet!$H$5:$H$1004,KT_DMTT_ChiTiet!$C$5:$C$1004,B140,KT_DMTT_ChiTiet!$N$5:$N$1004,1))</f>
        <v/>
      </c>
      <c r="L140" s="39" t="str">
        <f t="shared" si="10"/>
        <v/>
      </c>
      <c r="M140" s="46" t="str">
        <f t="shared" si="11"/>
        <v/>
      </c>
      <c r="N140" s="35" t="str">
        <f>IF(B140="","",IF(K140=0,IF(J140=0,"Pass",IF(COUNTIFS(BOM!$B$5:$B$1004,B140,BOM!$G$5:$G$1004,"KXDDM")&gt;0,"KXDDM","Xem xét")),IF(ABS(M140)&lt;=ThongTin!$C$11,"Pass","Xem xét")))</f>
        <v/>
      </c>
    </row>
    <row r="141" spans="1:14" x14ac:dyDescent="0.25">
      <c r="A141" s="35" t="str">
        <f t="shared" si="8"/>
        <v/>
      </c>
      <c r="B141" s="35" t="str">
        <f>IF('Mau15'!B147="","",'Mau15'!B147)</f>
        <v/>
      </c>
      <c r="C141" s="35" t="str">
        <f>IF(B141="","",'Mau15'!C147)</f>
        <v/>
      </c>
      <c r="D141" s="35" t="str">
        <f>IF(B141="","",'Mau15'!D147)</f>
        <v/>
      </c>
      <c r="E141" s="39" t="str">
        <f>IF(B141="","",'Mau15'!I147)</f>
        <v/>
      </c>
      <c r="F141" s="39" t="str">
        <f>IF(B141="","",SUMIFS(Cau_noi!$B$5:$B$304,Cau_noi!$A$5:$A$304,B141))</f>
        <v/>
      </c>
      <c r="G141" s="39" t="str">
        <f>IF(B141="","",SUMIFS(Cau_noi!$C$5:$C$304,Cau_noi!$A$5:$A$304,B141))</f>
        <v/>
      </c>
      <c r="H141" s="39" t="str">
        <f>IF(B141="","",SUMIFS(Cau_noi!$D$5:$D$304,Cau_noi!$A$5:$A$304,B141))</f>
        <v/>
      </c>
      <c r="I141" s="39" t="str">
        <f>IF(B141="","",SUMIFS(Cau_noi!$E$5:$E$304,Cau_noi!$A$5:$A$304,B141))</f>
        <v/>
      </c>
      <c r="J141" s="39" t="str">
        <f t="shared" si="9"/>
        <v/>
      </c>
      <c r="K141" s="39" t="str">
        <f>IF(B141="","",SUMIFS(KT_DMTT_ChiTiet!$H$5:$H$1004,KT_DMTT_ChiTiet!$C$5:$C$1004,B141,KT_DMTT_ChiTiet!$N$5:$N$1004,1))</f>
        <v/>
      </c>
      <c r="L141" s="39" t="str">
        <f t="shared" si="10"/>
        <v/>
      </c>
      <c r="M141" s="46" t="str">
        <f t="shared" si="11"/>
        <v/>
      </c>
      <c r="N141" s="35" t="str">
        <f>IF(B141="","",IF(K141=0,IF(J141=0,"Pass",IF(COUNTIFS(BOM!$B$5:$B$1004,B141,BOM!$G$5:$G$1004,"KXDDM")&gt;0,"KXDDM","Xem xét")),IF(ABS(M141)&lt;=ThongTin!$C$11,"Pass","Xem xét")))</f>
        <v/>
      </c>
    </row>
    <row r="142" spans="1:14" x14ac:dyDescent="0.25">
      <c r="A142" s="35" t="str">
        <f t="shared" si="8"/>
        <v/>
      </c>
      <c r="B142" s="35" t="str">
        <f>IF('Mau15'!B148="","",'Mau15'!B148)</f>
        <v/>
      </c>
      <c r="C142" s="35" t="str">
        <f>IF(B142="","",'Mau15'!C148)</f>
        <v/>
      </c>
      <c r="D142" s="35" t="str">
        <f>IF(B142="","",'Mau15'!D148)</f>
        <v/>
      </c>
      <c r="E142" s="39" t="str">
        <f>IF(B142="","",'Mau15'!I148)</f>
        <v/>
      </c>
      <c r="F142" s="39" t="str">
        <f>IF(B142="","",SUMIFS(Cau_noi!$B$5:$B$304,Cau_noi!$A$5:$A$304,B142))</f>
        <v/>
      </c>
      <c r="G142" s="39" t="str">
        <f>IF(B142="","",SUMIFS(Cau_noi!$C$5:$C$304,Cau_noi!$A$5:$A$304,B142))</f>
        <v/>
      </c>
      <c r="H142" s="39" t="str">
        <f>IF(B142="","",SUMIFS(Cau_noi!$D$5:$D$304,Cau_noi!$A$5:$A$304,B142))</f>
        <v/>
      </c>
      <c r="I142" s="39" t="str">
        <f>IF(B142="","",SUMIFS(Cau_noi!$E$5:$E$304,Cau_noi!$A$5:$A$304,B142))</f>
        <v/>
      </c>
      <c r="J142" s="39" t="str">
        <f t="shared" si="9"/>
        <v/>
      </c>
      <c r="K142" s="39" t="str">
        <f>IF(B142="","",SUMIFS(KT_DMTT_ChiTiet!$H$5:$H$1004,KT_DMTT_ChiTiet!$C$5:$C$1004,B142,KT_DMTT_ChiTiet!$N$5:$N$1004,1))</f>
        <v/>
      </c>
      <c r="L142" s="39" t="str">
        <f t="shared" si="10"/>
        <v/>
      </c>
      <c r="M142" s="46" t="str">
        <f t="shared" si="11"/>
        <v/>
      </c>
      <c r="N142" s="35" t="str">
        <f>IF(B142="","",IF(K142=0,IF(J142=0,"Pass",IF(COUNTIFS(BOM!$B$5:$B$1004,B142,BOM!$G$5:$G$1004,"KXDDM")&gt;0,"KXDDM","Xem xét")),IF(ABS(M142)&lt;=ThongTin!$C$11,"Pass","Xem xét")))</f>
        <v/>
      </c>
    </row>
    <row r="143" spans="1:14" x14ac:dyDescent="0.25">
      <c r="A143" s="35" t="str">
        <f t="shared" si="8"/>
        <v/>
      </c>
      <c r="B143" s="35" t="str">
        <f>IF('Mau15'!B149="","",'Mau15'!B149)</f>
        <v/>
      </c>
      <c r="C143" s="35" t="str">
        <f>IF(B143="","",'Mau15'!C149)</f>
        <v/>
      </c>
      <c r="D143" s="35" t="str">
        <f>IF(B143="","",'Mau15'!D149)</f>
        <v/>
      </c>
      <c r="E143" s="39" t="str">
        <f>IF(B143="","",'Mau15'!I149)</f>
        <v/>
      </c>
      <c r="F143" s="39" t="str">
        <f>IF(B143="","",SUMIFS(Cau_noi!$B$5:$B$304,Cau_noi!$A$5:$A$304,B143))</f>
        <v/>
      </c>
      <c r="G143" s="39" t="str">
        <f>IF(B143="","",SUMIFS(Cau_noi!$C$5:$C$304,Cau_noi!$A$5:$A$304,B143))</f>
        <v/>
      </c>
      <c r="H143" s="39" t="str">
        <f>IF(B143="","",SUMIFS(Cau_noi!$D$5:$D$304,Cau_noi!$A$5:$A$304,B143))</f>
        <v/>
      </c>
      <c r="I143" s="39" t="str">
        <f>IF(B143="","",SUMIFS(Cau_noi!$E$5:$E$304,Cau_noi!$A$5:$A$304,B143))</f>
        <v/>
      </c>
      <c r="J143" s="39" t="str">
        <f t="shared" si="9"/>
        <v/>
      </c>
      <c r="K143" s="39" t="str">
        <f>IF(B143="","",SUMIFS(KT_DMTT_ChiTiet!$H$5:$H$1004,KT_DMTT_ChiTiet!$C$5:$C$1004,B143,KT_DMTT_ChiTiet!$N$5:$N$1004,1))</f>
        <v/>
      </c>
      <c r="L143" s="39" t="str">
        <f t="shared" si="10"/>
        <v/>
      </c>
      <c r="M143" s="46" t="str">
        <f t="shared" si="11"/>
        <v/>
      </c>
      <c r="N143" s="35" t="str">
        <f>IF(B143="","",IF(K143=0,IF(J143=0,"Pass",IF(COUNTIFS(BOM!$B$5:$B$1004,B143,BOM!$G$5:$G$1004,"KXDDM")&gt;0,"KXDDM","Xem xét")),IF(ABS(M143)&lt;=ThongTin!$C$11,"Pass","Xem xét")))</f>
        <v/>
      </c>
    </row>
    <row r="144" spans="1:14" x14ac:dyDescent="0.25">
      <c r="A144" s="35" t="str">
        <f t="shared" si="8"/>
        <v/>
      </c>
      <c r="B144" s="35" t="str">
        <f>IF('Mau15'!B150="","",'Mau15'!B150)</f>
        <v/>
      </c>
      <c r="C144" s="35" t="str">
        <f>IF(B144="","",'Mau15'!C150)</f>
        <v/>
      </c>
      <c r="D144" s="35" t="str">
        <f>IF(B144="","",'Mau15'!D150)</f>
        <v/>
      </c>
      <c r="E144" s="39" t="str">
        <f>IF(B144="","",'Mau15'!I150)</f>
        <v/>
      </c>
      <c r="F144" s="39" t="str">
        <f>IF(B144="","",SUMIFS(Cau_noi!$B$5:$B$304,Cau_noi!$A$5:$A$304,B144))</f>
        <v/>
      </c>
      <c r="G144" s="39" t="str">
        <f>IF(B144="","",SUMIFS(Cau_noi!$C$5:$C$304,Cau_noi!$A$5:$A$304,B144))</f>
        <v/>
      </c>
      <c r="H144" s="39" t="str">
        <f>IF(B144="","",SUMIFS(Cau_noi!$D$5:$D$304,Cau_noi!$A$5:$A$304,B144))</f>
        <v/>
      </c>
      <c r="I144" s="39" t="str">
        <f>IF(B144="","",SUMIFS(Cau_noi!$E$5:$E$304,Cau_noi!$A$5:$A$304,B144))</f>
        <v/>
      </c>
      <c r="J144" s="39" t="str">
        <f t="shared" si="9"/>
        <v/>
      </c>
      <c r="K144" s="39" t="str">
        <f>IF(B144="","",SUMIFS(KT_DMTT_ChiTiet!$H$5:$H$1004,KT_DMTT_ChiTiet!$C$5:$C$1004,B144,KT_DMTT_ChiTiet!$N$5:$N$1004,1))</f>
        <v/>
      </c>
      <c r="L144" s="39" t="str">
        <f t="shared" si="10"/>
        <v/>
      </c>
      <c r="M144" s="46" t="str">
        <f t="shared" si="11"/>
        <v/>
      </c>
      <c r="N144" s="35" t="str">
        <f>IF(B144="","",IF(K144=0,IF(J144=0,"Pass",IF(COUNTIFS(BOM!$B$5:$B$1004,B144,BOM!$G$5:$G$1004,"KXDDM")&gt;0,"KXDDM","Xem xét")),IF(ABS(M144)&lt;=ThongTin!$C$11,"Pass","Xem xét")))</f>
        <v/>
      </c>
    </row>
    <row r="145" spans="1:14" x14ac:dyDescent="0.25">
      <c r="A145" s="35" t="str">
        <f t="shared" si="8"/>
        <v/>
      </c>
      <c r="B145" s="35" t="str">
        <f>IF('Mau15'!B151="","",'Mau15'!B151)</f>
        <v/>
      </c>
      <c r="C145" s="35" t="str">
        <f>IF(B145="","",'Mau15'!C151)</f>
        <v/>
      </c>
      <c r="D145" s="35" t="str">
        <f>IF(B145="","",'Mau15'!D151)</f>
        <v/>
      </c>
      <c r="E145" s="39" t="str">
        <f>IF(B145="","",'Mau15'!I151)</f>
        <v/>
      </c>
      <c r="F145" s="39" t="str">
        <f>IF(B145="","",SUMIFS(Cau_noi!$B$5:$B$304,Cau_noi!$A$5:$A$304,B145))</f>
        <v/>
      </c>
      <c r="G145" s="39" t="str">
        <f>IF(B145="","",SUMIFS(Cau_noi!$C$5:$C$304,Cau_noi!$A$5:$A$304,B145))</f>
        <v/>
      </c>
      <c r="H145" s="39" t="str">
        <f>IF(B145="","",SUMIFS(Cau_noi!$D$5:$D$304,Cau_noi!$A$5:$A$304,B145))</f>
        <v/>
      </c>
      <c r="I145" s="39" t="str">
        <f>IF(B145="","",SUMIFS(Cau_noi!$E$5:$E$304,Cau_noi!$A$5:$A$304,B145))</f>
        <v/>
      </c>
      <c r="J145" s="39" t="str">
        <f t="shared" si="9"/>
        <v/>
      </c>
      <c r="K145" s="39" t="str">
        <f>IF(B145="","",SUMIFS(KT_DMTT_ChiTiet!$H$5:$H$1004,KT_DMTT_ChiTiet!$C$5:$C$1004,B145,KT_DMTT_ChiTiet!$N$5:$N$1004,1))</f>
        <v/>
      </c>
      <c r="L145" s="39" t="str">
        <f t="shared" si="10"/>
        <v/>
      </c>
      <c r="M145" s="46" t="str">
        <f t="shared" si="11"/>
        <v/>
      </c>
      <c r="N145" s="35" t="str">
        <f>IF(B145="","",IF(K145=0,IF(J145=0,"Pass",IF(COUNTIFS(BOM!$B$5:$B$1004,B145,BOM!$G$5:$G$1004,"KXDDM")&gt;0,"KXDDM","Xem xét")),IF(ABS(M145)&lt;=ThongTin!$C$11,"Pass","Xem xét")))</f>
        <v/>
      </c>
    </row>
    <row r="146" spans="1:14" x14ac:dyDescent="0.25">
      <c r="A146" s="35" t="str">
        <f t="shared" si="8"/>
        <v/>
      </c>
      <c r="B146" s="35" t="str">
        <f>IF('Mau15'!B152="","",'Mau15'!B152)</f>
        <v/>
      </c>
      <c r="C146" s="35" t="str">
        <f>IF(B146="","",'Mau15'!C152)</f>
        <v/>
      </c>
      <c r="D146" s="35" t="str">
        <f>IF(B146="","",'Mau15'!D152)</f>
        <v/>
      </c>
      <c r="E146" s="39" t="str">
        <f>IF(B146="","",'Mau15'!I152)</f>
        <v/>
      </c>
      <c r="F146" s="39" t="str">
        <f>IF(B146="","",SUMIFS(Cau_noi!$B$5:$B$304,Cau_noi!$A$5:$A$304,B146))</f>
        <v/>
      </c>
      <c r="G146" s="39" t="str">
        <f>IF(B146="","",SUMIFS(Cau_noi!$C$5:$C$304,Cau_noi!$A$5:$A$304,B146))</f>
        <v/>
      </c>
      <c r="H146" s="39" t="str">
        <f>IF(B146="","",SUMIFS(Cau_noi!$D$5:$D$304,Cau_noi!$A$5:$A$304,B146))</f>
        <v/>
      </c>
      <c r="I146" s="39" t="str">
        <f>IF(B146="","",SUMIFS(Cau_noi!$E$5:$E$304,Cau_noi!$A$5:$A$304,B146))</f>
        <v/>
      </c>
      <c r="J146" s="39" t="str">
        <f t="shared" si="9"/>
        <v/>
      </c>
      <c r="K146" s="39" t="str">
        <f>IF(B146="","",SUMIFS(KT_DMTT_ChiTiet!$H$5:$H$1004,KT_DMTT_ChiTiet!$C$5:$C$1004,B146,KT_DMTT_ChiTiet!$N$5:$N$1004,1))</f>
        <v/>
      </c>
      <c r="L146" s="39" t="str">
        <f t="shared" si="10"/>
        <v/>
      </c>
      <c r="M146" s="46" t="str">
        <f t="shared" si="11"/>
        <v/>
      </c>
      <c r="N146" s="35" t="str">
        <f>IF(B146="","",IF(K146=0,IF(J146=0,"Pass",IF(COUNTIFS(BOM!$B$5:$B$1004,B146,BOM!$G$5:$G$1004,"KXDDM")&gt;0,"KXDDM","Xem xét")),IF(ABS(M146)&lt;=ThongTin!$C$11,"Pass","Xem xét")))</f>
        <v/>
      </c>
    </row>
    <row r="147" spans="1:14" x14ac:dyDescent="0.25">
      <c r="A147" s="35" t="str">
        <f t="shared" si="8"/>
        <v/>
      </c>
      <c r="B147" s="35" t="str">
        <f>IF('Mau15'!B153="","",'Mau15'!B153)</f>
        <v/>
      </c>
      <c r="C147" s="35" t="str">
        <f>IF(B147="","",'Mau15'!C153)</f>
        <v/>
      </c>
      <c r="D147" s="35" t="str">
        <f>IF(B147="","",'Mau15'!D153)</f>
        <v/>
      </c>
      <c r="E147" s="39" t="str">
        <f>IF(B147="","",'Mau15'!I153)</f>
        <v/>
      </c>
      <c r="F147" s="39" t="str">
        <f>IF(B147="","",SUMIFS(Cau_noi!$B$5:$B$304,Cau_noi!$A$5:$A$304,B147))</f>
        <v/>
      </c>
      <c r="G147" s="39" t="str">
        <f>IF(B147="","",SUMIFS(Cau_noi!$C$5:$C$304,Cau_noi!$A$5:$A$304,B147))</f>
        <v/>
      </c>
      <c r="H147" s="39" t="str">
        <f>IF(B147="","",SUMIFS(Cau_noi!$D$5:$D$304,Cau_noi!$A$5:$A$304,B147))</f>
        <v/>
      </c>
      <c r="I147" s="39" t="str">
        <f>IF(B147="","",SUMIFS(Cau_noi!$E$5:$E$304,Cau_noi!$A$5:$A$304,B147))</f>
        <v/>
      </c>
      <c r="J147" s="39" t="str">
        <f t="shared" si="9"/>
        <v/>
      </c>
      <c r="K147" s="39" t="str">
        <f>IF(B147="","",SUMIFS(KT_DMTT_ChiTiet!$H$5:$H$1004,KT_DMTT_ChiTiet!$C$5:$C$1004,B147,KT_DMTT_ChiTiet!$N$5:$N$1004,1))</f>
        <v/>
      </c>
      <c r="L147" s="39" t="str">
        <f t="shared" si="10"/>
        <v/>
      </c>
      <c r="M147" s="46" t="str">
        <f t="shared" si="11"/>
        <v/>
      </c>
      <c r="N147" s="35" t="str">
        <f>IF(B147="","",IF(K147=0,IF(J147=0,"Pass",IF(COUNTIFS(BOM!$B$5:$B$1004,B147,BOM!$G$5:$G$1004,"KXDDM")&gt;0,"KXDDM","Xem xét")),IF(ABS(M147)&lt;=ThongTin!$C$11,"Pass","Xem xét")))</f>
        <v/>
      </c>
    </row>
    <row r="148" spans="1:14" x14ac:dyDescent="0.25">
      <c r="A148" s="35" t="str">
        <f t="shared" si="8"/>
        <v/>
      </c>
      <c r="B148" s="35" t="str">
        <f>IF('Mau15'!B154="","",'Mau15'!B154)</f>
        <v/>
      </c>
      <c r="C148" s="35" t="str">
        <f>IF(B148="","",'Mau15'!C154)</f>
        <v/>
      </c>
      <c r="D148" s="35" t="str">
        <f>IF(B148="","",'Mau15'!D154)</f>
        <v/>
      </c>
      <c r="E148" s="39" t="str">
        <f>IF(B148="","",'Mau15'!I154)</f>
        <v/>
      </c>
      <c r="F148" s="39" t="str">
        <f>IF(B148="","",SUMIFS(Cau_noi!$B$5:$B$304,Cau_noi!$A$5:$A$304,B148))</f>
        <v/>
      </c>
      <c r="G148" s="39" t="str">
        <f>IF(B148="","",SUMIFS(Cau_noi!$C$5:$C$304,Cau_noi!$A$5:$A$304,B148))</f>
        <v/>
      </c>
      <c r="H148" s="39" t="str">
        <f>IF(B148="","",SUMIFS(Cau_noi!$D$5:$D$304,Cau_noi!$A$5:$A$304,B148))</f>
        <v/>
      </c>
      <c r="I148" s="39" t="str">
        <f>IF(B148="","",SUMIFS(Cau_noi!$E$5:$E$304,Cau_noi!$A$5:$A$304,B148))</f>
        <v/>
      </c>
      <c r="J148" s="39" t="str">
        <f t="shared" si="9"/>
        <v/>
      </c>
      <c r="K148" s="39" t="str">
        <f>IF(B148="","",SUMIFS(KT_DMTT_ChiTiet!$H$5:$H$1004,KT_DMTT_ChiTiet!$C$5:$C$1004,B148,KT_DMTT_ChiTiet!$N$5:$N$1004,1))</f>
        <v/>
      </c>
      <c r="L148" s="39" t="str">
        <f t="shared" si="10"/>
        <v/>
      </c>
      <c r="M148" s="46" t="str">
        <f t="shared" si="11"/>
        <v/>
      </c>
      <c r="N148" s="35" t="str">
        <f>IF(B148="","",IF(K148=0,IF(J148=0,"Pass",IF(COUNTIFS(BOM!$B$5:$B$1004,B148,BOM!$G$5:$G$1004,"KXDDM")&gt;0,"KXDDM","Xem xét")),IF(ABS(M148)&lt;=ThongTin!$C$11,"Pass","Xem xét")))</f>
        <v/>
      </c>
    </row>
    <row r="149" spans="1:14" x14ac:dyDescent="0.25">
      <c r="A149" s="35" t="str">
        <f t="shared" si="8"/>
        <v/>
      </c>
      <c r="B149" s="35" t="str">
        <f>IF('Mau15'!B155="","",'Mau15'!B155)</f>
        <v/>
      </c>
      <c r="C149" s="35" t="str">
        <f>IF(B149="","",'Mau15'!C155)</f>
        <v/>
      </c>
      <c r="D149" s="35" t="str">
        <f>IF(B149="","",'Mau15'!D155)</f>
        <v/>
      </c>
      <c r="E149" s="39" t="str">
        <f>IF(B149="","",'Mau15'!I155)</f>
        <v/>
      </c>
      <c r="F149" s="39" t="str">
        <f>IF(B149="","",SUMIFS(Cau_noi!$B$5:$B$304,Cau_noi!$A$5:$A$304,B149))</f>
        <v/>
      </c>
      <c r="G149" s="39" t="str">
        <f>IF(B149="","",SUMIFS(Cau_noi!$C$5:$C$304,Cau_noi!$A$5:$A$304,B149))</f>
        <v/>
      </c>
      <c r="H149" s="39" t="str">
        <f>IF(B149="","",SUMIFS(Cau_noi!$D$5:$D$304,Cau_noi!$A$5:$A$304,B149))</f>
        <v/>
      </c>
      <c r="I149" s="39" t="str">
        <f>IF(B149="","",SUMIFS(Cau_noi!$E$5:$E$304,Cau_noi!$A$5:$A$304,B149))</f>
        <v/>
      </c>
      <c r="J149" s="39" t="str">
        <f t="shared" si="9"/>
        <v/>
      </c>
      <c r="K149" s="39" t="str">
        <f>IF(B149="","",SUMIFS(KT_DMTT_ChiTiet!$H$5:$H$1004,KT_DMTT_ChiTiet!$C$5:$C$1004,B149,KT_DMTT_ChiTiet!$N$5:$N$1004,1))</f>
        <v/>
      </c>
      <c r="L149" s="39" t="str">
        <f t="shared" si="10"/>
        <v/>
      </c>
      <c r="M149" s="46" t="str">
        <f t="shared" si="11"/>
        <v/>
      </c>
      <c r="N149" s="35" t="str">
        <f>IF(B149="","",IF(K149=0,IF(J149=0,"Pass",IF(COUNTIFS(BOM!$B$5:$B$1004,B149,BOM!$G$5:$G$1004,"KXDDM")&gt;0,"KXDDM","Xem xét")),IF(ABS(M149)&lt;=ThongTin!$C$11,"Pass","Xem xét")))</f>
        <v/>
      </c>
    </row>
    <row r="150" spans="1:14" x14ac:dyDescent="0.25">
      <c r="A150" s="35" t="str">
        <f t="shared" si="8"/>
        <v/>
      </c>
      <c r="B150" s="35" t="str">
        <f>IF('Mau15'!B156="","",'Mau15'!B156)</f>
        <v/>
      </c>
      <c r="C150" s="35" t="str">
        <f>IF(B150="","",'Mau15'!C156)</f>
        <v/>
      </c>
      <c r="D150" s="35" t="str">
        <f>IF(B150="","",'Mau15'!D156)</f>
        <v/>
      </c>
      <c r="E150" s="39" t="str">
        <f>IF(B150="","",'Mau15'!I156)</f>
        <v/>
      </c>
      <c r="F150" s="39" t="str">
        <f>IF(B150="","",SUMIFS(Cau_noi!$B$5:$B$304,Cau_noi!$A$5:$A$304,B150))</f>
        <v/>
      </c>
      <c r="G150" s="39" t="str">
        <f>IF(B150="","",SUMIFS(Cau_noi!$C$5:$C$304,Cau_noi!$A$5:$A$304,B150))</f>
        <v/>
      </c>
      <c r="H150" s="39" t="str">
        <f>IF(B150="","",SUMIFS(Cau_noi!$D$5:$D$304,Cau_noi!$A$5:$A$304,B150))</f>
        <v/>
      </c>
      <c r="I150" s="39" t="str">
        <f>IF(B150="","",SUMIFS(Cau_noi!$E$5:$E$304,Cau_noi!$A$5:$A$304,B150))</f>
        <v/>
      </c>
      <c r="J150" s="39" t="str">
        <f t="shared" si="9"/>
        <v/>
      </c>
      <c r="K150" s="39" t="str">
        <f>IF(B150="","",SUMIFS(KT_DMTT_ChiTiet!$H$5:$H$1004,KT_DMTT_ChiTiet!$C$5:$C$1004,B150,KT_DMTT_ChiTiet!$N$5:$N$1004,1))</f>
        <v/>
      </c>
      <c r="L150" s="39" t="str">
        <f t="shared" si="10"/>
        <v/>
      </c>
      <c r="M150" s="46" t="str">
        <f t="shared" si="11"/>
        <v/>
      </c>
      <c r="N150" s="35" t="str">
        <f>IF(B150="","",IF(K150=0,IF(J150=0,"Pass",IF(COUNTIFS(BOM!$B$5:$B$1004,B150,BOM!$G$5:$G$1004,"KXDDM")&gt;0,"KXDDM","Xem xét")),IF(ABS(M150)&lt;=ThongTin!$C$11,"Pass","Xem xét")))</f>
        <v/>
      </c>
    </row>
    <row r="151" spans="1:14" x14ac:dyDescent="0.25">
      <c r="A151" s="35" t="str">
        <f t="shared" si="8"/>
        <v/>
      </c>
      <c r="B151" s="35" t="str">
        <f>IF('Mau15'!B157="","",'Mau15'!B157)</f>
        <v/>
      </c>
      <c r="C151" s="35" t="str">
        <f>IF(B151="","",'Mau15'!C157)</f>
        <v/>
      </c>
      <c r="D151" s="35" t="str">
        <f>IF(B151="","",'Mau15'!D157)</f>
        <v/>
      </c>
      <c r="E151" s="39" t="str">
        <f>IF(B151="","",'Mau15'!I157)</f>
        <v/>
      </c>
      <c r="F151" s="39" t="str">
        <f>IF(B151="","",SUMIFS(Cau_noi!$B$5:$B$304,Cau_noi!$A$5:$A$304,B151))</f>
        <v/>
      </c>
      <c r="G151" s="39" t="str">
        <f>IF(B151="","",SUMIFS(Cau_noi!$C$5:$C$304,Cau_noi!$A$5:$A$304,B151))</f>
        <v/>
      </c>
      <c r="H151" s="39" t="str">
        <f>IF(B151="","",SUMIFS(Cau_noi!$D$5:$D$304,Cau_noi!$A$5:$A$304,B151))</f>
        <v/>
      </c>
      <c r="I151" s="39" t="str">
        <f>IF(B151="","",SUMIFS(Cau_noi!$E$5:$E$304,Cau_noi!$A$5:$A$304,B151))</f>
        <v/>
      </c>
      <c r="J151" s="39" t="str">
        <f t="shared" si="9"/>
        <v/>
      </c>
      <c r="K151" s="39" t="str">
        <f>IF(B151="","",SUMIFS(KT_DMTT_ChiTiet!$H$5:$H$1004,KT_DMTT_ChiTiet!$C$5:$C$1004,B151,KT_DMTT_ChiTiet!$N$5:$N$1004,1))</f>
        <v/>
      </c>
      <c r="L151" s="39" t="str">
        <f t="shared" si="10"/>
        <v/>
      </c>
      <c r="M151" s="46" t="str">
        <f t="shared" si="11"/>
        <v/>
      </c>
      <c r="N151" s="35" t="str">
        <f>IF(B151="","",IF(K151=0,IF(J151=0,"Pass",IF(COUNTIFS(BOM!$B$5:$B$1004,B151,BOM!$G$5:$G$1004,"KXDDM")&gt;0,"KXDDM","Xem xét")),IF(ABS(M151)&lt;=ThongTin!$C$11,"Pass","Xem xét")))</f>
        <v/>
      </c>
    </row>
    <row r="152" spans="1:14" x14ac:dyDescent="0.25">
      <c r="A152" s="35" t="str">
        <f t="shared" si="8"/>
        <v/>
      </c>
      <c r="B152" s="35" t="str">
        <f>IF('Mau15'!B158="","",'Mau15'!B158)</f>
        <v/>
      </c>
      <c r="C152" s="35" t="str">
        <f>IF(B152="","",'Mau15'!C158)</f>
        <v/>
      </c>
      <c r="D152" s="35" t="str">
        <f>IF(B152="","",'Mau15'!D158)</f>
        <v/>
      </c>
      <c r="E152" s="39" t="str">
        <f>IF(B152="","",'Mau15'!I158)</f>
        <v/>
      </c>
      <c r="F152" s="39" t="str">
        <f>IF(B152="","",SUMIFS(Cau_noi!$B$5:$B$304,Cau_noi!$A$5:$A$304,B152))</f>
        <v/>
      </c>
      <c r="G152" s="39" t="str">
        <f>IF(B152="","",SUMIFS(Cau_noi!$C$5:$C$304,Cau_noi!$A$5:$A$304,B152))</f>
        <v/>
      </c>
      <c r="H152" s="39" t="str">
        <f>IF(B152="","",SUMIFS(Cau_noi!$D$5:$D$304,Cau_noi!$A$5:$A$304,B152))</f>
        <v/>
      </c>
      <c r="I152" s="39" t="str">
        <f>IF(B152="","",SUMIFS(Cau_noi!$E$5:$E$304,Cau_noi!$A$5:$A$304,B152))</f>
        <v/>
      </c>
      <c r="J152" s="39" t="str">
        <f t="shared" si="9"/>
        <v/>
      </c>
      <c r="K152" s="39" t="str">
        <f>IF(B152="","",SUMIFS(KT_DMTT_ChiTiet!$H$5:$H$1004,KT_DMTT_ChiTiet!$C$5:$C$1004,B152,KT_DMTT_ChiTiet!$N$5:$N$1004,1))</f>
        <v/>
      </c>
      <c r="L152" s="39" t="str">
        <f t="shared" si="10"/>
        <v/>
      </c>
      <c r="M152" s="46" t="str">
        <f t="shared" si="11"/>
        <v/>
      </c>
      <c r="N152" s="35" t="str">
        <f>IF(B152="","",IF(K152=0,IF(J152=0,"Pass",IF(COUNTIFS(BOM!$B$5:$B$1004,B152,BOM!$G$5:$G$1004,"KXDDM")&gt;0,"KXDDM","Xem xét")),IF(ABS(M152)&lt;=ThongTin!$C$11,"Pass","Xem xét")))</f>
        <v/>
      </c>
    </row>
    <row r="153" spans="1:14" x14ac:dyDescent="0.25">
      <c r="A153" s="35" t="str">
        <f t="shared" si="8"/>
        <v/>
      </c>
      <c r="B153" s="35" t="str">
        <f>IF('Mau15'!B159="","",'Mau15'!B159)</f>
        <v/>
      </c>
      <c r="C153" s="35" t="str">
        <f>IF(B153="","",'Mau15'!C159)</f>
        <v/>
      </c>
      <c r="D153" s="35" t="str">
        <f>IF(B153="","",'Mau15'!D159)</f>
        <v/>
      </c>
      <c r="E153" s="39" t="str">
        <f>IF(B153="","",'Mau15'!I159)</f>
        <v/>
      </c>
      <c r="F153" s="39" t="str">
        <f>IF(B153="","",SUMIFS(Cau_noi!$B$5:$B$304,Cau_noi!$A$5:$A$304,B153))</f>
        <v/>
      </c>
      <c r="G153" s="39" t="str">
        <f>IF(B153="","",SUMIFS(Cau_noi!$C$5:$C$304,Cau_noi!$A$5:$A$304,B153))</f>
        <v/>
      </c>
      <c r="H153" s="39" t="str">
        <f>IF(B153="","",SUMIFS(Cau_noi!$D$5:$D$304,Cau_noi!$A$5:$A$304,B153))</f>
        <v/>
      </c>
      <c r="I153" s="39" t="str">
        <f>IF(B153="","",SUMIFS(Cau_noi!$E$5:$E$304,Cau_noi!$A$5:$A$304,B153))</f>
        <v/>
      </c>
      <c r="J153" s="39" t="str">
        <f t="shared" si="9"/>
        <v/>
      </c>
      <c r="K153" s="39" t="str">
        <f>IF(B153="","",SUMIFS(KT_DMTT_ChiTiet!$H$5:$H$1004,KT_DMTT_ChiTiet!$C$5:$C$1004,B153,KT_DMTT_ChiTiet!$N$5:$N$1004,1))</f>
        <v/>
      </c>
      <c r="L153" s="39" t="str">
        <f t="shared" si="10"/>
        <v/>
      </c>
      <c r="M153" s="46" t="str">
        <f t="shared" si="11"/>
        <v/>
      </c>
      <c r="N153" s="35" t="str">
        <f>IF(B153="","",IF(K153=0,IF(J153=0,"Pass",IF(COUNTIFS(BOM!$B$5:$B$1004,B153,BOM!$G$5:$G$1004,"KXDDM")&gt;0,"KXDDM","Xem xét")),IF(ABS(M153)&lt;=ThongTin!$C$11,"Pass","Xem xét")))</f>
        <v/>
      </c>
    </row>
    <row r="154" spans="1:14" x14ac:dyDescent="0.25">
      <c r="A154" s="35" t="str">
        <f t="shared" si="8"/>
        <v/>
      </c>
      <c r="B154" s="35" t="str">
        <f>IF('Mau15'!B160="","",'Mau15'!B160)</f>
        <v/>
      </c>
      <c r="C154" s="35" t="str">
        <f>IF(B154="","",'Mau15'!C160)</f>
        <v/>
      </c>
      <c r="D154" s="35" t="str">
        <f>IF(B154="","",'Mau15'!D160)</f>
        <v/>
      </c>
      <c r="E154" s="39" t="str">
        <f>IF(B154="","",'Mau15'!I160)</f>
        <v/>
      </c>
      <c r="F154" s="39" t="str">
        <f>IF(B154="","",SUMIFS(Cau_noi!$B$5:$B$304,Cau_noi!$A$5:$A$304,B154))</f>
        <v/>
      </c>
      <c r="G154" s="39" t="str">
        <f>IF(B154="","",SUMIFS(Cau_noi!$C$5:$C$304,Cau_noi!$A$5:$A$304,B154))</f>
        <v/>
      </c>
      <c r="H154" s="39" t="str">
        <f>IF(B154="","",SUMIFS(Cau_noi!$D$5:$D$304,Cau_noi!$A$5:$A$304,B154))</f>
        <v/>
      </c>
      <c r="I154" s="39" t="str">
        <f>IF(B154="","",SUMIFS(Cau_noi!$E$5:$E$304,Cau_noi!$A$5:$A$304,B154))</f>
        <v/>
      </c>
      <c r="J154" s="39" t="str">
        <f t="shared" si="9"/>
        <v/>
      </c>
      <c r="K154" s="39" t="str">
        <f>IF(B154="","",SUMIFS(KT_DMTT_ChiTiet!$H$5:$H$1004,KT_DMTT_ChiTiet!$C$5:$C$1004,B154,KT_DMTT_ChiTiet!$N$5:$N$1004,1))</f>
        <v/>
      </c>
      <c r="L154" s="39" t="str">
        <f t="shared" si="10"/>
        <v/>
      </c>
      <c r="M154" s="46" t="str">
        <f t="shared" si="11"/>
        <v/>
      </c>
      <c r="N154" s="35" t="str">
        <f>IF(B154="","",IF(K154=0,IF(J154=0,"Pass",IF(COUNTIFS(BOM!$B$5:$B$1004,B154,BOM!$G$5:$G$1004,"KXDDM")&gt;0,"KXDDM","Xem xét")),IF(ABS(M154)&lt;=ThongTin!$C$11,"Pass","Xem xét")))</f>
        <v/>
      </c>
    </row>
    <row r="155" spans="1:14" x14ac:dyDescent="0.25">
      <c r="A155" s="35" t="str">
        <f t="shared" si="8"/>
        <v/>
      </c>
      <c r="B155" s="35" t="str">
        <f>IF('Mau15'!B161="","",'Mau15'!B161)</f>
        <v/>
      </c>
      <c r="C155" s="35" t="str">
        <f>IF(B155="","",'Mau15'!C161)</f>
        <v/>
      </c>
      <c r="D155" s="35" t="str">
        <f>IF(B155="","",'Mau15'!D161)</f>
        <v/>
      </c>
      <c r="E155" s="39" t="str">
        <f>IF(B155="","",'Mau15'!I161)</f>
        <v/>
      </c>
      <c r="F155" s="39" t="str">
        <f>IF(B155="","",SUMIFS(Cau_noi!$B$5:$B$304,Cau_noi!$A$5:$A$304,B155))</f>
        <v/>
      </c>
      <c r="G155" s="39" t="str">
        <f>IF(B155="","",SUMIFS(Cau_noi!$C$5:$C$304,Cau_noi!$A$5:$A$304,B155))</f>
        <v/>
      </c>
      <c r="H155" s="39" t="str">
        <f>IF(B155="","",SUMIFS(Cau_noi!$D$5:$D$304,Cau_noi!$A$5:$A$304,B155))</f>
        <v/>
      </c>
      <c r="I155" s="39" t="str">
        <f>IF(B155="","",SUMIFS(Cau_noi!$E$5:$E$304,Cau_noi!$A$5:$A$304,B155))</f>
        <v/>
      </c>
      <c r="J155" s="39" t="str">
        <f t="shared" si="9"/>
        <v/>
      </c>
      <c r="K155" s="39" t="str">
        <f>IF(B155="","",SUMIFS(KT_DMTT_ChiTiet!$H$5:$H$1004,KT_DMTT_ChiTiet!$C$5:$C$1004,B155,KT_DMTT_ChiTiet!$N$5:$N$1004,1))</f>
        <v/>
      </c>
      <c r="L155" s="39" t="str">
        <f t="shared" si="10"/>
        <v/>
      </c>
      <c r="M155" s="46" t="str">
        <f t="shared" si="11"/>
        <v/>
      </c>
      <c r="N155" s="35" t="str">
        <f>IF(B155="","",IF(K155=0,IF(J155=0,"Pass",IF(COUNTIFS(BOM!$B$5:$B$1004,B155,BOM!$G$5:$G$1004,"KXDDM")&gt;0,"KXDDM","Xem xét")),IF(ABS(M155)&lt;=ThongTin!$C$11,"Pass","Xem xét")))</f>
        <v/>
      </c>
    </row>
    <row r="156" spans="1:14" x14ac:dyDescent="0.25">
      <c r="A156" s="35" t="str">
        <f t="shared" si="8"/>
        <v/>
      </c>
      <c r="B156" s="35" t="str">
        <f>IF('Mau15'!B162="","",'Mau15'!B162)</f>
        <v/>
      </c>
      <c r="C156" s="35" t="str">
        <f>IF(B156="","",'Mau15'!C162)</f>
        <v/>
      </c>
      <c r="D156" s="35" t="str">
        <f>IF(B156="","",'Mau15'!D162)</f>
        <v/>
      </c>
      <c r="E156" s="39" t="str">
        <f>IF(B156="","",'Mau15'!I162)</f>
        <v/>
      </c>
      <c r="F156" s="39" t="str">
        <f>IF(B156="","",SUMIFS(Cau_noi!$B$5:$B$304,Cau_noi!$A$5:$A$304,B156))</f>
        <v/>
      </c>
      <c r="G156" s="39" t="str">
        <f>IF(B156="","",SUMIFS(Cau_noi!$C$5:$C$304,Cau_noi!$A$5:$A$304,B156))</f>
        <v/>
      </c>
      <c r="H156" s="39" t="str">
        <f>IF(B156="","",SUMIFS(Cau_noi!$D$5:$D$304,Cau_noi!$A$5:$A$304,B156))</f>
        <v/>
      </c>
      <c r="I156" s="39" t="str">
        <f>IF(B156="","",SUMIFS(Cau_noi!$E$5:$E$304,Cau_noi!$A$5:$A$304,B156))</f>
        <v/>
      </c>
      <c r="J156" s="39" t="str">
        <f t="shared" si="9"/>
        <v/>
      </c>
      <c r="K156" s="39" t="str">
        <f>IF(B156="","",SUMIFS(KT_DMTT_ChiTiet!$H$5:$H$1004,KT_DMTT_ChiTiet!$C$5:$C$1004,B156,KT_DMTT_ChiTiet!$N$5:$N$1004,1))</f>
        <v/>
      </c>
      <c r="L156" s="39" t="str">
        <f t="shared" si="10"/>
        <v/>
      </c>
      <c r="M156" s="46" t="str">
        <f t="shared" si="11"/>
        <v/>
      </c>
      <c r="N156" s="35" t="str">
        <f>IF(B156="","",IF(K156=0,IF(J156=0,"Pass",IF(COUNTIFS(BOM!$B$5:$B$1004,B156,BOM!$G$5:$G$1004,"KXDDM")&gt;0,"KXDDM","Xem xét")),IF(ABS(M156)&lt;=ThongTin!$C$11,"Pass","Xem xét")))</f>
        <v/>
      </c>
    </row>
    <row r="157" spans="1:14" x14ac:dyDescent="0.25">
      <c r="A157" s="35" t="str">
        <f t="shared" si="8"/>
        <v/>
      </c>
      <c r="B157" s="35" t="str">
        <f>IF('Mau15'!B163="","",'Mau15'!B163)</f>
        <v/>
      </c>
      <c r="C157" s="35" t="str">
        <f>IF(B157="","",'Mau15'!C163)</f>
        <v/>
      </c>
      <c r="D157" s="35" t="str">
        <f>IF(B157="","",'Mau15'!D163)</f>
        <v/>
      </c>
      <c r="E157" s="39" t="str">
        <f>IF(B157="","",'Mau15'!I163)</f>
        <v/>
      </c>
      <c r="F157" s="39" t="str">
        <f>IF(B157="","",SUMIFS(Cau_noi!$B$5:$B$304,Cau_noi!$A$5:$A$304,B157))</f>
        <v/>
      </c>
      <c r="G157" s="39" t="str">
        <f>IF(B157="","",SUMIFS(Cau_noi!$C$5:$C$304,Cau_noi!$A$5:$A$304,B157))</f>
        <v/>
      </c>
      <c r="H157" s="39" t="str">
        <f>IF(B157="","",SUMIFS(Cau_noi!$D$5:$D$304,Cau_noi!$A$5:$A$304,B157))</f>
        <v/>
      </c>
      <c r="I157" s="39" t="str">
        <f>IF(B157="","",SUMIFS(Cau_noi!$E$5:$E$304,Cau_noi!$A$5:$A$304,B157))</f>
        <v/>
      </c>
      <c r="J157" s="39" t="str">
        <f t="shared" si="9"/>
        <v/>
      </c>
      <c r="K157" s="39" t="str">
        <f>IF(B157="","",SUMIFS(KT_DMTT_ChiTiet!$H$5:$H$1004,KT_DMTT_ChiTiet!$C$5:$C$1004,B157,KT_DMTT_ChiTiet!$N$5:$N$1004,1))</f>
        <v/>
      </c>
      <c r="L157" s="39" t="str">
        <f t="shared" si="10"/>
        <v/>
      </c>
      <c r="M157" s="46" t="str">
        <f t="shared" si="11"/>
        <v/>
      </c>
      <c r="N157" s="35" t="str">
        <f>IF(B157="","",IF(K157=0,IF(J157=0,"Pass",IF(COUNTIFS(BOM!$B$5:$B$1004,B157,BOM!$G$5:$G$1004,"KXDDM")&gt;0,"KXDDM","Xem xét")),IF(ABS(M157)&lt;=ThongTin!$C$11,"Pass","Xem xét")))</f>
        <v/>
      </c>
    </row>
    <row r="158" spans="1:14" x14ac:dyDescent="0.25">
      <c r="A158" s="35" t="str">
        <f t="shared" si="8"/>
        <v/>
      </c>
      <c r="B158" s="35" t="str">
        <f>IF('Mau15'!B164="","",'Mau15'!B164)</f>
        <v/>
      </c>
      <c r="C158" s="35" t="str">
        <f>IF(B158="","",'Mau15'!C164)</f>
        <v/>
      </c>
      <c r="D158" s="35" t="str">
        <f>IF(B158="","",'Mau15'!D164)</f>
        <v/>
      </c>
      <c r="E158" s="39" t="str">
        <f>IF(B158="","",'Mau15'!I164)</f>
        <v/>
      </c>
      <c r="F158" s="39" t="str">
        <f>IF(B158="","",SUMIFS(Cau_noi!$B$5:$B$304,Cau_noi!$A$5:$A$304,B158))</f>
        <v/>
      </c>
      <c r="G158" s="39" t="str">
        <f>IF(B158="","",SUMIFS(Cau_noi!$C$5:$C$304,Cau_noi!$A$5:$A$304,B158))</f>
        <v/>
      </c>
      <c r="H158" s="39" t="str">
        <f>IF(B158="","",SUMIFS(Cau_noi!$D$5:$D$304,Cau_noi!$A$5:$A$304,B158))</f>
        <v/>
      </c>
      <c r="I158" s="39" t="str">
        <f>IF(B158="","",SUMIFS(Cau_noi!$E$5:$E$304,Cau_noi!$A$5:$A$304,B158))</f>
        <v/>
      </c>
      <c r="J158" s="39" t="str">
        <f t="shared" si="9"/>
        <v/>
      </c>
      <c r="K158" s="39" t="str">
        <f>IF(B158="","",SUMIFS(KT_DMTT_ChiTiet!$H$5:$H$1004,KT_DMTT_ChiTiet!$C$5:$C$1004,B158,KT_DMTT_ChiTiet!$N$5:$N$1004,1))</f>
        <v/>
      </c>
      <c r="L158" s="39" t="str">
        <f t="shared" si="10"/>
        <v/>
      </c>
      <c r="M158" s="46" t="str">
        <f t="shared" si="11"/>
        <v/>
      </c>
      <c r="N158" s="35" t="str">
        <f>IF(B158="","",IF(K158=0,IF(J158=0,"Pass",IF(COUNTIFS(BOM!$B$5:$B$1004,B158,BOM!$G$5:$G$1004,"KXDDM")&gt;0,"KXDDM","Xem xét")),IF(ABS(M158)&lt;=ThongTin!$C$11,"Pass","Xem xét")))</f>
        <v/>
      </c>
    </row>
    <row r="159" spans="1:14" x14ac:dyDescent="0.25">
      <c r="A159" s="35" t="str">
        <f t="shared" si="8"/>
        <v/>
      </c>
      <c r="B159" s="35" t="str">
        <f>IF('Mau15'!B165="","",'Mau15'!B165)</f>
        <v/>
      </c>
      <c r="C159" s="35" t="str">
        <f>IF(B159="","",'Mau15'!C165)</f>
        <v/>
      </c>
      <c r="D159" s="35" t="str">
        <f>IF(B159="","",'Mau15'!D165)</f>
        <v/>
      </c>
      <c r="E159" s="39" t="str">
        <f>IF(B159="","",'Mau15'!I165)</f>
        <v/>
      </c>
      <c r="F159" s="39" t="str">
        <f>IF(B159="","",SUMIFS(Cau_noi!$B$5:$B$304,Cau_noi!$A$5:$A$304,B159))</f>
        <v/>
      </c>
      <c r="G159" s="39" t="str">
        <f>IF(B159="","",SUMIFS(Cau_noi!$C$5:$C$304,Cau_noi!$A$5:$A$304,B159))</f>
        <v/>
      </c>
      <c r="H159" s="39" t="str">
        <f>IF(B159="","",SUMIFS(Cau_noi!$D$5:$D$304,Cau_noi!$A$5:$A$304,B159))</f>
        <v/>
      </c>
      <c r="I159" s="39" t="str">
        <f>IF(B159="","",SUMIFS(Cau_noi!$E$5:$E$304,Cau_noi!$A$5:$A$304,B159))</f>
        <v/>
      </c>
      <c r="J159" s="39" t="str">
        <f t="shared" si="9"/>
        <v/>
      </c>
      <c r="K159" s="39" t="str">
        <f>IF(B159="","",SUMIFS(KT_DMTT_ChiTiet!$H$5:$H$1004,KT_DMTT_ChiTiet!$C$5:$C$1004,B159,KT_DMTT_ChiTiet!$N$5:$N$1004,1))</f>
        <v/>
      </c>
      <c r="L159" s="39" t="str">
        <f t="shared" si="10"/>
        <v/>
      </c>
      <c r="M159" s="46" t="str">
        <f t="shared" si="11"/>
        <v/>
      </c>
      <c r="N159" s="35" t="str">
        <f>IF(B159="","",IF(K159=0,IF(J159=0,"Pass",IF(COUNTIFS(BOM!$B$5:$B$1004,B159,BOM!$G$5:$G$1004,"KXDDM")&gt;0,"KXDDM","Xem xét")),IF(ABS(M159)&lt;=ThongTin!$C$11,"Pass","Xem xét")))</f>
        <v/>
      </c>
    </row>
    <row r="160" spans="1:14" x14ac:dyDescent="0.25">
      <c r="A160" s="35" t="str">
        <f t="shared" si="8"/>
        <v/>
      </c>
      <c r="B160" s="35" t="str">
        <f>IF('Mau15'!B166="","",'Mau15'!B166)</f>
        <v/>
      </c>
      <c r="C160" s="35" t="str">
        <f>IF(B160="","",'Mau15'!C166)</f>
        <v/>
      </c>
      <c r="D160" s="35" t="str">
        <f>IF(B160="","",'Mau15'!D166)</f>
        <v/>
      </c>
      <c r="E160" s="39" t="str">
        <f>IF(B160="","",'Mau15'!I166)</f>
        <v/>
      </c>
      <c r="F160" s="39" t="str">
        <f>IF(B160="","",SUMIFS(Cau_noi!$B$5:$B$304,Cau_noi!$A$5:$A$304,B160))</f>
        <v/>
      </c>
      <c r="G160" s="39" t="str">
        <f>IF(B160="","",SUMIFS(Cau_noi!$C$5:$C$304,Cau_noi!$A$5:$A$304,B160))</f>
        <v/>
      </c>
      <c r="H160" s="39" t="str">
        <f>IF(B160="","",SUMIFS(Cau_noi!$D$5:$D$304,Cau_noi!$A$5:$A$304,B160))</f>
        <v/>
      </c>
      <c r="I160" s="39" t="str">
        <f>IF(B160="","",SUMIFS(Cau_noi!$E$5:$E$304,Cau_noi!$A$5:$A$304,B160))</f>
        <v/>
      </c>
      <c r="J160" s="39" t="str">
        <f t="shared" si="9"/>
        <v/>
      </c>
      <c r="K160" s="39" t="str">
        <f>IF(B160="","",SUMIFS(KT_DMTT_ChiTiet!$H$5:$H$1004,KT_DMTT_ChiTiet!$C$5:$C$1004,B160,KT_DMTT_ChiTiet!$N$5:$N$1004,1))</f>
        <v/>
      </c>
      <c r="L160" s="39" t="str">
        <f t="shared" si="10"/>
        <v/>
      </c>
      <c r="M160" s="46" t="str">
        <f t="shared" si="11"/>
        <v/>
      </c>
      <c r="N160" s="35" t="str">
        <f>IF(B160="","",IF(K160=0,IF(J160=0,"Pass",IF(COUNTIFS(BOM!$B$5:$B$1004,B160,BOM!$G$5:$G$1004,"KXDDM")&gt;0,"KXDDM","Xem xét")),IF(ABS(M160)&lt;=ThongTin!$C$11,"Pass","Xem xét")))</f>
        <v/>
      </c>
    </row>
    <row r="161" spans="1:14" x14ac:dyDescent="0.25">
      <c r="A161" s="35" t="str">
        <f t="shared" si="8"/>
        <v/>
      </c>
      <c r="B161" s="35" t="str">
        <f>IF('Mau15'!B167="","",'Mau15'!B167)</f>
        <v/>
      </c>
      <c r="C161" s="35" t="str">
        <f>IF(B161="","",'Mau15'!C167)</f>
        <v/>
      </c>
      <c r="D161" s="35" t="str">
        <f>IF(B161="","",'Mau15'!D167)</f>
        <v/>
      </c>
      <c r="E161" s="39" t="str">
        <f>IF(B161="","",'Mau15'!I167)</f>
        <v/>
      </c>
      <c r="F161" s="39" t="str">
        <f>IF(B161="","",SUMIFS(Cau_noi!$B$5:$B$304,Cau_noi!$A$5:$A$304,B161))</f>
        <v/>
      </c>
      <c r="G161" s="39" t="str">
        <f>IF(B161="","",SUMIFS(Cau_noi!$C$5:$C$304,Cau_noi!$A$5:$A$304,B161))</f>
        <v/>
      </c>
      <c r="H161" s="39" t="str">
        <f>IF(B161="","",SUMIFS(Cau_noi!$D$5:$D$304,Cau_noi!$A$5:$A$304,B161))</f>
        <v/>
      </c>
      <c r="I161" s="39" t="str">
        <f>IF(B161="","",SUMIFS(Cau_noi!$E$5:$E$304,Cau_noi!$A$5:$A$304,B161))</f>
        <v/>
      </c>
      <c r="J161" s="39" t="str">
        <f t="shared" si="9"/>
        <v/>
      </c>
      <c r="K161" s="39" t="str">
        <f>IF(B161="","",SUMIFS(KT_DMTT_ChiTiet!$H$5:$H$1004,KT_DMTT_ChiTiet!$C$5:$C$1004,B161,KT_DMTT_ChiTiet!$N$5:$N$1004,1))</f>
        <v/>
      </c>
      <c r="L161" s="39" t="str">
        <f t="shared" si="10"/>
        <v/>
      </c>
      <c r="M161" s="46" t="str">
        <f t="shared" si="11"/>
        <v/>
      </c>
      <c r="N161" s="35" t="str">
        <f>IF(B161="","",IF(K161=0,IF(J161=0,"Pass",IF(COUNTIFS(BOM!$B$5:$B$1004,B161,BOM!$G$5:$G$1004,"KXDDM")&gt;0,"KXDDM","Xem xét")),IF(ABS(M161)&lt;=ThongTin!$C$11,"Pass","Xem xét")))</f>
        <v/>
      </c>
    </row>
    <row r="162" spans="1:14" x14ac:dyDescent="0.25">
      <c r="A162" s="35" t="str">
        <f t="shared" si="8"/>
        <v/>
      </c>
      <c r="B162" s="35" t="str">
        <f>IF('Mau15'!B168="","",'Mau15'!B168)</f>
        <v/>
      </c>
      <c r="C162" s="35" t="str">
        <f>IF(B162="","",'Mau15'!C168)</f>
        <v/>
      </c>
      <c r="D162" s="35" t="str">
        <f>IF(B162="","",'Mau15'!D168)</f>
        <v/>
      </c>
      <c r="E162" s="39" t="str">
        <f>IF(B162="","",'Mau15'!I168)</f>
        <v/>
      </c>
      <c r="F162" s="39" t="str">
        <f>IF(B162="","",SUMIFS(Cau_noi!$B$5:$B$304,Cau_noi!$A$5:$A$304,B162))</f>
        <v/>
      </c>
      <c r="G162" s="39" t="str">
        <f>IF(B162="","",SUMIFS(Cau_noi!$C$5:$C$304,Cau_noi!$A$5:$A$304,B162))</f>
        <v/>
      </c>
      <c r="H162" s="39" t="str">
        <f>IF(B162="","",SUMIFS(Cau_noi!$D$5:$D$304,Cau_noi!$A$5:$A$304,B162))</f>
        <v/>
      </c>
      <c r="I162" s="39" t="str">
        <f>IF(B162="","",SUMIFS(Cau_noi!$E$5:$E$304,Cau_noi!$A$5:$A$304,B162))</f>
        <v/>
      </c>
      <c r="J162" s="39" t="str">
        <f t="shared" si="9"/>
        <v/>
      </c>
      <c r="K162" s="39" t="str">
        <f>IF(B162="","",SUMIFS(KT_DMTT_ChiTiet!$H$5:$H$1004,KT_DMTT_ChiTiet!$C$5:$C$1004,B162,KT_DMTT_ChiTiet!$N$5:$N$1004,1))</f>
        <v/>
      </c>
      <c r="L162" s="39" t="str">
        <f t="shared" si="10"/>
        <v/>
      </c>
      <c r="M162" s="46" t="str">
        <f t="shared" si="11"/>
        <v/>
      </c>
      <c r="N162" s="35" t="str">
        <f>IF(B162="","",IF(K162=0,IF(J162=0,"Pass",IF(COUNTIFS(BOM!$B$5:$B$1004,B162,BOM!$G$5:$G$1004,"KXDDM")&gt;0,"KXDDM","Xem xét")),IF(ABS(M162)&lt;=ThongTin!$C$11,"Pass","Xem xét")))</f>
        <v/>
      </c>
    </row>
    <row r="163" spans="1:14" x14ac:dyDescent="0.25">
      <c r="A163" s="35" t="str">
        <f t="shared" si="8"/>
        <v/>
      </c>
      <c r="B163" s="35" t="str">
        <f>IF('Mau15'!B169="","",'Mau15'!B169)</f>
        <v/>
      </c>
      <c r="C163" s="35" t="str">
        <f>IF(B163="","",'Mau15'!C169)</f>
        <v/>
      </c>
      <c r="D163" s="35" t="str">
        <f>IF(B163="","",'Mau15'!D169)</f>
        <v/>
      </c>
      <c r="E163" s="39" t="str">
        <f>IF(B163="","",'Mau15'!I169)</f>
        <v/>
      </c>
      <c r="F163" s="39" t="str">
        <f>IF(B163="","",SUMIFS(Cau_noi!$B$5:$B$304,Cau_noi!$A$5:$A$304,B163))</f>
        <v/>
      </c>
      <c r="G163" s="39" t="str">
        <f>IF(B163="","",SUMIFS(Cau_noi!$C$5:$C$304,Cau_noi!$A$5:$A$304,B163))</f>
        <v/>
      </c>
      <c r="H163" s="39" t="str">
        <f>IF(B163="","",SUMIFS(Cau_noi!$D$5:$D$304,Cau_noi!$A$5:$A$304,B163))</f>
        <v/>
      </c>
      <c r="I163" s="39" t="str">
        <f>IF(B163="","",SUMIFS(Cau_noi!$E$5:$E$304,Cau_noi!$A$5:$A$304,B163))</f>
        <v/>
      </c>
      <c r="J163" s="39" t="str">
        <f t="shared" si="9"/>
        <v/>
      </c>
      <c r="K163" s="39" t="str">
        <f>IF(B163="","",SUMIFS(KT_DMTT_ChiTiet!$H$5:$H$1004,KT_DMTT_ChiTiet!$C$5:$C$1004,B163,KT_DMTT_ChiTiet!$N$5:$N$1004,1))</f>
        <v/>
      </c>
      <c r="L163" s="39" t="str">
        <f t="shared" si="10"/>
        <v/>
      </c>
      <c r="M163" s="46" t="str">
        <f t="shared" si="11"/>
        <v/>
      </c>
      <c r="N163" s="35" t="str">
        <f>IF(B163="","",IF(K163=0,IF(J163=0,"Pass",IF(COUNTIFS(BOM!$B$5:$B$1004,B163,BOM!$G$5:$G$1004,"KXDDM")&gt;0,"KXDDM","Xem xét")),IF(ABS(M163)&lt;=ThongTin!$C$11,"Pass","Xem xét")))</f>
        <v/>
      </c>
    </row>
    <row r="164" spans="1:14" x14ac:dyDescent="0.25">
      <c r="A164" s="35" t="str">
        <f t="shared" si="8"/>
        <v/>
      </c>
      <c r="B164" s="35" t="str">
        <f>IF('Mau15'!B170="","",'Mau15'!B170)</f>
        <v/>
      </c>
      <c r="C164" s="35" t="str">
        <f>IF(B164="","",'Mau15'!C170)</f>
        <v/>
      </c>
      <c r="D164" s="35" t="str">
        <f>IF(B164="","",'Mau15'!D170)</f>
        <v/>
      </c>
      <c r="E164" s="39" t="str">
        <f>IF(B164="","",'Mau15'!I170)</f>
        <v/>
      </c>
      <c r="F164" s="39" t="str">
        <f>IF(B164="","",SUMIFS(Cau_noi!$B$5:$B$304,Cau_noi!$A$5:$A$304,B164))</f>
        <v/>
      </c>
      <c r="G164" s="39" t="str">
        <f>IF(B164="","",SUMIFS(Cau_noi!$C$5:$C$304,Cau_noi!$A$5:$A$304,B164))</f>
        <v/>
      </c>
      <c r="H164" s="39" t="str">
        <f>IF(B164="","",SUMIFS(Cau_noi!$D$5:$D$304,Cau_noi!$A$5:$A$304,B164))</f>
        <v/>
      </c>
      <c r="I164" s="39" t="str">
        <f>IF(B164="","",SUMIFS(Cau_noi!$E$5:$E$304,Cau_noi!$A$5:$A$304,B164))</f>
        <v/>
      </c>
      <c r="J164" s="39" t="str">
        <f t="shared" si="9"/>
        <v/>
      </c>
      <c r="K164" s="39" t="str">
        <f>IF(B164="","",SUMIFS(KT_DMTT_ChiTiet!$H$5:$H$1004,KT_DMTT_ChiTiet!$C$5:$C$1004,B164,KT_DMTT_ChiTiet!$N$5:$N$1004,1))</f>
        <v/>
      </c>
      <c r="L164" s="39" t="str">
        <f t="shared" si="10"/>
        <v/>
      </c>
      <c r="M164" s="46" t="str">
        <f t="shared" si="11"/>
        <v/>
      </c>
      <c r="N164" s="35" t="str">
        <f>IF(B164="","",IF(K164=0,IF(J164=0,"Pass",IF(COUNTIFS(BOM!$B$5:$B$1004,B164,BOM!$G$5:$G$1004,"KXDDM")&gt;0,"KXDDM","Xem xét")),IF(ABS(M164)&lt;=ThongTin!$C$11,"Pass","Xem xét")))</f>
        <v/>
      </c>
    </row>
    <row r="165" spans="1:14" x14ac:dyDescent="0.25">
      <c r="A165" s="35" t="str">
        <f t="shared" si="8"/>
        <v/>
      </c>
      <c r="B165" s="35" t="str">
        <f>IF('Mau15'!B171="","",'Mau15'!B171)</f>
        <v/>
      </c>
      <c r="C165" s="35" t="str">
        <f>IF(B165="","",'Mau15'!C171)</f>
        <v/>
      </c>
      <c r="D165" s="35" t="str">
        <f>IF(B165="","",'Mau15'!D171)</f>
        <v/>
      </c>
      <c r="E165" s="39" t="str">
        <f>IF(B165="","",'Mau15'!I171)</f>
        <v/>
      </c>
      <c r="F165" s="39" t="str">
        <f>IF(B165="","",SUMIFS(Cau_noi!$B$5:$B$304,Cau_noi!$A$5:$A$304,B165))</f>
        <v/>
      </c>
      <c r="G165" s="39" t="str">
        <f>IF(B165="","",SUMIFS(Cau_noi!$C$5:$C$304,Cau_noi!$A$5:$A$304,B165))</f>
        <v/>
      </c>
      <c r="H165" s="39" t="str">
        <f>IF(B165="","",SUMIFS(Cau_noi!$D$5:$D$304,Cau_noi!$A$5:$A$304,B165))</f>
        <v/>
      </c>
      <c r="I165" s="39" t="str">
        <f>IF(B165="","",SUMIFS(Cau_noi!$E$5:$E$304,Cau_noi!$A$5:$A$304,B165))</f>
        <v/>
      </c>
      <c r="J165" s="39" t="str">
        <f t="shared" si="9"/>
        <v/>
      </c>
      <c r="K165" s="39" t="str">
        <f>IF(B165="","",SUMIFS(KT_DMTT_ChiTiet!$H$5:$H$1004,KT_DMTT_ChiTiet!$C$5:$C$1004,B165,KT_DMTT_ChiTiet!$N$5:$N$1004,1))</f>
        <v/>
      </c>
      <c r="L165" s="39" t="str">
        <f t="shared" si="10"/>
        <v/>
      </c>
      <c r="M165" s="46" t="str">
        <f t="shared" si="11"/>
        <v/>
      </c>
      <c r="N165" s="35" t="str">
        <f>IF(B165="","",IF(K165=0,IF(J165=0,"Pass",IF(COUNTIFS(BOM!$B$5:$B$1004,B165,BOM!$G$5:$G$1004,"KXDDM")&gt;0,"KXDDM","Xem xét")),IF(ABS(M165)&lt;=ThongTin!$C$11,"Pass","Xem xét")))</f>
        <v/>
      </c>
    </row>
    <row r="166" spans="1:14" x14ac:dyDescent="0.25">
      <c r="A166" s="35" t="str">
        <f t="shared" si="8"/>
        <v/>
      </c>
      <c r="B166" s="35" t="str">
        <f>IF('Mau15'!B172="","",'Mau15'!B172)</f>
        <v/>
      </c>
      <c r="C166" s="35" t="str">
        <f>IF(B166="","",'Mau15'!C172)</f>
        <v/>
      </c>
      <c r="D166" s="35" t="str">
        <f>IF(B166="","",'Mau15'!D172)</f>
        <v/>
      </c>
      <c r="E166" s="39" t="str">
        <f>IF(B166="","",'Mau15'!I172)</f>
        <v/>
      </c>
      <c r="F166" s="39" t="str">
        <f>IF(B166="","",SUMIFS(Cau_noi!$B$5:$B$304,Cau_noi!$A$5:$A$304,B166))</f>
        <v/>
      </c>
      <c r="G166" s="39" t="str">
        <f>IF(B166="","",SUMIFS(Cau_noi!$C$5:$C$304,Cau_noi!$A$5:$A$304,B166))</f>
        <v/>
      </c>
      <c r="H166" s="39" t="str">
        <f>IF(B166="","",SUMIFS(Cau_noi!$D$5:$D$304,Cau_noi!$A$5:$A$304,B166))</f>
        <v/>
      </c>
      <c r="I166" s="39" t="str">
        <f>IF(B166="","",SUMIFS(Cau_noi!$E$5:$E$304,Cau_noi!$A$5:$A$304,B166))</f>
        <v/>
      </c>
      <c r="J166" s="39" t="str">
        <f t="shared" si="9"/>
        <v/>
      </c>
      <c r="K166" s="39" t="str">
        <f>IF(B166="","",SUMIFS(KT_DMTT_ChiTiet!$H$5:$H$1004,KT_DMTT_ChiTiet!$C$5:$C$1004,B166,KT_DMTT_ChiTiet!$N$5:$N$1004,1))</f>
        <v/>
      </c>
      <c r="L166" s="39" t="str">
        <f t="shared" si="10"/>
        <v/>
      </c>
      <c r="M166" s="46" t="str">
        <f t="shared" si="11"/>
        <v/>
      </c>
      <c r="N166" s="35" t="str">
        <f>IF(B166="","",IF(K166=0,IF(J166=0,"Pass",IF(COUNTIFS(BOM!$B$5:$B$1004,B166,BOM!$G$5:$G$1004,"KXDDM")&gt;0,"KXDDM","Xem xét")),IF(ABS(M166)&lt;=ThongTin!$C$11,"Pass","Xem xét")))</f>
        <v/>
      </c>
    </row>
    <row r="167" spans="1:14" x14ac:dyDescent="0.25">
      <c r="A167" s="35" t="str">
        <f t="shared" si="8"/>
        <v/>
      </c>
      <c r="B167" s="35" t="str">
        <f>IF('Mau15'!B173="","",'Mau15'!B173)</f>
        <v/>
      </c>
      <c r="C167" s="35" t="str">
        <f>IF(B167="","",'Mau15'!C173)</f>
        <v/>
      </c>
      <c r="D167" s="35" t="str">
        <f>IF(B167="","",'Mau15'!D173)</f>
        <v/>
      </c>
      <c r="E167" s="39" t="str">
        <f>IF(B167="","",'Mau15'!I173)</f>
        <v/>
      </c>
      <c r="F167" s="39" t="str">
        <f>IF(B167="","",SUMIFS(Cau_noi!$B$5:$B$304,Cau_noi!$A$5:$A$304,B167))</f>
        <v/>
      </c>
      <c r="G167" s="39" t="str">
        <f>IF(B167="","",SUMIFS(Cau_noi!$C$5:$C$304,Cau_noi!$A$5:$A$304,B167))</f>
        <v/>
      </c>
      <c r="H167" s="39" t="str">
        <f>IF(B167="","",SUMIFS(Cau_noi!$D$5:$D$304,Cau_noi!$A$5:$A$304,B167))</f>
        <v/>
      </c>
      <c r="I167" s="39" t="str">
        <f>IF(B167="","",SUMIFS(Cau_noi!$E$5:$E$304,Cau_noi!$A$5:$A$304,B167))</f>
        <v/>
      </c>
      <c r="J167" s="39" t="str">
        <f t="shared" si="9"/>
        <v/>
      </c>
      <c r="K167" s="39" t="str">
        <f>IF(B167="","",SUMIFS(KT_DMTT_ChiTiet!$H$5:$H$1004,KT_DMTT_ChiTiet!$C$5:$C$1004,B167,KT_DMTT_ChiTiet!$N$5:$N$1004,1))</f>
        <v/>
      </c>
      <c r="L167" s="39" t="str">
        <f t="shared" si="10"/>
        <v/>
      </c>
      <c r="M167" s="46" t="str">
        <f t="shared" si="11"/>
        <v/>
      </c>
      <c r="N167" s="35" t="str">
        <f>IF(B167="","",IF(K167=0,IF(J167=0,"Pass",IF(COUNTIFS(BOM!$B$5:$B$1004,B167,BOM!$G$5:$G$1004,"KXDDM")&gt;0,"KXDDM","Xem xét")),IF(ABS(M167)&lt;=ThongTin!$C$11,"Pass","Xem xét")))</f>
        <v/>
      </c>
    </row>
    <row r="168" spans="1:14" x14ac:dyDescent="0.25">
      <c r="A168" s="35" t="str">
        <f t="shared" si="8"/>
        <v/>
      </c>
      <c r="B168" s="35" t="str">
        <f>IF('Mau15'!B174="","",'Mau15'!B174)</f>
        <v/>
      </c>
      <c r="C168" s="35" t="str">
        <f>IF(B168="","",'Mau15'!C174)</f>
        <v/>
      </c>
      <c r="D168" s="35" t="str">
        <f>IF(B168="","",'Mau15'!D174)</f>
        <v/>
      </c>
      <c r="E168" s="39" t="str">
        <f>IF(B168="","",'Mau15'!I174)</f>
        <v/>
      </c>
      <c r="F168" s="39" t="str">
        <f>IF(B168="","",SUMIFS(Cau_noi!$B$5:$B$304,Cau_noi!$A$5:$A$304,B168))</f>
        <v/>
      </c>
      <c r="G168" s="39" t="str">
        <f>IF(B168="","",SUMIFS(Cau_noi!$C$5:$C$304,Cau_noi!$A$5:$A$304,B168))</f>
        <v/>
      </c>
      <c r="H168" s="39" t="str">
        <f>IF(B168="","",SUMIFS(Cau_noi!$D$5:$D$304,Cau_noi!$A$5:$A$304,B168))</f>
        <v/>
      </c>
      <c r="I168" s="39" t="str">
        <f>IF(B168="","",SUMIFS(Cau_noi!$E$5:$E$304,Cau_noi!$A$5:$A$304,B168))</f>
        <v/>
      </c>
      <c r="J168" s="39" t="str">
        <f t="shared" si="9"/>
        <v/>
      </c>
      <c r="K168" s="39" t="str">
        <f>IF(B168="","",SUMIFS(KT_DMTT_ChiTiet!$H$5:$H$1004,KT_DMTT_ChiTiet!$C$5:$C$1004,B168,KT_DMTT_ChiTiet!$N$5:$N$1004,1))</f>
        <v/>
      </c>
      <c r="L168" s="39" t="str">
        <f t="shared" si="10"/>
        <v/>
      </c>
      <c r="M168" s="46" t="str">
        <f t="shared" si="11"/>
        <v/>
      </c>
      <c r="N168" s="35" t="str">
        <f>IF(B168="","",IF(K168=0,IF(J168=0,"Pass",IF(COUNTIFS(BOM!$B$5:$B$1004,B168,BOM!$G$5:$G$1004,"KXDDM")&gt;0,"KXDDM","Xem xét")),IF(ABS(M168)&lt;=ThongTin!$C$11,"Pass","Xem xét")))</f>
        <v/>
      </c>
    </row>
    <row r="169" spans="1:14" x14ac:dyDescent="0.25">
      <c r="A169" s="35" t="str">
        <f t="shared" si="8"/>
        <v/>
      </c>
      <c r="B169" s="35" t="str">
        <f>IF('Mau15'!B175="","",'Mau15'!B175)</f>
        <v/>
      </c>
      <c r="C169" s="35" t="str">
        <f>IF(B169="","",'Mau15'!C175)</f>
        <v/>
      </c>
      <c r="D169" s="35" t="str">
        <f>IF(B169="","",'Mau15'!D175)</f>
        <v/>
      </c>
      <c r="E169" s="39" t="str">
        <f>IF(B169="","",'Mau15'!I175)</f>
        <v/>
      </c>
      <c r="F169" s="39" t="str">
        <f>IF(B169="","",SUMIFS(Cau_noi!$B$5:$B$304,Cau_noi!$A$5:$A$304,B169))</f>
        <v/>
      </c>
      <c r="G169" s="39" t="str">
        <f>IF(B169="","",SUMIFS(Cau_noi!$C$5:$C$304,Cau_noi!$A$5:$A$304,B169))</f>
        <v/>
      </c>
      <c r="H169" s="39" t="str">
        <f>IF(B169="","",SUMIFS(Cau_noi!$D$5:$D$304,Cau_noi!$A$5:$A$304,B169))</f>
        <v/>
      </c>
      <c r="I169" s="39" t="str">
        <f>IF(B169="","",SUMIFS(Cau_noi!$E$5:$E$304,Cau_noi!$A$5:$A$304,B169))</f>
        <v/>
      </c>
      <c r="J169" s="39" t="str">
        <f t="shared" si="9"/>
        <v/>
      </c>
      <c r="K169" s="39" t="str">
        <f>IF(B169="","",SUMIFS(KT_DMTT_ChiTiet!$H$5:$H$1004,KT_DMTT_ChiTiet!$C$5:$C$1004,B169,KT_DMTT_ChiTiet!$N$5:$N$1004,1))</f>
        <v/>
      </c>
      <c r="L169" s="39" t="str">
        <f t="shared" si="10"/>
        <v/>
      </c>
      <c r="M169" s="46" t="str">
        <f t="shared" si="11"/>
        <v/>
      </c>
      <c r="N169" s="35" t="str">
        <f>IF(B169="","",IF(K169=0,IF(J169=0,"Pass",IF(COUNTIFS(BOM!$B$5:$B$1004,B169,BOM!$G$5:$G$1004,"KXDDM")&gt;0,"KXDDM","Xem xét")),IF(ABS(M169)&lt;=ThongTin!$C$11,"Pass","Xem xét")))</f>
        <v/>
      </c>
    </row>
    <row r="170" spans="1:14" x14ac:dyDescent="0.25">
      <c r="A170" s="35" t="str">
        <f t="shared" si="8"/>
        <v/>
      </c>
      <c r="B170" s="35" t="str">
        <f>IF('Mau15'!B176="","",'Mau15'!B176)</f>
        <v/>
      </c>
      <c r="C170" s="35" t="str">
        <f>IF(B170="","",'Mau15'!C176)</f>
        <v/>
      </c>
      <c r="D170" s="35" t="str">
        <f>IF(B170="","",'Mau15'!D176)</f>
        <v/>
      </c>
      <c r="E170" s="39" t="str">
        <f>IF(B170="","",'Mau15'!I176)</f>
        <v/>
      </c>
      <c r="F170" s="39" t="str">
        <f>IF(B170="","",SUMIFS(Cau_noi!$B$5:$B$304,Cau_noi!$A$5:$A$304,B170))</f>
        <v/>
      </c>
      <c r="G170" s="39" t="str">
        <f>IF(B170="","",SUMIFS(Cau_noi!$C$5:$C$304,Cau_noi!$A$5:$A$304,B170))</f>
        <v/>
      </c>
      <c r="H170" s="39" t="str">
        <f>IF(B170="","",SUMIFS(Cau_noi!$D$5:$D$304,Cau_noi!$A$5:$A$304,B170))</f>
        <v/>
      </c>
      <c r="I170" s="39" t="str">
        <f>IF(B170="","",SUMIFS(Cau_noi!$E$5:$E$304,Cau_noi!$A$5:$A$304,B170))</f>
        <v/>
      </c>
      <c r="J170" s="39" t="str">
        <f t="shared" si="9"/>
        <v/>
      </c>
      <c r="K170" s="39" t="str">
        <f>IF(B170="","",SUMIFS(KT_DMTT_ChiTiet!$H$5:$H$1004,KT_DMTT_ChiTiet!$C$5:$C$1004,B170,KT_DMTT_ChiTiet!$N$5:$N$1004,1))</f>
        <v/>
      </c>
      <c r="L170" s="39" t="str">
        <f t="shared" si="10"/>
        <v/>
      </c>
      <c r="M170" s="46" t="str">
        <f t="shared" si="11"/>
        <v/>
      </c>
      <c r="N170" s="35" t="str">
        <f>IF(B170="","",IF(K170=0,IF(J170=0,"Pass",IF(COUNTIFS(BOM!$B$5:$B$1004,B170,BOM!$G$5:$G$1004,"KXDDM")&gt;0,"KXDDM","Xem xét")),IF(ABS(M170)&lt;=ThongTin!$C$11,"Pass","Xem xét")))</f>
        <v/>
      </c>
    </row>
    <row r="171" spans="1:14" x14ac:dyDescent="0.25">
      <c r="A171" s="35" t="str">
        <f t="shared" si="8"/>
        <v/>
      </c>
      <c r="B171" s="35" t="str">
        <f>IF('Mau15'!B177="","",'Mau15'!B177)</f>
        <v/>
      </c>
      <c r="C171" s="35" t="str">
        <f>IF(B171="","",'Mau15'!C177)</f>
        <v/>
      </c>
      <c r="D171" s="35" t="str">
        <f>IF(B171="","",'Mau15'!D177)</f>
        <v/>
      </c>
      <c r="E171" s="39" t="str">
        <f>IF(B171="","",'Mau15'!I177)</f>
        <v/>
      </c>
      <c r="F171" s="39" t="str">
        <f>IF(B171="","",SUMIFS(Cau_noi!$B$5:$B$304,Cau_noi!$A$5:$A$304,B171))</f>
        <v/>
      </c>
      <c r="G171" s="39" t="str">
        <f>IF(B171="","",SUMIFS(Cau_noi!$C$5:$C$304,Cau_noi!$A$5:$A$304,B171))</f>
        <v/>
      </c>
      <c r="H171" s="39" t="str">
        <f>IF(B171="","",SUMIFS(Cau_noi!$D$5:$D$304,Cau_noi!$A$5:$A$304,B171))</f>
        <v/>
      </c>
      <c r="I171" s="39" t="str">
        <f>IF(B171="","",SUMIFS(Cau_noi!$E$5:$E$304,Cau_noi!$A$5:$A$304,B171))</f>
        <v/>
      </c>
      <c r="J171" s="39" t="str">
        <f t="shared" si="9"/>
        <v/>
      </c>
      <c r="K171" s="39" t="str">
        <f>IF(B171="","",SUMIFS(KT_DMTT_ChiTiet!$H$5:$H$1004,KT_DMTT_ChiTiet!$C$5:$C$1004,B171,KT_DMTT_ChiTiet!$N$5:$N$1004,1))</f>
        <v/>
      </c>
      <c r="L171" s="39" t="str">
        <f t="shared" si="10"/>
        <v/>
      </c>
      <c r="M171" s="46" t="str">
        <f t="shared" si="11"/>
        <v/>
      </c>
      <c r="N171" s="35" t="str">
        <f>IF(B171="","",IF(K171=0,IF(J171=0,"Pass",IF(COUNTIFS(BOM!$B$5:$B$1004,B171,BOM!$G$5:$G$1004,"KXDDM")&gt;0,"KXDDM","Xem xét")),IF(ABS(M171)&lt;=ThongTin!$C$11,"Pass","Xem xét")))</f>
        <v/>
      </c>
    </row>
    <row r="172" spans="1:14" x14ac:dyDescent="0.25">
      <c r="A172" s="35" t="str">
        <f t="shared" si="8"/>
        <v/>
      </c>
      <c r="B172" s="35" t="str">
        <f>IF('Mau15'!B178="","",'Mau15'!B178)</f>
        <v/>
      </c>
      <c r="C172" s="35" t="str">
        <f>IF(B172="","",'Mau15'!C178)</f>
        <v/>
      </c>
      <c r="D172" s="35" t="str">
        <f>IF(B172="","",'Mau15'!D178)</f>
        <v/>
      </c>
      <c r="E172" s="39" t="str">
        <f>IF(B172="","",'Mau15'!I178)</f>
        <v/>
      </c>
      <c r="F172" s="39" t="str">
        <f>IF(B172="","",SUMIFS(Cau_noi!$B$5:$B$304,Cau_noi!$A$5:$A$304,B172))</f>
        <v/>
      </c>
      <c r="G172" s="39" t="str">
        <f>IF(B172="","",SUMIFS(Cau_noi!$C$5:$C$304,Cau_noi!$A$5:$A$304,B172))</f>
        <v/>
      </c>
      <c r="H172" s="39" t="str">
        <f>IF(B172="","",SUMIFS(Cau_noi!$D$5:$D$304,Cau_noi!$A$5:$A$304,B172))</f>
        <v/>
      </c>
      <c r="I172" s="39" t="str">
        <f>IF(B172="","",SUMIFS(Cau_noi!$E$5:$E$304,Cau_noi!$A$5:$A$304,B172))</f>
        <v/>
      </c>
      <c r="J172" s="39" t="str">
        <f t="shared" si="9"/>
        <v/>
      </c>
      <c r="K172" s="39" t="str">
        <f>IF(B172="","",SUMIFS(KT_DMTT_ChiTiet!$H$5:$H$1004,KT_DMTT_ChiTiet!$C$5:$C$1004,B172,KT_DMTT_ChiTiet!$N$5:$N$1004,1))</f>
        <v/>
      </c>
      <c r="L172" s="39" t="str">
        <f t="shared" si="10"/>
        <v/>
      </c>
      <c r="M172" s="46" t="str">
        <f t="shared" si="11"/>
        <v/>
      </c>
      <c r="N172" s="35" t="str">
        <f>IF(B172="","",IF(K172=0,IF(J172=0,"Pass",IF(COUNTIFS(BOM!$B$5:$B$1004,B172,BOM!$G$5:$G$1004,"KXDDM")&gt;0,"KXDDM","Xem xét")),IF(ABS(M172)&lt;=ThongTin!$C$11,"Pass","Xem xét")))</f>
        <v/>
      </c>
    </row>
    <row r="173" spans="1:14" x14ac:dyDescent="0.25">
      <c r="A173" s="35" t="str">
        <f t="shared" si="8"/>
        <v/>
      </c>
      <c r="B173" s="35" t="str">
        <f>IF('Mau15'!B179="","",'Mau15'!B179)</f>
        <v/>
      </c>
      <c r="C173" s="35" t="str">
        <f>IF(B173="","",'Mau15'!C179)</f>
        <v/>
      </c>
      <c r="D173" s="35" t="str">
        <f>IF(B173="","",'Mau15'!D179)</f>
        <v/>
      </c>
      <c r="E173" s="39" t="str">
        <f>IF(B173="","",'Mau15'!I179)</f>
        <v/>
      </c>
      <c r="F173" s="39" t="str">
        <f>IF(B173="","",SUMIFS(Cau_noi!$B$5:$B$304,Cau_noi!$A$5:$A$304,B173))</f>
        <v/>
      </c>
      <c r="G173" s="39" t="str">
        <f>IF(B173="","",SUMIFS(Cau_noi!$C$5:$C$304,Cau_noi!$A$5:$A$304,B173))</f>
        <v/>
      </c>
      <c r="H173" s="39" t="str">
        <f>IF(B173="","",SUMIFS(Cau_noi!$D$5:$D$304,Cau_noi!$A$5:$A$304,B173))</f>
        <v/>
      </c>
      <c r="I173" s="39" t="str">
        <f>IF(B173="","",SUMIFS(Cau_noi!$E$5:$E$304,Cau_noi!$A$5:$A$304,B173))</f>
        <v/>
      </c>
      <c r="J173" s="39" t="str">
        <f t="shared" si="9"/>
        <v/>
      </c>
      <c r="K173" s="39" t="str">
        <f>IF(B173="","",SUMIFS(KT_DMTT_ChiTiet!$H$5:$H$1004,KT_DMTT_ChiTiet!$C$5:$C$1004,B173,KT_DMTT_ChiTiet!$N$5:$N$1004,1))</f>
        <v/>
      </c>
      <c r="L173" s="39" t="str">
        <f t="shared" si="10"/>
        <v/>
      </c>
      <c r="M173" s="46" t="str">
        <f t="shared" si="11"/>
        <v/>
      </c>
      <c r="N173" s="35" t="str">
        <f>IF(B173="","",IF(K173=0,IF(J173=0,"Pass",IF(COUNTIFS(BOM!$B$5:$B$1004,B173,BOM!$G$5:$G$1004,"KXDDM")&gt;0,"KXDDM","Xem xét")),IF(ABS(M173)&lt;=ThongTin!$C$11,"Pass","Xem xét")))</f>
        <v/>
      </c>
    </row>
    <row r="174" spans="1:14" x14ac:dyDescent="0.25">
      <c r="A174" s="35" t="str">
        <f t="shared" si="8"/>
        <v/>
      </c>
      <c r="B174" s="35" t="str">
        <f>IF('Mau15'!B180="","",'Mau15'!B180)</f>
        <v/>
      </c>
      <c r="C174" s="35" t="str">
        <f>IF(B174="","",'Mau15'!C180)</f>
        <v/>
      </c>
      <c r="D174" s="35" t="str">
        <f>IF(B174="","",'Mau15'!D180)</f>
        <v/>
      </c>
      <c r="E174" s="39" t="str">
        <f>IF(B174="","",'Mau15'!I180)</f>
        <v/>
      </c>
      <c r="F174" s="39" t="str">
        <f>IF(B174="","",SUMIFS(Cau_noi!$B$5:$B$304,Cau_noi!$A$5:$A$304,B174))</f>
        <v/>
      </c>
      <c r="G174" s="39" t="str">
        <f>IF(B174="","",SUMIFS(Cau_noi!$C$5:$C$304,Cau_noi!$A$5:$A$304,B174))</f>
        <v/>
      </c>
      <c r="H174" s="39" t="str">
        <f>IF(B174="","",SUMIFS(Cau_noi!$D$5:$D$304,Cau_noi!$A$5:$A$304,B174))</f>
        <v/>
      </c>
      <c r="I174" s="39" t="str">
        <f>IF(B174="","",SUMIFS(Cau_noi!$E$5:$E$304,Cau_noi!$A$5:$A$304,B174))</f>
        <v/>
      </c>
      <c r="J174" s="39" t="str">
        <f t="shared" si="9"/>
        <v/>
      </c>
      <c r="K174" s="39" t="str">
        <f>IF(B174="","",SUMIFS(KT_DMTT_ChiTiet!$H$5:$H$1004,KT_DMTT_ChiTiet!$C$5:$C$1004,B174,KT_DMTT_ChiTiet!$N$5:$N$1004,1))</f>
        <v/>
      </c>
      <c r="L174" s="39" t="str">
        <f t="shared" si="10"/>
        <v/>
      </c>
      <c r="M174" s="46" t="str">
        <f t="shared" si="11"/>
        <v/>
      </c>
      <c r="N174" s="35" t="str">
        <f>IF(B174="","",IF(K174=0,IF(J174=0,"Pass",IF(COUNTIFS(BOM!$B$5:$B$1004,B174,BOM!$G$5:$G$1004,"KXDDM")&gt;0,"KXDDM","Xem xét")),IF(ABS(M174)&lt;=ThongTin!$C$11,"Pass","Xem xét")))</f>
        <v/>
      </c>
    </row>
    <row r="175" spans="1:14" x14ac:dyDescent="0.25">
      <c r="A175" s="35" t="str">
        <f t="shared" si="8"/>
        <v/>
      </c>
      <c r="B175" s="35" t="str">
        <f>IF('Mau15'!B181="","",'Mau15'!B181)</f>
        <v/>
      </c>
      <c r="C175" s="35" t="str">
        <f>IF(B175="","",'Mau15'!C181)</f>
        <v/>
      </c>
      <c r="D175" s="35" t="str">
        <f>IF(B175="","",'Mau15'!D181)</f>
        <v/>
      </c>
      <c r="E175" s="39" t="str">
        <f>IF(B175="","",'Mau15'!I181)</f>
        <v/>
      </c>
      <c r="F175" s="39" t="str">
        <f>IF(B175="","",SUMIFS(Cau_noi!$B$5:$B$304,Cau_noi!$A$5:$A$304,B175))</f>
        <v/>
      </c>
      <c r="G175" s="39" t="str">
        <f>IF(B175="","",SUMIFS(Cau_noi!$C$5:$C$304,Cau_noi!$A$5:$A$304,B175))</f>
        <v/>
      </c>
      <c r="H175" s="39" t="str">
        <f>IF(B175="","",SUMIFS(Cau_noi!$D$5:$D$304,Cau_noi!$A$5:$A$304,B175))</f>
        <v/>
      </c>
      <c r="I175" s="39" t="str">
        <f>IF(B175="","",SUMIFS(Cau_noi!$E$5:$E$304,Cau_noi!$A$5:$A$304,B175))</f>
        <v/>
      </c>
      <c r="J175" s="39" t="str">
        <f t="shared" si="9"/>
        <v/>
      </c>
      <c r="K175" s="39" t="str">
        <f>IF(B175="","",SUMIFS(KT_DMTT_ChiTiet!$H$5:$H$1004,KT_DMTT_ChiTiet!$C$5:$C$1004,B175,KT_DMTT_ChiTiet!$N$5:$N$1004,1))</f>
        <v/>
      </c>
      <c r="L175" s="39" t="str">
        <f t="shared" si="10"/>
        <v/>
      </c>
      <c r="M175" s="46" t="str">
        <f t="shared" si="11"/>
        <v/>
      </c>
      <c r="N175" s="35" t="str">
        <f>IF(B175="","",IF(K175=0,IF(J175=0,"Pass",IF(COUNTIFS(BOM!$B$5:$B$1004,B175,BOM!$G$5:$G$1004,"KXDDM")&gt;0,"KXDDM","Xem xét")),IF(ABS(M175)&lt;=ThongTin!$C$11,"Pass","Xem xét")))</f>
        <v/>
      </c>
    </row>
    <row r="176" spans="1:14" x14ac:dyDescent="0.25">
      <c r="A176" s="35" t="str">
        <f t="shared" si="8"/>
        <v/>
      </c>
      <c r="B176" s="35" t="str">
        <f>IF('Mau15'!B182="","",'Mau15'!B182)</f>
        <v/>
      </c>
      <c r="C176" s="35" t="str">
        <f>IF(B176="","",'Mau15'!C182)</f>
        <v/>
      </c>
      <c r="D176" s="35" t="str">
        <f>IF(B176="","",'Mau15'!D182)</f>
        <v/>
      </c>
      <c r="E176" s="39" t="str">
        <f>IF(B176="","",'Mau15'!I182)</f>
        <v/>
      </c>
      <c r="F176" s="39" t="str">
        <f>IF(B176="","",SUMIFS(Cau_noi!$B$5:$B$304,Cau_noi!$A$5:$A$304,B176))</f>
        <v/>
      </c>
      <c r="G176" s="39" t="str">
        <f>IF(B176="","",SUMIFS(Cau_noi!$C$5:$C$304,Cau_noi!$A$5:$A$304,B176))</f>
        <v/>
      </c>
      <c r="H176" s="39" t="str">
        <f>IF(B176="","",SUMIFS(Cau_noi!$D$5:$D$304,Cau_noi!$A$5:$A$304,B176))</f>
        <v/>
      </c>
      <c r="I176" s="39" t="str">
        <f>IF(B176="","",SUMIFS(Cau_noi!$E$5:$E$304,Cau_noi!$A$5:$A$304,B176))</f>
        <v/>
      </c>
      <c r="J176" s="39" t="str">
        <f t="shared" si="9"/>
        <v/>
      </c>
      <c r="K176" s="39" t="str">
        <f>IF(B176="","",SUMIFS(KT_DMTT_ChiTiet!$H$5:$H$1004,KT_DMTT_ChiTiet!$C$5:$C$1004,B176,KT_DMTT_ChiTiet!$N$5:$N$1004,1))</f>
        <v/>
      </c>
      <c r="L176" s="39" t="str">
        <f t="shared" si="10"/>
        <v/>
      </c>
      <c r="M176" s="46" t="str">
        <f t="shared" si="11"/>
        <v/>
      </c>
      <c r="N176" s="35" t="str">
        <f>IF(B176="","",IF(K176=0,IF(J176=0,"Pass",IF(COUNTIFS(BOM!$B$5:$B$1004,B176,BOM!$G$5:$G$1004,"KXDDM")&gt;0,"KXDDM","Xem xét")),IF(ABS(M176)&lt;=ThongTin!$C$11,"Pass","Xem xét")))</f>
        <v/>
      </c>
    </row>
    <row r="177" spans="1:14" x14ac:dyDescent="0.25">
      <c r="A177" s="35" t="str">
        <f t="shared" si="8"/>
        <v/>
      </c>
      <c r="B177" s="35" t="str">
        <f>IF('Mau15'!B183="","",'Mau15'!B183)</f>
        <v/>
      </c>
      <c r="C177" s="35" t="str">
        <f>IF(B177="","",'Mau15'!C183)</f>
        <v/>
      </c>
      <c r="D177" s="35" t="str">
        <f>IF(B177="","",'Mau15'!D183)</f>
        <v/>
      </c>
      <c r="E177" s="39" t="str">
        <f>IF(B177="","",'Mau15'!I183)</f>
        <v/>
      </c>
      <c r="F177" s="39" t="str">
        <f>IF(B177="","",SUMIFS(Cau_noi!$B$5:$B$304,Cau_noi!$A$5:$A$304,B177))</f>
        <v/>
      </c>
      <c r="G177" s="39" t="str">
        <f>IF(B177="","",SUMIFS(Cau_noi!$C$5:$C$304,Cau_noi!$A$5:$A$304,B177))</f>
        <v/>
      </c>
      <c r="H177" s="39" t="str">
        <f>IF(B177="","",SUMIFS(Cau_noi!$D$5:$D$304,Cau_noi!$A$5:$A$304,B177))</f>
        <v/>
      </c>
      <c r="I177" s="39" t="str">
        <f>IF(B177="","",SUMIFS(Cau_noi!$E$5:$E$304,Cau_noi!$A$5:$A$304,B177))</f>
        <v/>
      </c>
      <c r="J177" s="39" t="str">
        <f t="shared" si="9"/>
        <v/>
      </c>
      <c r="K177" s="39" t="str">
        <f>IF(B177="","",SUMIFS(KT_DMTT_ChiTiet!$H$5:$H$1004,KT_DMTT_ChiTiet!$C$5:$C$1004,B177,KT_DMTT_ChiTiet!$N$5:$N$1004,1))</f>
        <v/>
      </c>
      <c r="L177" s="39" t="str">
        <f t="shared" si="10"/>
        <v/>
      </c>
      <c r="M177" s="46" t="str">
        <f t="shared" si="11"/>
        <v/>
      </c>
      <c r="N177" s="35" t="str">
        <f>IF(B177="","",IF(K177=0,IF(J177=0,"Pass",IF(COUNTIFS(BOM!$B$5:$B$1004,B177,BOM!$G$5:$G$1004,"KXDDM")&gt;0,"KXDDM","Xem xét")),IF(ABS(M177)&lt;=ThongTin!$C$11,"Pass","Xem xét")))</f>
        <v/>
      </c>
    </row>
    <row r="178" spans="1:14" x14ac:dyDescent="0.25">
      <c r="A178" s="35" t="str">
        <f t="shared" si="8"/>
        <v/>
      </c>
      <c r="B178" s="35" t="str">
        <f>IF('Mau15'!B184="","",'Mau15'!B184)</f>
        <v/>
      </c>
      <c r="C178" s="35" t="str">
        <f>IF(B178="","",'Mau15'!C184)</f>
        <v/>
      </c>
      <c r="D178" s="35" t="str">
        <f>IF(B178="","",'Mau15'!D184)</f>
        <v/>
      </c>
      <c r="E178" s="39" t="str">
        <f>IF(B178="","",'Mau15'!I184)</f>
        <v/>
      </c>
      <c r="F178" s="39" t="str">
        <f>IF(B178="","",SUMIFS(Cau_noi!$B$5:$B$304,Cau_noi!$A$5:$A$304,B178))</f>
        <v/>
      </c>
      <c r="G178" s="39" t="str">
        <f>IF(B178="","",SUMIFS(Cau_noi!$C$5:$C$304,Cau_noi!$A$5:$A$304,B178))</f>
        <v/>
      </c>
      <c r="H178" s="39" t="str">
        <f>IF(B178="","",SUMIFS(Cau_noi!$D$5:$D$304,Cau_noi!$A$5:$A$304,B178))</f>
        <v/>
      </c>
      <c r="I178" s="39" t="str">
        <f>IF(B178="","",SUMIFS(Cau_noi!$E$5:$E$304,Cau_noi!$A$5:$A$304,B178))</f>
        <v/>
      </c>
      <c r="J178" s="39" t="str">
        <f t="shared" si="9"/>
        <v/>
      </c>
      <c r="K178" s="39" t="str">
        <f>IF(B178="","",SUMIFS(KT_DMTT_ChiTiet!$H$5:$H$1004,KT_DMTT_ChiTiet!$C$5:$C$1004,B178,KT_DMTT_ChiTiet!$N$5:$N$1004,1))</f>
        <v/>
      </c>
      <c r="L178" s="39" t="str">
        <f t="shared" si="10"/>
        <v/>
      </c>
      <c r="M178" s="46" t="str">
        <f t="shared" si="11"/>
        <v/>
      </c>
      <c r="N178" s="35" t="str">
        <f>IF(B178="","",IF(K178=0,IF(J178=0,"Pass",IF(COUNTIFS(BOM!$B$5:$B$1004,B178,BOM!$G$5:$G$1004,"KXDDM")&gt;0,"KXDDM","Xem xét")),IF(ABS(M178)&lt;=ThongTin!$C$11,"Pass","Xem xét")))</f>
        <v/>
      </c>
    </row>
    <row r="179" spans="1:14" x14ac:dyDescent="0.25">
      <c r="A179" s="35" t="str">
        <f t="shared" si="8"/>
        <v/>
      </c>
      <c r="B179" s="35" t="str">
        <f>IF('Mau15'!B185="","",'Mau15'!B185)</f>
        <v/>
      </c>
      <c r="C179" s="35" t="str">
        <f>IF(B179="","",'Mau15'!C185)</f>
        <v/>
      </c>
      <c r="D179" s="35" t="str">
        <f>IF(B179="","",'Mau15'!D185)</f>
        <v/>
      </c>
      <c r="E179" s="39" t="str">
        <f>IF(B179="","",'Mau15'!I185)</f>
        <v/>
      </c>
      <c r="F179" s="39" t="str">
        <f>IF(B179="","",SUMIFS(Cau_noi!$B$5:$B$304,Cau_noi!$A$5:$A$304,B179))</f>
        <v/>
      </c>
      <c r="G179" s="39" t="str">
        <f>IF(B179="","",SUMIFS(Cau_noi!$C$5:$C$304,Cau_noi!$A$5:$A$304,B179))</f>
        <v/>
      </c>
      <c r="H179" s="39" t="str">
        <f>IF(B179="","",SUMIFS(Cau_noi!$D$5:$D$304,Cau_noi!$A$5:$A$304,B179))</f>
        <v/>
      </c>
      <c r="I179" s="39" t="str">
        <f>IF(B179="","",SUMIFS(Cau_noi!$E$5:$E$304,Cau_noi!$A$5:$A$304,B179))</f>
        <v/>
      </c>
      <c r="J179" s="39" t="str">
        <f t="shared" si="9"/>
        <v/>
      </c>
      <c r="K179" s="39" t="str">
        <f>IF(B179="","",SUMIFS(KT_DMTT_ChiTiet!$H$5:$H$1004,KT_DMTT_ChiTiet!$C$5:$C$1004,B179,KT_DMTT_ChiTiet!$N$5:$N$1004,1))</f>
        <v/>
      </c>
      <c r="L179" s="39" t="str">
        <f t="shared" si="10"/>
        <v/>
      </c>
      <c r="M179" s="46" t="str">
        <f t="shared" si="11"/>
        <v/>
      </c>
      <c r="N179" s="35" t="str">
        <f>IF(B179="","",IF(K179=0,IF(J179=0,"Pass",IF(COUNTIFS(BOM!$B$5:$B$1004,B179,BOM!$G$5:$G$1004,"KXDDM")&gt;0,"KXDDM","Xem xét")),IF(ABS(M179)&lt;=ThongTin!$C$11,"Pass","Xem xét")))</f>
        <v/>
      </c>
    </row>
    <row r="180" spans="1:14" x14ac:dyDescent="0.25">
      <c r="A180" s="35" t="str">
        <f t="shared" si="8"/>
        <v/>
      </c>
      <c r="B180" s="35" t="str">
        <f>IF('Mau15'!B186="","",'Mau15'!B186)</f>
        <v/>
      </c>
      <c r="C180" s="35" t="str">
        <f>IF(B180="","",'Mau15'!C186)</f>
        <v/>
      </c>
      <c r="D180" s="35" t="str">
        <f>IF(B180="","",'Mau15'!D186)</f>
        <v/>
      </c>
      <c r="E180" s="39" t="str">
        <f>IF(B180="","",'Mau15'!I186)</f>
        <v/>
      </c>
      <c r="F180" s="39" t="str">
        <f>IF(B180="","",SUMIFS(Cau_noi!$B$5:$B$304,Cau_noi!$A$5:$A$304,B180))</f>
        <v/>
      </c>
      <c r="G180" s="39" t="str">
        <f>IF(B180="","",SUMIFS(Cau_noi!$C$5:$C$304,Cau_noi!$A$5:$A$304,B180))</f>
        <v/>
      </c>
      <c r="H180" s="39" t="str">
        <f>IF(B180="","",SUMIFS(Cau_noi!$D$5:$D$304,Cau_noi!$A$5:$A$304,B180))</f>
        <v/>
      </c>
      <c r="I180" s="39" t="str">
        <f>IF(B180="","",SUMIFS(Cau_noi!$E$5:$E$304,Cau_noi!$A$5:$A$304,B180))</f>
        <v/>
      </c>
      <c r="J180" s="39" t="str">
        <f t="shared" si="9"/>
        <v/>
      </c>
      <c r="K180" s="39" t="str">
        <f>IF(B180="","",SUMIFS(KT_DMTT_ChiTiet!$H$5:$H$1004,KT_DMTT_ChiTiet!$C$5:$C$1004,B180,KT_DMTT_ChiTiet!$N$5:$N$1004,1))</f>
        <v/>
      </c>
      <c r="L180" s="39" t="str">
        <f t="shared" si="10"/>
        <v/>
      </c>
      <c r="M180" s="46" t="str">
        <f t="shared" si="11"/>
        <v/>
      </c>
      <c r="N180" s="35" t="str">
        <f>IF(B180="","",IF(K180=0,IF(J180=0,"Pass",IF(COUNTIFS(BOM!$B$5:$B$1004,B180,BOM!$G$5:$G$1004,"KXDDM")&gt;0,"KXDDM","Xem xét")),IF(ABS(M180)&lt;=ThongTin!$C$11,"Pass","Xem xét")))</f>
        <v/>
      </c>
    </row>
    <row r="181" spans="1:14" x14ac:dyDescent="0.25">
      <c r="A181" s="35" t="str">
        <f t="shared" si="8"/>
        <v/>
      </c>
      <c r="B181" s="35" t="str">
        <f>IF('Mau15'!B187="","",'Mau15'!B187)</f>
        <v/>
      </c>
      <c r="C181" s="35" t="str">
        <f>IF(B181="","",'Mau15'!C187)</f>
        <v/>
      </c>
      <c r="D181" s="35" t="str">
        <f>IF(B181="","",'Mau15'!D187)</f>
        <v/>
      </c>
      <c r="E181" s="39" t="str">
        <f>IF(B181="","",'Mau15'!I187)</f>
        <v/>
      </c>
      <c r="F181" s="39" t="str">
        <f>IF(B181="","",SUMIFS(Cau_noi!$B$5:$B$304,Cau_noi!$A$5:$A$304,B181))</f>
        <v/>
      </c>
      <c r="G181" s="39" t="str">
        <f>IF(B181="","",SUMIFS(Cau_noi!$C$5:$C$304,Cau_noi!$A$5:$A$304,B181))</f>
        <v/>
      </c>
      <c r="H181" s="39" t="str">
        <f>IF(B181="","",SUMIFS(Cau_noi!$D$5:$D$304,Cau_noi!$A$5:$A$304,B181))</f>
        <v/>
      </c>
      <c r="I181" s="39" t="str">
        <f>IF(B181="","",SUMIFS(Cau_noi!$E$5:$E$304,Cau_noi!$A$5:$A$304,B181))</f>
        <v/>
      </c>
      <c r="J181" s="39" t="str">
        <f t="shared" si="9"/>
        <v/>
      </c>
      <c r="K181" s="39" t="str">
        <f>IF(B181="","",SUMIFS(KT_DMTT_ChiTiet!$H$5:$H$1004,KT_DMTT_ChiTiet!$C$5:$C$1004,B181,KT_DMTT_ChiTiet!$N$5:$N$1004,1))</f>
        <v/>
      </c>
      <c r="L181" s="39" t="str">
        <f t="shared" si="10"/>
        <v/>
      </c>
      <c r="M181" s="46" t="str">
        <f t="shared" si="11"/>
        <v/>
      </c>
      <c r="N181" s="35" t="str">
        <f>IF(B181="","",IF(K181=0,IF(J181=0,"Pass",IF(COUNTIFS(BOM!$B$5:$B$1004,B181,BOM!$G$5:$G$1004,"KXDDM")&gt;0,"KXDDM","Xem xét")),IF(ABS(M181)&lt;=ThongTin!$C$11,"Pass","Xem xét")))</f>
        <v/>
      </c>
    </row>
    <row r="182" spans="1:14" x14ac:dyDescent="0.25">
      <c r="A182" s="35" t="str">
        <f t="shared" si="8"/>
        <v/>
      </c>
      <c r="B182" s="35" t="str">
        <f>IF('Mau15'!B188="","",'Mau15'!B188)</f>
        <v/>
      </c>
      <c r="C182" s="35" t="str">
        <f>IF(B182="","",'Mau15'!C188)</f>
        <v/>
      </c>
      <c r="D182" s="35" t="str">
        <f>IF(B182="","",'Mau15'!D188)</f>
        <v/>
      </c>
      <c r="E182" s="39" t="str">
        <f>IF(B182="","",'Mau15'!I188)</f>
        <v/>
      </c>
      <c r="F182" s="39" t="str">
        <f>IF(B182="","",SUMIFS(Cau_noi!$B$5:$B$304,Cau_noi!$A$5:$A$304,B182))</f>
        <v/>
      </c>
      <c r="G182" s="39" t="str">
        <f>IF(B182="","",SUMIFS(Cau_noi!$C$5:$C$304,Cau_noi!$A$5:$A$304,B182))</f>
        <v/>
      </c>
      <c r="H182" s="39" t="str">
        <f>IF(B182="","",SUMIFS(Cau_noi!$D$5:$D$304,Cau_noi!$A$5:$A$304,B182))</f>
        <v/>
      </c>
      <c r="I182" s="39" t="str">
        <f>IF(B182="","",SUMIFS(Cau_noi!$E$5:$E$304,Cau_noi!$A$5:$A$304,B182))</f>
        <v/>
      </c>
      <c r="J182" s="39" t="str">
        <f t="shared" si="9"/>
        <v/>
      </c>
      <c r="K182" s="39" t="str">
        <f>IF(B182="","",SUMIFS(KT_DMTT_ChiTiet!$H$5:$H$1004,KT_DMTT_ChiTiet!$C$5:$C$1004,B182,KT_DMTT_ChiTiet!$N$5:$N$1004,1))</f>
        <v/>
      </c>
      <c r="L182" s="39" t="str">
        <f t="shared" si="10"/>
        <v/>
      </c>
      <c r="M182" s="46" t="str">
        <f t="shared" si="11"/>
        <v/>
      </c>
      <c r="N182" s="35" t="str">
        <f>IF(B182="","",IF(K182=0,IF(J182=0,"Pass",IF(COUNTIFS(BOM!$B$5:$B$1004,B182,BOM!$G$5:$G$1004,"KXDDM")&gt;0,"KXDDM","Xem xét")),IF(ABS(M182)&lt;=ThongTin!$C$11,"Pass","Xem xét")))</f>
        <v/>
      </c>
    </row>
    <row r="183" spans="1:14" x14ac:dyDescent="0.25">
      <c r="A183" s="35" t="str">
        <f t="shared" si="8"/>
        <v/>
      </c>
      <c r="B183" s="35" t="str">
        <f>IF('Mau15'!B189="","",'Mau15'!B189)</f>
        <v/>
      </c>
      <c r="C183" s="35" t="str">
        <f>IF(B183="","",'Mau15'!C189)</f>
        <v/>
      </c>
      <c r="D183" s="35" t="str">
        <f>IF(B183="","",'Mau15'!D189)</f>
        <v/>
      </c>
      <c r="E183" s="39" t="str">
        <f>IF(B183="","",'Mau15'!I189)</f>
        <v/>
      </c>
      <c r="F183" s="39" t="str">
        <f>IF(B183="","",SUMIFS(Cau_noi!$B$5:$B$304,Cau_noi!$A$5:$A$304,B183))</f>
        <v/>
      </c>
      <c r="G183" s="39" t="str">
        <f>IF(B183="","",SUMIFS(Cau_noi!$C$5:$C$304,Cau_noi!$A$5:$A$304,B183))</f>
        <v/>
      </c>
      <c r="H183" s="39" t="str">
        <f>IF(B183="","",SUMIFS(Cau_noi!$D$5:$D$304,Cau_noi!$A$5:$A$304,B183))</f>
        <v/>
      </c>
      <c r="I183" s="39" t="str">
        <f>IF(B183="","",SUMIFS(Cau_noi!$E$5:$E$304,Cau_noi!$A$5:$A$304,B183))</f>
        <v/>
      </c>
      <c r="J183" s="39" t="str">
        <f t="shared" si="9"/>
        <v/>
      </c>
      <c r="K183" s="39" t="str">
        <f>IF(B183="","",SUMIFS(KT_DMTT_ChiTiet!$H$5:$H$1004,KT_DMTT_ChiTiet!$C$5:$C$1004,B183,KT_DMTT_ChiTiet!$N$5:$N$1004,1))</f>
        <v/>
      </c>
      <c r="L183" s="39" t="str">
        <f t="shared" si="10"/>
        <v/>
      </c>
      <c r="M183" s="46" t="str">
        <f t="shared" si="11"/>
        <v/>
      </c>
      <c r="N183" s="35" t="str">
        <f>IF(B183="","",IF(K183=0,IF(J183=0,"Pass",IF(COUNTIFS(BOM!$B$5:$B$1004,B183,BOM!$G$5:$G$1004,"KXDDM")&gt;0,"KXDDM","Xem xét")),IF(ABS(M183)&lt;=ThongTin!$C$11,"Pass","Xem xét")))</f>
        <v/>
      </c>
    </row>
    <row r="184" spans="1:14" x14ac:dyDescent="0.25">
      <c r="A184" s="35" t="str">
        <f t="shared" si="8"/>
        <v/>
      </c>
      <c r="B184" s="35" t="str">
        <f>IF('Mau15'!B190="","",'Mau15'!B190)</f>
        <v/>
      </c>
      <c r="C184" s="35" t="str">
        <f>IF(B184="","",'Mau15'!C190)</f>
        <v/>
      </c>
      <c r="D184" s="35" t="str">
        <f>IF(B184="","",'Mau15'!D190)</f>
        <v/>
      </c>
      <c r="E184" s="39" t="str">
        <f>IF(B184="","",'Mau15'!I190)</f>
        <v/>
      </c>
      <c r="F184" s="39" t="str">
        <f>IF(B184="","",SUMIFS(Cau_noi!$B$5:$B$304,Cau_noi!$A$5:$A$304,B184))</f>
        <v/>
      </c>
      <c r="G184" s="39" t="str">
        <f>IF(B184="","",SUMIFS(Cau_noi!$C$5:$C$304,Cau_noi!$A$5:$A$304,B184))</f>
        <v/>
      </c>
      <c r="H184" s="39" t="str">
        <f>IF(B184="","",SUMIFS(Cau_noi!$D$5:$D$304,Cau_noi!$A$5:$A$304,B184))</f>
        <v/>
      </c>
      <c r="I184" s="39" t="str">
        <f>IF(B184="","",SUMIFS(Cau_noi!$E$5:$E$304,Cau_noi!$A$5:$A$304,B184))</f>
        <v/>
      </c>
      <c r="J184" s="39" t="str">
        <f t="shared" si="9"/>
        <v/>
      </c>
      <c r="K184" s="39" t="str">
        <f>IF(B184="","",SUMIFS(KT_DMTT_ChiTiet!$H$5:$H$1004,KT_DMTT_ChiTiet!$C$5:$C$1004,B184,KT_DMTT_ChiTiet!$N$5:$N$1004,1))</f>
        <v/>
      </c>
      <c r="L184" s="39" t="str">
        <f t="shared" si="10"/>
        <v/>
      </c>
      <c r="M184" s="46" t="str">
        <f t="shared" si="11"/>
        <v/>
      </c>
      <c r="N184" s="35" t="str">
        <f>IF(B184="","",IF(K184=0,IF(J184=0,"Pass",IF(COUNTIFS(BOM!$B$5:$B$1004,B184,BOM!$G$5:$G$1004,"KXDDM")&gt;0,"KXDDM","Xem xét")),IF(ABS(M184)&lt;=ThongTin!$C$11,"Pass","Xem xét")))</f>
        <v/>
      </c>
    </row>
    <row r="185" spans="1:14" x14ac:dyDescent="0.25">
      <c r="A185" s="35" t="str">
        <f t="shared" si="8"/>
        <v/>
      </c>
      <c r="B185" s="35" t="str">
        <f>IF('Mau15'!B191="","",'Mau15'!B191)</f>
        <v/>
      </c>
      <c r="C185" s="35" t="str">
        <f>IF(B185="","",'Mau15'!C191)</f>
        <v/>
      </c>
      <c r="D185" s="35" t="str">
        <f>IF(B185="","",'Mau15'!D191)</f>
        <v/>
      </c>
      <c r="E185" s="39" t="str">
        <f>IF(B185="","",'Mau15'!I191)</f>
        <v/>
      </c>
      <c r="F185" s="39" t="str">
        <f>IF(B185="","",SUMIFS(Cau_noi!$B$5:$B$304,Cau_noi!$A$5:$A$304,B185))</f>
        <v/>
      </c>
      <c r="G185" s="39" t="str">
        <f>IF(B185="","",SUMIFS(Cau_noi!$C$5:$C$304,Cau_noi!$A$5:$A$304,B185))</f>
        <v/>
      </c>
      <c r="H185" s="39" t="str">
        <f>IF(B185="","",SUMIFS(Cau_noi!$D$5:$D$304,Cau_noi!$A$5:$A$304,B185))</f>
        <v/>
      </c>
      <c r="I185" s="39" t="str">
        <f>IF(B185="","",SUMIFS(Cau_noi!$E$5:$E$304,Cau_noi!$A$5:$A$304,B185))</f>
        <v/>
      </c>
      <c r="J185" s="39" t="str">
        <f t="shared" si="9"/>
        <v/>
      </c>
      <c r="K185" s="39" t="str">
        <f>IF(B185="","",SUMIFS(KT_DMTT_ChiTiet!$H$5:$H$1004,KT_DMTT_ChiTiet!$C$5:$C$1004,B185,KT_DMTT_ChiTiet!$N$5:$N$1004,1))</f>
        <v/>
      </c>
      <c r="L185" s="39" t="str">
        <f t="shared" si="10"/>
        <v/>
      </c>
      <c r="M185" s="46" t="str">
        <f t="shared" si="11"/>
        <v/>
      </c>
      <c r="N185" s="35" t="str">
        <f>IF(B185="","",IF(K185=0,IF(J185=0,"Pass",IF(COUNTIFS(BOM!$B$5:$B$1004,B185,BOM!$G$5:$G$1004,"KXDDM")&gt;0,"KXDDM","Xem xét")),IF(ABS(M185)&lt;=ThongTin!$C$11,"Pass","Xem xét")))</f>
        <v/>
      </c>
    </row>
    <row r="186" spans="1:14" x14ac:dyDescent="0.25">
      <c r="A186" s="35" t="str">
        <f t="shared" si="8"/>
        <v/>
      </c>
      <c r="B186" s="35" t="str">
        <f>IF('Mau15'!B192="","",'Mau15'!B192)</f>
        <v/>
      </c>
      <c r="C186" s="35" t="str">
        <f>IF(B186="","",'Mau15'!C192)</f>
        <v/>
      </c>
      <c r="D186" s="35" t="str">
        <f>IF(B186="","",'Mau15'!D192)</f>
        <v/>
      </c>
      <c r="E186" s="39" t="str">
        <f>IF(B186="","",'Mau15'!I192)</f>
        <v/>
      </c>
      <c r="F186" s="39" t="str">
        <f>IF(B186="","",SUMIFS(Cau_noi!$B$5:$B$304,Cau_noi!$A$5:$A$304,B186))</f>
        <v/>
      </c>
      <c r="G186" s="39" t="str">
        <f>IF(B186="","",SUMIFS(Cau_noi!$C$5:$C$304,Cau_noi!$A$5:$A$304,B186))</f>
        <v/>
      </c>
      <c r="H186" s="39" t="str">
        <f>IF(B186="","",SUMIFS(Cau_noi!$D$5:$D$304,Cau_noi!$A$5:$A$304,B186))</f>
        <v/>
      </c>
      <c r="I186" s="39" t="str">
        <f>IF(B186="","",SUMIFS(Cau_noi!$E$5:$E$304,Cau_noi!$A$5:$A$304,B186))</f>
        <v/>
      </c>
      <c r="J186" s="39" t="str">
        <f t="shared" si="9"/>
        <v/>
      </c>
      <c r="K186" s="39" t="str">
        <f>IF(B186="","",SUMIFS(KT_DMTT_ChiTiet!$H$5:$H$1004,KT_DMTT_ChiTiet!$C$5:$C$1004,B186,KT_DMTT_ChiTiet!$N$5:$N$1004,1))</f>
        <v/>
      </c>
      <c r="L186" s="39" t="str">
        <f t="shared" si="10"/>
        <v/>
      </c>
      <c r="M186" s="46" t="str">
        <f t="shared" si="11"/>
        <v/>
      </c>
      <c r="N186" s="35" t="str">
        <f>IF(B186="","",IF(K186=0,IF(J186=0,"Pass",IF(COUNTIFS(BOM!$B$5:$B$1004,B186,BOM!$G$5:$G$1004,"KXDDM")&gt;0,"KXDDM","Xem xét")),IF(ABS(M186)&lt;=ThongTin!$C$11,"Pass","Xem xét")))</f>
        <v/>
      </c>
    </row>
    <row r="187" spans="1:14" x14ac:dyDescent="0.25">
      <c r="A187" s="35" t="str">
        <f t="shared" si="8"/>
        <v/>
      </c>
      <c r="B187" s="35" t="str">
        <f>IF('Mau15'!B193="","",'Mau15'!B193)</f>
        <v/>
      </c>
      <c r="C187" s="35" t="str">
        <f>IF(B187="","",'Mau15'!C193)</f>
        <v/>
      </c>
      <c r="D187" s="35" t="str">
        <f>IF(B187="","",'Mau15'!D193)</f>
        <v/>
      </c>
      <c r="E187" s="39" t="str">
        <f>IF(B187="","",'Mau15'!I193)</f>
        <v/>
      </c>
      <c r="F187" s="39" t="str">
        <f>IF(B187="","",SUMIFS(Cau_noi!$B$5:$B$304,Cau_noi!$A$5:$A$304,B187))</f>
        <v/>
      </c>
      <c r="G187" s="39" t="str">
        <f>IF(B187="","",SUMIFS(Cau_noi!$C$5:$C$304,Cau_noi!$A$5:$A$304,B187))</f>
        <v/>
      </c>
      <c r="H187" s="39" t="str">
        <f>IF(B187="","",SUMIFS(Cau_noi!$D$5:$D$304,Cau_noi!$A$5:$A$304,B187))</f>
        <v/>
      </c>
      <c r="I187" s="39" t="str">
        <f>IF(B187="","",SUMIFS(Cau_noi!$E$5:$E$304,Cau_noi!$A$5:$A$304,B187))</f>
        <v/>
      </c>
      <c r="J187" s="39" t="str">
        <f t="shared" si="9"/>
        <v/>
      </c>
      <c r="K187" s="39" t="str">
        <f>IF(B187="","",SUMIFS(KT_DMTT_ChiTiet!$H$5:$H$1004,KT_DMTT_ChiTiet!$C$5:$C$1004,B187,KT_DMTT_ChiTiet!$N$5:$N$1004,1))</f>
        <v/>
      </c>
      <c r="L187" s="39" t="str">
        <f t="shared" si="10"/>
        <v/>
      </c>
      <c r="M187" s="46" t="str">
        <f t="shared" si="11"/>
        <v/>
      </c>
      <c r="N187" s="35" t="str">
        <f>IF(B187="","",IF(K187=0,IF(J187=0,"Pass",IF(COUNTIFS(BOM!$B$5:$B$1004,B187,BOM!$G$5:$G$1004,"KXDDM")&gt;0,"KXDDM","Xem xét")),IF(ABS(M187)&lt;=ThongTin!$C$11,"Pass","Xem xét")))</f>
        <v/>
      </c>
    </row>
    <row r="188" spans="1:14" x14ac:dyDescent="0.25">
      <c r="A188" s="35" t="str">
        <f t="shared" si="8"/>
        <v/>
      </c>
      <c r="B188" s="35" t="str">
        <f>IF('Mau15'!B194="","",'Mau15'!B194)</f>
        <v/>
      </c>
      <c r="C188" s="35" t="str">
        <f>IF(B188="","",'Mau15'!C194)</f>
        <v/>
      </c>
      <c r="D188" s="35" t="str">
        <f>IF(B188="","",'Mau15'!D194)</f>
        <v/>
      </c>
      <c r="E188" s="39" t="str">
        <f>IF(B188="","",'Mau15'!I194)</f>
        <v/>
      </c>
      <c r="F188" s="39" t="str">
        <f>IF(B188="","",SUMIFS(Cau_noi!$B$5:$B$304,Cau_noi!$A$5:$A$304,B188))</f>
        <v/>
      </c>
      <c r="G188" s="39" t="str">
        <f>IF(B188="","",SUMIFS(Cau_noi!$C$5:$C$304,Cau_noi!$A$5:$A$304,B188))</f>
        <v/>
      </c>
      <c r="H188" s="39" t="str">
        <f>IF(B188="","",SUMIFS(Cau_noi!$D$5:$D$304,Cau_noi!$A$5:$A$304,B188))</f>
        <v/>
      </c>
      <c r="I188" s="39" t="str">
        <f>IF(B188="","",SUMIFS(Cau_noi!$E$5:$E$304,Cau_noi!$A$5:$A$304,B188))</f>
        <v/>
      </c>
      <c r="J188" s="39" t="str">
        <f t="shared" si="9"/>
        <v/>
      </c>
      <c r="K188" s="39" t="str">
        <f>IF(B188="","",SUMIFS(KT_DMTT_ChiTiet!$H$5:$H$1004,KT_DMTT_ChiTiet!$C$5:$C$1004,B188,KT_DMTT_ChiTiet!$N$5:$N$1004,1))</f>
        <v/>
      </c>
      <c r="L188" s="39" t="str">
        <f t="shared" si="10"/>
        <v/>
      </c>
      <c r="M188" s="46" t="str">
        <f t="shared" si="11"/>
        <v/>
      </c>
      <c r="N188" s="35" t="str">
        <f>IF(B188="","",IF(K188=0,IF(J188=0,"Pass",IF(COUNTIFS(BOM!$B$5:$B$1004,B188,BOM!$G$5:$G$1004,"KXDDM")&gt;0,"KXDDM","Xem xét")),IF(ABS(M188)&lt;=ThongTin!$C$11,"Pass","Xem xét")))</f>
        <v/>
      </c>
    </row>
    <row r="189" spans="1:14" x14ac:dyDescent="0.25">
      <c r="A189" s="35" t="str">
        <f t="shared" si="8"/>
        <v/>
      </c>
      <c r="B189" s="35" t="str">
        <f>IF('Mau15'!B195="","",'Mau15'!B195)</f>
        <v/>
      </c>
      <c r="C189" s="35" t="str">
        <f>IF(B189="","",'Mau15'!C195)</f>
        <v/>
      </c>
      <c r="D189" s="35" t="str">
        <f>IF(B189="","",'Mau15'!D195)</f>
        <v/>
      </c>
      <c r="E189" s="39" t="str">
        <f>IF(B189="","",'Mau15'!I195)</f>
        <v/>
      </c>
      <c r="F189" s="39" t="str">
        <f>IF(B189="","",SUMIFS(Cau_noi!$B$5:$B$304,Cau_noi!$A$5:$A$304,B189))</f>
        <v/>
      </c>
      <c r="G189" s="39" t="str">
        <f>IF(B189="","",SUMIFS(Cau_noi!$C$5:$C$304,Cau_noi!$A$5:$A$304,B189))</f>
        <v/>
      </c>
      <c r="H189" s="39" t="str">
        <f>IF(B189="","",SUMIFS(Cau_noi!$D$5:$D$304,Cau_noi!$A$5:$A$304,B189))</f>
        <v/>
      </c>
      <c r="I189" s="39" t="str">
        <f>IF(B189="","",SUMIFS(Cau_noi!$E$5:$E$304,Cau_noi!$A$5:$A$304,B189))</f>
        <v/>
      </c>
      <c r="J189" s="39" t="str">
        <f t="shared" si="9"/>
        <v/>
      </c>
      <c r="K189" s="39" t="str">
        <f>IF(B189="","",SUMIFS(KT_DMTT_ChiTiet!$H$5:$H$1004,KT_DMTT_ChiTiet!$C$5:$C$1004,B189,KT_DMTT_ChiTiet!$N$5:$N$1004,1))</f>
        <v/>
      </c>
      <c r="L189" s="39" t="str">
        <f t="shared" si="10"/>
        <v/>
      </c>
      <c r="M189" s="46" t="str">
        <f t="shared" si="11"/>
        <v/>
      </c>
      <c r="N189" s="35" t="str">
        <f>IF(B189="","",IF(K189=0,IF(J189=0,"Pass",IF(COUNTIFS(BOM!$B$5:$B$1004,B189,BOM!$G$5:$G$1004,"KXDDM")&gt;0,"KXDDM","Xem xét")),IF(ABS(M189)&lt;=ThongTin!$C$11,"Pass","Xem xét")))</f>
        <v/>
      </c>
    </row>
    <row r="190" spans="1:14" x14ac:dyDescent="0.25">
      <c r="A190" s="35" t="str">
        <f t="shared" si="8"/>
        <v/>
      </c>
      <c r="B190" s="35" t="str">
        <f>IF('Mau15'!B196="","",'Mau15'!B196)</f>
        <v/>
      </c>
      <c r="C190" s="35" t="str">
        <f>IF(B190="","",'Mau15'!C196)</f>
        <v/>
      </c>
      <c r="D190" s="35" t="str">
        <f>IF(B190="","",'Mau15'!D196)</f>
        <v/>
      </c>
      <c r="E190" s="39" t="str">
        <f>IF(B190="","",'Mau15'!I196)</f>
        <v/>
      </c>
      <c r="F190" s="39" t="str">
        <f>IF(B190="","",SUMIFS(Cau_noi!$B$5:$B$304,Cau_noi!$A$5:$A$304,B190))</f>
        <v/>
      </c>
      <c r="G190" s="39" t="str">
        <f>IF(B190="","",SUMIFS(Cau_noi!$C$5:$C$304,Cau_noi!$A$5:$A$304,B190))</f>
        <v/>
      </c>
      <c r="H190" s="39" t="str">
        <f>IF(B190="","",SUMIFS(Cau_noi!$D$5:$D$304,Cau_noi!$A$5:$A$304,B190))</f>
        <v/>
      </c>
      <c r="I190" s="39" t="str">
        <f>IF(B190="","",SUMIFS(Cau_noi!$E$5:$E$304,Cau_noi!$A$5:$A$304,B190))</f>
        <v/>
      </c>
      <c r="J190" s="39" t="str">
        <f t="shared" si="9"/>
        <v/>
      </c>
      <c r="K190" s="39" t="str">
        <f>IF(B190="","",SUMIFS(KT_DMTT_ChiTiet!$H$5:$H$1004,KT_DMTT_ChiTiet!$C$5:$C$1004,B190,KT_DMTT_ChiTiet!$N$5:$N$1004,1))</f>
        <v/>
      </c>
      <c r="L190" s="39" t="str">
        <f t="shared" si="10"/>
        <v/>
      </c>
      <c r="M190" s="46" t="str">
        <f t="shared" si="11"/>
        <v/>
      </c>
      <c r="N190" s="35" t="str">
        <f>IF(B190="","",IF(K190=0,IF(J190=0,"Pass",IF(COUNTIFS(BOM!$B$5:$B$1004,B190,BOM!$G$5:$G$1004,"KXDDM")&gt;0,"KXDDM","Xem xét")),IF(ABS(M190)&lt;=ThongTin!$C$11,"Pass","Xem xét")))</f>
        <v/>
      </c>
    </row>
    <row r="191" spans="1:14" x14ac:dyDescent="0.25">
      <c r="A191" s="35" t="str">
        <f t="shared" si="8"/>
        <v/>
      </c>
      <c r="B191" s="35" t="str">
        <f>IF('Mau15'!B197="","",'Mau15'!B197)</f>
        <v/>
      </c>
      <c r="C191" s="35" t="str">
        <f>IF(B191="","",'Mau15'!C197)</f>
        <v/>
      </c>
      <c r="D191" s="35" t="str">
        <f>IF(B191="","",'Mau15'!D197)</f>
        <v/>
      </c>
      <c r="E191" s="39" t="str">
        <f>IF(B191="","",'Mau15'!I197)</f>
        <v/>
      </c>
      <c r="F191" s="39" t="str">
        <f>IF(B191="","",SUMIFS(Cau_noi!$B$5:$B$304,Cau_noi!$A$5:$A$304,B191))</f>
        <v/>
      </c>
      <c r="G191" s="39" t="str">
        <f>IF(B191="","",SUMIFS(Cau_noi!$C$5:$C$304,Cau_noi!$A$5:$A$304,B191))</f>
        <v/>
      </c>
      <c r="H191" s="39" t="str">
        <f>IF(B191="","",SUMIFS(Cau_noi!$D$5:$D$304,Cau_noi!$A$5:$A$304,B191))</f>
        <v/>
      </c>
      <c r="I191" s="39" t="str">
        <f>IF(B191="","",SUMIFS(Cau_noi!$E$5:$E$304,Cau_noi!$A$5:$A$304,B191))</f>
        <v/>
      </c>
      <c r="J191" s="39" t="str">
        <f t="shared" si="9"/>
        <v/>
      </c>
      <c r="K191" s="39" t="str">
        <f>IF(B191="","",SUMIFS(KT_DMTT_ChiTiet!$H$5:$H$1004,KT_DMTT_ChiTiet!$C$5:$C$1004,B191,KT_DMTT_ChiTiet!$N$5:$N$1004,1))</f>
        <v/>
      </c>
      <c r="L191" s="39" t="str">
        <f t="shared" si="10"/>
        <v/>
      </c>
      <c r="M191" s="46" t="str">
        <f t="shared" si="11"/>
        <v/>
      </c>
      <c r="N191" s="35" t="str">
        <f>IF(B191="","",IF(K191=0,IF(J191=0,"Pass",IF(COUNTIFS(BOM!$B$5:$B$1004,B191,BOM!$G$5:$G$1004,"KXDDM")&gt;0,"KXDDM","Xem xét")),IF(ABS(M191)&lt;=ThongTin!$C$11,"Pass","Xem xét")))</f>
        <v/>
      </c>
    </row>
    <row r="192" spans="1:14" x14ac:dyDescent="0.25">
      <c r="A192" s="35" t="str">
        <f t="shared" si="8"/>
        <v/>
      </c>
      <c r="B192" s="35" t="str">
        <f>IF('Mau15'!B198="","",'Mau15'!B198)</f>
        <v/>
      </c>
      <c r="C192" s="35" t="str">
        <f>IF(B192="","",'Mau15'!C198)</f>
        <v/>
      </c>
      <c r="D192" s="35" t="str">
        <f>IF(B192="","",'Mau15'!D198)</f>
        <v/>
      </c>
      <c r="E192" s="39" t="str">
        <f>IF(B192="","",'Mau15'!I198)</f>
        <v/>
      </c>
      <c r="F192" s="39" t="str">
        <f>IF(B192="","",SUMIFS(Cau_noi!$B$5:$B$304,Cau_noi!$A$5:$A$304,B192))</f>
        <v/>
      </c>
      <c r="G192" s="39" t="str">
        <f>IF(B192="","",SUMIFS(Cau_noi!$C$5:$C$304,Cau_noi!$A$5:$A$304,B192))</f>
        <v/>
      </c>
      <c r="H192" s="39" t="str">
        <f>IF(B192="","",SUMIFS(Cau_noi!$D$5:$D$304,Cau_noi!$A$5:$A$304,B192))</f>
        <v/>
      </c>
      <c r="I192" s="39" t="str">
        <f>IF(B192="","",SUMIFS(Cau_noi!$E$5:$E$304,Cau_noi!$A$5:$A$304,B192))</f>
        <v/>
      </c>
      <c r="J192" s="39" t="str">
        <f t="shared" si="9"/>
        <v/>
      </c>
      <c r="K192" s="39" t="str">
        <f>IF(B192="","",SUMIFS(KT_DMTT_ChiTiet!$H$5:$H$1004,KT_DMTT_ChiTiet!$C$5:$C$1004,B192,KT_DMTT_ChiTiet!$N$5:$N$1004,1))</f>
        <v/>
      </c>
      <c r="L192" s="39" t="str">
        <f t="shared" si="10"/>
        <v/>
      </c>
      <c r="M192" s="46" t="str">
        <f t="shared" si="11"/>
        <v/>
      </c>
      <c r="N192" s="35" t="str">
        <f>IF(B192="","",IF(K192=0,IF(J192=0,"Pass",IF(COUNTIFS(BOM!$B$5:$B$1004,B192,BOM!$G$5:$G$1004,"KXDDM")&gt;0,"KXDDM","Xem xét")),IF(ABS(M192)&lt;=ThongTin!$C$11,"Pass","Xem xét")))</f>
        <v/>
      </c>
    </row>
    <row r="193" spans="1:14" x14ac:dyDescent="0.25">
      <c r="A193" s="35" t="str">
        <f t="shared" si="8"/>
        <v/>
      </c>
      <c r="B193" s="35" t="str">
        <f>IF('Mau15'!B199="","",'Mau15'!B199)</f>
        <v/>
      </c>
      <c r="C193" s="35" t="str">
        <f>IF(B193="","",'Mau15'!C199)</f>
        <v/>
      </c>
      <c r="D193" s="35" t="str">
        <f>IF(B193="","",'Mau15'!D199)</f>
        <v/>
      </c>
      <c r="E193" s="39" t="str">
        <f>IF(B193="","",'Mau15'!I199)</f>
        <v/>
      </c>
      <c r="F193" s="39" t="str">
        <f>IF(B193="","",SUMIFS(Cau_noi!$B$5:$B$304,Cau_noi!$A$5:$A$304,B193))</f>
        <v/>
      </c>
      <c r="G193" s="39" t="str">
        <f>IF(B193="","",SUMIFS(Cau_noi!$C$5:$C$304,Cau_noi!$A$5:$A$304,B193))</f>
        <v/>
      </c>
      <c r="H193" s="39" t="str">
        <f>IF(B193="","",SUMIFS(Cau_noi!$D$5:$D$304,Cau_noi!$A$5:$A$304,B193))</f>
        <v/>
      </c>
      <c r="I193" s="39" t="str">
        <f>IF(B193="","",SUMIFS(Cau_noi!$E$5:$E$304,Cau_noi!$A$5:$A$304,B193))</f>
        <v/>
      </c>
      <c r="J193" s="39" t="str">
        <f t="shared" si="9"/>
        <v/>
      </c>
      <c r="K193" s="39" t="str">
        <f>IF(B193="","",SUMIFS(KT_DMTT_ChiTiet!$H$5:$H$1004,KT_DMTT_ChiTiet!$C$5:$C$1004,B193,KT_DMTT_ChiTiet!$N$5:$N$1004,1))</f>
        <v/>
      </c>
      <c r="L193" s="39" t="str">
        <f t="shared" si="10"/>
        <v/>
      </c>
      <c r="M193" s="46" t="str">
        <f t="shared" si="11"/>
        <v/>
      </c>
      <c r="N193" s="35" t="str">
        <f>IF(B193="","",IF(K193=0,IF(J193=0,"Pass",IF(COUNTIFS(BOM!$B$5:$B$1004,B193,BOM!$G$5:$G$1004,"KXDDM")&gt;0,"KXDDM","Xem xét")),IF(ABS(M193)&lt;=ThongTin!$C$11,"Pass","Xem xét")))</f>
        <v/>
      </c>
    </row>
    <row r="194" spans="1:14" x14ac:dyDescent="0.25">
      <c r="A194" s="35" t="str">
        <f t="shared" si="8"/>
        <v/>
      </c>
      <c r="B194" s="35" t="str">
        <f>IF('Mau15'!B200="","",'Mau15'!B200)</f>
        <v/>
      </c>
      <c r="C194" s="35" t="str">
        <f>IF(B194="","",'Mau15'!C200)</f>
        <v/>
      </c>
      <c r="D194" s="35" t="str">
        <f>IF(B194="","",'Mau15'!D200)</f>
        <v/>
      </c>
      <c r="E194" s="39" t="str">
        <f>IF(B194="","",'Mau15'!I200)</f>
        <v/>
      </c>
      <c r="F194" s="39" t="str">
        <f>IF(B194="","",SUMIFS(Cau_noi!$B$5:$B$304,Cau_noi!$A$5:$A$304,B194))</f>
        <v/>
      </c>
      <c r="G194" s="39" t="str">
        <f>IF(B194="","",SUMIFS(Cau_noi!$C$5:$C$304,Cau_noi!$A$5:$A$304,B194))</f>
        <v/>
      </c>
      <c r="H194" s="39" t="str">
        <f>IF(B194="","",SUMIFS(Cau_noi!$D$5:$D$304,Cau_noi!$A$5:$A$304,B194))</f>
        <v/>
      </c>
      <c r="I194" s="39" t="str">
        <f>IF(B194="","",SUMIFS(Cau_noi!$E$5:$E$304,Cau_noi!$A$5:$A$304,B194))</f>
        <v/>
      </c>
      <c r="J194" s="39" t="str">
        <f t="shared" si="9"/>
        <v/>
      </c>
      <c r="K194" s="39" t="str">
        <f>IF(B194="","",SUMIFS(KT_DMTT_ChiTiet!$H$5:$H$1004,KT_DMTT_ChiTiet!$C$5:$C$1004,B194,KT_DMTT_ChiTiet!$N$5:$N$1004,1))</f>
        <v/>
      </c>
      <c r="L194" s="39" t="str">
        <f t="shared" si="10"/>
        <v/>
      </c>
      <c r="M194" s="46" t="str">
        <f t="shared" si="11"/>
        <v/>
      </c>
      <c r="N194" s="35" t="str">
        <f>IF(B194="","",IF(K194=0,IF(J194=0,"Pass",IF(COUNTIFS(BOM!$B$5:$B$1004,B194,BOM!$G$5:$G$1004,"KXDDM")&gt;0,"KXDDM","Xem xét")),IF(ABS(M194)&lt;=ThongTin!$C$11,"Pass","Xem xét")))</f>
        <v/>
      </c>
    </row>
    <row r="195" spans="1:14" x14ac:dyDescent="0.25">
      <c r="A195" s="35" t="str">
        <f t="shared" si="8"/>
        <v/>
      </c>
      <c r="B195" s="35" t="str">
        <f>IF('Mau15'!B201="","",'Mau15'!B201)</f>
        <v/>
      </c>
      <c r="C195" s="35" t="str">
        <f>IF(B195="","",'Mau15'!C201)</f>
        <v/>
      </c>
      <c r="D195" s="35" t="str">
        <f>IF(B195="","",'Mau15'!D201)</f>
        <v/>
      </c>
      <c r="E195" s="39" t="str">
        <f>IF(B195="","",'Mau15'!I201)</f>
        <v/>
      </c>
      <c r="F195" s="39" t="str">
        <f>IF(B195="","",SUMIFS(Cau_noi!$B$5:$B$304,Cau_noi!$A$5:$A$304,B195))</f>
        <v/>
      </c>
      <c r="G195" s="39" t="str">
        <f>IF(B195="","",SUMIFS(Cau_noi!$C$5:$C$304,Cau_noi!$A$5:$A$304,B195))</f>
        <v/>
      </c>
      <c r="H195" s="39" t="str">
        <f>IF(B195="","",SUMIFS(Cau_noi!$D$5:$D$304,Cau_noi!$A$5:$A$304,B195))</f>
        <v/>
      </c>
      <c r="I195" s="39" t="str">
        <f>IF(B195="","",SUMIFS(Cau_noi!$E$5:$E$304,Cau_noi!$A$5:$A$304,B195))</f>
        <v/>
      </c>
      <c r="J195" s="39" t="str">
        <f t="shared" si="9"/>
        <v/>
      </c>
      <c r="K195" s="39" t="str">
        <f>IF(B195="","",SUMIFS(KT_DMTT_ChiTiet!$H$5:$H$1004,KT_DMTT_ChiTiet!$C$5:$C$1004,B195,KT_DMTT_ChiTiet!$N$5:$N$1004,1))</f>
        <v/>
      </c>
      <c r="L195" s="39" t="str">
        <f t="shared" si="10"/>
        <v/>
      </c>
      <c r="M195" s="46" t="str">
        <f t="shared" si="11"/>
        <v/>
      </c>
      <c r="N195" s="35" t="str">
        <f>IF(B195="","",IF(K195=0,IF(J195=0,"Pass",IF(COUNTIFS(BOM!$B$5:$B$1004,B195,BOM!$G$5:$G$1004,"KXDDM")&gt;0,"KXDDM","Xem xét")),IF(ABS(M195)&lt;=ThongTin!$C$11,"Pass","Xem xét")))</f>
        <v/>
      </c>
    </row>
    <row r="196" spans="1:14" x14ac:dyDescent="0.25">
      <c r="A196" s="35" t="str">
        <f t="shared" si="8"/>
        <v/>
      </c>
      <c r="B196" s="35" t="str">
        <f>IF('Mau15'!B202="","",'Mau15'!B202)</f>
        <v/>
      </c>
      <c r="C196" s="35" t="str">
        <f>IF(B196="","",'Mau15'!C202)</f>
        <v/>
      </c>
      <c r="D196" s="35" t="str">
        <f>IF(B196="","",'Mau15'!D202)</f>
        <v/>
      </c>
      <c r="E196" s="39" t="str">
        <f>IF(B196="","",'Mau15'!I202)</f>
        <v/>
      </c>
      <c r="F196" s="39" t="str">
        <f>IF(B196="","",SUMIFS(Cau_noi!$B$5:$B$304,Cau_noi!$A$5:$A$304,B196))</f>
        <v/>
      </c>
      <c r="G196" s="39" t="str">
        <f>IF(B196="","",SUMIFS(Cau_noi!$C$5:$C$304,Cau_noi!$A$5:$A$304,B196))</f>
        <v/>
      </c>
      <c r="H196" s="39" t="str">
        <f>IF(B196="","",SUMIFS(Cau_noi!$D$5:$D$304,Cau_noi!$A$5:$A$304,B196))</f>
        <v/>
      </c>
      <c r="I196" s="39" t="str">
        <f>IF(B196="","",SUMIFS(Cau_noi!$E$5:$E$304,Cau_noi!$A$5:$A$304,B196))</f>
        <v/>
      </c>
      <c r="J196" s="39" t="str">
        <f t="shared" si="9"/>
        <v/>
      </c>
      <c r="K196" s="39" t="str">
        <f>IF(B196="","",SUMIFS(KT_DMTT_ChiTiet!$H$5:$H$1004,KT_DMTT_ChiTiet!$C$5:$C$1004,B196,KT_DMTT_ChiTiet!$N$5:$N$1004,1))</f>
        <v/>
      </c>
      <c r="L196" s="39" t="str">
        <f t="shared" si="10"/>
        <v/>
      </c>
      <c r="M196" s="46" t="str">
        <f t="shared" si="11"/>
        <v/>
      </c>
      <c r="N196" s="35" t="str">
        <f>IF(B196="","",IF(K196=0,IF(J196=0,"Pass",IF(COUNTIFS(BOM!$B$5:$B$1004,B196,BOM!$G$5:$G$1004,"KXDDM")&gt;0,"KXDDM","Xem xét")),IF(ABS(M196)&lt;=ThongTin!$C$11,"Pass","Xem xét")))</f>
        <v/>
      </c>
    </row>
    <row r="197" spans="1:14" x14ac:dyDescent="0.25">
      <c r="A197" s="35" t="str">
        <f t="shared" ref="A197:A260" si="12">IF(B197="","",ROW()-4)</f>
        <v/>
      </c>
      <c r="B197" s="35" t="str">
        <f>IF('Mau15'!B203="","",'Mau15'!B203)</f>
        <v/>
      </c>
      <c r="C197" s="35" t="str">
        <f>IF(B197="","",'Mau15'!C203)</f>
        <v/>
      </c>
      <c r="D197" s="35" t="str">
        <f>IF(B197="","",'Mau15'!D203)</f>
        <v/>
      </c>
      <c r="E197" s="39" t="str">
        <f>IF(B197="","",'Mau15'!I203)</f>
        <v/>
      </c>
      <c r="F197" s="39" t="str">
        <f>IF(B197="","",SUMIFS(Cau_noi!$B$5:$B$304,Cau_noi!$A$5:$A$304,B197))</f>
        <v/>
      </c>
      <c r="G197" s="39" t="str">
        <f>IF(B197="","",SUMIFS(Cau_noi!$C$5:$C$304,Cau_noi!$A$5:$A$304,B197))</f>
        <v/>
      </c>
      <c r="H197" s="39" t="str">
        <f>IF(B197="","",SUMIFS(Cau_noi!$D$5:$D$304,Cau_noi!$A$5:$A$304,B197))</f>
        <v/>
      </c>
      <c r="I197" s="39" t="str">
        <f>IF(B197="","",SUMIFS(Cau_noi!$E$5:$E$304,Cau_noi!$A$5:$A$304,B197))</f>
        <v/>
      </c>
      <c r="J197" s="39" t="str">
        <f t="shared" ref="J197:J260" si="13">IF(B197="","",E197+F197+G197-H197-I197)</f>
        <v/>
      </c>
      <c r="K197" s="39" t="str">
        <f>IF(B197="","",SUMIFS(KT_DMTT_ChiTiet!$H$5:$H$1004,KT_DMTT_ChiTiet!$C$5:$C$1004,B197,KT_DMTT_ChiTiet!$N$5:$N$1004,1))</f>
        <v/>
      </c>
      <c r="L197" s="39" t="str">
        <f t="shared" ref="L197:L260" si="14">IF(B197="","",J197-K197)</f>
        <v/>
      </c>
      <c r="M197" s="46" t="str">
        <f t="shared" ref="M197:M260" si="15">IF(OR(B197="",K197=0),"",L197/K197)</f>
        <v/>
      </c>
      <c r="N197" s="35" t="str">
        <f>IF(B197="","",IF(K197=0,IF(J197=0,"Pass",IF(COUNTIFS(BOM!$B$5:$B$1004,B197,BOM!$G$5:$G$1004,"KXDDM")&gt;0,"KXDDM","Xem xét")),IF(ABS(M197)&lt;=ThongTin!$C$11,"Pass","Xem xét")))</f>
        <v/>
      </c>
    </row>
    <row r="198" spans="1:14" x14ac:dyDescent="0.25">
      <c r="A198" s="35" t="str">
        <f t="shared" si="12"/>
        <v/>
      </c>
      <c r="B198" s="35" t="str">
        <f>IF('Mau15'!B204="","",'Mau15'!B204)</f>
        <v/>
      </c>
      <c r="C198" s="35" t="str">
        <f>IF(B198="","",'Mau15'!C204)</f>
        <v/>
      </c>
      <c r="D198" s="35" t="str">
        <f>IF(B198="","",'Mau15'!D204)</f>
        <v/>
      </c>
      <c r="E198" s="39" t="str">
        <f>IF(B198="","",'Mau15'!I204)</f>
        <v/>
      </c>
      <c r="F198" s="39" t="str">
        <f>IF(B198="","",SUMIFS(Cau_noi!$B$5:$B$304,Cau_noi!$A$5:$A$304,B198))</f>
        <v/>
      </c>
      <c r="G198" s="39" t="str">
        <f>IF(B198="","",SUMIFS(Cau_noi!$C$5:$C$304,Cau_noi!$A$5:$A$304,B198))</f>
        <v/>
      </c>
      <c r="H198" s="39" t="str">
        <f>IF(B198="","",SUMIFS(Cau_noi!$D$5:$D$304,Cau_noi!$A$5:$A$304,B198))</f>
        <v/>
      </c>
      <c r="I198" s="39" t="str">
        <f>IF(B198="","",SUMIFS(Cau_noi!$E$5:$E$304,Cau_noi!$A$5:$A$304,B198))</f>
        <v/>
      </c>
      <c r="J198" s="39" t="str">
        <f t="shared" si="13"/>
        <v/>
      </c>
      <c r="K198" s="39" t="str">
        <f>IF(B198="","",SUMIFS(KT_DMTT_ChiTiet!$H$5:$H$1004,KT_DMTT_ChiTiet!$C$5:$C$1004,B198,KT_DMTT_ChiTiet!$N$5:$N$1004,1))</f>
        <v/>
      </c>
      <c r="L198" s="39" t="str">
        <f t="shared" si="14"/>
        <v/>
      </c>
      <c r="M198" s="46" t="str">
        <f t="shared" si="15"/>
        <v/>
      </c>
      <c r="N198" s="35" t="str">
        <f>IF(B198="","",IF(K198=0,IF(J198=0,"Pass",IF(COUNTIFS(BOM!$B$5:$B$1004,B198,BOM!$G$5:$G$1004,"KXDDM")&gt;0,"KXDDM","Xem xét")),IF(ABS(M198)&lt;=ThongTin!$C$11,"Pass","Xem xét")))</f>
        <v/>
      </c>
    </row>
    <row r="199" spans="1:14" x14ac:dyDescent="0.25">
      <c r="A199" s="35" t="str">
        <f t="shared" si="12"/>
        <v/>
      </c>
      <c r="B199" s="35" t="str">
        <f>IF('Mau15'!B205="","",'Mau15'!B205)</f>
        <v/>
      </c>
      <c r="C199" s="35" t="str">
        <f>IF(B199="","",'Mau15'!C205)</f>
        <v/>
      </c>
      <c r="D199" s="35" t="str">
        <f>IF(B199="","",'Mau15'!D205)</f>
        <v/>
      </c>
      <c r="E199" s="39" t="str">
        <f>IF(B199="","",'Mau15'!I205)</f>
        <v/>
      </c>
      <c r="F199" s="39" t="str">
        <f>IF(B199="","",SUMIFS(Cau_noi!$B$5:$B$304,Cau_noi!$A$5:$A$304,B199))</f>
        <v/>
      </c>
      <c r="G199" s="39" t="str">
        <f>IF(B199="","",SUMIFS(Cau_noi!$C$5:$C$304,Cau_noi!$A$5:$A$304,B199))</f>
        <v/>
      </c>
      <c r="H199" s="39" t="str">
        <f>IF(B199="","",SUMIFS(Cau_noi!$D$5:$D$304,Cau_noi!$A$5:$A$304,B199))</f>
        <v/>
      </c>
      <c r="I199" s="39" t="str">
        <f>IF(B199="","",SUMIFS(Cau_noi!$E$5:$E$304,Cau_noi!$A$5:$A$304,B199))</f>
        <v/>
      </c>
      <c r="J199" s="39" t="str">
        <f t="shared" si="13"/>
        <v/>
      </c>
      <c r="K199" s="39" t="str">
        <f>IF(B199="","",SUMIFS(KT_DMTT_ChiTiet!$H$5:$H$1004,KT_DMTT_ChiTiet!$C$5:$C$1004,B199,KT_DMTT_ChiTiet!$N$5:$N$1004,1))</f>
        <v/>
      </c>
      <c r="L199" s="39" t="str">
        <f t="shared" si="14"/>
        <v/>
      </c>
      <c r="M199" s="46" t="str">
        <f t="shared" si="15"/>
        <v/>
      </c>
      <c r="N199" s="35" t="str">
        <f>IF(B199="","",IF(K199=0,IF(J199=0,"Pass",IF(COUNTIFS(BOM!$B$5:$B$1004,B199,BOM!$G$5:$G$1004,"KXDDM")&gt;0,"KXDDM","Xem xét")),IF(ABS(M199)&lt;=ThongTin!$C$11,"Pass","Xem xét")))</f>
        <v/>
      </c>
    </row>
    <row r="200" spans="1:14" x14ac:dyDescent="0.25">
      <c r="A200" s="35" t="str">
        <f t="shared" si="12"/>
        <v/>
      </c>
      <c r="B200" s="35" t="str">
        <f>IF('Mau15'!B206="","",'Mau15'!B206)</f>
        <v/>
      </c>
      <c r="C200" s="35" t="str">
        <f>IF(B200="","",'Mau15'!C206)</f>
        <v/>
      </c>
      <c r="D200" s="35" t="str">
        <f>IF(B200="","",'Mau15'!D206)</f>
        <v/>
      </c>
      <c r="E200" s="39" t="str">
        <f>IF(B200="","",'Mau15'!I206)</f>
        <v/>
      </c>
      <c r="F200" s="39" t="str">
        <f>IF(B200="","",SUMIFS(Cau_noi!$B$5:$B$304,Cau_noi!$A$5:$A$304,B200))</f>
        <v/>
      </c>
      <c r="G200" s="39" t="str">
        <f>IF(B200="","",SUMIFS(Cau_noi!$C$5:$C$304,Cau_noi!$A$5:$A$304,B200))</f>
        <v/>
      </c>
      <c r="H200" s="39" t="str">
        <f>IF(B200="","",SUMIFS(Cau_noi!$D$5:$D$304,Cau_noi!$A$5:$A$304,B200))</f>
        <v/>
      </c>
      <c r="I200" s="39" t="str">
        <f>IF(B200="","",SUMIFS(Cau_noi!$E$5:$E$304,Cau_noi!$A$5:$A$304,B200))</f>
        <v/>
      </c>
      <c r="J200" s="39" t="str">
        <f t="shared" si="13"/>
        <v/>
      </c>
      <c r="K200" s="39" t="str">
        <f>IF(B200="","",SUMIFS(KT_DMTT_ChiTiet!$H$5:$H$1004,KT_DMTT_ChiTiet!$C$5:$C$1004,B200,KT_DMTT_ChiTiet!$N$5:$N$1004,1))</f>
        <v/>
      </c>
      <c r="L200" s="39" t="str">
        <f t="shared" si="14"/>
        <v/>
      </c>
      <c r="M200" s="46" t="str">
        <f t="shared" si="15"/>
        <v/>
      </c>
      <c r="N200" s="35" t="str">
        <f>IF(B200="","",IF(K200=0,IF(J200=0,"Pass",IF(COUNTIFS(BOM!$B$5:$B$1004,B200,BOM!$G$5:$G$1004,"KXDDM")&gt;0,"KXDDM","Xem xét")),IF(ABS(M200)&lt;=ThongTin!$C$11,"Pass","Xem xét")))</f>
        <v/>
      </c>
    </row>
    <row r="201" spans="1:14" x14ac:dyDescent="0.25">
      <c r="A201" s="35" t="str">
        <f t="shared" si="12"/>
        <v/>
      </c>
      <c r="B201" s="35" t="str">
        <f>IF('Mau15'!B207="","",'Mau15'!B207)</f>
        <v/>
      </c>
      <c r="C201" s="35" t="str">
        <f>IF(B201="","",'Mau15'!C207)</f>
        <v/>
      </c>
      <c r="D201" s="35" t="str">
        <f>IF(B201="","",'Mau15'!D207)</f>
        <v/>
      </c>
      <c r="E201" s="39" t="str">
        <f>IF(B201="","",'Mau15'!I207)</f>
        <v/>
      </c>
      <c r="F201" s="39" t="str">
        <f>IF(B201="","",SUMIFS(Cau_noi!$B$5:$B$304,Cau_noi!$A$5:$A$304,B201))</f>
        <v/>
      </c>
      <c r="G201" s="39" t="str">
        <f>IF(B201="","",SUMIFS(Cau_noi!$C$5:$C$304,Cau_noi!$A$5:$A$304,B201))</f>
        <v/>
      </c>
      <c r="H201" s="39" t="str">
        <f>IF(B201="","",SUMIFS(Cau_noi!$D$5:$D$304,Cau_noi!$A$5:$A$304,B201))</f>
        <v/>
      </c>
      <c r="I201" s="39" t="str">
        <f>IF(B201="","",SUMIFS(Cau_noi!$E$5:$E$304,Cau_noi!$A$5:$A$304,B201))</f>
        <v/>
      </c>
      <c r="J201" s="39" t="str">
        <f t="shared" si="13"/>
        <v/>
      </c>
      <c r="K201" s="39" t="str">
        <f>IF(B201="","",SUMIFS(KT_DMTT_ChiTiet!$H$5:$H$1004,KT_DMTT_ChiTiet!$C$5:$C$1004,B201,KT_DMTT_ChiTiet!$N$5:$N$1004,1))</f>
        <v/>
      </c>
      <c r="L201" s="39" t="str">
        <f t="shared" si="14"/>
        <v/>
      </c>
      <c r="M201" s="46" t="str">
        <f t="shared" si="15"/>
        <v/>
      </c>
      <c r="N201" s="35" t="str">
        <f>IF(B201="","",IF(K201=0,IF(J201=0,"Pass",IF(COUNTIFS(BOM!$B$5:$B$1004,B201,BOM!$G$5:$G$1004,"KXDDM")&gt;0,"KXDDM","Xem xét")),IF(ABS(M201)&lt;=ThongTin!$C$11,"Pass","Xem xét")))</f>
        <v/>
      </c>
    </row>
    <row r="202" spans="1:14" x14ac:dyDescent="0.25">
      <c r="A202" s="35" t="str">
        <f t="shared" si="12"/>
        <v/>
      </c>
      <c r="B202" s="35" t="str">
        <f>IF('Mau15'!B208="","",'Mau15'!B208)</f>
        <v/>
      </c>
      <c r="C202" s="35" t="str">
        <f>IF(B202="","",'Mau15'!C208)</f>
        <v/>
      </c>
      <c r="D202" s="35" t="str">
        <f>IF(B202="","",'Mau15'!D208)</f>
        <v/>
      </c>
      <c r="E202" s="39" t="str">
        <f>IF(B202="","",'Mau15'!I208)</f>
        <v/>
      </c>
      <c r="F202" s="39" t="str">
        <f>IF(B202="","",SUMIFS(Cau_noi!$B$5:$B$304,Cau_noi!$A$5:$A$304,B202))</f>
        <v/>
      </c>
      <c r="G202" s="39" t="str">
        <f>IF(B202="","",SUMIFS(Cau_noi!$C$5:$C$304,Cau_noi!$A$5:$A$304,B202))</f>
        <v/>
      </c>
      <c r="H202" s="39" t="str">
        <f>IF(B202="","",SUMIFS(Cau_noi!$D$5:$D$304,Cau_noi!$A$5:$A$304,B202))</f>
        <v/>
      </c>
      <c r="I202" s="39" t="str">
        <f>IF(B202="","",SUMIFS(Cau_noi!$E$5:$E$304,Cau_noi!$A$5:$A$304,B202))</f>
        <v/>
      </c>
      <c r="J202" s="39" t="str">
        <f t="shared" si="13"/>
        <v/>
      </c>
      <c r="K202" s="39" t="str">
        <f>IF(B202="","",SUMIFS(KT_DMTT_ChiTiet!$H$5:$H$1004,KT_DMTT_ChiTiet!$C$5:$C$1004,B202,KT_DMTT_ChiTiet!$N$5:$N$1004,1))</f>
        <v/>
      </c>
      <c r="L202" s="39" t="str">
        <f t="shared" si="14"/>
        <v/>
      </c>
      <c r="M202" s="46" t="str">
        <f t="shared" si="15"/>
        <v/>
      </c>
      <c r="N202" s="35" t="str">
        <f>IF(B202="","",IF(K202=0,IF(J202=0,"Pass",IF(COUNTIFS(BOM!$B$5:$B$1004,B202,BOM!$G$5:$G$1004,"KXDDM")&gt;0,"KXDDM","Xem xét")),IF(ABS(M202)&lt;=ThongTin!$C$11,"Pass","Xem xét")))</f>
        <v/>
      </c>
    </row>
    <row r="203" spans="1:14" x14ac:dyDescent="0.25">
      <c r="A203" s="35" t="str">
        <f t="shared" si="12"/>
        <v/>
      </c>
      <c r="B203" s="35" t="str">
        <f>IF('Mau15'!B209="","",'Mau15'!B209)</f>
        <v/>
      </c>
      <c r="C203" s="35" t="str">
        <f>IF(B203="","",'Mau15'!C209)</f>
        <v/>
      </c>
      <c r="D203" s="35" t="str">
        <f>IF(B203="","",'Mau15'!D209)</f>
        <v/>
      </c>
      <c r="E203" s="39" t="str">
        <f>IF(B203="","",'Mau15'!I209)</f>
        <v/>
      </c>
      <c r="F203" s="39" t="str">
        <f>IF(B203="","",SUMIFS(Cau_noi!$B$5:$B$304,Cau_noi!$A$5:$A$304,B203))</f>
        <v/>
      </c>
      <c r="G203" s="39" t="str">
        <f>IF(B203="","",SUMIFS(Cau_noi!$C$5:$C$304,Cau_noi!$A$5:$A$304,B203))</f>
        <v/>
      </c>
      <c r="H203" s="39" t="str">
        <f>IF(B203="","",SUMIFS(Cau_noi!$D$5:$D$304,Cau_noi!$A$5:$A$304,B203))</f>
        <v/>
      </c>
      <c r="I203" s="39" t="str">
        <f>IF(B203="","",SUMIFS(Cau_noi!$E$5:$E$304,Cau_noi!$A$5:$A$304,B203))</f>
        <v/>
      </c>
      <c r="J203" s="39" t="str">
        <f t="shared" si="13"/>
        <v/>
      </c>
      <c r="K203" s="39" t="str">
        <f>IF(B203="","",SUMIFS(KT_DMTT_ChiTiet!$H$5:$H$1004,KT_DMTT_ChiTiet!$C$5:$C$1004,B203,KT_DMTT_ChiTiet!$N$5:$N$1004,1))</f>
        <v/>
      </c>
      <c r="L203" s="39" t="str">
        <f t="shared" si="14"/>
        <v/>
      </c>
      <c r="M203" s="46" t="str">
        <f t="shared" si="15"/>
        <v/>
      </c>
      <c r="N203" s="35" t="str">
        <f>IF(B203="","",IF(K203=0,IF(J203=0,"Pass",IF(COUNTIFS(BOM!$B$5:$B$1004,B203,BOM!$G$5:$G$1004,"KXDDM")&gt;0,"KXDDM","Xem xét")),IF(ABS(M203)&lt;=ThongTin!$C$11,"Pass","Xem xét")))</f>
        <v/>
      </c>
    </row>
    <row r="204" spans="1:14" x14ac:dyDescent="0.25">
      <c r="A204" s="35" t="str">
        <f t="shared" si="12"/>
        <v/>
      </c>
      <c r="B204" s="35" t="str">
        <f>IF('Mau15'!B210="","",'Mau15'!B210)</f>
        <v/>
      </c>
      <c r="C204" s="35" t="str">
        <f>IF(B204="","",'Mau15'!C210)</f>
        <v/>
      </c>
      <c r="D204" s="35" t="str">
        <f>IF(B204="","",'Mau15'!D210)</f>
        <v/>
      </c>
      <c r="E204" s="39" t="str">
        <f>IF(B204="","",'Mau15'!I210)</f>
        <v/>
      </c>
      <c r="F204" s="39" t="str">
        <f>IF(B204="","",SUMIFS(Cau_noi!$B$5:$B$304,Cau_noi!$A$5:$A$304,B204))</f>
        <v/>
      </c>
      <c r="G204" s="39" t="str">
        <f>IF(B204="","",SUMIFS(Cau_noi!$C$5:$C$304,Cau_noi!$A$5:$A$304,B204))</f>
        <v/>
      </c>
      <c r="H204" s="39" t="str">
        <f>IF(B204="","",SUMIFS(Cau_noi!$D$5:$D$304,Cau_noi!$A$5:$A$304,B204))</f>
        <v/>
      </c>
      <c r="I204" s="39" t="str">
        <f>IF(B204="","",SUMIFS(Cau_noi!$E$5:$E$304,Cau_noi!$A$5:$A$304,B204))</f>
        <v/>
      </c>
      <c r="J204" s="39" t="str">
        <f t="shared" si="13"/>
        <v/>
      </c>
      <c r="K204" s="39" t="str">
        <f>IF(B204="","",SUMIFS(KT_DMTT_ChiTiet!$H$5:$H$1004,KT_DMTT_ChiTiet!$C$5:$C$1004,B204,KT_DMTT_ChiTiet!$N$5:$N$1004,1))</f>
        <v/>
      </c>
      <c r="L204" s="39" t="str">
        <f t="shared" si="14"/>
        <v/>
      </c>
      <c r="M204" s="46" t="str">
        <f t="shared" si="15"/>
        <v/>
      </c>
      <c r="N204" s="35" t="str">
        <f>IF(B204="","",IF(K204=0,IF(J204=0,"Pass",IF(COUNTIFS(BOM!$B$5:$B$1004,B204,BOM!$G$5:$G$1004,"KXDDM")&gt;0,"KXDDM","Xem xét")),IF(ABS(M204)&lt;=ThongTin!$C$11,"Pass","Xem xét")))</f>
        <v/>
      </c>
    </row>
    <row r="205" spans="1:14" x14ac:dyDescent="0.25">
      <c r="A205" s="35" t="str">
        <f t="shared" si="12"/>
        <v/>
      </c>
      <c r="B205" s="35" t="str">
        <f>IF('Mau15'!B211="","",'Mau15'!B211)</f>
        <v/>
      </c>
      <c r="C205" s="35" t="str">
        <f>IF(B205="","",'Mau15'!C211)</f>
        <v/>
      </c>
      <c r="D205" s="35" t="str">
        <f>IF(B205="","",'Mau15'!D211)</f>
        <v/>
      </c>
      <c r="E205" s="39" t="str">
        <f>IF(B205="","",'Mau15'!I211)</f>
        <v/>
      </c>
      <c r="F205" s="39" t="str">
        <f>IF(B205="","",SUMIFS(Cau_noi!$B$5:$B$304,Cau_noi!$A$5:$A$304,B205))</f>
        <v/>
      </c>
      <c r="G205" s="39" t="str">
        <f>IF(B205="","",SUMIFS(Cau_noi!$C$5:$C$304,Cau_noi!$A$5:$A$304,B205))</f>
        <v/>
      </c>
      <c r="H205" s="39" t="str">
        <f>IF(B205="","",SUMIFS(Cau_noi!$D$5:$D$304,Cau_noi!$A$5:$A$304,B205))</f>
        <v/>
      </c>
      <c r="I205" s="39" t="str">
        <f>IF(B205="","",SUMIFS(Cau_noi!$E$5:$E$304,Cau_noi!$A$5:$A$304,B205))</f>
        <v/>
      </c>
      <c r="J205" s="39" t="str">
        <f t="shared" si="13"/>
        <v/>
      </c>
      <c r="K205" s="39" t="str">
        <f>IF(B205="","",SUMIFS(KT_DMTT_ChiTiet!$H$5:$H$1004,KT_DMTT_ChiTiet!$C$5:$C$1004,B205,KT_DMTT_ChiTiet!$N$5:$N$1004,1))</f>
        <v/>
      </c>
      <c r="L205" s="39" t="str">
        <f t="shared" si="14"/>
        <v/>
      </c>
      <c r="M205" s="46" t="str">
        <f t="shared" si="15"/>
        <v/>
      </c>
      <c r="N205" s="35" t="str">
        <f>IF(B205="","",IF(K205=0,IF(J205=0,"Pass",IF(COUNTIFS(BOM!$B$5:$B$1004,B205,BOM!$G$5:$G$1004,"KXDDM")&gt;0,"KXDDM","Xem xét")),IF(ABS(M205)&lt;=ThongTin!$C$11,"Pass","Xem xét")))</f>
        <v/>
      </c>
    </row>
    <row r="206" spans="1:14" x14ac:dyDescent="0.25">
      <c r="A206" s="35" t="str">
        <f t="shared" si="12"/>
        <v/>
      </c>
      <c r="B206" s="35" t="str">
        <f>IF('Mau15'!B212="","",'Mau15'!B212)</f>
        <v/>
      </c>
      <c r="C206" s="35" t="str">
        <f>IF(B206="","",'Mau15'!C212)</f>
        <v/>
      </c>
      <c r="D206" s="35" t="str">
        <f>IF(B206="","",'Mau15'!D212)</f>
        <v/>
      </c>
      <c r="E206" s="39" t="str">
        <f>IF(B206="","",'Mau15'!I212)</f>
        <v/>
      </c>
      <c r="F206" s="39" t="str">
        <f>IF(B206="","",SUMIFS(Cau_noi!$B$5:$B$304,Cau_noi!$A$5:$A$304,B206))</f>
        <v/>
      </c>
      <c r="G206" s="39" t="str">
        <f>IF(B206="","",SUMIFS(Cau_noi!$C$5:$C$304,Cau_noi!$A$5:$A$304,B206))</f>
        <v/>
      </c>
      <c r="H206" s="39" t="str">
        <f>IF(B206="","",SUMIFS(Cau_noi!$D$5:$D$304,Cau_noi!$A$5:$A$304,B206))</f>
        <v/>
      </c>
      <c r="I206" s="39" t="str">
        <f>IF(B206="","",SUMIFS(Cau_noi!$E$5:$E$304,Cau_noi!$A$5:$A$304,B206))</f>
        <v/>
      </c>
      <c r="J206" s="39" t="str">
        <f t="shared" si="13"/>
        <v/>
      </c>
      <c r="K206" s="39" t="str">
        <f>IF(B206="","",SUMIFS(KT_DMTT_ChiTiet!$H$5:$H$1004,KT_DMTT_ChiTiet!$C$5:$C$1004,B206,KT_DMTT_ChiTiet!$N$5:$N$1004,1))</f>
        <v/>
      </c>
      <c r="L206" s="39" t="str">
        <f t="shared" si="14"/>
        <v/>
      </c>
      <c r="M206" s="46" t="str">
        <f t="shared" si="15"/>
        <v/>
      </c>
      <c r="N206" s="35" t="str">
        <f>IF(B206="","",IF(K206=0,IF(J206=0,"Pass",IF(COUNTIFS(BOM!$B$5:$B$1004,B206,BOM!$G$5:$G$1004,"KXDDM")&gt;0,"KXDDM","Xem xét")),IF(ABS(M206)&lt;=ThongTin!$C$11,"Pass","Xem xét")))</f>
        <v/>
      </c>
    </row>
    <row r="207" spans="1:14" x14ac:dyDescent="0.25">
      <c r="A207" s="35" t="str">
        <f t="shared" si="12"/>
        <v/>
      </c>
      <c r="B207" s="35" t="str">
        <f>IF('Mau15'!B213="","",'Mau15'!B213)</f>
        <v/>
      </c>
      <c r="C207" s="35" t="str">
        <f>IF(B207="","",'Mau15'!C213)</f>
        <v/>
      </c>
      <c r="D207" s="35" t="str">
        <f>IF(B207="","",'Mau15'!D213)</f>
        <v/>
      </c>
      <c r="E207" s="39" t="str">
        <f>IF(B207="","",'Mau15'!I213)</f>
        <v/>
      </c>
      <c r="F207" s="39" t="str">
        <f>IF(B207="","",SUMIFS(Cau_noi!$B$5:$B$304,Cau_noi!$A$5:$A$304,B207))</f>
        <v/>
      </c>
      <c r="G207" s="39" t="str">
        <f>IF(B207="","",SUMIFS(Cau_noi!$C$5:$C$304,Cau_noi!$A$5:$A$304,B207))</f>
        <v/>
      </c>
      <c r="H207" s="39" t="str">
        <f>IF(B207="","",SUMIFS(Cau_noi!$D$5:$D$304,Cau_noi!$A$5:$A$304,B207))</f>
        <v/>
      </c>
      <c r="I207" s="39" t="str">
        <f>IF(B207="","",SUMIFS(Cau_noi!$E$5:$E$304,Cau_noi!$A$5:$A$304,B207))</f>
        <v/>
      </c>
      <c r="J207" s="39" t="str">
        <f t="shared" si="13"/>
        <v/>
      </c>
      <c r="K207" s="39" t="str">
        <f>IF(B207="","",SUMIFS(KT_DMTT_ChiTiet!$H$5:$H$1004,KT_DMTT_ChiTiet!$C$5:$C$1004,B207,KT_DMTT_ChiTiet!$N$5:$N$1004,1))</f>
        <v/>
      </c>
      <c r="L207" s="39" t="str">
        <f t="shared" si="14"/>
        <v/>
      </c>
      <c r="M207" s="46" t="str">
        <f t="shared" si="15"/>
        <v/>
      </c>
      <c r="N207" s="35" t="str">
        <f>IF(B207="","",IF(K207=0,IF(J207=0,"Pass",IF(COUNTIFS(BOM!$B$5:$B$1004,B207,BOM!$G$5:$G$1004,"KXDDM")&gt;0,"KXDDM","Xem xét")),IF(ABS(M207)&lt;=ThongTin!$C$11,"Pass","Xem xét")))</f>
        <v/>
      </c>
    </row>
    <row r="208" spans="1:14" x14ac:dyDescent="0.25">
      <c r="A208" s="35" t="str">
        <f t="shared" si="12"/>
        <v/>
      </c>
      <c r="B208" s="35" t="str">
        <f>IF('Mau15'!B214="","",'Mau15'!B214)</f>
        <v/>
      </c>
      <c r="C208" s="35" t="str">
        <f>IF(B208="","",'Mau15'!C214)</f>
        <v/>
      </c>
      <c r="D208" s="35" t="str">
        <f>IF(B208="","",'Mau15'!D214)</f>
        <v/>
      </c>
      <c r="E208" s="39" t="str">
        <f>IF(B208="","",'Mau15'!I214)</f>
        <v/>
      </c>
      <c r="F208" s="39" t="str">
        <f>IF(B208="","",SUMIFS(Cau_noi!$B$5:$B$304,Cau_noi!$A$5:$A$304,B208))</f>
        <v/>
      </c>
      <c r="G208" s="39" t="str">
        <f>IF(B208="","",SUMIFS(Cau_noi!$C$5:$C$304,Cau_noi!$A$5:$A$304,B208))</f>
        <v/>
      </c>
      <c r="H208" s="39" t="str">
        <f>IF(B208="","",SUMIFS(Cau_noi!$D$5:$D$304,Cau_noi!$A$5:$A$304,B208))</f>
        <v/>
      </c>
      <c r="I208" s="39" t="str">
        <f>IF(B208="","",SUMIFS(Cau_noi!$E$5:$E$304,Cau_noi!$A$5:$A$304,B208))</f>
        <v/>
      </c>
      <c r="J208" s="39" t="str">
        <f t="shared" si="13"/>
        <v/>
      </c>
      <c r="K208" s="39" t="str">
        <f>IF(B208="","",SUMIFS(KT_DMTT_ChiTiet!$H$5:$H$1004,KT_DMTT_ChiTiet!$C$5:$C$1004,B208,KT_DMTT_ChiTiet!$N$5:$N$1004,1))</f>
        <v/>
      </c>
      <c r="L208" s="39" t="str">
        <f t="shared" si="14"/>
        <v/>
      </c>
      <c r="M208" s="46" t="str">
        <f t="shared" si="15"/>
        <v/>
      </c>
      <c r="N208" s="35" t="str">
        <f>IF(B208="","",IF(K208=0,IF(J208=0,"Pass",IF(COUNTIFS(BOM!$B$5:$B$1004,B208,BOM!$G$5:$G$1004,"KXDDM")&gt;0,"KXDDM","Xem xét")),IF(ABS(M208)&lt;=ThongTin!$C$11,"Pass","Xem xét")))</f>
        <v/>
      </c>
    </row>
    <row r="209" spans="1:14" x14ac:dyDescent="0.25">
      <c r="A209" s="35" t="str">
        <f t="shared" si="12"/>
        <v/>
      </c>
      <c r="B209" s="35" t="str">
        <f>IF('Mau15'!B215="","",'Mau15'!B215)</f>
        <v/>
      </c>
      <c r="C209" s="35" t="str">
        <f>IF(B209="","",'Mau15'!C215)</f>
        <v/>
      </c>
      <c r="D209" s="35" t="str">
        <f>IF(B209="","",'Mau15'!D215)</f>
        <v/>
      </c>
      <c r="E209" s="39" t="str">
        <f>IF(B209="","",'Mau15'!I215)</f>
        <v/>
      </c>
      <c r="F209" s="39" t="str">
        <f>IF(B209="","",SUMIFS(Cau_noi!$B$5:$B$304,Cau_noi!$A$5:$A$304,B209))</f>
        <v/>
      </c>
      <c r="G209" s="39" t="str">
        <f>IF(B209="","",SUMIFS(Cau_noi!$C$5:$C$304,Cau_noi!$A$5:$A$304,B209))</f>
        <v/>
      </c>
      <c r="H209" s="39" t="str">
        <f>IF(B209="","",SUMIFS(Cau_noi!$D$5:$D$304,Cau_noi!$A$5:$A$304,B209))</f>
        <v/>
      </c>
      <c r="I209" s="39" t="str">
        <f>IF(B209="","",SUMIFS(Cau_noi!$E$5:$E$304,Cau_noi!$A$5:$A$304,B209))</f>
        <v/>
      </c>
      <c r="J209" s="39" t="str">
        <f t="shared" si="13"/>
        <v/>
      </c>
      <c r="K209" s="39" t="str">
        <f>IF(B209="","",SUMIFS(KT_DMTT_ChiTiet!$H$5:$H$1004,KT_DMTT_ChiTiet!$C$5:$C$1004,B209,KT_DMTT_ChiTiet!$N$5:$N$1004,1))</f>
        <v/>
      </c>
      <c r="L209" s="39" t="str">
        <f t="shared" si="14"/>
        <v/>
      </c>
      <c r="M209" s="46" t="str">
        <f t="shared" si="15"/>
        <v/>
      </c>
      <c r="N209" s="35" t="str">
        <f>IF(B209="","",IF(K209=0,IF(J209=0,"Pass",IF(COUNTIFS(BOM!$B$5:$B$1004,B209,BOM!$G$5:$G$1004,"KXDDM")&gt;0,"KXDDM","Xem xét")),IF(ABS(M209)&lt;=ThongTin!$C$11,"Pass","Xem xét")))</f>
        <v/>
      </c>
    </row>
    <row r="210" spans="1:14" x14ac:dyDescent="0.25">
      <c r="A210" s="35" t="str">
        <f t="shared" si="12"/>
        <v/>
      </c>
      <c r="B210" s="35" t="str">
        <f>IF('Mau15'!B216="","",'Mau15'!B216)</f>
        <v/>
      </c>
      <c r="C210" s="35" t="str">
        <f>IF(B210="","",'Mau15'!C216)</f>
        <v/>
      </c>
      <c r="D210" s="35" t="str">
        <f>IF(B210="","",'Mau15'!D216)</f>
        <v/>
      </c>
      <c r="E210" s="39" t="str">
        <f>IF(B210="","",'Mau15'!I216)</f>
        <v/>
      </c>
      <c r="F210" s="39" t="str">
        <f>IF(B210="","",SUMIFS(Cau_noi!$B$5:$B$304,Cau_noi!$A$5:$A$304,B210))</f>
        <v/>
      </c>
      <c r="G210" s="39" t="str">
        <f>IF(B210="","",SUMIFS(Cau_noi!$C$5:$C$304,Cau_noi!$A$5:$A$304,B210))</f>
        <v/>
      </c>
      <c r="H210" s="39" t="str">
        <f>IF(B210="","",SUMIFS(Cau_noi!$D$5:$D$304,Cau_noi!$A$5:$A$304,B210))</f>
        <v/>
      </c>
      <c r="I210" s="39" t="str">
        <f>IF(B210="","",SUMIFS(Cau_noi!$E$5:$E$304,Cau_noi!$A$5:$A$304,B210))</f>
        <v/>
      </c>
      <c r="J210" s="39" t="str">
        <f t="shared" si="13"/>
        <v/>
      </c>
      <c r="K210" s="39" t="str">
        <f>IF(B210="","",SUMIFS(KT_DMTT_ChiTiet!$H$5:$H$1004,KT_DMTT_ChiTiet!$C$5:$C$1004,B210,KT_DMTT_ChiTiet!$N$5:$N$1004,1))</f>
        <v/>
      </c>
      <c r="L210" s="39" t="str">
        <f t="shared" si="14"/>
        <v/>
      </c>
      <c r="M210" s="46" t="str">
        <f t="shared" si="15"/>
        <v/>
      </c>
      <c r="N210" s="35" t="str">
        <f>IF(B210="","",IF(K210=0,IF(J210=0,"Pass",IF(COUNTIFS(BOM!$B$5:$B$1004,B210,BOM!$G$5:$G$1004,"KXDDM")&gt;0,"KXDDM","Xem xét")),IF(ABS(M210)&lt;=ThongTin!$C$11,"Pass","Xem xét")))</f>
        <v/>
      </c>
    </row>
    <row r="211" spans="1:14" x14ac:dyDescent="0.25">
      <c r="A211" s="35" t="str">
        <f t="shared" si="12"/>
        <v/>
      </c>
      <c r="B211" s="35" t="str">
        <f>IF('Mau15'!B217="","",'Mau15'!B217)</f>
        <v/>
      </c>
      <c r="C211" s="35" t="str">
        <f>IF(B211="","",'Mau15'!C217)</f>
        <v/>
      </c>
      <c r="D211" s="35" t="str">
        <f>IF(B211="","",'Mau15'!D217)</f>
        <v/>
      </c>
      <c r="E211" s="39" t="str">
        <f>IF(B211="","",'Mau15'!I217)</f>
        <v/>
      </c>
      <c r="F211" s="39" t="str">
        <f>IF(B211="","",SUMIFS(Cau_noi!$B$5:$B$304,Cau_noi!$A$5:$A$304,B211))</f>
        <v/>
      </c>
      <c r="G211" s="39" t="str">
        <f>IF(B211="","",SUMIFS(Cau_noi!$C$5:$C$304,Cau_noi!$A$5:$A$304,B211))</f>
        <v/>
      </c>
      <c r="H211" s="39" t="str">
        <f>IF(B211="","",SUMIFS(Cau_noi!$D$5:$D$304,Cau_noi!$A$5:$A$304,B211))</f>
        <v/>
      </c>
      <c r="I211" s="39" t="str">
        <f>IF(B211="","",SUMIFS(Cau_noi!$E$5:$E$304,Cau_noi!$A$5:$A$304,B211))</f>
        <v/>
      </c>
      <c r="J211" s="39" t="str">
        <f t="shared" si="13"/>
        <v/>
      </c>
      <c r="K211" s="39" t="str">
        <f>IF(B211="","",SUMIFS(KT_DMTT_ChiTiet!$H$5:$H$1004,KT_DMTT_ChiTiet!$C$5:$C$1004,B211,KT_DMTT_ChiTiet!$N$5:$N$1004,1))</f>
        <v/>
      </c>
      <c r="L211" s="39" t="str">
        <f t="shared" si="14"/>
        <v/>
      </c>
      <c r="M211" s="46" t="str">
        <f t="shared" si="15"/>
        <v/>
      </c>
      <c r="N211" s="35" t="str">
        <f>IF(B211="","",IF(K211=0,IF(J211=0,"Pass",IF(COUNTIFS(BOM!$B$5:$B$1004,B211,BOM!$G$5:$G$1004,"KXDDM")&gt;0,"KXDDM","Xem xét")),IF(ABS(M211)&lt;=ThongTin!$C$11,"Pass","Xem xét")))</f>
        <v/>
      </c>
    </row>
    <row r="212" spans="1:14" x14ac:dyDescent="0.25">
      <c r="A212" s="35" t="str">
        <f t="shared" si="12"/>
        <v/>
      </c>
      <c r="B212" s="35" t="str">
        <f>IF('Mau15'!B218="","",'Mau15'!B218)</f>
        <v/>
      </c>
      <c r="C212" s="35" t="str">
        <f>IF(B212="","",'Mau15'!C218)</f>
        <v/>
      </c>
      <c r="D212" s="35" t="str">
        <f>IF(B212="","",'Mau15'!D218)</f>
        <v/>
      </c>
      <c r="E212" s="39" t="str">
        <f>IF(B212="","",'Mau15'!I218)</f>
        <v/>
      </c>
      <c r="F212" s="39" t="str">
        <f>IF(B212="","",SUMIFS(Cau_noi!$B$5:$B$304,Cau_noi!$A$5:$A$304,B212))</f>
        <v/>
      </c>
      <c r="G212" s="39" t="str">
        <f>IF(B212="","",SUMIFS(Cau_noi!$C$5:$C$304,Cau_noi!$A$5:$A$304,B212))</f>
        <v/>
      </c>
      <c r="H212" s="39" t="str">
        <f>IF(B212="","",SUMIFS(Cau_noi!$D$5:$D$304,Cau_noi!$A$5:$A$304,B212))</f>
        <v/>
      </c>
      <c r="I212" s="39" t="str">
        <f>IF(B212="","",SUMIFS(Cau_noi!$E$5:$E$304,Cau_noi!$A$5:$A$304,B212))</f>
        <v/>
      </c>
      <c r="J212" s="39" t="str">
        <f t="shared" si="13"/>
        <v/>
      </c>
      <c r="K212" s="39" t="str">
        <f>IF(B212="","",SUMIFS(KT_DMTT_ChiTiet!$H$5:$H$1004,KT_DMTT_ChiTiet!$C$5:$C$1004,B212,KT_DMTT_ChiTiet!$N$5:$N$1004,1))</f>
        <v/>
      </c>
      <c r="L212" s="39" t="str">
        <f t="shared" si="14"/>
        <v/>
      </c>
      <c r="M212" s="46" t="str">
        <f t="shared" si="15"/>
        <v/>
      </c>
      <c r="N212" s="35" t="str">
        <f>IF(B212="","",IF(K212=0,IF(J212=0,"Pass",IF(COUNTIFS(BOM!$B$5:$B$1004,B212,BOM!$G$5:$G$1004,"KXDDM")&gt;0,"KXDDM","Xem xét")),IF(ABS(M212)&lt;=ThongTin!$C$11,"Pass","Xem xét")))</f>
        <v/>
      </c>
    </row>
    <row r="213" spans="1:14" x14ac:dyDescent="0.25">
      <c r="A213" s="35" t="str">
        <f t="shared" si="12"/>
        <v/>
      </c>
      <c r="B213" s="35" t="str">
        <f>IF('Mau15'!B219="","",'Mau15'!B219)</f>
        <v/>
      </c>
      <c r="C213" s="35" t="str">
        <f>IF(B213="","",'Mau15'!C219)</f>
        <v/>
      </c>
      <c r="D213" s="35" t="str">
        <f>IF(B213="","",'Mau15'!D219)</f>
        <v/>
      </c>
      <c r="E213" s="39" t="str">
        <f>IF(B213="","",'Mau15'!I219)</f>
        <v/>
      </c>
      <c r="F213" s="39" t="str">
        <f>IF(B213="","",SUMIFS(Cau_noi!$B$5:$B$304,Cau_noi!$A$5:$A$304,B213))</f>
        <v/>
      </c>
      <c r="G213" s="39" t="str">
        <f>IF(B213="","",SUMIFS(Cau_noi!$C$5:$C$304,Cau_noi!$A$5:$A$304,B213))</f>
        <v/>
      </c>
      <c r="H213" s="39" t="str">
        <f>IF(B213="","",SUMIFS(Cau_noi!$D$5:$D$304,Cau_noi!$A$5:$A$304,B213))</f>
        <v/>
      </c>
      <c r="I213" s="39" t="str">
        <f>IF(B213="","",SUMIFS(Cau_noi!$E$5:$E$304,Cau_noi!$A$5:$A$304,B213))</f>
        <v/>
      </c>
      <c r="J213" s="39" t="str">
        <f t="shared" si="13"/>
        <v/>
      </c>
      <c r="K213" s="39" t="str">
        <f>IF(B213="","",SUMIFS(KT_DMTT_ChiTiet!$H$5:$H$1004,KT_DMTT_ChiTiet!$C$5:$C$1004,B213,KT_DMTT_ChiTiet!$N$5:$N$1004,1))</f>
        <v/>
      </c>
      <c r="L213" s="39" t="str">
        <f t="shared" si="14"/>
        <v/>
      </c>
      <c r="M213" s="46" t="str">
        <f t="shared" si="15"/>
        <v/>
      </c>
      <c r="N213" s="35" t="str">
        <f>IF(B213="","",IF(K213=0,IF(J213=0,"Pass",IF(COUNTIFS(BOM!$B$5:$B$1004,B213,BOM!$G$5:$G$1004,"KXDDM")&gt;0,"KXDDM","Xem xét")),IF(ABS(M213)&lt;=ThongTin!$C$11,"Pass","Xem xét")))</f>
        <v/>
      </c>
    </row>
    <row r="214" spans="1:14" x14ac:dyDescent="0.25">
      <c r="A214" s="35" t="str">
        <f t="shared" si="12"/>
        <v/>
      </c>
      <c r="B214" s="35" t="str">
        <f>IF('Mau15'!B220="","",'Mau15'!B220)</f>
        <v/>
      </c>
      <c r="C214" s="35" t="str">
        <f>IF(B214="","",'Mau15'!C220)</f>
        <v/>
      </c>
      <c r="D214" s="35" t="str">
        <f>IF(B214="","",'Mau15'!D220)</f>
        <v/>
      </c>
      <c r="E214" s="39" t="str">
        <f>IF(B214="","",'Mau15'!I220)</f>
        <v/>
      </c>
      <c r="F214" s="39" t="str">
        <f>IF(B214="","",SUMIFS(Cau_noi!$B$5:$B$304,Cau_noi!$A$5:$A$304,B214))</f>
        <v/>
      </c>
      <c r="G214" s="39" t="str">
        <f>IF(B214="","",SUMIFS(Cau_noi!$C$5:$C$304,Cau_noi!$A$5:$A$304,B214))</f>
        <v/>
      </c>
      <c r="H214" s="39" t="str">
        <f>IF(B214="","",SUMIFS(Cau_noi!$D$5:$D$304,Cau_noi!$A$5:$A$304,B214))</f>
        <v/>
      </c>
      <c r="I214" s="39" t="str">
        <f>IF(B214="","",SUMIFS(Cau_noi!$E$5:$E$304,Cau_noi!$A$5:$A$304,B214))</f>
        <v/>
      </c>
      <c r="J214" s="39" t="str">
        <f t="shared" si="13"/>
        <v/>
      </c>
      <c r="K214" s="39" t="str">
        <f>IF(B214="","",SUMIFS(KT_DMTT_ChiTiet!$H$5:$H$1004,KT_DMTT_ChiTiet!$C$5:$C$1004,B214,KT_DMTT_ChiTiet!$N$5:$N$1004,1))</f>
        <v/>
      </c>
      <c r="L214" s="39" t="str">
        <f t="shared" si="14"/>
        <v/>
      </c>
      <c r="M214" s="46" t="str">
        <f t="shared" si="15"/>
        <v/>
      </c>
      <c r="N214" s="35" t="str">
        <f>IF(B214="","",IF(K214=0,IF(J214=0,"Pass",IF(COUNTIFS(BOM!$B$5:$B$1004,B214,BOM!$G$5:$G$1004,"KXDDM")&gt;0,"KXDDM","Xem xét")),IF(ABS(M214)&lt;=ThongTin!$C$11,"Pass","Xem xét")))</f>
        <v/>
      </c>
    </row>
    <row r="215" spans="1:14" x14ac:dyDescent="0.25">
      <c r="A215" s="35" t="str">
        <f t="shared" si="12"/>
        <v/>
      </c>
      <c r="B215" s="35" t="str">
        <f>IF('Mau15'!B221="","",'Mau15'!B221)</f>
        <v/>
      </c>
      <c r="C215" s="35" t="str">
        <f>IF(B215="","",'Mau15'!C221)</f>
        <v/>
      </c>
      <c r="D215" s="35" t="str">
        <f>IF(B215="","",'Mau15'!D221)</f>
        <v/>
      </c>
      <c r="E215" s="39" t="str">
        <f>IF(B215="","",'Mau15'!I221)</f>
        <v/>
      </c>
      <c r="F215" s="39" t="str">
        <f>IF(B215="","",SUMIFS(Cau_noi!$B$5:$B$304,Cau_noi!$A$5:$A$304,B215))</f>
        <v/>
      </c>
      <c r="G215" s="39" t="str">
        <f>IF(B215="","",SUMIFS(Cau_noi!$C$5:$C$304,Cau_noi!$A$5:$A$304,B215))</f>
        <v/>
      </c>
      <c r="H215" s="39" t="str">
        <f>IF(B215="","",SUMIFS(Cau_noi!$D$5:$D$304,Cau_noi!$A$5:$A$304,B215))</f>
        <v/>
      </c>
      <c r="I215" s="39" t="str">
        <f>IF(B215="","",SUMIFS(Cau_noi!$E$5:$E$304,Cau_noi!$A$5:$A$304,B215))</f>
        <v/>
      </c>
      <c r="J215" s="39" t="str">
        <f t="shared" si="13"/>
        <v/>
      </c>
      <c r="K215" s="39" t="str">
        <f>IF(B215="","",SUMIFS(KT_DMTT_ChiTiet!$H$5:$H$1004,KT_DMTT_ChiTiet!$C$5:$C$1004,B215,KT_DMTT_ChiTiet!$N$5:$N$1004,1))</f>
        <v/>
      </c>
      <c r="L215" s="39" t="str">
        <f t="shared" si="14"/>
        <v/>
      </c>
      <c r="M215" s="46" t="str">
        <f t="shared" si="15"/>
        <v/>
      </c>
      <c r="N215" s="35" t="str">
        <f>IF(B215="","",IF(K215=0,IF(J215=0,"Pass",IF(COUNTIFS(BOM!$B$5:$B$1004,B215,BOM!$G$5:$G$1004,"KXDDM")&gt;0,"KXDDM","Xem xét")),IF(ABS(M215)&lt;=ThongTin!$C$11,"Pass","Xem xét")))</f>
        <v/>
      </c>
    </row>
    <row r="216" spans="1:14" x14ac:dyDescent="0.25">
      <c r="A216" s="35" t="str">
        <f t="shared" si="12"/>
        <v/>
      </c>
      <c r="B216" s="35" t="str">
        <f>IF('Mau15'!B222="","",'Mau15'!B222)</f>
        <v/>
      </c>
      <c r="C216" s="35" t="str">
        <f>IF(B216="","",'Mau15'!C222)</f>
        <v/>
      </c>
      <c r="D216" s="35" t="str">
        <f>IF(B216="","",'Mau15'!D222)</f>
        <v/>
      </c>
      <c r="E216" s="39" t="str">
        <f>IF(B216="","",'Mau15'!I222)</f>
        <v/>
      </c>
      <c r="F216" s="39" t="str">
        <f>IF(B216="","",SUMIFS(Cau_noi!$B$5:$B$304,Cau_noi!$A$5:$A$304,B216))</f>
        <v/>
      </c>
      <c r="G216" s="39" t="str">
        <f>IF(B216="","",SUMIFS(Cau_noi!$C$5:$C$304,Cau_noi!$A$5:$A$304,B216))</f>
        <v/>
      </c>
      <c r="H216" s="39" t="str">
        <f>IF(B216="","",SUMIFS(Cau_noi!$D$5:$D$304,Cau_noi!$A$5:$A$304,B216))</f>
        <v/>
      </c>
      <c r="I216" s="39" t="str">
        <f>IF(B216="","",SUMIFS(Cau_noi!$E$5:$E$304,Cau_noi!$A$5:$A$304,B216))</f>
        <v/>
      </c>
      <c r="J216" s="39" t="str">
        <f t="shared" si="13"/>
        <v/>
      </c>
      <c r="K216" s="39" t="str">
        <f>IF(B216="","",SUMIFS(KT_DMTT_ChiTiet!$H$5:$H$1004,KT_DMTT_ChiTiet!$C$5:$C$1004,B216,KT_DMTT_ChiTiet!$N$5:$N$1004,1))</f>
        <v/>
      </c>
      <c r="L216" s="39" t="str">
        <f t="shared" si="14"/>
        <v/>
      </c>
      <c r="M216" s="46" t="str">
        <f t="shared" si="15"/>
        <v/>
      </c>
      <c r="N216" s="35" t="str">
        <f>IF(B216="","",IF(K216=0,IF(J216=0,"Pass",IF(COUNTIFS(BOM!$B$5:$B$1004,B216,BOM!$G$5:$G$1004,"KXDDM")&gt;0,"KXDDM","Xem xét")),IF(ABS(M216)&lt;=ThongTin!$C$11,"Pass","Xem xét")))</f>
        <v/>
      </c>
    </row>
    <row r="217" spans="1:14" x14ac:dyDescent="0.25">
      <c r="A217" s="35" t="str">
        <f t="shared" si="12"/>
        <v/>
      </c>
      <c r="B217" s="35" t="str">
        <f>IF('Mau15'!B223="","",'Mau15'!B223)</f>
        <v/>
      </c>
      <c r="C217" s="35" t="str">
        <f>IF(B217="","",'Mau15'!C223)</f>
        <v/>
      </c>
      <c r="D217" s="35" t="str">
        <f>IF(B217="","",'Mau15'!D223)</f>
        <v/>
      </c>
      <c r="E217" s="39" t="str">
        <f>IF(B217="","",'Mau15'!I223)</f>
        <v/>
      </c>
      <c r="F217" s="39" t="str">
        <f>IF(B217="","",SUMIFS(Cau_noi!$B$5:$B$304,Cau_noi!$A$5:$A$304,B217))</f>
        <v/>
      </c>
      <c r="G217" s="39" t="str">
        <f>IF(B217="","",SUMIFS(Cau_noi!$C$5:$C$304,Cau_noi!$A$5:$A$304,B217))</f>
        <v/>
      </c>
      <c r="H217" s="39" t="str">
        <f>IF(B217="","",SUMIFS(Cau_noi!$D$5:$D$304,Cau_noi!$A$5:$A$304,B217))</f>
        <v/>
      </c>
      <c r="I217" s="39" t="str">
        <f>IF(B217="","",SUMIFS(Cau_noi!$E$5:$E$304,Cau_noi!$A$5:$A$304,B217))</f>
        <v/>
      </c>
      <c r="J217" s="39" t="str">
        <f t="shared" si="13"/>
        <v/>
      </c>
      <c r="K217" s="39" t="str">
        <f>IF(B217="","",SUMIFS(KT_DMTT_ChiTiet!$H$5:$H$1004,KT_DMTT_ChiTiet!$C$5:$C$1004,B217,KT_DMTT_ChiTiet!$N$5:$N$1004,1))</f>
        <v/>
      </c>
      <c r="L217" s="39" t="str">
        <f t="shared" si="14"/>
        <v/>
      </c>
      <c r="M217" s="46" t="str">
        <f t="shared" si="15"/>
        <v/>
      </c>
      <c r="N217" s="35" t="str">
        <f>IF(B217="","",IF(K217=0,IF(J217=0,"Pass",IF(COUNTIFS(BOM!$B$5:$B$1004,B217,BOM!$G$5:$G$1004,"KXDDM")&gt;0,"KXDDM","Xem xét")),IF(ABS(M217)&lt;=ThongTin!$C$11,"Pass","Xem xét")))</f>
        <v/>
      </c>
    </row>
    <row r="218" spans="1:14" x14ac:dyDescent="0.25">
      <c r="A218" s="35" t="str">
        <f t="shared" si="12"/>
        <v/>
      </c>
      <c r="B218" s="35" t="str">
        <f>IF('Mau15'!B224="","",'Mau15'!B224)</f>
        <v/>
      </c>
      <c r="C218" s="35" t="str">
        <f>IF(B218="","",'Mau15'!C224)</f>
        <v/>
      </c>
      <c r="D218" s="35" t="str">
        <f>IF(B218="","",'Mau15'!D224)</f>
        <v/>
      </c>
      <c r="E218" s="39" t="str">
        <f>IF(B218="","",'Mau15'!I224)</f>
        <v/>
      </c>
      <c r="F218" s="39" t="str">
        <f>IF(B218="","",SUMIFS(Cau_noi!$B$5:$B$304,Cau_noi!$A$5:$A$304,B218))</f>
        <v/>
      </c>
      <c r="G218" s="39" t="str">
        <f>IF(B218="","",SUMIFS(Cau_noi!$C$5:$C$304,Cau_noi!$A$5:$A$304,B218))</f>
        <v/>
      </c>
      <c r="H218" s="39" t="str">
        <f>IF(B218="","",SUMIFS(Cau_noi!$D$5:$D$304,Cau_noi!$A$5:$A$304,B218))</f>
        <v/>
      </c>
      <c r="I218" s="39" t="str">
        <f>IF(B218="","",SUMIFS(Cau_noi!$E$5:$E$304,Cau_noi!$A$5:$A$304,B218))</f>
        <v/>
      </c>
      <c r="J218" s="39" t="str">
        <f t="shared" si="13"/>
        <v/>
      </c>
      <c r="K218" s="39" t="str">
        <f>IF(B218="","",SUMIFS(KT_DMTT_ChiTiet!$H$5:$H$1004,KT_DMTT_ChiTiet!$C$5:$C$1004,B218,KT_DMTT_ChiTiet!$N$5:$N$1004,1))</f>
        <v/>
      </c>
      <c r="L218" s="39" t="str">
        <f t="shared" si="14"/>
        <v/>
      </c>
      <c r="M218" s="46" t="str">
        <f t="shared" si="15"/>
        <v/>
      </c>
      <c r="N218" s="35" t="str">
        <f>IF(B218="","",IF(K218=0,IF(J218=0,"Pass",IF(COUNTIFS(BOM!$B$5:$B$1004,B218,BOM!$G$5:$G$1004,"KXDDM")&gt;0,"KXDDM","Xem xét")),IF(ABS(M218)&lt;=ThongTin!$C$11,"Pass","Xem xét")))</f>
        <v/>
      </c>
    </row>
    <row r="219" spans="1:14" x14ac:dyDescent="0.25">
      <c r="A219" s="35" t="str">
        <f t="shared" si="12"/>
        <v/>
      </c>
      <c r="B219" s="35" t="str">
        <f>IF('Mau15'!B225="","",'Mau15'!B225)</f>
        <v/>
      </c>
      <c r="C219" s="35" t="str">
        <f>IF(B219="","",'Mau15'!C225)</f>
        <v/>
      </c>
      <c r="D219" s="35" t="str">
        <f>IF(B219="","",'Mau15'!D225)</f>
        <v/>
      </c>
      <c r="E219" s="39" t="str">
        <f>IF(B219="","",'Mau15'!I225)</f>
        <v/>
      </c>
      <c r="F219" s="39" t="str">
        <f>IF(B219="","",SUMIFS(Cau_noi!$B$5:$B$304,Cau_noi!$A$5:$A$304,B219))</f>
        <v/>
      </c>
      <c r="G219" s="39" t="str">
        <f>IF(B219="","",SUMIFS(Cau_noi!$C$5:$C$304,Cau_noi!$A$5:$A$304,B219))</f>
        <v/>
      </c>
      <c r="H219" s="39" t="str">
        <f>IF(B219="","",SUMIFS(Cau_noi!$D$5:$D$304,Cau_noi!$A$5:$A$304,B219))</f>
        <v/>
      </c>
      <c r="I219" s="39" t="str">
        <f>IF(B219="","",SUMIFS(Cau_noi!$E$5:$E$304,Cau_noi!$A$5:$A$304,B219))</f>
        <v/>
      </c>
      <c r="J219" s="39" t="str">
        <f t="shared" si="13"/>
        <v/>
      </c>
      <c r="K219" s="39" t="str">
        <f>IF(B219="","",SUMIFS(KT_DMTT_ChiTiet!$H$5:$H$1004,KT_DMTT_ChiTiet!$C$5:$C$1004,B219,KT_DMTT_ChiTiet!$N$5:$N$1004,1))</f>
        <v/>
      </c>
      <c r="L219" s="39" t="str">
        <f t="shared" si="14"/>
        <v/>
      </c>
      <c r="M219" s="46" t="str">
        <f t="shared" si="15"/>
        <v/>
      </c>
      <c r="N219" s="35" t="str">
        <f>IF(B219="","",IF(K219=0,IF(J219=0,"Pass",IF(COUNTIFS(BOM!$B$5:$B$1004,B219,BOM!$G$5:$G$1004,"KXDDM")&gt;0,"KXDDM","Xem xét")),IF(ABS(M219)&lt;=ThongTin!$C$11,"Pass","Xem xét")))</f>
        <v/>
      </c>
    </row>
    <row r="220" spans="1:14" x14ac:dyDescent="0.25">
      <c r="A220" s="35" t="str">
        <f t="shared" si="12"/>
        <v/>
      </c>
      <c r="B220" s="35" t="str">
        <f>IF('Mau15'!B226="","",'Mau15'!B226)</f>
        <v/>
      </c>
      <c r="C220" s="35" t="str">
        <f>IF(B220="","",'Mau15'!C226)</f>
        <v/>
      </c>
      <c r="D220" s="35" t="str">
        <f>IF(B220="","",'Mau15'!D226)</f>
        <v/>
      </c>
      <c r="E220" s="39" t="str">
        <f>IF(B220="","",'Mau15'!I226)</f>
        <v/>
      </c>
      <c r="F220" s="39" t="str">
        <f>IF(B220="","",SUMIFS(Cau_noi!$B$5:$B$304,Cau_noi!$A$5:$A$304,B220))</f>
        <v/>
      </c>
      <c r="G220" s="39" t="str">
        <f>IF(B220="","",SUMIFS(Cau_noi!$C$5:$C$304,Cau_noi!$A$5:$A$304,B220))</f>
        <v/>
      </c>
      <c r="H220" s="39" t="str">
        <f>IF(B220="","",SUMIFS(Cau_noi!$D$5:$D$304,Cau_noi!$A$5:$A$304,B220))</f>
        <v/>
      </c>
      <c r="I220" s="39" t="str">
        <f>IF(B220="","",SUMIFS(Cau_noi!$E$5:$E$304,Cau_noi!$A$5:$A$304,B220))</f>
        <v/>
      </c>
      <c r="J220" s="39" t="str">
        <f t="shared" si="13"/>
        <v/>
      </c>
      <c r="K220" s="39" t="str">
        <f>IF(B220="","",SUMIFS(KT_DMTT_ChiTiet!$H$5:$H$1004,KT_DMTT_ChiTiet!$C$5:$C$1004,B220,KT_DMTT_ChiTiet!$N$5:$N$1004,1))</f>
        <v/>
      </c>
      <c r="L220" s="39" t="str">
        <f t="shared" si="14"/>
        <v/>
      </c>
      <c r="M220" s="46" t="str">
        <f t="shared" si="15"/>
        <v/>
      </c>
      <c r="N220" s="35" t="str">
        <f>IF(B220="","",IF(K220=0,IF(J220=0,"Pass",IF(COUNTIFS(BOM!$B$5:$B$1004,B220,BOM!$G$5:$G$1004,"KXDDM")&gt;0,"KXDDM","Xem xét")),IF(ABS(M220)&lt;=ThongTin!$C$11,"Pass","Xem xét")))</f>
        <v/>
      </c>
    </row>
    <row r="221" spans="1:14" x14ac:dyDescent="0.25">
      <c r="A221" s="35" t="str">
        <f t="shared" si="12"/>
        <v/>
      </c>
      <c r="B221" s="35" t="str">
        <f>IF('Mau15'!B227="","",'Mau15'!B227)</f>
        <v/>
      </c>
      <c r="C221" s="35" t="str">
        <f>IF(B221="","",'Mau15'!C227)</f>
        <v/>
      </c>
      <c r="D221" s="35" t="str">
        <f>IF(B221="","",'Mau15'!D227)</f>
        <v/>
      </c>
      <c r="E221" s="39" t="str">
        <f>IF(B221="","",'Mau15'!I227)</f>
        <v/>
      </c>
      <c r="F221" s="39" t="str">
        <f>IF(B221="","",SUMIFS(Cau_noi!$B$5:$B$304,Cau_noi!$A$5:$A$304,B221))</f>
        <v/>
      </c>
      <c r="G221" s="39" t="str">
        <f>IF(B221="","",SUMIFS(Cau_noi!$C$5:$C$304,Cau_noi!$A$5:$A$304,B221))</f>
        <v/>
      </c>
      <c r="H221" s="39" t="str">
        <f>IF(B221="","",SUMIFS(Cau_noi!$D$5:$D$304,Cau_noi!$A$5:$A$304,B221))</f>
        <v/>
      </c>
      <c r="I221" s="39" t="str">
        <f>IF(B221="","",SUMIFS(Cau_noi!$E$5:$E$304,Cau_noi!$A$5:$A$304,B221))</f>
        <v/>
      </c>
      <c r="J221" s="39" t="str">
        <f t="shared" si="13"/>
        <v/>
      </c>
      <c r="K221" s="39" t="str">
        <f>IF(B221="","",SUMIFS(KT_DMTT_ChiTiet!$H$5:$H$1004,KT_DMTT_ChiTiet!$C$5:$C$1004,B221,KT_DMTT_ChiTiet!$N$5:$N$1004,1))</f>
        <v/>
      </c>
      <c r="L221" s="39" t="str">
        <f t="shared" si="14"/>
        <v/>
      </c>
      <c r="M221" s="46" t="str">
        <f t="shared" si="15"/>
        <v/>
      </c>
      <c r="N221" s="35" t="str">
        <f>IF(B221="","",IF(K221=0,IF(J221=0,"Pass",IF(COUNTIFS(BOM!$B$5:$B$1004,B221,BOM!$G$5:$G$1004,"KXDDM")&gt;0,"KXDDM","Xem xét")),IF(ABS(M221)&lt;=ThongTin!$C$11,"Pass","Xem xét")))</f>
        <v/>
      </c>
    </row>
    <row r="222" spans="1:14" x14ac:dyDescent="0.25">
      <c r="A222" s="35" t="str">
        <f t="shared" si="12"/>
        <v/>
      </c>
      <c r="B222" s="35" t="str">
        <f>IF('Mau15'!B228="","",'Mau15'!B228)</f>
        <v/>
      </c>
      <c r="C222" s="35" t="str">
        <f>IF(B222="","",'Mau15'!C228)</f>
        <v/>
      </c>
      <c r="D222" s="35" t="str">
        <f>IF(B222="","",'Mau15'!D228)</f>
        <v/>
      </c>
      <c r="E222" s="39" t="str">
        <f>IF(B222="","",'Mau15'!I228)</f>
        <v/>
      </c>
      <c r="F222" s="39" t="str">
        <f>IF(B222="","",SUMIFS(Cau_noi!$B$5:$B$304,Cau_noi!$A$5:$A$304,B222))</f>
        <v/>
      </c>
      <c r="G222" s="39" t="str">
        <f>IF(B222="","",SUMIFS(Cau_noi!$C$5:$C$304,Cau_noi!$A$5:$A$304,B222))</f>
        <v/>
      </c>
      <c r="H222" s="39" t="str">
        <f>IF(B222="","",SUMIFS(Cau_noi!$D$5:$D$304,Cau_noi!$A$5:$A$304,B222))</f>
        <v/>
      </c>
      <c r="I222" s="39" t="str">
        <f>IF(B222="","",SUMIFS(Cau_noi!$E$5:$E$304,Cau_noi!$A$5:$A$304,B222))</f>
        <v/>
      </c>
      <c r="J222" s="39" t="str">
        <f t="shared" si="13"/>
        <v/>
      </c>
      <c r="K222" s="39" t="str">
        <f>IF(B222="","",SUMIFS(KT_DMTT_ChiTiet!$H$5:$H$1004,KT_DMTT_ChiTiet!$C$5:$C$1004,B222,KT_DMTT_ChiTiet!$N$5:$N$1004,1))</f>
        <v/>
      </c>
      <c r="L222" s="39" t="str">
        <f t="shared" si="14"/>
        <v/>
      </c>
      <c r="M222" s="46" t="str">
        <f t="shared" si="15"/>
        <v/>
      </c>
      <c r="N222" s="35" t="str">
        <f>IF(B222="","",IF(K222=0,IF(J222=0,"Pass",IF(COUNTIFS(BOM!$B$5:$B$1004,B222,BOM!$G$5:$G$1004,"KXDDM")&gt;0,"KXDDM","Xem xét")),IF(ABS(M222)&lt;=ThongTin!$C$11,"Pass","Xem xét")))</f>
        <v/>
      </c>
    </row>
    <row r="223" spans="1:14" x14ac:dyDescent="0.25">
      <c r="A223" s="35" t="str">
        <f t="shared" si="12"/>
        <v/>
      </c>
      <c r="B223" s="35" t="str">
        <f>IF('Mau15'!B229="","",'Mau15'!B229)</f>
        <v/>
      </c>
      <c r="C223" s="35" t="str">
        <f>IF(B223="","",'Mau15'!C229)</f>
        <v/>
      </c>
      <c r="D223" s="35" t="str">
        <f>IF(B223="","",'Mau15'!D229)</f>
        <v/>
      </c>
      <c r="E223" s="39" t="str">
        <f>IF(B223="","",'Mau15'!I229)</f>
        <v/>
      </c>
      <c r="F223" s="39" t="str">
        <f>IF(B223="","",SUMIFS(Cau_noi!$B$5:$B$304,Cau_noi!$A$5:$A$304,B223))</f>
        <v/>
      </c>
      <c r="G223" s="39" t="str">
        <f>IF(B223="","",SUMIFS(Cau_noi!$C$5:$C$304,Cau_noi!$A$5:$A$304,B223))</f>
        <v/>
      </c>
      <c r="H223" s="39" t="str">
        <f>IF(B223="","",SUMIFS(Cau_noi!$D$5:$D$304,Cau_noi!$A$5:$A$304,B223))</f>
        <v/>
      </c>
      <c r="I223" s="39" t="str">
        <f>IF(B223="","",SUMIFS(Cau_noi!$E$5:$E$304,Cau_noi!$A$5:$A$304,B223))</f>
        <v/>
      </c>
      <c r="J223" s="39" t="str">
        <f t="shared" si="13"/>
        <v/>
      </c>
      <c r="K223" s="39" t="str">
        <f>IF(B223="","",SUMIFS(KT_DMTT_ChiTiet!$H$5:$H$1004,KT_DMTT_ChiTiet!$C$5:$C$1004,B223,KT_DMTT_ChiTiet!$N$5:$N$1004,1))</f>
        <v/>
      </c>
      <c r="L223" s="39" t="str">
        <f t="shared" si="14"/>
        <v/>
      </c>
      <c r="M223" s="46" t="str">
        <f t="shared" si="15"/>
        <v/>
      </c>
      <c r="N223" s="35" t="str">
        <f>IF(B223="","",IF(K223=0,IF(J223=0,"Pass",IF(COUNTIFS(BOM!$B$5:$B$1004,B223,BOM!$G$5:$G$1004,"KXDDM")&gt;0,"KXDDM","Xem xét")),IF(ABS(M223)&lt;=ThongTin!$C$11,"Pass","Xem xét")))</f>
        <v/>
      </c>
    </row>
    <row r="224" spans="1:14" x14ac:dyDescent="0.25">
      <c r="A224" s="35" t="str">
        <f t="shared" si="12"/>
        <v/>
      </c>
      <c r="B224" s="35" t="str">
        <f>IF('Mau15'!B230="","",'Mau15'!B230)</f>
        <v/>
      </c>
      <c r="C224" s="35" t="str">
        <f>IF(B224="","",'Mau15'!C230)</f>
        <v/>
      </c>
      <c r="D224" s="35" t="str">
        <f>IF(B224="","",'Mau15'!D230)</f>
        <v/>
      </c>
      <c r="E224" s="39" t="str">
        <f>IF(B224="","",'Mau15'!I230)</f>
        <v/>
      </c>
      <c r="F224" s="39" t="str">
        <f>IF(B224="","",SUMIFS(Cau_noi!$B$5:$B$304,Cau_noi!$A$5:$A$304,B224))</f>
        <v/>
      </c>
      <c r="G224" s="39" t="str">
        <f>IF(B224="","",SUMIFS(Cau_noi!$C$5:$C$304,Cau_noi!$A$5:$A$304,B224))</f>
        <v/>
      </c>
      <c r="H224" s="39" t="str">
        <f>IF(B224="","",SUMIFS(Cau_noi!$D$5:$D$304,Cau_noi!$A$5:$A$304,B224))</f>
        <v/>
      </c>
      <c r="I224" s="39" t="str">
        <f>IF(B224="","",SUMIFS(Cau_noi!$E$5:$E$304,Cau_noi!$A$5:$A$304,B224))</f>
        <v/>
      </c>
      <c r="J224" s="39" t="str">
        <f t="shared" si="13"/>
        <v/>
      </c>
      <c r="K224" s="39" t="str">
        <f>IF(B224="","",SUMIFS(KT_DMTT_ChiTiet!$H$5:$H$1004,KT_DMTT_ChiTiet!$C$5:$C$1004,B224,KT_DMTT_ChiTiet!$N$5:$N$1004,1))</f>
        <v/>
      </c>
      <c r="L224" s="39" t="str">
        <f t="shared" si="14"/>
        <v/>
      </c>
      <c r="M224" s="46" t="str">
        <f t="shared" si="15"/>
        <v/>
      </c>
      <c r="N224" s="35" t="str">
        <f>IF(B224="","",IF(K224=0,IF(J224=0,"Pass",IF(COUNTIFS(BOM!$B$5:$B$1004,B224,BOM!$G$5:$G$1004,"KXDDM")&gt;0,"KXDDM","Xem xét")),IF(ABS(M224)&lt;=ThongTin!$C$11,"Pass","Xem xét")))</f>
        <v/>
      </c>
    </row>
    <row r="225" spans="1:14" x14ac:dyDescent="0.25">
      <c r="A225" s="35" t="str">
        <f t="shared" si="12"/>
        <v/>
      </c>
      <c r="B225" s="35" t="str">
        <f>IF('Mau15'!B231="","",'Mau15'!B231)</f>
        <v/>
      </c>
      <c r="C225" s="35" t="str">
        <f>IF(B225="","",'Mau15'!C231)</f>
        <v/>
      </c>
      <c r="D225" s="35" t="str">
        <f>IF(B225="","",'Mau15'!D231)</f>
        <v/>
      </c>
      <c r="E225" s="39" t="str">
        <f>IF(B225="","",'Mau15'!I231)</f>
        <v/>
      </c>
      <c r="F225" s="39" t="str">
        <f>IF(B225="","",SUMIFS(Cau_noi!$B$5:$B$304,Cau_noi!$A$5:$A$304,B225))</f>
        <v/>
      </c>
      <c r="G225" s="39" t="str">
        <f>IF(B225="","",SUMIFS(Cau_noi!$C$5:$C$304,Cau_noi!$A$5:$A$304,B225))</f>
        <v/>
      </c>
      <c r="H225" s="39" t="str">
        <f>IF(B225="","",SUMIFS(Cau_noi!$D$5:$D$304,Cau_noi!$A$5:$A$304,B225))</f>
        <v/>
      </c>
      <c r="I225" s="39" t="str">
        <f>IF(B225="","",SUMIFS(Cau_noi!$E$5:$E$304,Cau_noi!$A$5:$A$304,B225))</f>
        <v/>
      </c>
      <c r="J225" s="39" t="str">
        <f t="shared" si="13"/>
        <v/>
      </c>
      <c r="K225" s="39" t="str">
        <f>IF(B225="","",SUMIFS(KT_DMTT_ChiTiet!$H$5:$H$1004,KT_DMTT_ChiTiet!$C$5:$C$1004,B225,KT_DMTT_ChiTiet!$N$5:$N$1004,1))</f>
        <v/>
      </c>
      <c r="L225" s="39" t="str">
        <f t="shared" si="14"/>
        <v/>
      </c>
      <c r="M225" s="46" t="str">
        <f t="shared" si="15"/>
        <v/>
      </c>
      <c r="N225" s="35" t="str">
        <f>IF(B225="","",IF(K225=0,IF(J225=0,"Pass",IF(COUNTIFS(BOM!$B$5:$B$1004,B225,BOM!$G$5:$G$1004,"KXDDM")&gt;0,"KXDDM","Xem xét")),IF(ABS(M225)&lt;=ThongTin!$C$11,"Pass","Xem xét")))</f>
        <v/>
      </c>
    </row>
    <row r="226" spans="1:14" x14ac:dyDescent="0.25">
      <c r="A226" s="35" t="str">
        <f t="shared" si="12"/>
        <v/>
      </c>
      <c r="B226" s="35" t="str">
        <f>IF('Mau15'!B232="","",'Mau15'!B232)</f>
        <v/>
      </c>
      <c r="C226" s="35" t="str">
        <f>IF(B226="","",'Mau15'!C232)</f>
        <v/>
      </c>
      <c r="D226" s="35" t="str">
        <f>IF(B226="","",'Mau15'!D232)</f>
        <v/>
      </c>
      <c r="E226" s="39" t="str">
        <f>IF(B226="","",'Mau15'!I232)</f>
        <v/>
      </c>
      <c r="F226" s="39" t="str">
        <f>IF(B226="","",SUMIFS(Cau_noi!$B$5:$B$304,Cau_noi!$A$5:$A$304,B226))</f>
        <v/>
      </c>
      <c r="G226" s="39" t="str">
        <f>IF(B226="","",SUMIFS(Cau_noi!$C$5:$C$304,Cau_noi!$A$5:$A$304,B226))</f>
        <v/>
      </c>
      <c r="H226" s="39" t="str">
        <f>IF(B226="","",SUMIFS(Cau_noi!$D$5:$D$304,Cau_noi!$A$5:$A$304,B226))</f>
        <v/>
      </c>
      <c r="I226" s="39" t="str">
        <f>IF(B226="","",SUMIFS(Cau_noi!$E$5:$E$304,Cau_noi!$A$5:$A$304,B226))</f>
        <v/>
      </c>
      <c r="J226" s="39" t="str">
        <f t="shared" si="13"/>
        <v/>
      </c>
      <c r="K226" s="39" t="str">
        <f>IF(B226="","",SUMIFS(KT_DMTT_ChiTiet!$H$5:$H$1004,KT_DMTT_ChiTiet!$C$5:$C$1004,B226,KT_DMTT_ChiTiet!$N$5:$N$1004,1))</f>
        <v/>
      </c>
      <c r="L226" s="39" t="str">
        <f t="shared" si="14"/>
        <v/>
      </c>
      <c r="M226" s="46" t="str">
        <f t="shared" si="15"/>
        <v/>
      </c>
      <c r="N226" s="35" t="str">
        <f>IF(B226="","",IF(K226=0,IF(J226=0,"Pass",IF(COUNTIFS(BOM!$B$5:$B$1004,B226,BOM!$G$5:$G$1004,"KXDDM")&gt;0,"KXDDM","Xem xét")),IF(ABS(M226)&lt;=ThongTin!$C$11,"Pass","Xem xét")))</f>
        <v/>
      </c>
    </row>
    <row r="227" spans="1:14" x14ac:dyDescent="0.25">
      <c r="A227" s="35" t="str">
        <f t="shared" si="12"/>
        <v/>
      </c>
      <c r="B227" s="35" t="str">
        <f>IF('Mau15'!B233="","",'Mau15'!B233)</f>
        <v/>
      </c>
      <c r="C227" s="35" t="str">
        <f>IF(B227="","",'Mau15'!C233)</f>
        <v/>
      </c>
      <c r="D227" s="35" t="str">
        <f>IF(B227="","",'Mau15'!D233)</f>
        <v/>
      </c>
      <c r="E227" s="39" t="str">
        <f>IF(B227="","",'Mau15'!I233)</f>
        <v/>
      </c>
      <c r="F227" s="39" t="str">
        <f>IF(B227="","",SUMIFS(Cau_noi!$B$5:$B$304,Cau_noi!$A$5:$A$304,B227))</f>
        <v/>
      </c>
      <c r="G227" s="39" t="str">
        <f>IF(B227="","",SUMIFS(Cau_noi!$C$5:$C$304,Cau_noi!$A$5:$A$304,B227))</f>
        <v/>
      </c>
      <c r="H227" s="39" t="str">
        <f>IF(B227="","",SUMIFS(Cau_noi!$D$5:$D$304,Cau_noi!$A$5:$A$304,B227))</f>
        <v/>
      </c>
      <c r="I227" s="39" t="str">
        <f>IF(B227="","",SUMIFS(Cau_noi!$E$5:$E$304,Cau_noi!$A$5:$A$304,B227))</f>
        <v/>
      </c>
      <c r="J227" s="39" t="str">
        <f t="shared" si="13"/>
        <v/>
      </c>
      <c r="K227" s="39" t="str">
        <f>IF(B227="","",SUMIFS(KT_DMTT_ChiTiet!$H$5:$H$1004,KT_DMTT_ChiTiet!$C$5:$C$1004,B227,KT_DMTT_ChiTiet!$N$5:$N$1004,1))</f>
        <v/>
      </c>
      <c r="L227" s="39" t="str">
        <f t="shared" si="14"/>
        <v/>
      </c>
      <c r="M227" s="46" t="str">
        <f t="shared" si="15"/>
        <v/>
      </c>
      <c r="N227" s="35" t="str">
        <f>IF(B227="","",IF(K227=0,IF(J227=0,"Pass",IF(COUNTIFS(BOM!$B$5:$B$1004,B227,BOM!$G$5:$G$1004,"KXDDM")&gt;0,"KXDDM","Xem xét")),IF(ABS(M227)&lt;=ThongTin!$C$11,"Pass","Xem xét")))</f>
        <v/>
      </c>
    </row>
    <row r="228" spans="1:14" x14ac:dyDescent="0.25">
      <c r="A228" s="35" t="str">
        <f t="shared" si="12"/>
        <v/>
      </c>
      <c r="B228" s="35" t="str">
        <f>IF('Mau15'!B234="","",'Mau15'!B234)</f>
        <v/>
      </c>
      <c r="C228" s="35" t="str">
        <f>IF(B228="","",'Mau15'!C234)</f>
        <v/>
      </c>
      <c r="D228" s="35" t="str">
        <f>IF(B228="","",'Mau15'!D234)</f>
        <v/>
      </c>
      <c r="E228" s="39" t="str">
        <f>IF(B228="","",'Mau15'!I234)</f>
        <v/>
      </c>
      <c r="F228" s="39" t="str">
        <f>IF(B228="","",SUMIFS(Cau_noi!$B$5:$B$304,Cau_noi!$A$5:$A$304,B228))</f>
        <v/>
      </c>
      <c r="G228" s="39" t="str">
        <f>IF(B228="","",SUMIFS(Cau_noi!$C$5:$C$304,Cau_noi!$A$5:$A$304,B228))</f>
        <v/>
      </c>
      <c r="H228" s="39" t="str">
        <f>IF(B228="","",SUMIFS(Cau_noi!$D$5:$D$304,Cau_noi!$A$5:$A$304,B228))</f>
        <v/>
      </c>
      <c r="I228" s="39" t="str">
        <f>IF(B228="","",SUMIFS(Cau_noi!$E$5:$E$304,Cau_noi!$A$5:$A$304,B228))</f>
        <v/>
      </c>
      <c r="J228" s="39" t="str">
        <f t="shared" si="13"/>
        <v/>
      </c>
      <c r="K228" s="39" t="str">
        <f>IF(B228="","",SUMIFS(KT_DMTT_ChiTiet!$H$5:$H$1004,KT_DMTT_ChiTiet!$C$5:$C$1004,B228,KT_DMTT_ChiTiet!$N$5:$N$1004,1))</f>
        <v/>
      </c>
      <c r="L228" s="39" t="str">
        <f t="shared" si="14"/>
        <v/>
      </c>
      <c r="M228" s="46" t="str">
        <f t="shared" si="15"/>
        <v/>
      </c>
      <c r="N228" s="35" t="str">
        <f>IF(B228="","",IF(K228=0,IF(J228=0,"Pass",IF(COUNTIFS(BOM!$B$5:$B$1004,B228,BOM!$G$5:$G$1004,"KXDDM")&gt;0,"KXDDM","Xem xét")),IF(ABS(M228)&lt;=ThongTin!$C$11,"Pass","Xem xét")))</f>
        <v/>
      </c>
    </row>
    <row r="229" spans="1:14" x14ac:dyDescent="0.25">
      <c r="A229" s="35" t="str">
        <f t="shared" si="12"/>
        <v/>
      </c>
      <c r="B229" s="35" t="str">
        <f>IF('Mau15'!B235="","",'Mau15'!B235)</f>
        <v/>
      </c>
      <c r="C229" s="35" t="str">
        <f>IF(B229="","",'Mau15'!C235)</f>
        <v/>
      </c>
      <c r="D229" s="35" t="str">
        <f>IF(B229="","",'Mau15'!D235)</f>
        <v/>
      </c>
      <c r="E229" s="39" t="str">
        <f>IF(B229="","",'Mau15'!I235)</f>
        <v/>
      </c>
      <c r="F229" s="39" t="str">
        <f>IF(B229="","",SUMIFS(Cau_noi!$B$5:$B$304,Cau_noi!$A$5:$A$304,B229))</f>
        <v/>
      </c>
      <c r="G229" s="39" t="str">
        <f>IF(B229="","",SUMIFS(Cau_noi!$C$5:$C$304,Cau_noi!$A$5:$A$304,B229))</f>
        <v/>
      </c>
      <c r="H229" s="39" t="str">
        <f>IF(B229="","",SUMIFS(Cau_noi!$D$5:$D$304,Cau_noi!$A$5:$A$304,B229))</f>
        <v/>
      </c>
      <c r="I229" s="39" t="str">
        <f>IF(B229="","",SUMIFS(Cau_noi!$E$5:$E$304,Cau_noi!$A$5:$A$304,B229))</f>
        <v/>
      </c>
      <c r="J229" s="39" t="str">
        <f t="shared" si="13"/>
        <v/>
      </c>
      <c r="K229" s="39" t="str">
        <f>IF(B229="","",SUMIFS(KT_DMTT_ChiTiet!$H$5:$H$1004,KT_DMTT_ChiTiet!$C$5:$C$1004,B229,KT_DMTT_ChiTiet!$N$5:$N$1004,1))</f>
        <v/>
      </c>
      <c r="L229" s="39" t="str">
        <f t="shared" si="14"/>
        <v/>
      </c>
      <c r="M229" s="46" t="str">
        <f t="shared" si="15"/>
        <v/>
      </c>
      <c r="N229" s="35" t="str">
        <f>IF(B229="","",IF(K229=0,IF(J229=0,"Pass",IF(COUNTIFS(BOM!$B$5:$B$1004,B229,BOM!$G$5:$G$1004,"KXDDM")&gt;0,"KXDDM","Xem xét")),IF(ABS(M229)&lt;=ThongTin!$C$11,"Pass","Xem xét")))</f>
        <v/>
      </c>
    </row>
    <row r="230" spans="1:14" x14ac:dyDescent="0.25">
      <c r="A230" s="35" t="str">
        <f t="shared" si="12"/>
        <v/>
      </c>
      <c r="B230" s="35" t="str">
        <f>IF('Mau15'!B236="","",'Mau15'!B236)</f>
        <v/>
      </c>
      <c r="C230" s="35" t="str">
        <f>IF(B230="","",'Mau15'!C236)</f>
        <v/>
      </c>
      <c r="D230" s="35" t="str">
        <f>IF(B230="","",'Mau15'!D236)</f>
        <v/>
      </c>
      <c r="E230" s="39" t="str">
        <f>IF(B230="","",'Mau15'!I236)</f>
        <v/>
      </c>
      <c r="F230" s="39" t="str">
        <f>IF(B230="","",SUMIFS(Cau_noi!$B$5:$B$304,Cau_noi!$A$5:$A$304,B230))</f>
        <v/>
      </c>
      <c r="G230" s="39" t="str">
        <f>IF(B230="","",SUMIFS(Cau_noi!$C$5:$C$304,Cau_noi!$A$5:$A$304,B230))</f>
        <v/>
      </c>
      <c r="H230" s="39" t="str">
        <f>IF(B230="","",SUMIFS(Cau_noi!$D$5:$D$304,Cau_noi!$A$5:$A$304,B230))</f>
        <v/>
      </c>
      <c r="I230" s="39" t="str">
        <f>IF(B230="","",SUMIFS(Cau_noi!$E$5:$E$304,Cau_noi!$A$5:$A$304,B230))</f>
        <v/>
      </c>
      <c r="J230" s="39" t="str">
        <f t="shared" si="13"/>
        <v/>
      </c>
      <c r="K230" s="39" t="str">
        <f>IF(B230="","",SUMIFS(KT_DMTT_ChiTiet!$H$5:$H$1004,KT_DMTT_ChiTiet!$C$5:$C$1004,B230,KT_DMTT_ChiTiet!$N$5:$N$1004,1))</f>
        <v/>
      </c>
      <c r="L230" s="39" t="str">
        <f t="shared" si="14"/>
        <v/>
      </c>
      <c r="M230" s="46" t="str">
        <f t="shared" si="15"/>
        <v/>
      </c>
      <c r="N230" s="35" t="str">
        <f>IF(B230="","",IF(K230=0,IF(J230=0,"Pass",IF(COUNTIFS(BOM!$B$5:$B$1004,B230,BOM!$G$5:$G$1004,"KXDDM")&gt;0,"KXDDM","Xem xét")),IF(ABS(M230)&lt;=ThongTin!$C$11,"Pass","Xem xét")))</f>
        <v/>
      </c>
    </row>
    <row r="231" spans="1:14" x14ac:dyDescent="0.25">
      <c r="A231" s="35" t="str">
        <f t="shared" si="12"/>
        <v/>
      </c>
      <c r="B231" s="35" t="str">
        <f>IF('Mau15'!B237="","",'Mau15'!B237)</f>
        <v/>
      </c>
      <c r="C231" s="35" t="str">
        <f>IF(B231="","",'Mau15'!C237)</f>
        <v/>
      </c>
      <c r="D231" s="35" t="str">
        <f>IF(B231="","",'Mau15'!D237)</f>
        <v/>
      </c>
      <c r="E231" s="39" t="str">
        <f>IF(B231="","",'Mau15'!I237)</f>
        <v/>
      </c>
      <c r="F231" s="39" t="str">
        <f>IF(B231="","",SUMIFS(Cau_noi!$B$5:$B$304,Cau_noi!$A$5:$A$304,B231))</f>
        <v/>
      </c>
      <c r="G231" s="39" t="str">
        <f>IF(B231="","",SUMIFS(Cau_noi!$C$5:$C$304,Cau_noi!$A$5:$A$304,B231))</f>
        <v/>
      </c>
      <c r="H231" s="39" t="str">
        <f>IF(B231="","",SUMIFS(Cau_noi!$D$5:$D$304,Cau_noi!$A$5:$A$304,B231))</f>
        <v/>
      </c>
      <c r="I231" s="39" t="str">
        <f>IF(B231="","",SUMIFS(Cau_noi!$E$5:$E$304,Cau_noi!$A$5:$A$304,B231))</f>
        <v/>
      </c>
      <c r="J231" s="39" t="str">
        <f t="shared" si="13"/>
        <v/>
      </c>
      <c r="K231" s="39" t="str">
        <f>IF(B231="","",SUMIFS(KT_DMTT_ChiTiet!$H$5:$H$1004,KT_DMTT_ChiTiet!$C$5:$C$1004,B231,KT_DMTT_ChiTiet!$N$5:$N$1004,1))</f>
        <v/>
      </c>
      <c r="L231" s="39" t="str">
        <f t="shared" si="14"/>
        <v/>
      </c>
      <c r="M231" s="46" t="str">
        <f t="shared" si="15"/>
        <v/>
      </c>
      <c r="N231" s="35" t="str">
        <f>IF(B231="","",IF(K231=0,IF(J231=0,"Pass",IF(COUNTIFS(BOM!$B$5:$B$1004,B231,BOM!$G$5:$G$1004,"KXDDM")&gt;0,"KXDDM","Xem xét")),IF(ABS(M231)&lt;=ThongTin!$C$11,"Pass","Xem xét")))</f>
        <v/>
      </c>
    </row>
    <row r="232" spans="1:14" x14ac:dyDescent="0.25">
      <c r="A232" s="35" t="str">
        <f t="shared" si="12"/>
        <v/>
      </c>
      <c r="B232" s="35" t="str">
        <f>IF('Mau15'!B238="","",'Mau15'!B238)</f>
        <v/>
      </c>
      <c r="C232" s="35" t="str">
        <f>IF(B232="","",'Mau15'!C238)</f>
        <v/>
      </c>
      <c r="D232" s="35" t="str">
        <f>IF(B232="","",'Mau15'!D238)</f>
        <v/>
      </c>
      <c r="E232" s="39" t="str">
        <f>IF(B232="","",'Mau15'!I238)</f>
        <v/>
      </c>
      <c r="F232" s="39" t="str">
        <f>IF(B232="","",SUMIFS(Cau_noi!$B$5:$B$304,Cau_noi!$A$5:$A$304,B232))</f>
        <v/>
      </c>
      <c r="G232" s="39" t="str">
        <f>IF(B232="","",SUMIFS(Cau_noi!$C$5:$C$304,Cau_noi!$A$5:$A$304,B232))</f>
        <v/>
      </c>
      <c r="H232" s="39" t="str">
        <f>IF(B232="","",SUMIFS(Cau_noi!$D$5:$D$304,Cau_noi!$A$5:$A$304,B232))</f>
        <v/>
      </c>
      <c r="I232" s="39" t="str">
        <f>IF(B232="","",SUMIFS(Cau_noi!$E$5:$E$304,Cau_noi!$A$5:$A$304,B232))</f>
        <v/>
      </c>
      <c r="J232" s="39" t="str">
        <f t="shared" si="13"/>
        <v/>
      </c>
      <c r="K232" s="39" t="str">
        <f>IF(B232="","",SUMIFS(KT_DMTT_ChiTiet!$H$5:$H$1004,KT_DMTT_ChiTiet!$C$5:$C$1004,B232,KT_DMTT_ChiTiet!$N$5:$N$1004,1))</f>
        <v/>
      </c>
      <c r="L232" s="39" t="str">
        <f t="shared" si="14"/>
        <v/>
      </c>
      <c r="M232" s="46" t="str">
        <f t="shared" si="15"/>
        <v/>
      </c>
      <c r="N232" s="35" t="str">
        <f>IF(B232="","",IF(K232=0,IF(J232=0,"Pass",IF(COUNTIFS(BOM!$B$5:$B$1004,B232,BOM!$G$5:$G$1004,"KXDDM")&gt;0,"KXDDM","Xem xét")),IF(ABS(M232)&lt;=ThongTin!$C$11,"Pass","Xem xét")))</f>
        <v/>
      </c>
    </row>
    <row r="233" spans="1:14" x14ac:dyDescent="0.25">
      <c r="A233" s="35" t="str">
        <f t="shared" si="12"/>
        <v/>
      </c>
      <c r="B233" s="35" t="str">
        <f>IF('Mau15'!B239="","",'Mau15'!B239)</f>
        <v/>
      </c>
      <c r="C233" s="35" t="str">
        <f>IF(B233="","",'Mau15'!C239)</f>
        <v/>
      </c>
      <c r="D233" s="35" t="str">
        <f>IF(B233="","",'Mau15'!D239)</f>
        <v/>
      </c>
      <c r="E233" s="39" t="str">
        <f>IF(B233="","",'Mau15'!I239)</f>
        <v/>
      </c>
      <c r="F233" s="39" t="str">
        <f>IF(B233="","",SUMIFS(Cau_noi!$B$5:$B$304,Cau_noi!$A$5:$A$304,B233))</f>
        <v/>
      </c>
      <c r="G233" s="39" t="str">
        <f>IF(B233="","",SUMIFS(Cau_noi!$C$5:$C$304,Cau_noi!$A$5:$A$304,B233))</f>
        <v/>
      </c>
      <c r="H233" s="39" t="str">
        <f>IF(B233="","",SUMIFS(Cau_noi!$D$5:$D$304,Cau_noi!$A$5:$A$304,B233))</f>
        <v/>
      </c>
      <c r="I233" s="39" t="str">
        <f>IF(B233="","",SUMIFS(Cau_noi!$E$5:$E$304,Cau_noi!$A$5:$A$304,B233))</f>
        <v/>
      </c>
      <c r="J233" s="39" t="str">
        <f t="shared" si="13"/>
        <v/>
      </c>
      <c r="K233" s="39" t="str">
        <f>IF(B233="","",SUMIFS(KT_DMTT_ChiTiet!$H$5:$H$1004,KT_DMTT_ChiTiet!$C$5:$C$1004,B233,KT_DMTT_ChiTiet!$N$5:$N$1004,1))</f>
        <v/>
      </c>
      <c r="L233" s="39" t="str">
        <f t="shared" si="14"/>
        <v/>
      </c>
      <c r="M233" s="46" t="str">
        <f t="shared" si="15"/>
        <v/>
      </c>
      <c r="N233" s="35" t="str">
        <f>IF(B233="","",IF(K233=0,IF(J233=0,"Pass",IF(COUNTIFS(BOM!$B$5:$B$1004,B233,BOM!$G$5:$G$1004,"KXDDM")&gt;0,"KXDDM","Xem xét")),IF(ABS(M233)&lt;=ThongTin!$C$11,"Pass","Xem xét")))</f>
        <v/>
      </c>
    </row>
    <row r="234" spans="1:14" x14ac:dyDescent="0.25">
      <c r="A234" s="35" t="str">
        <f t="shared" si="12"/>
        <v/>
      </c>
      <c r="B234" s="35" t="str">
        <f>IF('Mau15'!B240="","",'Mau15'!B240)</f>
        <v/>
      </c>
      <c r="C234" s="35" t="str">
        <f>IF(B234="","",'Mau15'!C240)</f>
        <v/>
      </c>
      <c r="D234" s="35" t="str">
        <f>IF(B234="","",'Mau15'!D240)</f>
        <v/>
      </c>
      <c r="E234" s="39" t="str">
        <f>IF(B234="","",'Mau15'!I240)</f>
        <v/>
      </c>
      <c r="F234" s="39" t="str">
        <f>IF(B234="","",SUMIFS(Cau_noi!$B$5:$B$304,Cau_noi!$A$5:$A$304,B234))</f>
        <v/>
      </c>
      <c r="G234" s="39" t="str">
        <f>IF(B234="","",SUMIFS(Cau_noi!$C$5:$C$304,Cau_noi!$A$5:$A$304,B234))</f>
        <v/>
      </c>
      <c r="H234" s="39" t="str">
        <f>IF(B234="","",SUMIFS(Cau_noi!$D$5:$D$304,Cau_noi!$A$5:$A$304,B234))</f>
        <v/>
      </c>
      <c r="I234" s="39" t="str">
        <f>IF(B234="","",SUMIFS(Cau_noi!$E$5:$E$304,Cau_noi!$A$5:$A$304,B234))</f>
        <v/>
      </c>
      <c r="J234" s="39" t="str">
        <f t="shared" si="13"/>
        <v/>
      </c>
      <c r="K234" s="39" t="str">
        <f>IF(B234="","",SUMIFS(KT_DMTT_ChiTiet!$H$5:$H$1004,KT_DMTT_ChiTiet!$C$5:$C$1004,B234,KT_DMTT_ChiTiet!$N$5:$N$1004,1))</f>
        <v/>
      </c>
      <c r="L234" s="39" t="str">
        <f t="shared" si="14"/>
        <v/>
      </c>
      <c r="M234" s="46" t="str">
        <f t="shared" si="15"/>
        <v/>
      </c>
      <c r="N234" s="35" t="str">
        <f>IF(B234="","",IF(K234=0,IF(J234=0,"Pass",IF(COUNTIFS(BOM!$B$5:$B$1004,B234,BOM!$G$5:$G$1004,"KXDDM")&gt;0,"KXDDM","Xem xét")),IF(ABS(M234)&lt;=ThongTin!$C$11,"Pass","Xem xét")))</f>
        <v/>
      </c>
    </row>
    <row r="235" spans="1:14" x14ac:dyDescent="0.25">
      <c r="A235" s="35" t="str">
        <f t="shared" si="12"/>
        <v/>
      </c>
      <c r="B235" s="35" t="str">
        <f>IF('Mau15'!B241="","",'Mau15'!B241)</f>
        <v/>
      </c>
      <c r="C235" s="35" t="str">
        <f>IF(B235="","",'Mau15'!C241)</f>
        <v/>
      </c>
      <c r="D235" s="35" t="str">
        <f>IF(B235="","",'Mau15'!D241)</f>
        <v/>
      </c>
      <c r="E235" s="39" t="str">
        <f>IF(B235="","",'Mau15'!I241)</f>
        <v/>
      </c>
      <c r="F235" s="39" t="str">
        <f>IF(B235="","",SUMIFS(Cau_noi!$B$5:$B$304,Cau_noi!$A$5:$A$304,B235))</f>
        <v/>
      </c>
      <c r="G235" s="39" t="str">
        <f>IF(B235="","",SUMIFS(Cau_noi!$C$5:$C$304,Cau_noi!$A$5:$A$304,B235))</f>
        <v/>
      </c>
      <c r="H235" s="39" t="str">
        <f>IF(B235="","",SUMIFS(Cau_noi!$D$5:$D$304,Cau_noi!$A$5:$A$304,B235))</f>
        <v/>
      </c>
      <c r="I235" s="39" t="str">
        <f>IF(B235="","",SUMIFS(Cau_noi!$E$5:$E$304,Cau_noi!$A$5:$A$304,B235))</f>
        <v/>
      </c>
      <c r="J235" s="39" t="str">
        <f t="shared" si="13"/>
        <v/>
      </c>
      <c r="K235" s="39" t="str">
        <f>IF(B235="","",SUMIFS(KT_DMTT_ChiTiet!$H$5:$H$1004,KT_DMTT_ChiTiet!$C$5:$C$1004,B235,KT_DMTT_ChiTiet!$N$5:$N$1004,1))</f>
        <v/>
      </c>
      <c r="L235" s="39" t="str">
        <f t="shared" si="14"/>
        <v/>
      </c>
      <c r="M235" s="46" t="str">
        <f t="shared" si="15"/>
        <v/>
      </c>
      <c r="N235" s="35" t="str">
        <f>IF(B235="","",IF(K235=0,IF(J235=0,"Pass",IF(COUNTIFS(BOM!$B$5:$B$1004,B235,BOM!$G$5:$G$1004,"KXDDM")&gt;0,"KXDDM","Xem xét")),IF(ABS(M235)&lt;=ThongTin!$C$11,"Pass","Xem xét")))</f>
        <v/>
      </c>
    </row>
    <row r="236" spans="1:14" x14ac:dyDescent="0.25">
      <c r="A236" s="35" t="str">
        <f t="shared" si="12"/>
        <v/>
      </c>
      <c r="B236" s="35" t="str">
        <f>IF('Mau15'!B242="","",'Mau15'!B242)</f>
        <v/>
      </c>
      <c r="C236" s="35" t="str">
        <f>IF(B236="","",'Mau15'!C242)</f>
        <v/>
      </c>
      <c r="D236" s="35" t="str">
        <f>IF(B236="","",'Mau15'!D242)</f>
        <v/>
      </c>
      <c r="E236" s="39" t="str">
        <f>IF(B236="","",'Mau15'!I242)</f>
        <v/>
      </c>
      <c r="F236" s="39" t="str">
        <f>IF(B236="","",SUMIFS(Cau_noi!$B$5:$B$304,Cau_noi!$A$5:$A$304,B236))</f>
        <v/>
      </c>
      <c r="G236" s="39" t="str">
        <f>IF(B236="","",SUMIFS(Cau_noi!$C$5:$C$304,Cau_noi!$A$5:$A$304,B236))</f>
        <v/>
      </c>
      <c r="H236" s="39" t="str">
        <f>IF(B236="","",SUMIFS(Cau_noi!$D$5:$D$304,Cau_noi!$A$5:$A$304,B236))</f>
        <v/>
      </c>
      <c r="I236" s="39" t="str">
        <f>IF(B236="","",SUMIFS(Cau_noi!$E$5:$E$304,Cau_noi!$A$5:$A$304,B236))</f>
        <v/>
      </c>
      <c r="J236" s="39" t="str">
        <f t="shared" si="13"/>
        <v/>
      </c>
      <c r="K236" s="39" t="str">
        <f>IF(B236="","",SUMIFS(KT_DMTT_ChiTiet!$H$5:$H$1004,KT_DMTT_ChiTiet!$C$5:$C$1004,B236,KT_DMTT_ChiTiet!$N$5:$N$1004,1))</f>
        <v/>
      </c>
      <c r="L236" s="39" t="str">
        <f t="shared" si="14"/>
        <v/>
      </c>
      <c r="M236" s="46" t="str">
        <f t="shared" si="15"/>
        <v/>
      </c>
      <c r="N236" s="35" t="str">
        <f>IF(B236="","",IF(K236=0,IF(J236=0,"Pass",IF(COUNTIFS(BOM!$B$5:$B$1004,B236,BOM!$G$5:$G$1004,"KXDDM")&gt;0,"KXDDM","Xem xét")),IF(ABS(M236)&lt;=ThongTin!$C$11,"Pass","Xem xét")))</f>
        <v/>
      </c>
    </row>
    <row r="237" spans="1:14" x14ac:dyDescent="0.25">
      <c r="A237" s="35" t="str">
        <f t="shared" si="12"/>
        <v/>
      </c>
      <c r="B237" s="35" t="str">
        <f>IF('Mau15'!B243="","",'Mau15'!B243)</f>
        <v/>
      </c>
      <c r="C237" s="35" t="str">
        <f>IF(B237="","",'Mau15'!C243)</f>
        <v/>
      </c>
      <c r="D237" s="35" t="str">
        <f>IF(B237="","",'Mau15'!D243)</f>
        <v/>
      </c>
      <c r="E237" s="39" t="str">
        <f>IF(B237="","",'Mau15'!I243)</f>
        <v/>
      </c>
      <c r="F237" s="39" t="str">
        <f>IF(B237="","",SUMIFS(Cau_noi!$B$5:$B$304,Cau_noi!$A$5:$A$304,B237))</f>
        <v/>
      </c>
      <c r="G237" s="39" t="str">
        <f>IF(B237="","",SUMIFS(Cau_noi!$C$5:$C$304,Cau_noi!$A$5:$A$304,B237))</f>
        <v/>
      </c>
      <c r="H237" s="39" t="str">
        <f>IF(B237="","",SUMIFS(Cau_noi!$D$5:$D$304,Cau_noi!$A$5:$A$304,B237))</f>
        <v/>
      </c>
      <c r="I237" s="39" t="str">
        <f>IF(B237="","",SUMIFS(Cau_noi!$E$5:$E$304,Cau_noi!$A$5:$A$304,B237))</f>
        <v/>
      </c>
      <c r="J237" s="39" t="str">
        <f t="shared" si="13"/>
        <v/>
      </c>
      <c r="K237" s="39" t="str">
        <f>IF(B237="","",SUMIFS(KT_DMTT_ChiTiet!$H$5:$H$1004,KT_DMTT_ChiTiet!$C$5:$C$1004,B237,KT_DMTT_ChiTiet!$N$5:$N$1004,1))</f>
        <v/>
      </c>
      <c r="L237" s="39" t="str">
        <f t="shared" si="14"/>
        <v/>
      </c>
      <c r="M237" s="46" t="str">
        <f t="shared" si="15"/>
        <v/>
      </c>
      <c r="N237" s="35" t="str">
        <f>IF(B237="","",IF(K237=0,IF(J237=0,"Pass",IF(COUNTIFS(BOM!$B$5:$B$1004,B237,BOM!$G$5:$G$1004,"KXDDM")&gt;0,"KXDDM","Xem xét")),IF(ABS(M237)&lt;=ThongTin!$C$11,"Pass","Xem xét")))</f>
        <v/>
      </c>
    </row>
    <row r="238" spans="1:14" x14ac:dyDescent="0.25">
      <c r="A238" s="35" t="str">
        <f t="shared" si="12"/>
        <v/>
      </c>
      <c r="B238" s="35" t="str">
        <f>IF('Mau15'!B244="","",'Mau15'!B244)</f>
        <v/>
      </c>
      <c r="C238" s="35" t="str">
        <f>IF(B238="","",'Mau15'!C244)</f>
        <v/>
      </c>
      <c r="D238" s="35" t="str">
        <f>IF(B238="","",'Mau15'!D244)</f>
        <v/>
      </c>
      <c r="E238" s="39" t="str">
        <f>IF(B238="","",'Mau15'!I244)</f>
        <v/>
      </c>
      <c r="F238" s="39" t="str">
        <f>IF(B238="","",SUMIFS(Cau_noi!$B$5:$B$304,Cau_noi!$A$5:$A$304,B238))</f>
        <v/>
      </c>
      <c r="G238" s="39" t="str">
        <f>IF(B238="","",SUMIFS(Cau_noi!$C$5:$C$304,Cau_noi!$A$5:$A$304,B238))</f>
        <v/>
      </c>
      <c r="H238" s="39" t="str">
        <f>IF(B238="","",SUMIFS(Cau_noi!$D$5:$D$304,Cau_noi!$A$5:$A$304,B238))</f>
        <v/>
      </c>
      <c r="I238" s="39" t="str">
        <f>IF(B238="","",SUMIFS(Cau_noi!$E$5:$E$304,Cau_noi!$A$5:$A$304,B238))</f>
        <v/>
      </c>
      <c r="J238" s="39" t="str">
        <f t="shared" si="13"/>
        <v/>
      </c>
      <c r="K238" s="39" t="str">
        <f>IF(B238="","",SUMIFS(KT_DMTT_ChiTiet!$H$5:$H$1004,KT_DMTT_ChiTiet!$C$5:$C$1004,B238,KT_DMTT_ChiTiet!$N$5:$N$1004,1))</f>
        <v/>
      </c>
      <c r="L238" s="39" t="str">
        <f t="shared" si="14"/>
        <v/>
      </c>
      <c r="M238" s="46" t="str">
        <f t="shared" si="15"/>
        <v/>
      </c>
      <c r="N238" s="35" t="str">
        <f>IF(B238="","",IF(K238=0,IF(J238=0,"Pass",IF(COUNTIFS(BOM!$B$5:$B$1004,B238,BOM!$G$5:$G$1004,"KXDDM")&gt;0,"KXDDM","Xem xét")),IF(ABS(M238)&lt;=ThongTin!$C$11,"Pass","Xem xét")))</f>
        <v/>
      </c>
    </row>
    <row r="239" spans="1:14" x14ac:dyDescent="0.25">
      <c r="A239" s="35" t="str">
        <f t="shared" si="12"/>
        <v/>
      </c>
      <c r="B239" s="35" t="str">
        <f>IF('Mau15'!B245="","",'Mau15'!B245)</f>
        <v/>
      </c>
      <c r="C239" s="35" t="str">
        <f>IF(B239="","",'Mau15'!C245)</f>
        <v/>
      </c>
      <c r="D239" s="35" t="str">
        <f>IF(B239="","",'Mau15'!D245)</f>
        <v/>
      </c>
      <c r="E239" s="39" t="str">
        <f>IF(B239="","",'Mau15'!I245)</f>
        <v/>
      </c>
      <c r="F239" s="39" t="str">
        <f>IF(B239="","",SUMIFS(Cau_noi!$B$5:$B$304,Cau_noi!$A$5:$A$304,B239))</f>
        <v/>
      </c>
      <c r="G239" s="39" t="str">
        <f>IF(B239="","",SUMIFS(Cau_noi!$C$5:$C$304,Cau_noi!$A$5:$A$304,B239))</f>
        <v/>
      </c>
      <c r="H239" s="39" t="str">
        <f>IF(B239="","",SUMIFS(Cau_noi!$D$5:$D$304,Cau_noi!$A$5:$A$304,B239))</f>
        <v/>
      </c>
      <c r="I239" s="39" t="str">
        <f>IF(B239="","",SUMIFS(Cau_noi!$E$5:$E$304,Cau_noi!$A$5:$A$304,B239))</f>
        <v/>
      </c>
      <c r="J239" s="39" t="str">
        <f t="shared" si="13"/>
        <v/>
      </c>
      <c r="K239" s="39" t="str">
        <f>IF(B239="","",SUMIFS(KT_DMTT_ChiTiet!$H$5:$H$1004,KT_DMTT_ChiTiet!$C$5:$C$1004,B239,KT_DMTT_ChiTiet!$N$5:$N$1004,1))</f>
        <v/>
      </c>
      <c r="L239" s="39" t="str">
        <f t="shared" si="14"/>
        <v/>
      </c>
      <c r="M239" s="46" t="str">
        <f t="shared" si="15"/>
        <v/>
      </c>
      <c r="N239" s="35" t="str">
        <f>IF(B239="","",IF(K239=0,IF(J239=0,"Pass",IF(COUNTIFS(BOM!$B$5:$B$1004,B239,BOM!$G$5:$G$1004,"KXDDM")&gt;0,"KXDDM","Xem xét")),IF(ABS(M239)&lt;=ThongTin!$C$11,"Pass","Xem xét")))</f>
        <v/>
      </c>
    </row>
    <row r="240" spans="1:14" x14ac:dyDescent="0.25">
      <c r="A240" s="35" t="str">
        <f t="shared" si="12"/>
        <v/>
      </c>
      <c r="B240" s="35" t="str">
        <f>IF('Mau15'!B246="","",'Mau15'!B246)</f>
        <v/>
      </c>
      <c r="C240" s="35" t="str">
        <f>IF(B240="","",'Mau15'!C246)</f>
        <v/>
      </c>
      <c r="D240" s="35" t="str">
        <f>IF(B240="","",'Mau15'!D246)</f>
        <v/>
      </c>
      <c r="E240" s="39" t="str">
        <f>IF(B240="","",'Mau15'!I246)</f>
        <v/>
      </c>
      <c r="F240" s="39" t="str">
        <f>IF(B240="","",SUMIFS(Cau_noi!$B$5:$B$304,Cau_noi!$A$5:$A$304,B240))</f>
        <v/>
      </c>
      <c r="G240" s="39" t="str">
        <f>IF(B240="","",SUMIFS(Cau_noi!$C$5:$C$304,Cau_noi!$A$5:$A$304,B240))</f>
        <v/>
      </c>
      <c r="H240" s="39" t="str">
        <f>IF(B240="","",SUMIFS(Cau_noi!$D$5:$D$304,Cau_noi!$A$5:$A$304,B240))</f>
        <v/>
      </c>
      <c r="I240" s="39" t="str">
        <f>IF(B240="","",SUMIFS(Cau_noi!$E$5:$E$304,Cau_noi!$A$5:$A$304,B240))</f>
        <v/>
      </c>
      <c r="J240" s="39" t="str">
        <f t="shared" si="13"/>
        <v/>
      </c>
      <c r="K240" s="39" t="str">
        <f>IF(B240="","",SUMIFS(KT_DMTT_ChiTiet!$H$5:$H$1004,KT_DMTT_ChiTiet!$C$5:$C$1004,B240,KT_DMTT_ChiTiet!$N$5:$N$1004,1))</f>
        <v/>
      </c>
      <c r="L240" s="39" t="str">
        <f t="shared" si="14"/>
        <v/>
      </c>
      <c r="M240" s="46" t="str">
        <f t="shared" si="15"/>
        <v/>
      </c>
      <c r="N240" s="35" t="str">
        <f>IF(B240="","",IF(K240=0,IF(J240=0,"Pass",IF(COUNTIFS(BOM!$B$5:$B$1004,B240,BOM!$G$5:$G$1004,"KXDDM")&gt;0,"KXDDM","Xem xét")),IF(ABS(M240)&lt;=ThongTin!$C$11,"Pass","Xem xét")))</f>
        <v/>
      </c>
    </row>
    <row r="241" spans="1:14" x14ac:dyDescent="0.25">
      <c r="A241" s="35" t="str">
        <f t="shared" si="12"/>
        <v/>
      </c>
      <c r="B241" s="35" t="str">
        <f>IF('Mau15'!B247="","",'Mau15'!B247)</f>
        <v/>
      </c>
      <c r="C241" s="35" t="str">
        <f>IF(B241="","",'Mau15'!C247)</f>
        <v/>
      </c>
      <c r="D241" s="35" t="str">
        <f>IF(B241="","",'Mau15'!D247)</f>
        <v/>
      </c>
      <c r="E241" s="39" t="str">
        <f>IF(B241="","",'Mau15'!I247)</f>
        <v/>
      </c>
      <c r="F241" s="39" t="str">
        <f>IF(B241="","",SUMIFS(Cau_noi!$B$5:$B$304,Cau_noi!$A$5:$A$304,B241))</f>
        <v/>
      </c>
      <c r="G241" s="39" t="str">
        <f>IF(B241="","",SUMIFS(Cau_noi!$C$5:$C$304,Cau_noi!$A$5:$A$304,B241))</f>
        <v/>
      </c>
      <c r="H241" s="39" t="str">
        <f>IF(B241="","",SUMIFS(Cau_noi!$D$5:$D$304,Cau_noi!$A$5:$A$304,B241))</f>
        <v/>
      </c>
      <c r="I241" s="39" t="str">
        <f>IF(B241="","",SUMIFS(Cau_noi!$E$5:$E$304,Cau_noi!$A$5:$A$304,B241))</f>
        <v/>
      </c>
      <c r="J241" s="39" t="str">
        <f t="shared" si="13"/>
        <v/>
      </c>
      <c r="K241" s="39" t="str">
        <f>IF(B241="","",SUMIFS(KT_DMTT_ChiTiet!$H$5:$H$1004,KT_DMTT_ChiTiet!$C$5:$C$1004,B241,KT_DMTT_ChiTiet!$N$5:$N$1004,1))</f>
        <v/>
      </c>
      <c r="L241" s="39" t="str">
        <f t="shared" si="14"/>
        <v/>
      </c>
      <c r="M241" s="46" t="str">
        <f t="shared" si="15"/>
        <v/>
      </c>
      <c r="N241" s="35" t="str">
        <f>IF(B241="","",IF(K241=0,IF(J241=0,"Pass",IF(COUNTIFS(BOM!$B$5:$B$1004,B241,BOM!$G$5:$G$1004,"KXDDM")&gt;0,"KXDDM","Xem xét")),IF(ABS(M241)&lt;=ThongTin!$C$11,"Pass","Xem xét")))</f>
        <v/>
      </c>
    </row>
    <row r="242" spans="1:14" x14ac:dyDescent="0.25">
      <c r="A242" s="35" t="str">
        <f t="shared" si="12"/>
        <v/>
      </c>
      <c r="B242" s="35" t="str">
        <f>IF('Mau15'!B248="","",'Mau15'!B248)</f>
        <v/>
      </c>
      <c r="C242" s="35" t="str">
        <f>IF(B242="","",'Mau15'!C248)</f>
        <v/>
      </c>
      <c r="D242" s="35" t="str">
        <f>IF(B242="","",'Mau15'!D248)</f>
        <v/>
      </c>
      <c r="E242" s="39" t="str">
        <f>IF(B242="","",'Mau15'!I248)</f>
        <v/>
      </c>
      <c r="F242" s="39" t="str">
        <f>IF(B242="","",SUMIFS(Cau_noi!$B$5:$B$304,Cau_noi!$A$5:$A$304,B242))</f>
        <v/>
      </c>
      <c r="G242" s="39" t="str">
        <f>IF(B242="","",SUMIFS(Cau_noi!$C$5:$C$304,Cau_noi!$A$5:$A$304,B242))</f>
        <v/>
      </c>
      <c r="H242" s="39" t="str">
        <f>IF(B242="","",SUMIFS(Cau_noi!$D$5:$D$304,Cau_noi!$A$5:$A$304,B242))</f>
        <v/>
      </c>
      <c r="I242" s="39" t="str">
        <f>IF(B242="","",SUMIFS(Cau_noi!$E$5:$E$304,Cau_noi!$A$5:$A$304,B242))</f>
        <v/>
      </c>
      <c r="J242" s="39" t="str">
        <f t="shared" si="13"/>
        <v/>
      </c>
      <c r="K242" s="39" t="str">
        <f>IF(B242="","",SUMIFS(KT_DMTT_ChiTiet!$H$5:$H$1004,KT_DMTT_ChiTiet!$C$5:$C$1004,B242,KT_DMTT_ChiTiet!$N$5:$N$1004,1))</f>
        <v/>
      </c>
      <c r="L242" s="39" t="str">
        <f t="shared" si="14"/>
        <v/>
      </c>
      <c r="M242" s="46" t="str">
        <f t="shared" si="15"/>
        <v/>
      </c>
      <c r="N242" s="35" t="str">
        <f>IF(B242="","",IF(K242=0,IF(J242=0,"Pass",IF(COUNTIFS(BOM!$B$5:$B$1004,B242,BOM!$G$5:$G$1004,"KXDDM")&gt;0,"KXDDM","Xem xét")),IF(ABS(M242)&lt;=ThongTin!$C$11,"Pass","Xem xét")))</f>
        <v/>
      </c>
    </row>
    <row r="243" spans="1:14" x14ac:dyDescent="0.25">
      <c r="A243" s="35" t="str">
        <f t="shared" si="12"/>
        <v/>
      </c>
      <c r="B243" s="35" t="str">
        <f>IF('Mau15'!B249="","",'Mau15'!B249)</f>
        <v/>
      </c>
      <c r="C243" s="35" t="str">
        <f>IF(B243="","",'Mau15'!C249)</f>
        <v/>
      </c>
      <c r="D243" s="35" t="str">
        <f>IF(B243="","",'Mau15'!D249)</f>
        <v/>
      </c>
      <c r="E243" s="39" t="str">
        <f>IF(B243="","",'Mau15'!I249)</f>
        <v/>
      </c>
      <c r="F243" s="39" t="str">
        <f>IF(B243="","",SUMIFS(Cau_noi!$B$5:$B$304,Cau_noi!$A$5:$A$304,B243))</f>
        <v/>
      </c>
      <c r="G243" s="39" t="str">
        <f>IF(B243="","",SUMIFS(Cau_noi!$C$5:$C$304,Cau_noi!$A$5:$A$304,B243))</f>
        <v/>
      </c>
      <c r="H243" s="39" t="str">
        <f>IF(B243="","",SUMIFS(Cau_noi!$D$5:$D$304,Cau_noi!$A$5:$A$304,B243))</f>
        <v/>
      </c>
      <c r="I243" s="39" t="str">
        <f>IF(B243="","",SUMIFS(Cau_noi!$E$5:$E$304,Cau_noi!$A$5:$A$304,B243))</f>
        <v/>
      </c>
      <c r="J243" s="39" t="str">
        <f t="shared" si="13"/>
        <v/>
      </c>
      <c r="K243" s="39" t="str">
        <f>IF(B243="","",SUMIFS(KT_DMTT_ChiTiet!$H$5:$H$1004,KT_DMTT_ChiTiet!$C$5:$C$1004,B243,KT_DMTT_ChiTiet!$N$5:$N$1004,1))</f>
        <v/>
      </c>
      <c r="L243" s="39" t="str">
        <f t="shared" si="14"/>
        <v/>
      </c>
      <c r="M243" s="46" t="str">
        <f t="shared" si="15"/>
        <v/>
      </c>
      <c r="N243" s="35" t="str">
        <f>IF(B243="","",IF(K243=0,IF(J243=0,"Pass",IF(COUNTIFS(BOM!$B$5:$B$1004,B243,BOM!$G$5:$G$1004,"KXDDM")&gt;0,"KXDDM","Xem xét")),IF(ABS(M243)&lt;=ThongTin!$C$11,"Pass","Xem xét")))</f>
        <v/>
      </c>
    </row>
    <row r="244" spans="1:14" x14ac:dyDescent="0.25">
      <c r="A244" s="35" t="str">
        <f t="shared" si="12"/>
        <v/>
      </c>
      <c r="B244" s="35" t="str">
        <f>IF('Mau15'!B250="","",'Mau15'!B250)</f>
        <v/>
      </c>
      <c r="C244" s="35" t="str">
        <f>IF(B244="","",'Mau15'!C250)</f>
        <v/>
      </c>
      <c r="D244" s="35" t="str">
        <f>IF(B244="","",'Mau15'!D250)</f>
        <v/>
      </c>
      <c r="E244" s="39" t="str">
        <f>IF(B244="","",'Mau15'!I250)</f>
        <v/>
      </c>
      <c r="F244" s="39" t="str">
        <f>IF(B244="","",SUMIFS(Cau_noi!$B$5:$B$304,Cau_noi!$A$5:$A$304,B244))</f>
        <v/>
      </c>
      <c r="G244" s="39" t="str">
        <f>IF(B244="","",SUMIFS(Cau_noi!$C$5:$C$304,Cau_noi!$A$5:$A$304,B244))</f>
        <v/>
      </c>
      <c r="H244" s="39" t="str">
        <f>IF(B244="","",SUMIFS(Cau_noi!$D$5:$D$304,Cau_noi!$A$5:$A$304,B244))</f>
        <v/>
      </c>
      <c r="I244" s="39" t="str">
        <f>IF(B244="","",SUMIFS(Cau_noi!$E$5:$E$304,Cau_noi!$A$5:$A$304,B244))</f>
        <v/>
      </c>
      <c r="J244" s="39" t="str">
        <f t="shared" si="13"/>
        <v/>
      </c>
      <c r="K244" s="39" t="str">
        <f>IF(B244="","",SUMIFS(KT_DMTT_ChiTiet!$H$5:$H$1004,KT_DMTT_ChiTiet!$C$5:$C$1004,B244,KT_DMTT_ChiTiet!$N$5:$N$1004,1))</f>
        <v/>
      </c>
      <c r="L244" s="39" t="str">
        <f t="shared" si="14"/>
        <v/>
      </c>
      <c r="M244" s="46" t="str">
        <f t="shared" si="15"/>
        <v/>
      </c>
      <c r="N244" s="35" t="str">
        <f>IF(B244="","",IF(K244=0,IF(J244=0,"Pass",IF(COUNTIFS(BOM!$B$5:$B$1004,B244,BOM!$G$5:$G$1004,"KXDDM")&gt;0,"KXDDM","Xem xét")),IF(ABS(M244)&lt;=ThongTin!$C$11,"Pass","Xem xét")))</f>
        <v/>
      </c>
    </row>
    <row r="245" spans="1:14" x14ac:dyDescent="0.25">
      <c r="A245" s="35" t="str">
        <f t="shared" si="12"/>
        <v/>
      </c>
      <c r="B245" s="35" t="str">
        <f>IF('Mau15'!B251="","",'Mau15'!B251)</f>
        <v/>
      </c>
      <c r="C245" s="35" t="str">
        <f>IF(B245="","",'Mau15'!C251)</f>
        <v/>
      </c>
      <c r="D245" s="35" t="str">
        <f>IF(B245="","",'Mau15'!D251)</f>
        <v/>
      </c>
      <c r="E245" s="39" t="str">
        <f>IF(B245="","",'Mau15'!I251)</f>
        <v/>
      </c>
      <c r="F245" s="39" t="str">
        <f>IF(B245="","",SUMIFS(Cau_noi!$B$5:$B$304,Cau_noi!$A$5:$A$304,B245))</f>
        <v/>
      </c>
      <c r="G245" s="39" t="str">
        <f>IF(B245="","",SUMIFS(Cau_noi!$C$5:$C$304,Cau_noi!$A$5:$A$304,B245))</f>
        <v/>
      </c>
      <c r="H245" s="39" t="str">
        <f>IF(B245="","",SUMIFS(Cau_noi!$D$5:$D$304,Cau_noi!$A$5:$A$304,B245))</f>
        <v/>
      </c>
      <c r="I245" s="39" t="str">
        <f>IF(B245="","",SUMIFS(Cau_noi!$E$5:$E$304,Cau_noi!$A$5:$A$304,B245))</f>
        <v/>
      </c>
      <c r="J245" s="39" t="str">
        <f t="shared" si="13"/>
        <v/>
      </c>
      <c r="K245" s="39" t="str">
        <f>IF(B245="","",SUMIFS(KT_DMTT_ChiTiet!$H$5:$H$1004,KT_DMTT_ChiTiet!$C$5:$C$1004,B245,KT_DMTT_ChiTiet!$N$5:$N$1004,1))</f>
        <v/>
      </c>
      <c r="L245" s="39" t="str">
        <f t="shared" si="14"/>
        <v/>
      </c>
      <c r="M245" s="46" t="str">
        <f t="shared" si="15"/>
        <v/>
      </c>
      <c r="N245" s="35" t="str">
        <f>IF(B245="","",IF(K245=0,IF(J245=0,"Pass",IF(COUNTIFS(BOM!$B$5:$B$1004,B245,BOM!$G$5:$G$1004,"KXDDM")&gt;0,"KXDDM","Xem xét")),IF(ABS(M245)&lt;=ThongTin!$C$11,"Pass","Xem xét")))</f>
        <v/>
      </c>
    </row>
    <row r="246" spans="1:14" x14ac:dyDescent="0.25">
      <c r="A246" s="35" t="str">
        <f t="shared" si="12"/>
        <v/>
      </c>
      <c r="B246" s="35" t="str">
        <f>IF('Mau15'!B252="","",'Mau15'!B252)</f>
        <v/>
      </c>
      <c r="C246" s="35" t="str">
        <f>IF(B246="","",'Mau15'!C252)</f>
        <v/>
      </c>
      <c r="D246" s="35" t="str">
        <f>IF(B246="","",'Mau15'!D252)</f>
        <v/>
      </c>
      <c r="E246" s="39" t="str">
        <f>IF(B246="","",'Mau15'!I252)</f>
        <v/>
      </c>
      <c r="F246" s="39" t="str">
        <f>IF(B246="","",SUMIFS(Cau_noi!$B$5:$B$304,Cau_noi!$A$5:$A$304,B246))</f>
        <v/>
      </c>
      <c r="G246" s="39" t="str">
        <f>IF(B246="","",SUMIFS(Cau_noi!$C$5:$C$304,Cau_noi!$A$5:$A$304,B246))</f>
        <v/>
      </c>
      <c r="H246" s="39" t="str">
        <f>IF(B246="","",SUMIFS(Cau_noi!$D$5:$D$304,Cau_noi!$A$5:$A$304,B246))</f>
        <v/>
      </c>
      <c r="I246" s="39" t="str">
        <f>IF(B246="","",SUMIFS(Cau_noi!$E$5:$E$304,Cau_noi!$A$5:$A$304,B246))</f>
        <v/>
      </c>
      <c r="J246" s="39" t="str">
        <f t="shared" si="13"/>
        <v/>
      </c>
      <c r="K246" s="39" t="str">
        <f>IF(B246="","",SUMIFS(KT_DMTT_ChiTiet!$H$5:$H$1004,KT_DMTT_ChiTiet!$C$5:$C$1004,B246,KT_DMTT_ChiTiet!$N$5:$N$1004,1))</f>
        <v/>
      </c>
      <c r="L246" s="39" t="str">
        <f t="shared" si="14"/>
        <v/>
      </c>
      <c r="M246" s="46" t="str">
        <f t="shared" si="15"/>
        <v/>
      </c>
      <c r="N246" s="35" t="str">
        <f>IF(B246="","",IF(K246=0,IF(J246=0,"Pass",IF(COUNTIFS(BOM!$B$5:$B$1004,B246,BOM!$G$5:$G$1004,"KXDDM")&gt;0,"KXDDM","Xem xét")),IF(ABS(M246)&lt;=ThongTin!$C$11,"Pass","Xem xét")))</f>
        <v/>
      </c>
    </row>
    <row r="247" spans="1:14" x14ac:dyDescent="0.25">
      <c r="A247" s="35" t="str">
        <f t="shared" si="12"/>
        <v/>
      </c>
      <c r="B247" s="35" t="str">
        <f>IF('Mau15'!B253="","",'Mau15'!B253)</f>
        <v/>
      </c>
      <c r="C247" s="35" t="str">
        <f>IF(B247="","",'Mau15'!C253)</f>
        <v/>
      </c>
      <c r="D247" s="35" t="str">
        <f>IF(B247="","",'Mau15'!D253)</f>
        <v/>
      </c>
      <c r="E247" s="39" t="str">
        <f>IF(B247="","",'Mau15'!I253)</f>
        <v/>
      </c>
      <c r="F247" s="39" t="str">
        <f>IF(B247="","",SUMIFS(Cau_noi!$B$5:$B$304,Cau_noi!$A$5:$A$304,B247))</f>
        <v/>
      </c>
      <c r="G247" s="39" t="str">
        <f>IF(B247="","",SUMIFS(Cau_noi!$C$5:$C$304,Cau_noi!$A$5:$A$304,B247))</f>
        <v/>
      </c>
      <c r="H247" s="39" t="str">
        <f>IF(B247="","",SUMIFS(Cau_noi!$D$5:$D$304,Cau_noi!$A$5:$A$304,B247))</f>
        <v/>
      </c>
      <c r="I247" s="39" t="str">
        <f>IF(B247="","",SUMIFS(Cau_noi!$E$5:$E$304,Cau_noi!$A$5:$A$304,B247))</f>
        <v/>
      </c>
      <c r="J247" s="39" t="str">
        <f t="shared" si="13"/>
        <v/>
      </c>
      <c r="K247" s="39" t="str">
        <f>IF(B247="","",SUMIFS(KT_DMTT_ChiTiet!$H$5:$H$1004,KT_DMTT_ChiTiet!$C$5:$C$1004,B247,KT_DMTT_ChiTiet!$N$5:$N$1004,1))</f>
        <v/>
      </c>
      <c r="L247" s="39" t="str">
        <f t="shared" si="14"/>
        <v/>
      </c>
      <c r="M247" s="46" t="str">
        <f t="shared" si="15"/>
        <v/>
      </c>
      <c r="N247" s="35" t="str">
        <f>IF(B247="","",IF(K247=0,IF(J247=0,"Pass",IF(COUNTIFS(BOM!$B$5:$B$1004,B247,BOM!$G$5:$G$1004,"KXDDM")&gt;0,"KXDDM","Xem xét")),IF(ABS(M247)&lt;=ThongTin!$C$11,"Pass","Xem xét")))</f>
        <v/>
      </c>
    </row>
    <row r="248" spans="1:14" x14ac:dyDescent="0.25">
      <c r="A248" s="35" t="str">
        <f t="shared" si="12"/>
        <v/>
      </c>
      <c r="B248" s="35" t="str">
        <f>IF('Mau15'!B254="","",'Mau15'!B254)</f>
        <v/>
      </c>
      <c r="C248" s="35" t="str">
        <f>IF(B248="","",'Mau15'!C254)</f>
        <v/>
      </c>
      <c r="D248" s="35" t="str">
        <f>IF(B248="","",'Mau15'!D254)</f>
        <v/>
      </c>
      <c r="E248" s="39" t="str">
        <f>IF(B248="","",'Mau15'!I254)</f>
        <v/>
      </c>
      <c r="F248" s="39" t="str">
        <f>IF(B248="","",SUMIFS(Cau_noi!$B$5:$B$304,Cau_noi!$A$5:$A$304,B248))</f>
        <v/>
      </c>
      <c r="G248" s="39" t="str">
        <f>IF(B248="","",SUMIFS(Cau_noi!$C$5:$C$304,Cau_noi!$A$5:$A$304,B248))</f>
        <v/>
      </c>
      <c r="H248" s="39" t="str">
        <f>IF(B248="","",SUMIFS(Cau_noi!$D$5:$D$304,Cau_noi!$A$5:$A$304,B248))</f>
        <v/>
      </c>
      <c r="I248" s="39" t="str">
        <f>IF(B248="","",SUMIFS(Cau_noi!$E$5:$E$304,Cau_noi!$A$5:$A$304,B248))</f>
        <v/>
      </c>
      <c r="J248" s="39" t="str">
        <f t="shared" si="13"/>
        <v/>
      </c>
      <c r="K248" s="39" t="str">
        <f>IF(B248="","",SUMIFS(KT_DMTT_ChiTiet!$H$5:$H$1004,KT_DMTT_ChiTiet!$C$5:$C$1004,B248,KT_DMTT_ChiTiet!$N$5:$N$1004,1))</f>
        <v/>
      </c>
      <c r="L248" s="39" t="str">
        <f t="shared" si="14"/>
        <v/>
      </c>
      <c r="M248" s="46" t="str">
        <f t="shared" si="15"/>
        <v/>
      </c>
      <c r="N248" s="35" t="str">
        <f>IF(B248="","",IF(K248=0,IF(J248=0,"Pass",IF(COUNTIFS(BOM!$B$5:$B$1004,B248,BOM!$G$5:$G$1004,"KXDDM")&gt;0,"KXDDM","Xem xét")),IF(ABS(M248)&lt;=ThongTin!$C$11,"Pass","Xem xét")))</f>
        <v/>
      </c>
    </row>
    <row r="249" spans="1:14" x14ac:dyDescent="0.25">
      <c r="A249" s="35" t="str">
        <f t="shared" si="12"/>
        <v/>
      </c>
      <c r="B249" s="35" t="str">
        <f>IF('Mau15'!B255="","",'Mau15'!B255)</f>
        <v/>
      </c>
      <c r="C249" s="35" t="str">
        <f>IF(B249="","",'Mau15'!C255)</f>
        <v/>
      </c>
      <c r="D249" s="35" t="str">
        <f>IF(B249="","",'Mau15'!D255)</f>
        <v/>
      </c>
      <c r="E249" s="39" t="str">
        <f>IF(B249="","",'Mau15'!I255)</f>
        <v/>
      </c>
      <c r="F249" s="39" t="str">
        <f>IF(B249="","",SUMIFS(Cau_noi!$B$5:$B$304,Cau_noi!$A$5:$A$304,B249))</f>
        <v/>
      </c>
      <c r="G249" s="39" t="str">
        <f>IF(B249="","",SUMIFS(Cau_noi!$C$5:$C$304,Cau_noi!$A$5:$A$304,B249))</f>
        <v/>
      </c>
      <c r="H249" s="39" t="str">
        <f>IF(B249="","",SUMIFS(Cau_noi!$D$5:$D$304,Cau_noi!$A$5:$A$304,B249))</f>
        <v/>
      </c>
      <c r="I249" s="39" t="str">
        <f>IF(B249="","",SUMIFS(Cau_noi!$E$5:$E$304,Cau_noi!$A$5:$A$304,B249))</f>
        <v/>
      </c>
      <c r="J249" s="39" t="str">
        <f t="shared" si="13"/>
        <v/>
      </c>
      <c r="K249" s="39" t="str">
        <f>IF(B249="","",SUMIFS(KT_DMTT_ChiTiet!$H$5:$H$1004,KT_DMTT_ChiTiet!$C$5:$C$1004,B249,KT_DMTT_ChiTiet!$N$5:$N$1004,1))</f>
        <v/>
      </c>
      <c r="L249" s="39" t="str">
        <f t="shared" si="14"/>
        <v/>
      </c>
      <c r="M249" s="46" t="str">
        <f t="shared" si="15"/>
        <v/>
      </c>
      <c r="N249" s="35" t="str">
        <f>IF(B249="","",IF(K249=0,IF(J249=0,"Pass",IF(COUNTIFS(BOM!$B$5:$B$1004,B249,BOM!$G$5:$G$1004,"KXDDM")&gt;0,"KXDDM","Xem xét")),IF(ABS(M249)&lt;=ThongTin!$C$11,"Pass","Xem xét")))</f>
        <v/>
      </c>
    </row>
    <row r="250" spans="1:14" x14ac:dyDescent="0.25">
      <c r="A250" s="35" t="str">
        <f t="shared" si="12"/>
        <v/>
      </c>
      <c r="B250" s="35" t="str">
        <f>IF('Mau15'!B256="","",'Mau15'!B256)</f>
        <v/>
      </c>
      <c r="C250" s="35" t="str">
        <f>IF(B250="","",'Mau15'!C256)</f>
        <v/>
      </c>
      <c r="D250" s="35" t="str">
        <f>IF(B250="","",'Mau15'!D256)</f>
        <v/>
      </c>
      <c r="E250" s="39" t="str">
        <f>IF(B250="","",'Mau15'!I256)</f>
        <v/>
      </c>
      <c r="F250" s="39" t="str">
        <f>IF(B250="","",SUMIFS(Cau_noi!$B$5:$B$304,Cau_noi!$A$5:$A$304,B250))</f>
        <v/>
      </c>
      <c r="G250" s="39" t="str">
        <f>IF(B250="","",SUMIFS(Cau_noi!$C$5:$C$304,Cau_noi!$A$5:$A$304,B250))</f>
        <v/>
      </c>
      <c r="H250" s="39" t="str">
        <f>IF(B250="","",SUMIFS(Cau_noi!$D$5:$D$304,Cau_noi!$A$5:$A$304,B250))</f>
        <v/>
      </c>
      <c r="I250" s="39" t="str">
        <f>IF(B250="","",SUMIFS(Cau_noi!$E$5:$E$304,Cau_noi!$A$5:$A$304,B250))</f>
        <v/>
      </c>
      <c r="J250" s="39" t="str">
        <f t="shared" si="13"/>
        <v/>
      </c>
      <c r="K250" s="39" t="str">
        <f>IF(B250="","",SUMIFS(KT_DMTT_ChiTiet!$H$5:$H$1004,KT_DMTT_ChiTiet!$C$5:$C$1004,B250,KT_DMTT_ChiTiet!$N$5:$N$1004,1))</f>
        <v/>
      </c>
      <c r="L250" s="39" t="str">
        <f t="shared" si="14"/>
        <v/>
      </c>
      <c r="M250" s="46" t="str">
        <f t="shared" si="15"/>
        <v/>
      </c>
      <c r="N250" s="35" t="str">
        <f>IF(B250="","",IF(K250=0,IF(J250=0,"Pass",IF(COUNTIFS(BOM!$B$5:$B$1004,B250,BOM!$G$5:$G$1004,"KXDDM")&gt;0,"KXDDM","Xem xét")),IF(ABS(M250)&lt;=ThongTin!$C$11,"Pass","Xem xét")))</f>
        <v/>
      </c>
    </row>
    <row r="251" spans="1:14" x14ac:dyDescent="0.25">
      <c r="A251" s="35" t="str">
        <f t="shared" si="12"/>
        <v/>
      </c>
      <c r="B251" s="35" t="str">
        <f>IF('Mau15'!B257="","",'Mau15'!B257)</f>
        <v/>
      </c>
      <c r="C251" s="35" t="str">
        <f>IF(B251="","",'Mau15'!C257)</f>
        <v/>
      </c>
      <c r="D251" s="35" t="str">
        <f>IF(B251="","",'Mau15'!D257)</f>
        <v/>
      </c>
      <c r="E251" s="39" t="str">
        <f>IF(B251="","",'Mau15'!I257)</f>
        <v/>
      </c>
      <c r="F251" s="39" t="str">
        <f>IF(B251="","",SUMIFS(Cau_noi!$B$5:$B$304,Cau_noi!$A$5:$A$304,B251))</f>
        <v/>
      </c>
      <c r="G251" s="39" t="str">
        <f>IF(B251="","",SUMIFS(Cau_noi!$C$5:$C$304,Cau_noi!$A$5:$A$304,B251))</f>
        <v/>
      </c>
      <c r="H251" s="39" t="str">
        <f>IF(B251="","",SUMIFS(Cau_noi!$D$5:$D$304,Cau_noi!$A$5:$A$304,B251))</f>
        <v/>
      </c>
      <c r="I251" s="39" t="str">
        <f>IF(B251="","",SUMIFS(Cau_noi!$E$5:$E$304,Cau_noi!$A$5:$A$304,B251))</f>
        <v/>
      </c>
      <c r="J251" s="39" t="str">
        <f t="shared" si="13"/>
        <v/>
      </c>
      <c r="K251" s="39" t="str">
        <f>IF(B251="","",SUMIFS(KT_DMTT_ChiTiet!$H$5:$H$1004,KT_DMTT_ChiTiet!$C$5:$C$1004,B251,KT_DMTT_ChiTiet!$N$5:$N$1004,1))</f>
        <v/>
      </c>
      <c r="L251" s="39" t="str">
        <f t="shared" si="14"/>
        <v/>
      </c>
      <c r="M251" s="46" t="str">
        <f t="shared" si="15"/>
        <v/>
      </c>
      <c r="N251" s="35" t="str">
        <f>IF(B251="","",IF(K251=0,IF(J251=0,"Pass",IF(COUNTIFS(BOM!$B$5:$B$1004,B251,BOM!$G$5:$G$1004,"KXDDM")&gt;0,"KXDDM","Xem xét")),IF(ABS(M251)&lt;=ThongTin!$C$11,"Pass","Xem xét")))</f>
        <v/>
      </c>
    </row>
    <row r="252" spans="1:14" x14ac:dyDescent="0.25">
      <c r="A252" s="35" t="str">
        <f t="shared" si="12"/>
        <v/>
      </c>
      <c r="B252" s="35" t="str">
        <f>IF('Mau15'!B258="","",'Mau15'!B258)</f>
        <v/>
      </c>
      <c r="C252" s="35" t="str">
        <f>IF(B252="","",'Mau15'!C258)</f>
        <v/>
      </c>
      <c r="D252" s="35" t="str">
        <f>IF(B252="","",'Mau15'!D258)</f>
        <v/>
      </c>
      <c r="E252" s="39" t="str">
        <f>IF(B252="","",'Mau15'!I258)</f>
        <v/>
      </c>
      <c r="F252" s="39" t="str">
        <f>IF(B252="","",SUMIFS(Cau_noi!$B$5:$B$304,Cau_noi!$A$5:$A$304,B252))</f>
        <v/>
      </c>
      <c r="G252" s="39" t="str">
        <f>IF(B252="","",SUMIFS(Cau_noi!$C$5:$C$304,Cau_noi!$A$5:$A$304,B252))</f>
        <v/>
      </c>
      <c r="H252" s="39" t="str">
        <f>IF(B252="","",SUMIFS(Cau_noi!$D$5:$D$304,Cau_noi!$A$5:$A$304,B252))</f>
        <v/>
      </c>
      <c r="I252" s="39" t="str">
        <f>IF(B252="","",SUMIFS(Cau_noi!$E$5:$E$304,Cau_noi!$A$5:$A$304,B252))</f>
        <v/>
      </c>
      <c r="J252" s="39" t="str">
        <f t="shared" si="13"/>
        <v/>
      </c>
      <c r="K252" s="39" t="str">
        <f>IF(B252="","",SUMIFS(KT_DMTT_ChiTiet!$H$5:$H$1004,KT_DMTT_ChiTiet!$C$5:$C$1004,B252,KT_DMTT_ChiTiet!$N$5:$N$1004,1))</f>
        <v/>
      </c>
      <c r="L252" s="39" t="str">
        <f t="shared" si="14"/>
        <v/>
      </c>
      <c r="M252" s="46" t="str">
        <f t="shared" si="15"/>
        <v/>
      </c>
      <c r="N252" s="35" t="str">
        <f>IF(B252="","",IF(K252=0,IF(J252=0,"Pass",IF(COUNTIFS(BOM!$B$5:$B$1004,B252,BOM!$G$5:$G$1004,"KXDDM")&gt;0,"KXDDM","Xem xét")),IF(ABS(M252)&lt;=ThongTin!$C$11,"Pass","Xem xét")))</f>
        <v/>
      </c>
    </row>
    <row r="253" spans="1:14" x14ac:dyDescent="0.25">
      <c r="A253" s="35" t="str">
        <f t="shared" si="12"/>
        <v/>
      </c>
      <c r="B253" s="35" t="str">
        <f>IF('Mau15'!B259="","",'Mau15'!B259)</f>
        <v/>
      </c>
      <c r="C253" s="35" t="str">
        <f>IF(B253="","",'Mau15'!C259)</f>
        <v/>
      </c>
      <c r="D253" s="35" t="str">
        <f>IF(B253="","",'Mau15'!D259)</f>
        <v/>
      </c>
      <c r="E253" s="39" t="str">
        <f>IF(B253="","",'Mau15'!I259)</f>
        <v/>
      </c>
      <c r="F253" s="39" t="str">
        <f>IF(B253="","",SUMIFS(Cau_noi!$B$5:$B$304,Cau_noi!$A$5:$A$304,B253))</f>
        <v/>
      </c>
      <c r="G253" s="39" t="str">
        <f>IF(B253="","",SUMIFS(Cau_noi!$C$5:$C$304,Cau_noi!$A$5:$A$304,B253))</f>
        <v/>
      </c>
      <c r="H253" s="39" t="str">
        <f>IF(B253="","",SUMIFS(Cau_noi!$D$5:$D$304,Cau_noi!$A$5:$A$304,B253))</f>
        <v/>
      </c>
      <c r="I253" s="39" t="str">
        <f>IF(B253="","",SUMIFS(Cau_noi!$E$5:$E$304,Cau_noi!$A$5:$A$304,B253))</f>
        <v/>
      </c>
      <c r="J253" s="39" t="str">
        <f t="shared" si="13"/>
        <v/>
      </c>
      <c r="K253" s="39" t="str">
        <f>IF(B253="","",SUMIFS(KT_DMTT_ChiTiet!$H$5:$H$1004,KT_DMTT_ChiTiet!$C$5:$C$1004,B253,KT_DMTT_ChiTiet!$N$5:$N$1004,1))</f>
        <v/>
      </c>
      <c r="L253" s="39" t="str">
        <f t="shared" si="14"/>
        <v/>
      </c>
      <c r="M253" s="46" t="str">
        <f t="shared" si="15"/>
        <v/>
      </c>
      <c r="N253" s="35" t="str">
        <f>IF(B253="","",IF(K253=0,IF(J253=0,"Pass",IF(COUNTIFS(BOM!$B$5:$B$1004,B253,BOM!$G$5:$G$1004,"KXDDM")&gt;0,"KXDDM","Xem xét")),IF(ABS(M253)&lt;=ThongTin!$C$11,"Pass","Xem xét")))</f>
        <v/>
      </c>
    </row>
    <row r="254" spans="1:14" x14ac:dyDescent="0.25">
      <c r="A254" s="35" t="str">
        <f t="shared" si="12"/>
        <v/>
      </c>
      <c r="B254" s="35" t="str">
        <f>IF('Mau15'!B260="","",'Mau15'!B260)</f>
        <v/>
      </c>
      <c r="C254" s="35" t="str">
        <f>IF(B254="","",'Mau15'!C260)</f>
        <v/>
      </c>
      <c r="D254" s="35" t="str">
        <f>IF(B254="","",'Mau15'!D260)</f>
        <v/>
      </c>
      <c r="E254" s="39" t="str">
        <f>IF(B254="","",'Mau15'!I260)</f>
        <v/>
      </c>
      <c r="F254" s="39" t="str">
        <f>IF(B254="","",SUMIFS(Cau_noi!$B$5:$B$304,Cau_noi!$A$5:$A$304,B254))</f>
        <v/>
      </c>
      <c r="G254" s="39" t="str">
        <f>IF(B254="","",SUMIFS(Cau_noi!$C$5:$C$304,Cau_noi!$A$5:$A$304,B254))</f>
        <v/>
      </c>
      <c r="H254" s="39" t="str">
        <f>IF(B254="","",SUMIFS(Cau_noi!$D$5:$D$304,Cau_noi!$A$5:$A$304,B254))</f>
        <v/>
      </c>
      <c r="I254" s="39" t="str">
        <f>IF(B254="","",SUMIFS(Cau_noi!$E$5:$E$304,Cau_noi!$A$5:$A$304,B254))</f>
        <v/>
      </c>
      <c r="J254" s="39" t="str">
        <f t="shared" si="13"/>
        <v/>
      </c>
      <c r="K254" s="39" t="str">
        <f>IF(B254="","",SUMIFS(KT_DMTT_ChiTiet!$H$5:$H$1004,KT_DMTT_ChiTiet!$C$5:$C$1004,B254,KT_DMTT_ChiTiet!$N$5:$N$1004,1))</f>
        <v/>
      </c>
      <c r="L254" s="39" t="str">
        <f t="shared" si="14"/>
        <v/>
      </c>
      <c r="M254" s="46" t="str">
        <f t="shared" si="15"/>
        <v/>
      </c>
      <c r="N254" s="35" t="str">
        <f>IF(B254="","",IF(K254=0,IF(J254=0,"Pass",IF(COUNTIFS(BOM!$B$5:$B$1004,B254,BOM!$G$5:$G$1004,"KXDDM")&gt;0,"KXDDM","Xem xét")),IF(ABS(M254)&lt;=ThongTin!$C$11,"Pass","Xem xét")))</f>
        <v/>
      </c>
    </row>
    <row r="255" spans="1:14" x14ac:dyDescent="0.25">
      <c r="A255" s="35" t="str">
        <f t="shared" si="12"/>
        <v/>
      </c>
      <c r="B255" s="35" t="str">
        <f>IF('Mau15'!B261="","",'Mau15'!B261)</f>
        <v/>
      </c>
      <c r="C255" s="35" t="str">
        <f>IF(B255="","",'Mau15'!C261)</f>
        <v/>
      </c>
      <c r="D255" s="35" t="str">
        <f>IF(B255="","",'Mau15'!D261)</f>
        <v/>
      </c>
      <c r="E255" s="39" t="str">
        <f>IF(B255="","",'Mau15'!I261)</f>
        <v/>
      </c>
      <c r="F255" s="39" t="str">
        <f>IF(B255="","",SUMIFS(Cau_noi!$B$5:$B$304,Cau_noi!$A$5:$A$304,B255))</f>
        <v/>
      </c>
      <c r="G255" s="39" t="str">
        <f>IF(B255="","",SUMIFS(Cau_noi!$C$5:$C$304,Cau_noi!$A$5:$A$304,B255))</f>
        <v/>
      </c>
      <c r="H255" s="39" t="str">
        <f>IF(B255="","",SUMIFS(Cau_noi!$D$5:$D$304,Cau_noi!$A$5:$A$304,B255))</f>
        <v/>
      </c>
      <c r="I255" s="39" t="str">
        <f>IF(B255="","",SUMIFS(Cau_noi!$E$5:$E$304,Cau_noi!$A$5:$A$304,B255))</f>
        <v/>
      </c>
      <c r="J255" s="39" t="str">
        <f t="shared" si="13"/>
        <v/>
      </c>
      <c r="K255" s="39" t="str">
        <f>IF(B255="","",SUMIFS(KT_DMTT_ChiTiet!$H$5:$H$1004,KT_DMTT_ChiTiet!$C$5:$C$1004,B255,KT_DMTT_ChiTiet!$N$5:$N$1004,1))</f>
        <v/>
      </c>
      <c r="L255" s="39" t="str">
        <f t="shared" si="14"/>
        <v/>
      </c>
      <c r="M255" s="46" t="str">
        <f t="shared" si="15"/>
        <v/>
      </c>
      <c r="N255" s="35" t="str">
        <f>IF(B255="","",IF(K255=0,IF(J255=0,"Pass",IF(COUNTIFS(BOM!$B$5:$B$1004,B255,BOM!$G$5:$G$1004,"KXDDM")&gt;0,"KXDDM","Xem xét")),IF(ABS(M255)&lt;=ThongTin!$C$11,"Pass","Xem xét")))</f>
        <v/>
      </c>
    </row>
    <row r="256" spans="1:14" x14ac:dyDescent="0.25">
      <c r="A256" s="35" t="str">
        <f t="shared" si="12"/>
        <v/>
      </c>
      <c r="B256" s="35" t="str">
        <f>IF('Mau15'!B262="","",'Mau15'!B262)</f>
        <v/>
      </c>
      <c r="C256" s="35" t="str">
        <f>IF(B256="","",'Mau15'!C262)</f>
        <v/>
      </c>
      <c r="D256" s="35" t="str">
        <f>IF(B256="","",'Mau15'!D262)</f>
        <v/>
      </c>
      <c r="E256" s="39" t="str">
        <f>IF(B256="","",'Mau15'!I262)</f>
        <v/>
      </c>
      <c r="F256" s="39" t="str">
        <f>IF(B256="","",SUMIFS(Cau_noi!$B$5:$B$304,Cau_noi!$A$5:$A$304,B256))</f>
        <v/>
      </c>
      <c r="G256" s="39" t="str">
        <f>IF(B256="","",SUMIFS(Cau_noi!$C$5:$C$304,Cau_noi!$A$5:$A$304,B256))</f>
        <v/>
      </c>
      <c r="H256" s="39" t="str">
        <f>IF(B256="","",SUMIFS(Cau_noi!$D$5:$D$304,Cau_noi!$A$5:$A$304,B256))</f>
        <v/>
      </c>
      <c r="I256" s="39" t="str">
        <f>IF(B256="","",SUMIFS(Cau_noi!$E$5:$E$304,Cau_noi!$A$5:$A$304,B256))</f>
        <v/>
      </c>
      <c r="J256" s="39" t="str">
        <f t="shared" si="13"/>
        <v/>
      </c>
      <c r="K256" s="39" t="str">
        <f>IF(B256="","",SUMIFS(KT_DMTT_ChiTiet!$H$5:$H$1004,KT_DMTT_ChiTiet!$C$5:$C$1004,B256,KT_DMTT_ChiTiet!$N$5:$N$1004,1))</f>
        <v/>
      </c>
      <c r="L256" s="39" t="str">
        <f t="shared" si="14"/>
        <v/>
      </c>
      <c r="M256" s="46" t="str">
        <f t="shared" si="15"/>
        <v/>
      </c>
      <c r="N256" s="35" t="str">
        <f>IF(B256="","",IF(K256=0,IF(J256=0,"Pass",IF(COUNTIFS(BOM!$B$5:$B$1004,B256,BOM!$G$5:$G$1004,"KXDDM")&gt;0,"KXDDM","Xem xét")),IF(ABS(M256)&lt;=ThongTin!$C$11,"Pass","Xem xét")))</f>
        <v/>
      </c>
    </row>
    <row r="257" spans="1:14" x14ac:dyDescent="0.25">
      <c r="A257" s="35" t="str">
        <f t="shared" si="12"/>
        <v/>
      </c>
      <c r="B257" s="35" t="str">
        <f>IF('Mau15'!B263="","",'Mau15'!B263)</f>
        <v/>
      </c>
      <c r="C257" s="35" t="str">
        <f>IF(B257="","",'Mau15'!C263)</f>
        <v/>
      </c>
      <c r="D257" s="35" t="str">
        <f>IF(B257="","",'Mau15'!D263)</f>
        <v/>
      </c>
      <c r="E257" s="39" t="str">
        <f>IF(B257="","",'Mau15'!I263)</f>
        <v/>
      </c>
      <c r="F257" s="39" t="str">
        <f>IF(B257="","",SUMIFS(Cau_noi!$B$5:$B$304,Cau_noi!$A$5:$A$304,B257))</f>
        <v/>
      </c>
      <c r="G257" s="39" t="str">
        <f>IF(B257="","",SUMIFS(Cau_noi!$C$5:$C$304,Cau_noi!$A$5:$A$304,B257))</f>
        <v/>
      </c>
      <c r="H257" s="39" t="str">
        <f>IF(B257="","",SUMIFS(Cau_noi!$D$5:$D$304,Cau_noi!$A$5:$A$304,B257))</f>
        <v/>
      </c>
      <c r="I257" s="39" t="str">
        <f>IF(B257="","",SUMIFS(Cau_noi!$E$5:$E$304,Cau_noi!$A$5:$A$304,B257))</f>
        <v/>
      </c>
      <c r="J257" s="39" t="str">
        <f t="shared" si="13"/>
        <v/>
      </c>
      <c r="K257" s="39" t="str">
        <f>IF(B257="","",SUMIFS(KT_DMTT_ChiTiet!$H$5:$H$1004,KT_DMTT_ChiTiet!$C$5:$C$1004,B257,KT_DMTT_ChiTiet!$N$5:$N$1004,1))</f>
        <v/>
      </c>
      <c r="L257" s="39" t="str">
        <f t="shared" si="14"/>
        <v/>
      </c>
      <c r="M257" s="46" t="str">
        <f t="shared" si="15"/>
        <v/>
      </c>
      <c r="N257" s="35" t="str">
        <f>IF(B257="","",IF(K257=0,IF(J257=0,"Pass",IF(COUNTIFS(BOM!$B$5:$B$1004,B257,BOM!$G$5:$G$1004,"KXDDM")&gt;0,"KXDDM","Xem xét")),IF(ABS(M257)&lt;=ThongTin!$C$11,"Pass","Xem xét")))</f>
        <v/>
      </c>
    </row>
    <row r="258" spans="1:14" x14ac:dyDescent="0.25">
      <c r="A258" s="35" t="str">
        <f t="shared" si="12"/>
        <v/>
      </c>
      <c r="B258" s="35" t="str">
        <f>IF('Mau15'!B264="","",'Mau15'!B264)</f>
        <v/>
      </c>
      <c r="C258" s="35" t="str">
        <f>IF(B258="","",'Mau15'!C264)</f>
        <v/>
      </c>
      <c r="D258" s="35" t="str">
        <f>IF(B258="","",'Mau15'!D264)</f>
        <v/>
      </c>
      <c r="E258" s="39" t="str">
        <f>IF(B258="","",'Mau15'!I264)</f>
        <v/>
      </c>
      <c r="F258" s="39" t="str">
        <f>IF(B258="","",SUMIFS(Cau_noi!$B$5:$B$304,Cau_noi!$A$5:$A$304,B258))</f>
        <v/>
      </c>
      <c r="G258" s="39" t="str">
        <f>IF(B258="","",SUMIFS(Cau_noi!$C$5:$C$304,Cau_noi!$A$5:$A$304,B258))</f>
        <v/>
      </c>
      <c r="H258" s="39" t="str">
        <f>IF(B258="","",SUMIFS(Cau_noi!$D$5:$D$304,Cau_noi!$A$5:$A$304,B258))</f>
        <v/>
      </c>
      <c r="I258" s="39" t="str">
        <f>IF(B258="","",SUMIFS(Cau_noi!$E$5:$E$304,Cau_noi!$A$5:$A$304,B258))</f>
        <v/>
      </c>
      <c r="J258" s="39" t="str">
        <f t="shared" si="13"/>
        <v/>
      </c>
      <c r="K258" s="39" t="str">
        <f>IF(B258="","",SUMIFS(KT_DMTT_ChiTiet!$H$5:$H$1004,KT_DMTT_ChiTiet!$C$5:$C$1004,B258,KT_DMTT_ChiTiet!$N$5:$N$1004,1))</f>
        <v/>
      </c>
      <c r="L258" s="39" t="str">
        <f t="shared" si="14"/>
        <v/>
      </c>
      <c r="M258" s="46" t="str">
        <f t="shared" si="15"/>
        <v/>
      </c>
      <c r="N258" s="35" t="str">
        <f>IF(B258="","",IF(K258=0,IF(J258=0,"Pass",IF(COUNTIFS(BOM!$B$5:$B$1004,B258,BOM!$G$5:$G$1004,"KXDDM")&gt;0,"KXDDM","Xem xét")),IF(ABS(M258)&lt;=ThongTin!$C$11,"Pass","Xem xét")))</f>
        <v/>
      </c>
    </row>
    <row r="259" spans="1:14" x14ac:dyDescent="0.25">
      <c r="A259" s="35" t="str">
        <f t="shared" si="12"/>
        <v/>
      </c>
      <c r="B259" s="35" t="str">
        <f>IF('Mau15'!B265="","",'Mau15'!B265)</f>
        <v/>
      </c>
      <c r="C259" s="35" t="str">
        <f>IF(B259="","",'Mau15'!C265)</f>
        <v/>
      </c>
      <c r="D259" s="35" t="str">
        <f>IF(B259="","",'Mau15'!D265)</f>
        <v/>
      </c>
      <c r="E259" s="39" t="str">
        <f>IF(B259="","",'Mau15'!I265)</f>
        <v/>
      </c>
      <c r="F259" s="39" t="str">
        <f>IF(B259="","",SUMIFS(Cau_noi!$B$5:$B$304,Cau_noi!$A$5:$A$304,B259))</f>
        <v/>
      </c>
      <c r="G259" s="39" t="str">
        <f>IF(B259="","",SUMIFS(Cau_noi!$C$5:$C$304,Cau_noi!$A$5:$A$304,B259))</f>
        <v/>
      </c>
      <c r="H259" s="39" t="str">
        <f>IF(B259="","",SUMIFS(Cau_noi!$D$5:$D$304,Cau_noi!$A$5:$A$304,B259))</f>
        <v/>
      </c>
      <c r="I259" s="39" t="str">
        <f>IF(B259="","",SUMIFS(Cau_noi!$E$5:$E$304,Cau_noi!$A$5:$A$304,B259))</f>
        <v/>
      </c>
      <c r="J259" s="39" t="str">
        <f t="shared" si="13"/>
        <v/>
      </c>
      <c r="K259" s="39" t="str">
        <f>IF(B259="","",SUMIFS(KT_DMTT_ChiTiet!$H$5:$H$1004,KT_DMTT_ChiTiet!$C$5:$C$1004,B259,KT_DMTT_ChiTiet!$N$5:$N$1004,1))</f>
        <v/>
      </c>
      <c r="L259" s="39" t="str">
        <f t="shared" si="14"/>
        <v/>
      </c>
      <c r="M259" s="46" t="str">
        <f t="shared" si="15"/>
        <v/>
      </c>
      <c r="N259" s="35" t="str">
        <f>IF(B259="","",IF(K259=0,IF(J259=0,"Pass",IF(COUNTIFS(BOM!$B$5:$B$1004,B259,BOM!$G$5:$G$1004,"KXDDM")&gt;0,"KXDDM","Xem xét")),IF(ABS(M259)&lt;=ThongTin!$C$11,"Pass","Xem xét")))</f>
        <v/>
      </c>
    </row>
    <row r="260" spans="1:14" x14ac:dyDescent="0.25">
      <c r="A260" s="35" t="str">
        <f t="shared" si="12"/>
        <v/>
      </c>
      <c r="B260" s="35" t="str">
        <f>IF('Mau15'!B266="","",'Mau15'!B266)</f>
        <v/>
      </c>
      <c r="C260" s="35" t="str">
        <f>IF(B260="","",'Mau15'!C266)</f>
        <v/>
      </c>
      <c r="D260" s="35" t="str">
        <f>IF(B260="","",'Mau15'!D266)</f>
        <v/>
      </c>
      <c r="E260" s="39" t="str">
        <f>IF(B260="","",'Mau15'!I266)</f>
        <v/>
      </c>
      <c r="F260" s="39" t="str">
        <f>IF(B260="","",SUMIFS(Cau_noi!$B$5:$B$304,Cau_noi!$A$5:$A$304,B260))</f>
        <v/>
      </c>
      <c r="G260" s="39" t="str">
        <f>IF(B260="","",SUMIFS(Cau_noi!$C$5:$C$304,Cau_noi!$A$5:$A$304,B260))</f>
        <v/>
      </c>
      <c r="H260" s="39" t="str">
        <f>IF(B260="","",SUMIFS(Cau_noi!$D$5:$D$304,Cau_noi!$A$5:$A$304,B260))</f>
        <v/>
      </c>
      <c r="I260" s="39" t="str">
        <f>IF(B260="","",SUMIFS(Cau_noi!$E$5:$E$304,Cau_noi!$A$5:$A$304,B260))</f>
        <v/>
      </c>
      <c r="J260" s="39" t="str">
        <f t="shared" si="13"/>
        <v/>
      </c>
      <c r="K260" s="39" t="str">
        <f>IF(B260="","",SUMIFS(KT_DMTT_ChiTiet!$H$5:$H$1004,KT_DMTT_ChiTiet!$C$5:$C$1004,B260,KT_DMTT_ChiTiet!$N$5:$N$1004,1))</f>
        <v/>
      </c>
      <c r="L260" s="39" t="str">
        <f t="shared" si="14"/>
        <v/>
      </c>
      <c r="M260" s="46" t="str">
        <f t="shared" si="15"/>
        <v/>
      </c>
      <c r="N260" s="35" t="str">
        <f>IF(B260="","",IF(K260=0,IF(J260=0,"Pass",IF(COUNTIFS(BOM!$B$5:$B$1004,B260,BOM!$G$5:$G$1004,"KXDDM")&gt;0,"KXDDM","Xem xét")),IF(ABS(M260)&lt;=ThongTin!$C$11,"Pass","Xem xét")))</f>
        <v/>
      </c>
    </row>
    <row r="261" spans="1:14" x14ac:dyDescent="0.25">
      <c r="A261" s="35" t="str">
        <f t="shared" ref="A261:A324" si="16">IF(B261="","",ROW()-4)</f>
        <v/>
      </c>
      <c r="B261" s="35" t="str">
        <f>IF('Mau15'!B267="","",'Mau15'!B267)</f>
        <v/>
      </c>
      <c r="C261" s="35" t="str">
        <f>IF(B261="","",'Mau15'!C267)</f>
        <v/>
      </c>
      <c r="D261" s="35" t="str">
        <f>IF(B261="","",'Mau15'!D267)</f>
        <v/>
      </c>
      <c r="E261" s="39" t="str">
        <f>IF(B261="","",'Mau15'!I267)</f>
        <v/>
      </c>
      <c r="F261" s="39" t="str">
        <f>IF(B261="","",SUMIFS(Cau_noi!$B$5:$B$304,Cau_noi!$A$5:$A$304,B261))</f>
        <v/>
      </c>
      <c r="G261" s="39" t="str">
        <f>IF(B261="","",SUMIFS(Cau_noi!$C$5:$C$304,Cau_noi!$A$5:$A$304,B261))</f>
        <v/>
      </c>
      <c r="H261" s="39" t="str">
        <f>IF(B261="","",SUMIFS(Cau_noi!$D$5:$D$304,Cau_noi!$A$5:$A$304,B261))</f>
        <v/>
      </c>
      <c r="I261" s="39" t="str">
        <f>IF(B261="","",SUMIFS(Cau_noi!$E$5:$E$304,Cau_noi!$A$5:$A$304,B261))</f>
        <v/>
      </c>
      <c r="J261" s="39" t="str">
        <f t="shared" ref="J261:J324" si="17">IF(B261="","",E261+F261+G261-H261-I261)</f>
        <v/>
      </c>
      <c r="K261" s="39" t="str">
        <f>IF(B261="","",SUMIFS(KT_DMTT_ChiTiet!$H$5:$H$1004,KT_DMTT_ChiTiet!$C$5:$C$1004,B261,KT_DMTT_ChiTiet!$N$5:$N$1004,1))</f>
        <v/>
      </c>
      <c r="L261" s="39" t="str">
        <f t="shared" ref="L261:L324" si="18">IF(B261="","",J261-K261)</f>
        <v/>
      </c>
      <c r="M261" s="46" t="str">
        <f t="shared" ref="M261:M324" si="19">IF(OR(B261="",K261=0),"",L261/K261)</f>
        <v/>
      </c>
      <c r="N261" s="35" t="str">
        <f>IF(B261="","",IF(K261=0,IF(J261=0,"Pass",IF(COUNTIFS(BOM!$B$5:$B$1004,B261,BOM!$G$5:$G$1004,"KXDDM")&gt;0,"KXDDM","Xem xét")),IF(ABS(M261)&lt;=ThongTin!$C$11,"Pass","Xem xét")))</f>
        <v/>
      </c>
    </row>
    <row r="262" spans="1:14" x14ac:dyDescent="0.25">
      <c r="A262" s="35" t="str">
        <f t="shared" si="16"/>
        <v/>
      </c>
      <c r="B262" s="35" t="str">
        <f>IF('Mau15'!B268="","",'Mau15'!B268)</f>
        <v/>
      </c>
      <c r="C262" s="35" t="str">
        <f>IF(B262="","",'Mau15'!C268)</f>
        <v/>
      </c>
      <c r="D262" s="35" t="str">
        <f>IF(B262="","",'Mau15'!D268)</f>
        <v/>
      </c>
      <c r="E262" s="39" t="str">
        <f>IF(B262="","",'Mau15'!I268)</f>
        <v/>
      </c>
      <c r="F262" s="39" t="str">
        <f>IF(B262="","",SUMIFS(Cau_noi!$B$5:$B$304,Cau_noi!$A$5:$A$304,B262))</f>
        <v/>
      </c>
      <c r="G262" s="39" t="str">
        <f>IF(B262="","",SUMIFS(Cau_noi!$C$5:$C$304,Cau_noi!$A$5:$A$304,B262))</f>
        <v/>
      </c>
      <c r="H262" s="39" t="str">
        <f>IF(B262="","",SUMIFS(Cau_noi!$D$5:$D$304,Cau_noi!$A$5:$A$304,B262))</f>
        <v/>
      </c>
      <c r="I262" s="39" t="str">
        <f>IF(B262="","",SUMIFS(Cau_noi!$E$5:$E$304,Cau_noi!$A$5:$A$304,B262))</f>
        <v/>
      </c>
      <c r="J262" s="39" t="str">
        <f t="shared" si="17"/>
        <v/>
      </c>
      <c r="K262" s="39" t="str">
        <f>IF(B262="","",SUMIFS(KT_DMTT_ChiTiet!$H$5:$H$1004,KT_DMTT_ChiTiet!$C$5:$C$1004,B262,KT_DMTT_ChiTiet!$N$5:$N$1004,1))</f>
        <v/>
      </c>
      <c r="L262" s="39" t="str">
        <f t="shared" si="18"/>
        <v/>
      </c>
      <c r="M262" s="46" t="str">
        <f t="shared" si="19"/>
        <v/>
      </c>
      <c r="N262" s="35" t="str">
        <f>IF(B262="","",IF(K262=0,IF(J262=0,"Pass",IF(COUNTIFS(BOM!$B$5:$B$1004,B262,BOM!$G$5:$G$1004,"KXDDM")&gt;0,"KXDDM","Xem xét")),IF(ABS(M262)&lt;=ThongTin!$C$11,"Pass","Xem xét")))</f>
        <v/>
      </c>
    </row>
    <row r="263" spans="1:14" x14ac:dyDescent="0.25">
      <c r="A263" s="35" t="str">
        <f t="shared" si="16"/>
        <v/>
      </c>
      <c r="B263" s="35" t="str">
        <f>IF('Mau15'!B269="","",'Mau15'!B269)</f>
        <v/>
      </c>
      <c r="C263" s="35" t="str">
        <f>IF(B263="","",'Mau15'!C269)</f>
        <v/>
      </c>
      <c r="D263" s="35" t="str">
        <f>IF(B263="","",'Mau15'!D269)</f>
        <v/>
      </c>
      <c r="E263" s="39" t="str">
        <f>IF(B263="","",'Mau15'!I269)</f>
        <v/>
      </c>
      <c r="F263" s="39" t="str">
        <f>IF(B263="","",SUMIFS(Cau_noi!$B$5:$B$304,Cau_noi!$A$5:$A$304,B263))</f>
        <v/>
      </c>
      <c r="G263" s="39" t="str">
        <f>IF(B263="","",SUMIFS(Cau_noi!$C$5:$C$304,Cau_noi!$A$5:$A$304,B263))</f>
        <v/>
      </c>
      <c r="H263" s="39" t="str">
        <f>IF(B263="","",SUMIFS(Cau_noi!$D$5:$D$304,Cau_noi!$A$5:$A$304,B263))</f>
        <v/>
      </c>
      <c r="I263" s="39" t="str">
        <f>IF(B263="","",SUMIFS(Cau_noi!$E$5:$E$304,Cau_noi!$A$5:$A$304,B263))</f>
        <v/>
      </c>
      <c r="J263" s="39" t="str">
        <f t="shared" si="17"/>
        <v/>
      </c>
      <c r="K263" s="39" t="str">
        <f>IF(B263="","",SUMIFS(KT_DMTT_ChiTiet!$H$5:$H$1004,KT_DMTT_ChiTiet!$C$5:$C$1004,B263,KT_DMTT_ChiTiet!$N$5:$N$1004,1))</f>
        <v/>
      </c>
      <c r="L263" s="39" t="str">
        <f t="shared" si="18"/>
        <v/>
      </c>
      <c r="M263" s="46" t="str">
        <f t="shared" si="19"/>
        <v/>
      </c>
      <c r="N263" s="35" t="str">
        <f>IF(B263="","",IF(K263=0,IF(J263=0,"Pass",IF(COUNTIFS(BOM!$B$5:$B$1004,B263,BOM!$G$5:$G$1004,"KXDDM")&gt;0,"KXDDM","Xem xét")),IF(ABS(M263)&lt;=ThongTin!$C$11,"Pass","Xem xét")))</f>
        <v/>
      </c>
    </row>
    <row r="264" spans="1:14" x14ac:dyDescent="0.25">
      <c r="A264" s="35" t="str">
        <f t="shared" si="16"/>
        <v/>
      </c>
      <c r="B264" s="35" t="str">
        <f>IF('Mau15'!B270="","",'Mau15'!B270)</f>
        <v/>
      </c>
      <c r="C264" s="35" t="str">
        <f>IF(B264="","",'Mau15'!C270)</f>
        <v/>
      </c>
      <c r="D264" s="35" t="str">
        <f>IF(B264="","",'Mau15'!D270)</f>
        <v/>
      </c>
      <c r="E264" s="39" t="str">
        <f>IF(B264="","",'Mau15'!I270)</f>
        <v/>
      </c>
      <c r="F264" s="39" t="str">
        <f>IF(B264="","",SUMIFS(Cau_noi!$B$5:$B$304,Cau_noi!$A$5:$A$304,B264))</f>
        <v/>
      </c>
      <c r="G264" s="39" t="str">
        <f>IF(B264="","",SUMIFS(Cau_noi!$C$5:$C$304,Cau_noi!$A$5:$A$304,B264))</f>
        <v/>
      </c>
      <c r="H264" s="39" t="str">
        <f>IF(B264="","",SUMIFS(Cau_noi!$D$5:$D$304,Cau_noi!$A$5:$A$304,B264))</f>
        <v/>
      </c>
      <c r="I264" s="39" t="str">
        <f>IF(B264="","",SUMIFS(Cau_noi!$E$5:$E$304,Cau_noi!$A$5:$A$304,B264))</f>
        <v/>
      </c>
      <c r="J264" s="39" t="str">
        <f t="shared" si="17"/>
        <v/>
      </c>
      <c r="K264" s="39" t="str">
        <f>IF(B264="","",SUMIFS(KT_DMTT_ChiTiet!$H$5:$H$1004,KT_DMTT_ChiTiet!$C$5:$C$1004,B264,KT_DMTT_ChiTiet!$N$5:$N$1004,1))</f>
        <v/>
      </c>
      <c r="L264" s="39" t="str">
        <f t="shared" si="18"/>
        <v/>
      </c>
      <c r="M264" s="46" t="str">
        <f t="shared" si="19"/>
        <v/>
      </c>
      <c r="N264" s="35" t="str">
        <f>IF(B264="","",IF(K264=0,IF(J264=0,"Pass",IF(COUNTIFS(BOM!$B$5:$B$1004,B264,BOM!$G$5:$G$1004,"KXDDM")&gt;0,"KXDDM","Xem xét")),IF(ABS(M264)&lt;=ThongTin!$C$11,"Pass","Xem xét")))</f>
        <v/>
      </c>
    </row>
    <row r="265" spans="1:14" x14ac:dyDescent="0.25">
      <c r="A265" s="35" t="str">
        <f t="shared" si="16"/>
        <v/>
      </c>
      <c r="B265" s="35" t="str">
        <f>IF('Mau15'!B271="","",'Mau15'!B271)</f>
        <v/>
      </c>
      <c r="C265" s="35" t="str">
        <f>IF(B265="","",'Mau15'!C271)</f>
        <v/>
      </c>
      <c r="D265" s="35" t="str">
        <f>IF(B265="","",'Mau15'!D271)</f>
        <v/>
      </c>
      <c r="E265" s="39" t="str">
        <f>IF(B265="","",'Mau15'!I271)</f>
        <v/>
      </c>
      <c r="F265" s="39" t="str">
        <f>IF(B265="","",SUMIFS(Cau_noi!$B$5:$B$304,Cau_noi!$A$5:$A$304,B265))</f>
        <v/>
      </c>
      <c r="G265" s="39" t="str">
        <f>IF(B265="","",SUMIFS(Cau_noi!$C$5:$C$304,Cau_noi!$A$5:$A$304,B265))</f>
        <v/>
      </c>
      <c r="H265" s="39" t="str">
        <f>IF(B265="","",SUMIFS(Cau_noi!$D$5:$D$304,Cau_noi!$A$5:$A$304,B265))</f>
        <v/>
      </c>
      <c r="I265" s="39" t="str">
        <f>IF(B265="","",SUMIFS(Cau_noi!$E$5:$E$304,Cau_noi!$A$5:$A$304,B265))</f>
        <v/>
      </c>
      <c r="J265" s="39" t="str">
        <f t="shared" si="17"/>
        <v/>
      </c>
      <c r="K265" s="39" t="str">
        <f>IF(B265="","",SUMIFS(KT_DMTT_ChiTiet!$H$5:$H$1004,KT_DMTT_ChiTiet!$C$5:$C$1004,B265,KT_DMTT_ChiTiet!$N$5:$N$1004,1))</f>
        <v/>
      </c>
      <c r="L265" s="39" t="str">
        <f t="shared" si="18"/>
        <v/>
      </c>
      <c r="M265" s="46" t="str">
        <f t="shared" si="19"/>
        <v/>
      </c>
      <c r="N265" s="35" t="str">
        <f>IF(B265="","",IF(K265=0,IF(J265=0,"Pass",IF(COUNTIFS(BOM!$B$5:$B$1004,B265,BOM!$G$5:$G$1004,"KXDDM")&gt;0,"KXDDM","Xem xét")),IF(ABS(M265)&lt;=ThongTin!$C$11,"Pass","Xem xét")))</f>
        <v/>
      </c>
    </row>
    <row r="266" spans="1:14" x14ac:dyDescent="0.25">
      <c r="A266" s="35" t="str">
        <f t="shared" si="16"/>
        <v/>
      </c>
      <c r="B266" s="35" t="str">
        <f>IF('Mau15'!B272="","",'Mau15'!B272)</f>
        <v/>
      </c>
      <c r="C266" s="35" t="str">
        <f>IF(B266="","",'Mau15'!C272)</f>
        <v/>
      </c>
      <c r="D266" s="35" t="str">
        <f>IF(B266="","",'Mau15'!D272)</f>
        <v/>
      </c>
      <c r="E266" s="39" t="str">
        <f>IF(B266="","",'Mau15'!I272)</f>
        <v/>
      </c>
      <c r="F266" s="39" t="str">
        <f>IF(B266="","",SUMIFS(Cau_noi!$B$5:$B$304,Cau_noi!$A$5:$A$304,B266))</f>
        <v/>
      </c>
      <c r="G266" s="39" t="str">
        <f>IF(B266="","",SUMIFS(Cau_noi!$C$5:$C$304,Cau_noi!$A$5:$A$304,B266))</f>
        <v/>
      </c>
      <c r="H266" s="39" t="str">
        <f>IF(B266="","",SUMIFS(Cau_noi!$D$5:$D$304,Cau_noi!$A$5:$A$304,B266))</f>
        <v/>
      </c>
      <c r="I266" s="39" t="str">
        <f>IF(B266="","",SUMIFS(Cau_noi!$E$5:$E$304,Cau_noi!$A$5:$A$304,B266))</f>
        <v/>
      </c>
      <c r="J266" s="39" t="str">
        <f t="shared" si="17"/>
        <v/>
      </c>
      <c r="K266" s="39" t="str">
        <f>IF(B266="","",SUMIFS(KT_DMTT_ChiTiet!$H$5:$H$1004,KT_DMTT_ChiTiet!$C$5:$C$1004,B266,KT_DMTT_ChiTiet!$N$5:$N$1004,1))</f>
        <v/>
      </c>
      <c r="L266" s="39" t="str">
        <f t="shared" si="18"/>
        <v/>
      </c>
      <c r="M266" s="46" t="str">
        <f t="shared" si="19"/>
        <v/>
      </c>
      <c r="N266" s="35" t="str">
        <f>IF(B266="","",IF(K266=0,IF(J266=0,"Pass",IF(COUNTIFS(BOM!$B$5:$B$1004,B266,BOM!$G$5:$G$1004,"KXDDM")&gt;0,"KXDDM","Xem xét")),IF(ABS(M266)&lt;=ThongTin!$C$11,"Pass","Xem xét")))</f>
        <v/>
      </c>
    </row>
    <row r="267" spans="1:14" x14ac:dyDescent="0.25">
      <c r="A267" s="35" t="str">
        <f t="shared" si="16"/>
        <v/>
      </c>
      <c r="B267" s="35" t="str">
        <f>IF('Mau15'!B273="","",'Mau15'!B273)</f>
        <v/>
      </c>
      <c r="C267" s="35" t="str">
        <f>IF(B267="","",'Mau15'!C273)</f>
        <v/>
      </c>
      <c r="D267" s="35" t="str">
        <f>IF(B267="","",'Mau15'!D273)</f>
        <v/>
      </c>
      <c r="E267" s="39" t="str">
        <f>IF(B267="","",'Mau15'!I273)</f>
        <v/>
      </c>
      <c r="F267" s="39" t="str">
        <f>IF(B267="","",SUMIFS(Cau_noi!$B$5:$B$304,Cau_noi!$A$5:$A$304,B267))</f>
        <v/>
      </c>
      <c r="G267" s="39" t="str">
        <f>IF(B267="","",SUMIFS(Cau_noi!$C$5:$C$304,Cau_noi!$A$5:$A$304,B267))</f>
        <v/>
      </c>
      <c r="H267" s="39" t="str">
        <f>IF(B267="","",SUMIFS(Cau_noi!$D$5:$D$304,Cau_noi!$A$5:$A$304,B267))</f>
        <v/>
      </c>
      <c r="I267" s="39" t="str">
        <f>IF(B267="","",SUMIFS(Cau_noi!$E$5:$E$304,Cau_noi!$A$5:$A$304,B267))</f>
        <v/>
      </c>
      <c r="J267" s="39" t="str">
        <f t="shared" si="17"/>
        <v/>
      </c>
      <c r="K267" s="39" t="str">
        <f>IF(B267="","",SUMIFS(KT_DMTT_ChiTiet!$H$5:$H$1004,KT_DMTT_ChiTiet!$C$5:$C$1004,B267,KT_DMTT_ChiTiet!$N$5:$N$1004,1))</f>
        <v/>
      </c>
      <c r="L267" s="39" t="str">
        <f t="shared" si="18"/>
        <v/>
      </c>
      <c r="M267" s="46" t="str">
        <f t="shared" si="19"/>
        <v/>
      </c>
      <c r="N267" s="35" t="str">
        <f>IF(B267="","",IF(K267=0,IF(J267=0,"Pass",IF(COUNTIFS(BOM!$B$5:$B$1004,B267,BOM!$G$5:$G$1004,"KXDDM")&gt;0,"KXDDM","Xem xét")),IF(ABS(M267)&lt;=ThongTin!$C$11,"Pass","Xem xét")))</f>
        <v/>
      </c>
    </row>
    <row r="268" spans="1:14" x14ac:dyDescent="0.25">
      <c r="A268" s="35" t="str">
        <f t="shared" si="16"/>
        <v/>
      </c>
      <c r="B268" s="35" t="str">
        <f>IF('Mau15'!B274="","",'Mau15'!B274)</f>
        <v/>
      </c>
      <c r="C268" s="35" t="str">
        <f>IF(B268="","",'Mau15'!C274)</f>
        <v/>
      </c>
      <c r="D268" s="35" t="str">
        <f>IF(B268="","",'Mau15'!D274)</f>
        <v/>
      </c>
      <c r="E268" s="39" t="str">
        <f>IF(B268="","",'Mau15'!I274)</f>
        <v/>
      </c>
      <c r="F268" s="39" t="str">
        <f>IF(B268="","",SUMIFS(Cau_noi!$B$5:$B$304,Cau_noi!$A$5:$A$304,B268))</f>
        <v/>
      </c>
      <c r="G268" s="39" t="str">
        <f>IF(B268="","",SUMIFS(Cau_noi!$C$5:$C$304,Cau_noi!$A$5:$A$304,B268))</f>
        <v/>
      </c>
      <c r="H268" s="39" t="str">
        <f>IF(B268="","",SUMIFS(Cau_noi!$D$5:$D$304,Cau_noi!$A$5:$A$304,B268))</f>
        <v/>
      </c>
      <c r="I268" s="39" t="str">
        <f>IF(B268="","",SUMIFS(Cau_noi!$E$5:$E$304,Cau_noi!$A$5:$A$304,B268))</f>
        <v/>
      </c>
      <c r="J268" s="39" t="str">
        <f t="shared" si="17"/>
        <v/>
      </c>
      <c r="K268" s="39" t="str">
        <f>IF(B268="","",SUMIFS(KT_DMTT_ChiTiet!$H$5:$H$1004,KT_DMTT_ChiTiet!$C$5:$C$1004,B268,KT_DMTT_ChiTiet!$N$5:$N$1004,1))</f>
        <v/>
      </c>
      <c r="L268" s="39" t="str">
        <f t="shared" si="18"/>
        <v/>
      </c>
      <c r="M268" s="46" t="str">
        <f t="shared" si="19"/>
        <v/>
      </c>
      <c r="N268" s="35" t="str">
        <f>IF(B268="","",IF(K268=0,IF(J268=0,"Pass",IF(COUNTIFS(BOM!$B$5:$B$1004,B268,BOM!$G$5:$G$1004,"KXDDM")&gt;0,"KXDDM","Xem xét")),IF(ABS(M268)&lt;=ThongTin!$C$11,"Pass","Xem xét")))</f>
        <v/>
      </c>
    </row>
    <row r="269" spans="1:14" x14ac:dyDescent="0.25">
      <c r="A269" s="35" t="str">
        <f t="shared" si="16"/>
        <v/>
      </c>
      <c r="B269" s="35" t="str">
        <f>IF('Mau15'!B275="","",'Mau15'!B275)</f>
        <v/>
      </c>
      <c r="C269" s="35" t="str">
        <f>IF(B269="","",'Mau15'!C275)</f>
        <v/>
      </c>
      <c r="D269" s="35" t="str">
        <f>IF(B269="","",'Mau15'!D275)</f>
        <v/>
      </c>
      <c r="E269" s="39" t="str">
        <f>IF(B269="","",'Mau15'!I275)</f>
        <v/>
      </c>
      <c r="F269" s="39" t="str">
        <f>IF(B269="","",SUMIFS(Cau_noi!$B$5:$B$304,Cau_noi!$A$5:$A$304,B269))</f>
        <v/>
      </c>
      <c r="G269" s="39" t="str">
        <f>IF(B269="","",SUMIFS(Cau_noi!$C$5:$C$304,Cau_noi!$A$5:$A$304,B269))</f>
        <v/>
      </c>
      <c r="H269" s="39" t="str">
        <f>IF(B269="","",SUMIFS(Cau_noi!$D$5:$D$304,Cau_noi!$A$5:$A$304,B269))</f>
        <v/>
      </c>
      <c r="I269" s="39" t="str">
        <f>IF(B269="","",SUMIFS(Cau_noi!$E$5:$E$304,Cau_noi!$A$5:$A$304,B269))</f>
        <v/>
      </c>
      <c r="J269" s="39" t="str">
        <f t="shared" si="17"/>
        <v/>
      </c>
      <c r="K269" s="39" t="str">
        <f>IF(B269="","",SUMIFS(KT_DMTT_ChiTiet!$H$5:$H$1004,KT_DMTT_ChiTiet!$C$5:$C$1004,B269,KT_DMTT_ChiTiet!$N$5:$N$1004,1))</f>
        <v/>
      </c>
      <c r="L269" s="39" t="str">
        <f t="shared" si="18"/>
        <v/>
      </c>
      <c r="M269" s="46" t="str">
        <f t="shared" si="19"/>
        <v/>
      </c>
      <c r="N269" s="35" t="str">
        <f>IF(B269="","",IF(K269=0,IF(J269=0,"Pass",IF(COUNTIFS(BOM!$B$5:$B$1004,B269,BOM!$G$5:$G$1004,"KXDDM")&gt;0,"KXDDM","Xem xét")),IF(ABS(M269)&lt;=ThongTin!$C$11,"Pass","Xem xét")))</f>
        <v/>
      </c>
    </row>
    <row r="270" spans="1:14" x14ac:dyDescent="0.25">
      <c r="A270" s="35" t="str">
        <f t="shared" si="16"/>
        <v/>
      </c>
      <c r="B270" s="35" t="str">
        <f>IF('Mau15'!B276="","",'Mau15'!B276)</f>
        <v/>
      </c>
      <c r="C270" s="35" t="str">
        <f>IF(B270="","",'Mau15'!C276)</f>
        <v/>
      </c>
      <c r="D270" s="35" t="str">
        <f>IF(B270="","",'Mau15'!D276)</f>
        <v/>
      </c>
      <c r="E270" s="39" t="str">
        <f>IF(B270="","",'Mau15'!I276)</f>
        <v/>
      </c>
      <c r="F270" s="39" t="str">
        <f>IF(B270="","",SUMIFS(Cau_noi!$B$5:$B$304,Cau_noi!$A$5:$A$304,B270))</f>
        <v/>
      </c>
      <c r="G270" s="39" t="str">
        <f>IF(B270="","",SUMIFS(Cau_noi!$C$5:$C$304,Cau_noi!$A$5:$A$304,B270))</f>
        <v/>
      </c>
      <c r="H270" s="39" t="str">
        <f>IF(B270="","",SUMIFS(Cau_noi!$D$5:$D$304,Cau_noi!$A$5:$A$304,B270))</f>
        <v/>
      </c>
      <c r="I270" s="39" t="str">
        <f>IF(B270="","",SUMIFS(Cau_noi!$E$5:$E$304,Cau_noi!$A$5:$A$304,B270))</f>
        <v/>
      </c>
      <c r="J270" s="39" t="str">
        <f t="shared" si="17"/>
        <v/>
      </c>
      <c r="K270" s="39" t="str">
        <f>IF(B270="","",SUMIFS(KT_DMTT_ChiTiet!$H$5:$H$1004,KT_DMTT_ChiTiet!$C$5:$C$1004,B270,KT_DMTT_ChiTiet!$N$5:$N$1004,1))</f>
        <v/>
      </c>
      <c r="L270" s="39" t="str">
        <f t="shared" si="18"/>
        <v/>
      </c>
      <c r="M270" s="46" t="str">
        <f t="shared" si="19"/>
        <v/>
      </c>
      <c r="N270" s="35" t="str">
        <f>IF(B270="","",IF(K270=0,IF(J270=0,"Pass",IF(COUNTIFS(BOM!$B$5:$B$1004,B270,BOM!$G$5:$G$1004,"KXDDM")&gt;0,"KXDDM","Xem xét")),IF(ABS(M270)&lt;=ThongTin!$C$11,"Pass","Xem xét")))</f>
        <v/>
      </c>
    </row>
    <row r="271" spans="1:14" x14ac:dyDescent="0.25">
      <c r="A271" s="35" t="str">
        <f t="shared" si="16"/>
        <v/>
      </c>
      <c r="B271" s="35" t="str">
        <f>IF('Mau15'!B277="","",'Mau15'!B277)</f>
        <v/>
      </c>
      <c r="C271" s="35" t="str">
        <f>IF(B271="","",'Mau15'!C277)</f>
        <v/>
      </c>
      <c r="D271" s="35" t="str">
        <f>IF(B271="","",'Mau15'!D277)</f>
        <v/>
      </c>
      <c r="E271" s="39" t="str">
        <f>IF(B271="","",'Mau15'!I277)</f>
        <v/>
      </c>
      <c r="F271" s="39" t="str">
        <f>IF(B271="","",SUMIFS(Cau_noi!$B$5:$B$304,Cau_noi!$A$5:$A$304,B271))</f>
        <v/>
      </c>
      <c r="G271" s="39" t="str">
        <f>IF(B271="","",SUMIFS(Cau_noi!$C$5:$C$304,Cau_noi!$A$5:$A$304,B271))</f>
        <v/>
      </c>
      <c r="H271" s="39" t="str">
        <f>IF(B271="","",SUMIFS(Cau_noi!$D$5:$D$304,Cau_noi!$A$5:$A$304,B271))</f>
        <v/>
      </c>
      <c r="I271" s="39" t="str">
        <f>IF(B271="","",SUMIFS(Cau_noi!$E$5:$E$304,Cau_noi!$A$5:$A$304,B271))</f>
        <v/>
      </c>
      <c r="J271" s="39" t="str">
        <f t="shared" si="17"/>
        <v/>
      </c>
      <c r="K271" s="39" t="str">
        <f>IF(B271="","",SUMIFS(KT_DMTT_ChiTiet!$H$5:$H$1004,KT_DMTT_ChiTiet!$C$5:$C$1004,B271,KT_DMTT_ChiTiet!$N$5:$N$1004,1))</f>
        <v/>
      </c>
      <c r="L271" s="39" t="str">
        <f t="shared" si="18"/>
        <v/>
      </c>
      <c r="M271" s="46" t="str">
        <f t="shared" si="19"/>
        <v/>
      </c>
      <c r="N271" s="35" t="str">
        <f>IF(B271="","",IF(K271=0,IF(J271=0,"Pass",IF(COUNTIFS(BOM!$B$5:$B$1004,B271,BOM!$G$5:$G$1004,"KXDDM")&gt;0,"KXDDM","Xem xét")),IF(ABS(M271)&lt;=ThongTin!$C$11,"Pass","Xem xét")))</f>
        <v/>
      </c>
    </row>
    <row r="272" spans="1:14" x14ac:dyDescent="0.25">
      <c r="A272" s="35" t="str">
        <f t="shared" si="16"/>
        <v/>
      </c>
      <c r="B272" s="35" t="str">
        <f>IF('Mau15'!B278="","",'Mau15'!B278)</f>
        <v/>
      </c>
      <c r="C272" s="35" t="str">
        <f>IF(B272="","",'Mau15'!C278)</f>
        <v/>
      </c>
      <c r="D272" s="35" t="str">
        <f>IF(B272="","",'Mau15'!D278)</f>
        <v/>
      </c>
      <c r="E272" s="39" t="str">
        <f>IF(B272="","",'Mau15'!I278)</f>
        <v/>
      </c>
      <c r="F272" s="39" t="str">
        <f>IF(B272="","",SUMIFS(Cau_noi!$B$5:$B$304,Cau_noi!$A$5:$A$304,B272))</f>
        <v/>
      </c>
      <c r="G272" s="39" t="str">
        <f>IF(B272="","",SUMIFS(Cau_noi!$C$5:$C$304,Cau_noi!$A$5:$A$304,B272))</f>
        <v/>
      </c>
      <c r="H272" s="39" t="str">
        <f>IF(B272="","",SUMIFS(Cau_noi!$D$5:$D$304,Cau_noi!$A$5:$A$304,B272))</f>
        <v/>
      </c>
      <c r="I272" s="39" t="str">
        <f>IF(B272="","",SUMIFS(Cau_noi!$E$5:$E$304,Cau_noi!$A$5:$A$304,B272))</f>
        <v/>
      </c>
      <c r="J272" s="39" t="str">
        <f t="shared" si="17"/>
        <v/>
      </c>
      <c r="K272" s="39" t="str">
        <f>IF(B272="","",SUMIFS(KT_DMTT_ChiTiet!$H$5:$H$1004,KT_DMTT_ChiTiet!$C$5:$C$1004,B272,KT_DMTT_ChiTiet!$N$5:$N$1004,1))</f>
        <v/>
      </c>
      <c r="L272" s="39" t="str">
        <f t="shared" si="18"/>
        <v/>
      </c>
      <c r="M272" s="46" t="str">
        <f t="shared" si="19"/>
        <v/>
      </c>
      <c r="N272" s="35" t="str">
        <f>IF(B272="","",IF(K272=0,IF(J272=0,"Pass",IF(COUNTIFS(BOM!$B$5:$B$1004,B272,BOM!$G$5:$G$1004,"KXDDM")&gt;0,"KXDDM","Xem xét")),IF(ABS(M272)&lt;=ThongTin!$C$11,"Pass","Xem xét")))</f>
        <v/>
      </c>
    </row>
    <row r="273" spans="1:14" x14ac:dyDescent="0.25">
      <c r="A273" s="35" t="str">
        <f t="shared" si="16"/>
        <v/>
      </c>
      <c r="B273" s="35" t="str">
        <f>IF('Mau15'!B279="","",'Mau15'!B279)</f>
        <v/>
      </c>
      <c r="C273" s="35" t="str">
        <f>IF(B273="","",'Mau15'!C279)</f>
        <v/>
      </c>
      <c r="D273" s="35" t="str">
        <f>IF(B273="","",'Mau15'!D279)</f>
        <v/>
      </c>
      <c r="E273" s="39" t="str">
        <f>IF(B273="","",'Mau15'!I279)</f>
        <v/>
      </c>
      <c r="F273" s="39" t="str">
        <f>IF(B273="","",SUMIFS(Cau_noi!$B$5:$B$304,Cau_noi!$A$5:$A$304,B273))</f>
        <v/>
      </c>
      <c r="G273" s="39" t="str">
        <f>IF(B273="","",SUMIFS(Cau_noi!$C$5:$C$304,Cau_noi!$A$5:$A$304,B273))</f>
        <v/>
      </c>
      <c r="H273" s="39" t="str">
        <f>IF(B273="","",SUMIFS(Cau_noi!$D$5:$D$304,Cau_noi!$A$5:$A$304,B273))</f>
        <v/>
      </c>
      <c r="I273" s="39" t="str">
        <f>IF(B273="","",SUMIFS(Cau_noi!$E$5:$E$304,Cau_noi!$A$5:$A$304,B273))</f>
        <v/>
      </c>
      <c r="J273" s="39" t="str">
        <f t="shared" si="17"/>
        <v/>
      </c>
      <c r="K273" s="39" t="str">
        <f>IF(B273="","",SUMIFS(KT_DMTT_ChiTiet!$H$5:$H$1004,KT_DMTT_ChiTiet!$C$5:$C$1004,B273,KT_DMTT_ChiTiet!$N$5:$N$1004,1))</f>
        <v/>
      </c>
      <c r="L273" s="39" t="str">
        <f t="shared" si="18"/>
        <v/>
      </c>
      <c r="M273" s="46" t="str">
        <f t="shared" si="19"/>
        <v/>
      </c>
      <c r="N273" s="35" t="str">
        <f>IF(B273="","",IF(K273=0,IF(J273=0,"Pass",IF(COUNTIFS(BOM!$B$5:$B$1004,B273,BOM!$G$5:$G$1004,"KXDDM")&gt;0,"KXDDM","Xem xét")),IF(ABS(M273)&lt;=ThongTin!$C$11,"Pass","Xem xét")))</f>
        <v/>
      </c>
    </row>
    <row r="274" spans="1:14" x14ac:dyDescent="0.25">
      <c r="A274" s="35" t="str">
        <f t="shared" si="16"/>
        <v/>
      </c>
      <c r="B274" s="35" t="str">
        <f>IF('Mau15'!B280="","",'Mau15'!B280)</f>
        <v/>
      </c>
      <c r="C274" s="35" t="str">
        <f>IF(B274="","",'Mau15'!C280)</f>
        <v/>
      </c>
      <c r="D274" s="35" t="str">
        <f>IF(B274="","",'Mau15'!D280)</f>
        <v/>
      </c>
      <c r="E274" s="39" t="str">
        <f>IF(B274="","",'Mau15'!I280)</f>
        <v/>
      </c>
      <c r="F274" s="39" t="str">
        <f>IF(B274="","",SUMIFS(Cau_noi!$B$5:$B$304,Cau_noi!$A$5:$A$304,B274))</f>
        <v/>
      </c>
      <c r="G274" s="39" t="str">
        <f>IF(B274="","",SUMIFS(Cau_noi!$C$5:$C$304,Cau_noi!$A$5:$A$304,B274))</f>
        <v/>
      </c>
      <c r="H274" s="39" t="str">
        <f>IF(B274="","",SUMIFS(Cau_noi!$D$5:$D$304,Cau_noi!$A$5:$A$304,B274))</f>
        <v/>
      </c>
      <c r="I274" s="39" t="str">
        <f>IF(B274="","",SUMIFS(Cau_noi!$E$5:$E$304,Cau_noi!$A$5:$A$304,B274))</f>
        <v/>
      </c>
      <c r="J274" s="39" t="str">
        <f t="shared" si="17"/>
        <v/>
      </c>
      <c r="K274" s="39" t="str">
        <f>IF(B274="","",SUMIFS(KT_DMTT_ChiTiet!$H$5:$H$1004,KT_DMTT_ChiTiet!$C$5:$C$1004,B274,KT_DMTT_ChiTiet!$N$5:$N$1004,1))</f>
        <v/>
      </c>
      <c r="L274" s="39" t="str">
        <f t="shared" si="18"/>
        <v/>
      </c>
      <c r="M274" s="46" t="str">
        <f t="shared" si="19"/>
        <v/>
      </c>
      <c r="N274" s="35" t="str">
        <f>IF(B274="","",IF(K274=0,IF(J274=0,"Pass",IF(COUNTIFS(BOM!$B$5:$B$1004,B274,BOM!$G$5:$G$1004,"KXDDM")&gt;0,"KXDDM","Xem xét")),IF(ABS(M274)&lt;=ThongTin!$C$11,"Pass","Xem xét")))</f>
        <v/>
      </c>
    </row>
    <row r="275" spans="1:14" x14ac:dyDescent="0.25">
      <c r="A275" s="35" t="str">
        <f t="shared" si="16"/>
        <v/>
      </c>
      <c r="B275" s="35" t="str">
        <f>IF('Mau15'!B281="","",'Mau15'!B281)</f>
        <v/>
      </c>
      <c r="C275" s="35" t="str">
        <f>IF(B275="","",'Mau15'!C281)</f>
        <v/>
      </c>
      <c r="D275" s="35" t="str">
        <f>IF(B275="","",'Mau15'!D281)</f>
        <v/>
      </c>
      <c r="E275" s="39" t="str">
        <f>IF(B275="","",'Mau15'!I281)</f>
        <v/>
      </c>
      <c r="F275" s="39" t="str">
        <f>IF(B275="","",SUMIFS(Cau_noi!$B$5:$B$304,Cau_noi!$A$5:$A$304,B275))</f>
        <v/>
      </c>
      <c r="G275" s="39" t="str">
        <f>IF(B275="","",SUMIFS(Cau_noi!$C$5:$C$304,Cau_noi!$A$5:$A$304,B275))</f>
        <v/>
      </c>
      <c r="H275" s="39" t="str">
        <f>IF(B275="","",SUMIFS(Cau_noi!$D$5:$D$304,Cau_noi!$A$5:$A$304,B275))</f>
        <v/>
      </c>
      <c r="I275" s="39" t="str">
        <f>IF(B275="","",SUMIFS(Cau_noi!$E$5:$E$304,Cau_noi!$A$5:$A$304,B275))</f>
        <v/>
      </c>
      <c r="J275" s="39" t="str">
        <f t="shared" si="17"/>
        <v/>
      </c>
      <c r="K275" s="39" t="str">
        <f>IF(B275="","",SUMIFS(KT_DMTT_ChiTiet!$H$5:$H$1004,KT_DMTT_ChiTiet!$C$5:$C$1004,B275,KT_DMTT_ChiTiet!$N$5:$N$1004,1))</f>
        <v/>
      </c>
      <c r="L275" s="39" t="str">
        <f t="shared" si="18"/>
        <v/>
      </c>
      <c r="M275" s="46" t="str">
        <f t="shared" si="19"/>
        <v/>
      </c>
      <c r="N275" s="35" t="str">
        <f>IF(B275="","",IF(K275=0,IF(J275=0,"Pass",IF(COUNTIFS(BOM!$B$5:$B$1004,B275,BOM!$G$5:$G$1004,"KXDDM")&gt;0,"KXDDM","Xem xét")),IF(ABS(M275)&lt;=ThongTin!$C$11,"Pass","Xem xét")))</f>
        <v/>
      </c>
    </row>
    <row r="276" spans="1:14" x14ac:dyDescent="0.25">
      <c r="A276" s="35" t="str">
        <f t="shared" si="16"/>
        <v/>
      </c>
      <c r="B276" s="35" t="str">
        <f>IF('Mau15'!B282="","",'Mau15'!B282)</f>
        <v/>
      </c>
      <c r="C276" s="35" t="str">
        <f>IF(B276="","",'Mau15'!C282)</f>
        <v/>
      </c>
      <c r="D276" s="35" t="str">
        <f>IF(B276="","",'Mau15'!D282)</f>
        <v/>
      </c>
      <c r="E276" s="39" t="str">
        <f>IF(B276="","",'Mau15'!I282)</f>
        <v/>
      </c>
      <c r="F276" s="39" t="str">
        <f>IF(B276="","",SUMIFS(Cau_noi!$B$5:$B$304,Cau_noi!$A$5:$A$304,B276))</f>
        <v/>
      </c>
      <c r="G276" s="39" t="str">
        <f>IF(B276="","",SUMIFS(Cau_noi!$C$5:$C$304,Cau_noi!$A$5:$A$304,B276))</f>
        <v/>
      </c>
      <c r="H276" s="39" t="str">
        <f>IF(B276="","",SUMIFS(Cau_noi!$D$5:$D$304,Cau_noi!$A$5:$A$304,B276))</f>
        <v/>
      </c>
      <c r="I276" s="39" t="str">
        <f>IF(B276="","",SUMIFS(Cau_noi!$E$5:$E$304,Cau_noi!$A$5:$A$304,B276))</f>
        <v/>
      </c>
      <c r="J276" s="39" t="str">
        <f t="shared" si="17"/>
        <v/>
      </c>
      <c r="K276" s="39" t="str">
        <f>IF(B276="","",SUMIFS(KT_DMTT_ChiTiet!$H$5:$H$1004,KT_DMTT_ChiTiet!$C$5:$C$1004,B276,KT_DMTT_ChiTiet!$N$5:$N$1004,1))</f>
        <v/>
      </c>
      <c r="L276" s="39" t="str">
        <f t="shared" si="18"/>
        <v/>
      </c>
      <c r="M276" s="46" t="str">
        <f t="shared" si="19"/>
        <v/>
      </c>
      <c r="N276" s="35" t="str">
        <f>IF(B276="","",IF(K276=0,IF(J276=0,"Pass",IF(COUNTIFS(BOM!$B$5:$B$1004,B276,BOM!$G$5:$G$1004,"KXDDM")&gt;0,"KXDDM","Xem xét")),IF(ABS(M276)&lt;=ThongTin!$C$11,"Pass","Xem xét")))</f>
        <v/>
      </c>
    </row>
    <row r="277" spans="1:14" x14ac:dyDescent="0.25">
      <c r="A277" s="35" t="str">
        <f t="shared" si="16"/>
        <v/>
      </c>
      <c r="B277" s="35" t="str">
        <f>IF('Mau15'!B283="","",'Mau15'!B283)</f>
        <v/>
      </c>
      <c r="C277" s="35" t="str">
        <f>IF(B277="","",'Mau15'!C283)</f>
        <v/>
      </c>
      <c r="D277" s="35" t="str">
        <f>IF(B277="","",'Mau15'!D283)</f>
        <v/>
      </c>
      <c r="E277" s="39" t="str">
        <f>IF(B277="","",'Mau15'!I283)</f>
        <v/>
      </c>
      <c r="F277" s="39" t="str">
        <f>IF(B277="","",SUMIFS(Cau_noi!$B$5:$B$304,Cau_noi!$A$5:$A$304,B277))</f>
        <v/>
      </c>
      <c r="G277" s="39" t="str">
        <f>IF(B277="","",SUMIFS(Cau_noi!$C$5:$C$304,Cau_noi!$A$5:$A$304,B277))</f>
        <v/>
      </c>
      <c r="H277" s="39" t="str">
        <f>IF(B277="","",SUMIFS(Cau_noi!$D$5:$D$304,Cau_noi!$A$5:$A$304,B277))</f>
        <v/>
      </c>
      <c r="I277" s="39" t="str">
        <f>IF(B277="","",SUMIFS(Cau_noi!$E$5:$E$304,Cau_noi!$A$5:$A$304,B277))</f>
        <v/>
      </c>
      <c r="J277" s="39" t="str">
        <f t="shared" si="17"/>
        <v/>
      </c>
      <c r="K277" s="39" t="str">
        <f>IF(B277="","",SUMIFS(KT_DMTT_ChiTiet!$H$5:$H$1004,KT_DMTT_ChiTiet!$C$5:$C$1004,B277,KT_DMTT_ChiTiet!$N$5:$N$1004,1))</f>
        <v/>
      </c>
      <c r="L277" s="39" t="str">
        <f t="shared" si="18"/>
        <v/>
      </c>
      <c r="M277" s="46" t="str">
        <f t="shared" si="19"/>
        <v/>
      </c>
      <c r="N277" s="35" t="str">
        <f>IF(B277="","",IF(K277=0,IF(J277=0,"Pass",IF(COUNTIFS(BOM!$B$5:$B$1004,B277,BOM!$G$5:$G$1004,"KXDDM")&gt;0,"KXDDM","Xem xét")),IF(ABS(M277)&lt;=ThongTin!$C$11,"Pass","Xem xét")))</f>
        <v/>
      </c>
    </row>
    <row r="278" spans="1:14" x14ac:dyDescent="0.25">
      <c r="A278" s="35" t="str">
        <f t="shared" si="16"/>
        <v/>
      </c>
      <c r="B278" s="35" t="str">
        <f>IF('Mau15'!B284="","",'Mau15'!B284)</f>
        <v/>
      </c>
      <c r="C278" s="35" t="str">
        <f>IF(B278="","",'Mau15'!C284)</f>
        <v/>
      </c>
      <c r="D278" s="35" t="str">
        <f>IF(B278="","",'Mau15'!D284)</f>
        <v/>
      </c>
      <c r="E278" s="39" t="str">
        <f>IF(B278="","",'Mau15'!I284)</f>
        <v/>
      </c>
      <c r="F278" s="39" t="str">
        <f>IF(B278="","",SUMIFS(Cau_noi!$B$5:$B$304,Cau_noi!$A$5:$A$304,B278))</f>
        <v/>
      </c>
      <c r="G278" s="39" t="str">
        <f>IF(B278="","",SUMIFS(Cau_noi!$C$5:$C$304,Cau_noi!$A$5:$A$304,B278))</f>
        <v/>
      </c>
      <c r="H278" s="39" t="str">
        <f>IF(B278="","",SUMIFS(Cau_noi!$D$5:$D$304,Cau_noi!$A$5:$A$304,B278))</f>
        <v/>
      </c>
      <c r="I278" s="39" t="str">
        <f>IF(B278="","",SUMIFS(Cau_noi!$E$5:$E$304,Cau_noi!$A$5:$A$304,B278))</f>
        <v/>
      </c>
      <c r="J278" s="39" t="str">
        <f t="shared" si="17"/>
        <v/>
      </c>
      <c r="K278" s="39" t="str">
        <f>IF(B278="","",SUMIFS(KT_DMTT_ChiTiet!$H$5:$H$1004,KT_DMTT_ChiTiet!$C$5:$C$1004,B278,KT_DMTT_ChiTiet!$N$5:$N$1004,1))</f>
        <v/>
      </c>
      <c r="L278" s="39" t="str">
        <f t="shared" si="18"/>
        <v/>
      </c>
      <c r="M278" s="46" t="str">
        <f t="shared" si="19"/>
        <v/>
      </c>
      <c r="N278" s="35" t="str">
        <f>IF(B278="","",IF(K278=0,IF(J278=0,"Pass",IF(COUNTIFS(BOM!$B$5:$B$1004,B278,BOM!$G$5:$G$1004,"KXDDM")&gt;0,"KXDDM","Xem xét")),IF(ABS(M278)&lt;=ThongTin!$C$11,"Pass","Xem xét")))</f>
        <v/>
      </c>
    </row>
    <row r="279" spans="1:14" x14ac:dyDescent="0.25">
      <c r="A279" s="35" t="str">
        <f t="shared" si="16"/>
        <v/>
      </c>
      <c r="B279" s="35" t="str">
        <f>IF('Mau15'!B285="","",'Mau15'!B285)</f>
        <v/>
      </c>
      <c r="C279" s="35" t="str">
        <f>IF(B279="","",'Mau15'!C285)</f>
        <v/>
      </c>
      <c r="D279" s="35" t="str">
        <f>IF(B279="","",'Mau15'!D285)</f>
        <v/>
      </c>
      <c r="E279" s="39" t="str">
        <f>IF(B279="","",'Mau15'!I285)</f>
        <v/>
      </c>
      <c r="F279" s="39" t="str">
        <f>IF(B279="","",SUMIFS(Cau_noi!$B$5:$B$304,Cau_noi!$A$5:$A$304,B279))</f>
        <v/>
      </c>
      <c r="G279" s="39" t="str">
        <f>IF(B279="","",SUMIFS(Cau_noi!$C$5:$C$304,Cau_noi!$A$5:$A$304,B279))</f>
        <v/>
      </c>
      <c r="H279" s="39" t="str">
        <f>IF(B279="","",SUMIFS(Cau_noi!$D$5:$D$304,Cau_noi!$A$5:$A$304,B279))</f>
        <v/>
      </c>
      <c r="I279" s="39" t="str">
        <f>IF(B279="","",SUMIFS(Cau_noi!$E$5:$E$304,Cau_noi!$A$5:$A$304,B279))</f>
        <v/>
      </c>
      <c r="J279" s="39" t="str">
        <f t="shared" si="17"/>
        <v/>
      </c>
      <c r="K279" s="39" t="str">
        <f>IF(B279="","",SUMIFS(KT_DMTT_ChiTiet!$H$5:$H$1004,KT_DMTT_ChiTiet!$C$5:$C$1004,B279,KT_DMTT_ChiTiet!$N$5:$N$1004,1))</f>
        <v/>
      </c>
      <c r="L279" s="39" t="str">
        <f t="shared" si="18"/>
        <v/>
      </c>
      <c r="M279" s="46" t="str">
        <f t="shared" si="19"/>
        <v/>
      </c>
      <c r="N279" s="35" t="str">
        <f>IF(B279="","",IF(K279=0,IF(J279=0,"Pass",IF(COUNTIFS(BOM!$B$5:$B$1004,B279,BOM!$G$5:$G$1004,"KXDDM")&gt;0,"KXDDM","Xem xét")),IF(ABS(M279)&lt;=ThongTin!$C$11,"Pass","Xem xét")))</f>
        <v/>
      </c>
    </row>
    <row r="280" spans="1:14" x14ac:dyDescent="0.25">
      <c r="A280" s="35" t="str">
        <f t="shared" si="16"/>
        <v/>
      </c>
      <c r="B280" s="35" t="str">
        <f>IF('Mau15'!B286="","",'Mau15'!B286)</f>
        <v/>
      </c>
      <c r="C280" s="35" t="str">
        <f>IF(B280="","",'Mau15'!C286)</f>
        <v/>
      </c>
      <c r="D280" s="35" t="str">
        <f>IF(B280="","",'Mau15'!D286)</f>
        <v/>
      </c>
      <c r="E280" s="39" t="str">
        <f>IF(B280="","",'Mau15'!I286)</f>
        <v/>
      </c>
      <c r="F280" s="39" t="str">
        <f>IF(B280="","",SUMIFS(Cau_noi!$B$5:$B$304,Cau_noi!$A$5:$A$304,B280))</f>
        <v/>
      </c>
      <c r="G280" s="39" t="str">
        <f>IF(B280="","",SUMIFS(Cau_noi!$C$5:$C$304,Cau_noi!$A$5:$A$304,B280))</f>
        <v/>
      </c>
      <c r="H280" s="39" t="str">
        <f>IF(B280="","",SUMIFS(Cau_noi!$D$5:$D$304,Cau_noi!$A$5:$A$304,B280))</f>
        <v/>
      </c>
      <c r="I280" s="39" t="str">
        <f>IF(B280="","",SUMIFS(Cau_noi!$E$5:$E$304,Cau_noi!$A$5:$A$304,B280))</f>
        <v/>
      </c>
      <c r="J280" s="39" t="str">
        <f t="shared" si="17"/>
        <v/>
      </c>
      <c r="K280" s="39" t="str">
        <f>IF(B280="","",SUMIFS(KT_DMTT_ChiTiet!$H$5:$H$1004,KT_DMTT_ChiTiet!$C$5:$C$1004,B280,KT_DMTT_ChiTiet!$N$5:$N$1004,1))</f>
        <v/>
      </c>
      <c r="L280" s="39" t="str">
        <f t="shared" si="18"/>
        <v/>
      </c>
      <c r="M280" s="46" t="str">
        <f t="shared" si="19"/>
        <v/>
      </c>
      <c r="N280" s="35" t="str">
        <f>IF(B280="","",IF(K280=0,IF(J280=0,"Pass",IF(COUNTIFS(BOM!$B$5:$B$1004,B280,BOM!$G$5:$G$1004,"KXDDM")&gt;0,"KXDDM","Xem xét")),IF(ABS(M280)&lt;=ThongTin!$C$11,"Pass","Xem xét")))</f>
        <v/>
      </c>
    </row>
    <row r="281" spans="1:14" x14ac:dyDescent="0.25">
      <c r="A281" s="35" t="str">
        <f t="shared" si="16"/>
        <v/>
      </c>
      <c r="B281" s="35" t="str">
        <f>IF('Mau15'!B287="","",'Mau15'!B287)</f>
        <v/>
      </c>
      <c r="C281" s="35" t="str">
        <f>IF(B281="","",'Mau15'!C287)</f>
        <v/>
      </c>
      <c r="D281" s="35" t="str">
        <f>IF(B281="","",'Mau15'!D287)</f>
        <v/>
      </c>
      <c r="E281" s="39" t="str">
        <f>IF(B281="","",'Mau15'!I287)</f>
        <v/>
      </c>
      <c r="F281" s="39" t="str">
        <f>IF(B281="","",SUMIFS(Cau_noi!$B$5:$B$304,Cau_noi!$A$5:$A$304,B281))</f>
        <v/>
      </c>
      <c r="G281" s="39" t="str">
        <f>IF(B281="","",SUMIFS(Cau_noi!$C$5:$C$304,Cau_noi!$A$5:$A$304,B281))</f>
        <v/>
      </c>
      <c r="H281" s="39" t="str">
        <f>IF(B281="","",SUMIFS(Cau_noi!$D$5:$D$304,Cau_noi!$A$5:$A$304,B281))</f>
        <v/>
      </c>
      <c r="I281" s="39" t="str">
        <f>IF(B281="","",SUMIFS(Cau_noi!$E$5:$E$304,Cau_noi!$A$5:$A$304,B281))</f>
        <v/>
      </c>
      <c r="J281" s="39" t="str">
        <f t="shared" si="17"/>
        <v/>
      </c>
      <c r="K281" s="39" t="str">
        <f>IF(B281="","",SUMIFS(KT_DMTT_ChiTiet!$H$5:$H$1004,KT_DMTT_ChiTiet!$C$5:$C$1004,B281,KT_DMTT_ChiTiet!$N$5:$N$1004,1))</f>
        <v/>
      </c>
      <c r="L281" s="39" t="str">
        <f t="shared" si="18"/>
        <v/>
      </c>
      <c r="M281" s="46" t="str">
        <f t="shared" si="19"/>
        <v/>
      </c>
      <c r="N281" s="35" t="str">
        <f>IF(B281="","",IF(K281=0,IF(J281=0,"Pass",IF(COUNTIFS(BOM!$B$5:$B$1004,B281,BOM!$G$5:$G$1004,"KXDDM")&gt;0,"KXDDM","Xem xét")),IF(ABS(M281)&lt;=ThongTin!$C$11,"Pass","Xem xét")))</f>
        <v/>
      </c>
    </row>
    <row r="282" spans="1:14" x14ac:dyDescent="0.25">
      <c r="A282" s="35" t="str">
        <f t="shared" si="16"/>
        <v/>
      </c>
      <c r="B282" s="35" t="str">
        <f>IF('Mau15'!B288="","",'Mau15'!B288)</f>
        <v/>
      </c>
      <c r="C282" s="35" t="str">
        <f>IF(B282="","",'Mau15'!C288)</f>
        <v/>
      </c>
      <c r="D282" s="35" t="str">
        <f>IF(B282="","",'Mau15'!D288)</f>
        <v/>
      </c>
      <c r="E282" s="39" t="str">
        <f>IF(B282="","",'Mau15'!I288)</f>
        <v/>
      </c>
      <c r="F282" s="39" t="str">
        <f>IF(B282="","",SUMIFS(Cau_noi!$B$5:$B$304,Cau_noi!$A$5:$A$304,B282))</f>
        <v/>
      </c>
      <c r="G282" s="39" t="str">
        <f>IF(B282="","",SUMIFS(Cau_noi!$C$5:$C$304,Cau_noi!$A$5:$A$304,B282))</f>
        <v/>
      </c>
      <c r="H282" s="39" t="str">
        <f>IF(B282="","",SUMIFS(Cau_noi!$D$5:$D$304,Cau_noi!$A$5:$A$304,B282))</f>
        <v/>
      </c>
      <c r="I282" s="39" t="str">
        <f>IF(B282="","",SUMIFS(Cau_noi!$E$5:$E$304,Cau_noi!$A$5:$A$304,B282))</f>
        <v/>
      </c>
      <c r="J282" s="39" t="str">
        <f t="shared" si="17"/>
        <v/>
      </c>
      <c r="K282" s="39" t="str">
        <f>IF(B282="","",SUMIFS(KT_DMTT_ChiTiet!$H$5:$H$1004,KT_DMTT_ChiTiet!$C$5:$C$1004,B282,KT_DMTT_ChiTiet!$N$5:$N$1004,1))</f>
        <v/>
      </c>
      <c r="L282" s="39" t="str">
        <f t="shared" si="18"/>
        <v/>
      </c>
      <c r="M282" s="46" t="str">
        <f t="shared" si="19"/>
        <v/>
      </c>
      <c r="N282" s="35" t="str">
        <f>IF(B282="","",IF(K282=0,IF(J282=0,"Pass",IF(COUNTIFS(BOM!$B$5:$B$1004,B282,BOM!$G$5:$G$1004,"KXDDM")&gt;0,"KXDDM","Xem xét")),IF(ABS(M282)&lt;=ThongTin!$C$11,"Pass","Xem xét")))</f>
        <v/>
      </c>
    </row>
    <row r="283" spans="1:14" x14ac:dyDescent="0.25">
      <c r="A283" s="35" t="str">
        <f t="shared" si="16"/>
        <v/>
      </c>
      <c r="B283" s="35" t="str">
        <f>IF('Mau15'!B289="","",'Mau15'!B289)</f>
        <v/>
      </c>
      <c r="C283" s="35" t="str">
        <f>IF(B283="","",'Mau15'!C289)</f>
        <v/>
      </c>
      <c r="D283" s="35" t="str">
        <f>IF(B283="","",'Mau15'!D289)</f>
        <v/>
      </c>
      <c r="E283" s="39" t="str">
        <f>IF(B283="","",'Mau15'!I289)</f>
        <v/>
      </c>
      <c r="F283" s="39" t="str">
        <f>IF(B283="","",SUMIFS(Cau_noi!$B$5:$B$304,Cau_noi!$A$5:$A$304,B283))</f>
        <v/>
      </c>
      <c r="G283" s="39" t="str">
        <f>IF(B283="","",SUMIFS(Cau_noi!$C$5:$C$304,Cau_noi!$A$5:$A$304,B283))</f>
        <v/>
      </c>
      <c r="H283" s="39" t="str">
        <f>IF(B283="","",SUMIFS(Cau_noi!$D$5:$D$304,Cau_noi!$A$5:$A$304,B283))</f>
        <v/>
      </c>
      <c r="I283" s="39" t="str">
        <f>IF(B283="","",SUMIFS(Cau_noi!$E$5:$E$304,Cau_noi!$A$5:$A$304,B283))</f>
        <v/>
      </c>
      <c r="J283" s="39" t="str">
        <f t="shared" si="17"/>
        <v/>
      </c>
      <c r="K283" s="39" t="str">
        <f>IF(B283="","",SUMIFS(KT_DMTT_ChiTiet!$H$5:$H$1004,KT_DMTT_ChiTiet!$C$5:$C$1004,B283,KT_DMTT_ChiTiet!$N$5:$N$1004,1))</f>
        <v/>
      </c>
      <c r="L283" s="39" t="str">
        <f t="shared" si="18"/>
        <v/>
      </c>
      <c r="M283" s="46" t="str">
        <f t="shared" si="19"/>
        <v/>
      </c>
      <c r="N283" s="35" t="str">
        <f>IF(B283="","",IF(K283=0,IF(J283=0,"Pass",IF(COUNTIFS(BOM!$B$5:$B$1004,B283,BOM!$G$5:$G$1004,"KXDDM")&gt;0,"KXDDM","Xem xét")),IF(ABS(M283)&lt;=ThongTin!$C$11,"Pass","Xem xét")))</f>
        <v/>
      </c>
    </row>
    <row r="284" spans="1:14" x14ac:dyDescent="0.25">
      <c r="A284" s="35" t="str">
        <f t="shared" si="16"/>
        <v/>
      </c>
      <c r="B284" s="35" t="str">
        <f>IF('Mau15'!B290="","",'Mau15'!B290)</f>
        <v/>
      </c>
      <c r="C284" s="35" t="str">
        <f>IF(B284="","",'Mau15'!C290)</f>
        <v/>
      </c>
      <c r="D284" s="35" t="str">
        <f>IF(B284="","",'Mau15'!D290)</f>
        <v/>
      </c>
      <c r="E284" s="39" t="str">
        <f>IF(B284="","",'Mau15'!I290)</f>
        <v/>
      </c>
      <c r="F284" s="39" t="str">
        <f>IF(B284="","",SUMIFS(Cau_noi!$B$5:$B$304,Cau_noi!$A$5:$A$304,B284))</f>
        <v/>
      </c>
      <c r="G284" s="39" t="str">
        <f>IF(B284="","",SUMIFS(Cau_noi!$C$5:$C$304,Cau_noi!$A$5:$A$304,B284))</f>
        <v/>
      </c>
      <c r="H284" s="39" t="str">
        <f>IF(B284="","",SUMIFS(Cau_noi!$D$5:$D$304,Cau_noi!$A$5:$A$304,B284))</f>
        <v/>
      </c>
      <c r="I284" s="39" t="str">
        <f>IF(B284="","",SUMIFS(Cau_noi!$E$5:$E$304,Cau_noi!$A$5:$A$304,B284))</f>
        <v/>
      </c>
      <c r="J284" s="39" t="str">
        <f t="shared" si="17"/>
        <v/>
      </c>
      <c r="K284" s="39" t="str">
        <f>IF(B284="","",SUMIFS(KT_DMTT_ChiTiet!$H$5:$H$1004,KT_DMTT_ChiTiet!$C$5:$C$1004,B284,KT_DMTT_ChiTiet!$N$5:$N$1004,1))</f>
        <v/>
      </c>
      <c r="L284" s="39" t="str">
        <f t="shared" si="18"/>
        <v/>
      </c>
      <c r="M284" s="46" t="str">
        <f t="shared" si="19"/>
        <v/>
      </c>
      <c r="N284" s="35" t="str">
        <f>IF(B284="","",IF(K284=0,IF(J284=0,"Pass",IF(COUNTIFS(BOM!$B$5:$B$1004,B284,BOM!$G$5:$G$1004,"KXDDM")&gt;0,"KXDDM","Xem xét")),IF(ABS(M284)&lt;=ThongTin!$C$11,"Pass","Xem xét")))</f>
        <v/>
      </c>
    </row>
    <row r="285" spans="1:14" x14ac:dyDescent="0.25">
      <c r="A285" s="35" t="str">
        <f t="shared" si="16"/>
        <v/>
      </c>
      <c r="B285" s="35" t="str">
        <f>IF('Mau15'!B291="","",'Mau15'!B291)</f>
        <v/>
      </c>
      <c r="C285" s="35" t="str">
        <f>IF(B285="","",'Mau15'!C291)</f>
        <v/>
      </c>
      <c r="D285" s="35" t="str">
        <f>IF(B285="","",'Mau15'!D291)</f>
        <v/>
      </c>
      <c r="E285" s="39" t="str">
        <f>IF(B285="","",'Mau15'!I291)</f>
        <v/>
      </c>
      <c r="F285" s="39" t="str">
        <f>IF(B285="","",SUMIFS(Cau_noi!$B$5:$B$304,Cau_noi!$A$5:$A$304,B285))</f>
        <v/>
      </c>
      <c r="G285" s="39" t="str">
        <f>IF(B285="","",SUMIFS(Cau_noi!$C$5:$C$304,Cau_noi!$A$5:$A$304,B285))</f>
        <v/>
      </c>
      <c r="H285" s="39" t="str">
        <f>IF(B285="","",SUMIFS(Cau_noi!$D$5:$D$304,Cau_noi!$A$5:$A$304,B285))</f>
        <v/>
      </c>
      <c r="I285" s="39" t="str">
        <f>IF(B285="","",SUMIFS(Cau_noi!$E$5:$E$304,Cau_noi!$A$5:$A$304,B285))</f>
        <v/>
      </c>
      <c r="J285" s="39" t="str">
        <f t="shared" si="17"/>
        <v/>
      </c>
      <c r="K285" s="39" t="str">
        <f>IF(B285="","",SUMIFS(KT_DMTT_ChiTiet!$H$5:$H$1004,KT_DMTT_ChiTiet!$C$5:$C$1004,B285,KT_DMTT_ChiTiet!$N$5:$N$1004,1))</f>
        <v/>
      </c>
      <c r="L285" s="39" t="str">
        <f t="shared" si="18"/>
        <v/>
      </c>
      <c r="M285" s="46" t="str">
        <f t="shared" si="19"/>
        <v/>
      </c>
      <c r="N285" s="35" t="str">
        <f>IF(B285="","",IF(K285=0,IF(J285=0,"Pass",IF(COUNTIFS(BOM!$B$5:$B$1004,B285,BOM!$G$5:$G$1004,"KXDDM")&gt;0,"KXDDM","Xem xét")),IF(ABS(M285)&lt;=ThongTin!$C$11,"Pass","Xem xét")))</f>
        <v/>
      </c>
    </row>
    <row r="286" spans="1:14" x14ac:dyDescent="0.25">
      <c r="A286" s="35" t="str">
        <f t="shared" si="16"/>
        <v/>
      </c>
      <c r="B286" s="35" t="str">
        <f>IF('Mau15'!B292="","",'Mau15'!B292)</f>
        <v/>
      </c>
      <c r="C286" s="35" t="str">
        <f>IF(B286="","",'Mau15'!C292)</f>
        <v/>
      </c>
      <c r="D286" s="35" t="str">
        <f>IF(B286="","",'Mau15'!D292)</f>
        <v/>
      </c>
      <c r="E286" s="39" t="str">
        <f>IF(B286="","",'Mau15'!I292)</f>
        <v/>
      </c>
      <c r="F286" s="39" t="str">
        <f>IF(B286="","",SUMIFS(Cau_noi!$B$5:$B$304,Cau_noi!$A$5:$A$304,B286))</f>
        <v/>
      </c>
      <c r="G286" s="39" t="str">
        <f>IF(B286="","",SUMIFS(Cau_noi!$C$5:$C$304,Cau_noi!$A$5:$A$304,B286))</f>
        <v/>
      </c>
      <c r="H286" s="39" t="str">
        <f>IF(B286="","",SUMIFS(Cau_noi!$D$5:$D$304,Cau_noi!$A$5:$A$304,B286))</f>
        <v/>
      </c>
      <c r="I286" s="39" t="str">
        <f>IF(B286="","",SUMIFS(Cau_noi!$E$5:$E$304,Cau_noi!$A$5:$A$304,B286))</f>
        <v/>
      </c>
      <c r="J286" s="39" t="str">
        <f t="shared" si="17"/>
        <v/>
      </c>
      <c r="K286" s="39" t="str">
        <f>IF(B286="","",SUMIFS(KT_DMTT_ChiTiet!$H$5:$H$1004,KT_DMTT_ChiTiet!$C$5:$C$1004,B286,KT_DMTT_ChiTiet!$N$5:$N$1004,1))</f>
        <v/>
      </c>
      <c r="L286" s="39" t="str">
        <f t="shared" si="18"/>
        <v/>
      </c>
      <c r="M286" s="46" t="str">
        <f t="shared" si="19"/>
        <v/>
      </c>
      <c r="N286" s="35" t="str">
        <f>IF(B286="","",IF(K286=0,IF(J286=0,"Pass",IF(COUNTIFS(BOM!$B$5:$B$1004,B286,BOM!$G$5:$G$1004,"KXDDM")&gt;0,"KXDDM","Xem xét")),IF(ABS(M286)&lt;=ThongTin!$C$11,"Pass","Xem xét")))</f>
        <v/>
      </c>
    </row>
    <row r="287" spans="1:14" x14ac:dyDescent="0.25">
      <c r="A287" s="35" t="str">
        <f t="shared" si="16"/>
        <v/>
      </c>
      <c r="B287" s="35" t="str">
        <f>IF('Mau15'!B293="","",'Mau15'!B293)</f>
        <v/>
      </c>
      <c r="C287" s="35" t="str">
        <f>IF(B287="","",'Mau15'!C293)</f>
        <v/>
      </c>
      <c r="D287" s="35" t="str">
        <f>IF(B287="","",'Mau15'!D293)</f>
        <v/>
      </c>
      <c r="E287" s="39" t="str">
        <f>IF(B287="","",'Mau15'!I293)</f>
        <v/>
      </c>
      <c r="F287" s="39" t="str">
        <f>IF(B287="","",SUMIFS(Cau_noi!$B$5:$B$304,Cau_noi!$A$5:$A$304,B287))</f>
        <v/>
      </c>
      <c r="G287" s="39" t="str">
        <f>IF(B287="","",SUMIFS(Cau_noi!$C$5:$C$304,Cau_noi!$A$5:$A$304,B287))</f>
        <v/>
      </c>
      <c r="H287" s="39" t="str">
        <f>IF(B287="","",SUMIFS(Cau_noi!$D$5:$D$304,Cau_noi!$A$5:$A$304,B287))</f>
        <v/>
      </c>
      <c r="I287" s="39" t="str">
        <f>IF(B287="","",SUMIFS(Cau_noi!$E$5:$E$304,Cau_noi!$A$5:$A$304,B287))</f>
        <v/>
      </c>
      <c r="J287" s="39" t="str">
        <f t="shared" si="17"/>
        <v/>
      </c>
      <c r="K287" s="39" t="str">
        <f>IF(B287="","",SUMIFS(KT_DMTT_ChiTiet!$H$5:$H$1004,KT_DMTT_ChiTiet!$C$5:$C$1004,B287,KT_DMTT_ChiTiet!$N$5:$N$1004,1))</f>
        <v/>
      </c>
      <c r="L287" s="39" t="str">
        <f t="shared" si="18"/>
        <v/>
      </c>
      <c r="M287" s="46" t="str">
        <f t="shared" si="19"/>
        <v/>
      </c>
      <c r="N287" s="35" t="str">
        <f>IF(B287="","",IF(K287=0,IF(J287=0,"Pass",IF(COUNTIFS(BOM!$B$5:$B$1004,B287,BOM!$G$5:$G$1004,"KXDDM")&gt;0,"KXDDM","Xem xét")),IF(ABS(M287)&lt;=ThongTin!$C$11,"Pass","Xem xét")))</f>
        <v/>
      </c>
    </row>
    <row r="288" spans="1:14" x14ac:dyDescent="0.25">
      <c r="A288" s="35" t="str">
        <f t="shared" si="16"/>
        <v/>
      </c>
      <c r="B288" s="35" t="str">
        <f>IF('Mau15'!B294="","",'Mau15'!B294)</f>
        <v/>
      </c>
      <c r="C288" s="35" t="str">
        <f>IF(B288="","",'Mau15'!C294)</f>
        <v/>
      </c>
      <c r="D288" s="35" t="str">
        <f>IF(B288="","",'Mau15'!D294)</f>
        <v/>
      </c>
      <c r="E288" s="39" t="str">
        <f>IF(B288="","",'Mau15'!I294)</f>
        <v/>
      </c>
      <c r="F288" s="39" t="str">
        <f>IF(B288="","",SUMIFS(Cau_noi!$B$5:$B$304,Cau_noi!$A$5:$A$304,B288))</f>
        <v/>
      </c>
      <c r="G288" s="39" t="str">
        <f>IF(B288="","",SUMIFS(Cau_noi!$C$5:$C$304,Cau_noi!$A$5:$A$304,B288))</f>
        <v/>
      </c>
      <c r="H288" s="39" t="str">
        <f>IF(B288="","",SUMIFS(Cau_noi!$D$5:$D$304,Cau_noi!$A$5:$A$304,B288))</f>
        <v/>
      </c>
      <c r="I288" s="39" t="str">
        <f>IF(B288="","",SUMIFS(Cau_noi!$E$5:$E$304,Cau_noi!$A$5:$A$304,B288))</f>
        <v/>
      </c>
      <c r="J288" s="39" t="str">
        <f t="shared" si="17"/>
        <v/>
      </c>
      <c r="K288" s="39" t="str">
        <f>IF(B288="","",SUMIFS(KT_DMTT_ChiTiet!$H$5:$H$1004,KT_DMTT_ChiTiet!$C$5:$C$1004,B288,KT_DMTT_ChiTiet!$N$5:$N$1004,1))</f>
        <v/>
      </c>
      <c r="L288" s="39" t="str">
        <f t="shared" si="18"/>
        <v/>
      </c>
      <c r="M288" s="46" t="str">
        <f t="shared" si="19"/>
        <v/>
      </c>
      <c r="N288" s="35" t="str">
        <f>IF(B288="","",IF(K288=0,IF(J288=0,"Pass",IF(COUNTIFS(BOM!$B$5:$B$1004,B288,BOM!$G$5:$G$1004,"KXDDM")&gt;0,"KXDDM","Xem xét")),IF(ABS(M288)&lt;=ThongTin!$C$11,"Pass","Xem xét")))</f>
        <v/>
      </c>
    </row>
    <row r="289" spans="1:14" x14ac:dyDescent="0.25">
      <c r="A289" s="35" t="str">
        <f t="shared" si="16"/>
        <v/>
      </c>
      <c r="B289" s="35" t="str">
        <f>IF('Mau15'!B295="","",'Mau15'!B295)</f>
        <v/>
      </c>
      <c r="C289" s="35" t="str">
        <f>IF(B289="","",'Mau15'!C295)</f>
        <v/>
      </c>
      <c r="D289" s="35" t="str">
        <f>IF(B289="","",'Mau15'!D295)</f>
        <v/>
      </c>
      <c r="E289" s="39" t="str">
        <f>IF(B289="","",'Mau15'!I295)</f>
        <v/>
      </c>
      <c r="F289" s="39" t="str">
        <f>IF(B289="","",SUMIFS(Cau_noi!$B$5:$B$304,Cau_noi!$A$5:$A$304,B289))</f>
        <v/>
      </c>
      <c r="G289" s="39" t="str">
        <f>IF(B289="","",SUMIFS(Cau_noi!$C$5:$C$304,Cau_noi!$A$5:$A$304,B289))</f>
        <v/>
      </c>
      <c r="H289" s="39" t="str">
        <f>IF(B289="","",SUMIFS(Cau_noi!$D$5:$D$304,Cau_noi!$A$5:$A$304,B289))</f>
        <v/>
      </c>
      <c r="I289" s="39" t="str">
        <f>IF(B289="","",SUMIFS(Cau_noi!$E$5:$E$304,Cau_noi!$A$5:$A$304,B289))</f>
        <v/>
      </c>
      <c r="J289" s="39" t="str">
        <f t="shared" si="17"/>
        <v/>
      </c>
      <c r="K289" s="39" t="str">
        <f>IF(B289="","",SUMIFS(KT_DMTT_ChiTiet!$H$5:$H$1004,KT_DMTT_ChiTiet!$C$5:$C$1004,B289,KT_DMTT_ChiTiet!$N$5:$N$1004,1))</f>
        <v/>
      </c>
      <c r="L289" s="39" t="str">
        <f t="shared" si="18"/>
        <v/>
      </c>
      <c r="M289" s="46" t="str">
        <f t="shared" si="19"/>
        <v/>
      </c>
      <c r="N289" s="35" t="str">
        <f>IF(B289="","",IF(K289=0,IF(J289=0,"Pass",IF(COUNTIFS(BOM!$B$5:$B$1004,B289,BOM!$G$5:$G$1004,"KXDDM")&gt;0,"KXDDM","Xem xét")),IF(ABS(M289)&lt;=ThongTin!$C$11,"Pass","Xem xét")))</f>
        <v/>
      </c>
    </row>
    <row r="290" spans="1:14" x14ac:dyDescent="0.25">
      <c r="A290" s="35" t="str">
        <f t="shared" si="16"/>
        <v/>
      </c>
      <c r="B290" s="35" t="str">
        <f>IF('Mau15'!B296="","",'Mau15'!B296)</f>
        <v/>
      </c>
      <c r="C290" s="35" t="str">
        <f>IF(B290="","",'Mau15'!C296)</f>
        <v/>
      </c>
      <c r="D290" s="35" t="str">
        <f>IF(B290="","",'Mau15'!D296)</f>
        <v/>
      </c>
      <c r="E290" s="39" t="str">
        <f>IF(B290="","",'Mau15'!I296)</f>
        <v/>
      </c>
      <c r="F290" s="39" t="str">
        <f>IF(B290="","",SUMIFS(Cau_noi!$B$5:$B$304,Cau_noi!$A$5:$A$304,B290))</f>
        <v/>
      </c>
      <c r="G290" s="39" t="str">
        <f>IF(B290="","",SUMIFS(Cau_noi!$C$5:$C$304,Cau_noi!$A$5:$A$304,B290))</f>
        <v/>
      </c>
      <c r="H290" s="39" t="str">
        <f>IF(B290="","",SUMIFS(Cau_noi!$D$5:$D$304,Cau_noi!$A$5:$A$304,B290))</f>
        <v/>
      </c>
      <c r="I290" s="39" t="str">
        <f>IF(B290="","",SUMIFS(Cau_noi!$E$5:$E$304,Cau_noi!$A$5:$A$304,B290))</f>
        <v/>
      </c>
      <c r="J290" s="39" t="str">
        <f t="shared" si="17"/>
        <v/>
      </c>
      <c r="K290" s="39" t="str">
        <f>IF(B290="","",SUMIFS(KT_DMTT_ChiTiet!$H$5:$H$1004,KT_DMTT_ChiTiet!$C$5:$C$1004,B290,KT_DMTT_ChiTiet!$N$5:$N$1004,1))</f>
        <v/>
      </c>
      <c r="L290" s="39" t="str">
        <f t="shared" si="18"/>
        <v/>
      </c>
      <c r="M290" s="46" t="str">
        <f t="shared" si="19"/>
        <v/>
      </c>
      <c r="N290" s="35" t="str">
        <f>IF(B290="","",IF(K290=0,IF(J290=0,"Pass",IF(COUNTIFS(BOM!$B$5:$B$1004,B290,BOM!$G$5:$G$1004,"KXDDM")&gt;0,"KXDDM","Xem xét")),IF(ABS(M290)&lt;=ThongTin!$C$11,"Pass","Xem xét")))</f>
        <v/>
      </c>
    </row>
    <row r="291" spans="1:14" x14ac:dyDescent="0.25">
      <c r="A291" s="35" t="str">
        <f t="shared" si="16"/>
        <v/>
      </c>
      <c r="B291" s="35" t="str">
        <f>IF('Mau15'!B297="","",'Mau15'!B297)</f>
        <v/>
      </c>
      <c r="C291" s="35" t="str">
        <f>IF(B291="","",'Mau15'!C297)</f>
        <v/>
      </c>
      <c r="D291" s="35" t="str">
        <f>IF(B291="","",'Mau15'!D297)</f>
        <v/>
      </c>
      <c r="E291" s="39" t="str">
        <f>IF(B291="","",'Mau15'!I297)</f>
        <v/>
      </c>
      <c r="F291" s="39" t="str">
        <f>IF(B291="","",SUMIFS(Cau_noi!$B$5:$B$304,Cau_noi!$A$5:$A$304,B291))</f>
        <v/>
      </c>
      <c r="G291" s="39" t="str">
        <f>IF(B291="","",SUMIFS(Cau_noi!$C$5:$C$304,Cau_noi!$A$5:$A$304,B291))</f>
        <v/>
      </c>
      <c r="H291" s="39" t="str">
        <f>IF(B291="","",SUMIFS(Cau_noi!$D$5:$D$304,Cau_noi!$A$5:$A$304,B291))</f>
        <v/>
      </c>
      <c r="I291" s="39" t="str">
        <f>IF(B291="","",SUMIFS(Cau_noi!$E$5:$E$304,Cau_noi!$A$5:$A$304,B291))</f>
        <v/>
      </c>
      <c r="J291" s="39" t="str">
        <f t="shared" si="17"/>
        <v/>
      </c>
      <c r="K291" s="39" t="str">
        <f>IF(B291="","",SUMIFS(KT_DMTT_ChiTiet!$H$5:$H$1004,KT_DMTT_ChiTiet!$C$5:$C$1004,B291,KT_DMTT_ChiTiet!$N$5:$N$1004,1))</f>
        <v/>
      </c>
      <c r="L291" s="39" t="str">
        <f t="shared" si="18"/>
        <v/>
      </c>
      <c r="M291" s="46" t="str">
        <f t="shared" si="19"/>
        <v/>
      </c>
      <c r="N291" s="35" t="str">
        <f>IF(B291="","",IF(K291=0,IF(J291=0,"Pass",IF(COUNTIFS(BOM!$B$5:$B$1004,B291,BOM!$G$5:$G$1004,"KXDDM")&gt;0,"KXDDM","Xem xét")),IF(ABS(M291)&lt;=ThongTin!$C$11,"Pass","Xem xét")))</f>
        <v/>
      </c>
    </row>
    <row r="292" spans="1:14" x14ac:dyDescent="0.25">
      <c r="A292" s="35" t="str">
        <f t="shared" si="16"/>
        <v/>
      </c>
      <c r="B292" s="35" t="str">
        <f>IF('Mau15'!B298="","",'Mau15'!B298)</f>
        <v/>
      </c>
      <c r="C292" s="35" t="str">
        <f>IF(B292="","",'Mau15'!C298)</f>
        <v/>
      </c>
      <c r="D292" s="35" t="str">
        <f>IF(B292="","",'Mau15'!D298)</f>
        <v/>
      </c>
      <c r="E292" s="39" t="str">
        <f>IF(B292="","",'Mau15'!I298)</f>
        <v/>
      </c>
      <c r="F292" s="39" t="str">
        <f>IF(B292="","",SUMIFS(Cau_noi!$B$5:$B$304,Cau_noi!$A$5:$A$304,B292))</f>
        <v/>
      </c>
      <c r="G292" s="39" t="str">
        <f>IF(B292="","",SUMIFS(Cau_noi!$C$5:$C$304,Cau_noi!$A$5:$A$304,B292))</f>
        <v/>
      </c>
      <c r="H292" s="39" t="str">
        <f>IF(B292="","",SUMIFS(Cau_noi!$D$5:$D$304,Cau_noi!$A$5:$A$304,B292))</f>
        <v/>
      </c>
      <c r="I292" s="39" t="str">
        <f>IF(B292="","",SUMIFS(Cau_noi!$E$5:$E$304,Cau_noi!$A$5:$A$304,B292))</f>
        <v/>
      </c>
      <c r="J292" s="39" t="str">
        <f t="shared" si="17"/>
        <v/>
      </c>
      <c r="K292" s="39" t="str">
        <f>IF(B292="","",SUMIFS(KT_DMTT_ChiTiet!$H$5:$H$1004,KT_DMTT_ChiTiet!$C$5:$C$1004,B292,KT_DMTT_ChiTiet!$N$5:$N$1004,1))</f>
        <v/>
      </c>
      <c r="L292" s="39" t="str">
        <f t="shared" si="18"/>
        <v/>
      </c>
      <c r="M292" s="46" t="str">
        <f t="shared" si="19"/>
        <v/>
      </c>
      <c r="N292" s="35" t="str">
        <f>IF(B292="","",IF(K292=0,IF(J292=0,"Pass",IF(COUNTIFS(BOM!$B$5:$B$1004,B292,BOM!$G$5:$G$1004,"KXDDM")&gt;0,"KXDDM","Xem xét")),IF(ABS(M292)&lt;=ThongTin!$C$11,"Pass","Xem xét")))</f>
        <v/>
      </c>
    </row>
    <row r="293" spans="1:14" x14ac:dyDescent="0.25">
      <c r="A293" s="35" t="str">
        <f t="shared" si="16"/>
        <v/>
      </c>
      <c r="B293" s="35" t="str">
        <f>IF('Mau15'!B299="","",'Mau15'!B299)</f>
        <v/>
      </c>
      <c r="C293" s="35" t="str">
        <f>IF(B293="","",'Mau15'!C299)</f>
        <v/>
      </c>
      <c r="D293" s="35" t="str">
        <f>IF(B293="","",'Mau15'!D299)</f>
        <v/>
      </c>
      <c r="E293" s="39" t="str">
        <f>IF(B293="","",'Mau15'!I299)</f>
        <v/>
      </c>
      <c r="F293" s="39" t="str">
        <f>IF(B293="","",SUMIFS(Cau_noi!$B$5:$B$304,Cau_noi!$A$5:$A$304,B293))</f>
        <v/>
      </c>
      <c r="G293" s="39" t="str">
        <f>IF(B293="","",SUMIFS(Cau_noi!$C$5:$C$304,Cau_noi!$A$5:$A$304,B293))</f>
        <v/>
      </c>
      <c r="H293" s="39" t="str">
        <f>IF(B293="","",SUMIFS(Cau_noi!$D$5:$D$304,Cau_noi!$A$5:$A$304,B293))</f>
        <v/>
      </c>
      <c r="I293" s="39" t="str">
        <f>IF(B293="","",SUMIFS(Cau_noi!$E$5:$E$304,Cau_noi!$A$5:$A$304,B293))</f>
        <v/>
      </c>
      <c r="J293" s="39" t="str">
        <f t="shared" si="17"/>
        <v/>
      </c>
      <c r="K293" s="39" t="str">
        <f>IF(B293="","",SUMIFS(KT_DMTT_ChiTiet!$H$5:$H$1004,KT_DMTT_ChiTiet!$C$5:$C$1004,B293,KT_DMTT_ChiTiet!$N$5:$N$1004,1))</f>
        <v/>
      </c>
      <c r="L293" s="39" t="str">
        <f t="shared" si="18"/>
        <v/>
      </c>
      <c r="M293" s="46" t="str">
        <f t="shared" si="19"/>
        <v/>
      </c>
      <c r="N293" s="35" t="str">
        <f>IF(B293="","",IF(K293=0,IF(J293=0,"Pass",IF(COUNTIFS(BOM!$B$5:$B$1004,B293,BOM!$G$5:$G$1004,"KXDDM")&gt;0,"KXDDM","Xem xét")),IF(ABS(M293)&lt;=ThongTin!$C$11,"Pass","Xem xét")))</f>
        <v/>
      </c>
    </row>
    <row r="294" spans="1:14" x14ac:dyDescent="0.25">
      <c r="A294" s="35" t="str">
        <f t="shared" si="16"/>
        <v/>
      </c>
      <c r="B294" s="35" t="str">
        <f>IF('Mau15'!B300="","",'Mau15'!B300)</f>
        <v/>
      </c>
      <c r="C294" s="35" t="str">
        <f>IF(B294="","",'Mau15'!C300)</f>
        <v/>
      </c>
      <c r="D294" s="35" t="str">
        <f>IF(B294="","",'Mau15'!D300)</f>
        <v/>
      </c>
      <c r="E294" s="39" t="str">
        <f>IF(B294="","",'Mau15'!I300)</f>
        <v/>
      </c>
      <c r="F294" s="39" t="str">
        <f>IF(B294="","",SUMIFS(Cau_noi!$B$5:$B$304,Cau_noi!$A$5:$A$304,B294))</f>
        <v/>
      </c>
      <c r="G294" s="39" t="str">
        <f>IF(B294="","",SUMIFS(Cau_noi!$C$5:$C$304,Cau_noi!$A$5:$A$304,B294))</f>
        <v/>
      </c>
      <c r="H294" s="39" t="str">
        <f>IF(B294="","",SUMIFS(Cau_noi!$D$5:$D$304,Cau_noi!$A$5:$A$304,B294))</f>
        <v/>
      </c>
      <c r="I294" s="39" t="str">
        <f>IF(B294="","",SUMIFS(Cau_noi!$E$5:$E$304,Cau_noi!$A$5:$A$304,B294))</f>
        <v/>
      </c>
      <c r="J294" s="39" t="str">
        <f t="shared" si="17"/>
        <v/>
      </c>
      <c r="K294" s="39" t="str">
        <f>IF(B294="","",SUMIFS(KT_DMTT_ChiTiet!$H$5:$H$1004,KT_DMTT_ChiTiet!$C$5:$C$1004,B294,KT_DMTT_ChiTiet!$N$5:$N$1004,1))</f>
        <v/>
      </c>
      <c r="L294" s="39" t="str">
        <f t="shared" si="18"/>
        <v/>
      </c>
      <c r="M294" s="46" t="str">
        <f t="shared" si="19"/>
        <v/>
      </c>
      <c r="N294" s="35" t="str">
        <f>IF(B294="","",IF(K294=0,IF(J294=0,"Pass",IF(COUNTIFS(BOM!$B$5:$B$1004,B294,BOM!$G$5:$G$1004,"KXDDM")&gt;0,"KXDDM","Xem xét")),IF(ABS(M294)&lt;=ThongTin!$C$11,"Pass","Xem xét")))</f>
        <v/>
      </c>
    </row>
    <row r="295" spans="1:14" x14ac:dyDescent="0.25">
      <c r="A295" s="35" t="str">
        <f t="shared" si="16"/>
        <v/>
      </c>
      <c r="B295" s="35" t="str">
        <f>IF('Mau15'!B301="","",'Mau15'!B301)</f>
        <v/>
      </c>
      <c r="C295" s="35" t="str">
        <f>IF(B295="","",'Mau15'!C301)</f>
        <v/>
      </c>
      <c r="D295" s="35" t="str">
        <f>IF(B295="","",'Mau15'!D301)</f>
        <v/>
      </c>
      <c r="E295" s="39" t="str">
        <f>IF(B295="","",'Mau15'!I301)</f>
        <v/>
      </c>
      <c r="F295" s="39" t="str">
        <f>IF(B295="","",SUMIFS(Cau_noi!$B$5:$B$304,Cau_noi!$A$5:$A$304,B295))</f>
        <v/>
      </c>
      <c r="G295" s="39" t="str">
        <f>IF(B295="","",SUMIFS(Cau_noi!$C$5:$C$304,Cau_noi!$A$5:$A$304,B295))</f>
        <v/>
      </c>
      <c r="H295" s="39" t="str">
        <f>IF(B295="","",SUMIFS(Cau_noi!$D$5:$D$304,Cau_noi!$A$5:$A$304,B295))</f>
        <v/>
      </c>
      <c r="I295" s="39" t="str">
        <f>IF(B295="","",SUMIFS(Cau_noi!$E$5:$E$304,Cau_noi!$A$5:$A$304,B295))</f>
        <v/>
      </c>
      <c r="J295" s="39" t="str">
        <f t="shared" si="17"/>
        <v/>
      </c>
      <c r="K295" s="39" t="str">
        <f>IF(B295="","",SUMIFS(KT_DMTT_ChiTiet!$H$5:$H$1004,KT_DMTT_ChiTiet!$C$5:$C$1004,B295,KT_DMTT_ChiTiet!$N$5:$N$1004,1))</f>
        <v/>
      </c>
      <c r="L295" s="39" t="str">
        <f t="shared" si="18"/>
        <v/>
      </c>
      <c r="M295" s="46" t="str">
        <f t="shared" si="19"/>
        <v/>
      </c>
      <c r="N295" s="35" t="str">
        <f>IF(B295="","",IF(K295=0,IF(J295=0,"Pass",IF(COUNTIFS(BOM!$B$5:$B$1004,B295,BOM!$G$5:$G$1004,"KXDDM")&gt;0,"KXDDM","Xem xét")),IF(ABS(M295)&lt;=ThongTin!$C$11,"Pass","Xem xét")))</f>
        <v/>
      </c>
    </row>
    <row r="296" spans="1:14" x14ac:dyDescent="0.25">
      <c r="A296" s="35" t="str">
        <f t="shared" si="16"/>
        <v/>
      </c>
      <c r="B296" s="35" t="str">
        <f>IF('Mau15'!B302="","",'Mau15'!B302)</f>
        <v/>
      </c>
      <c r="C296" s="35" t="str">
        <f>IF(B296="","",'Mau15'!C302)</f>
        <v/>
      </c>
      <c r="D296" s="35" t="str">
        <f>IF(B296="","",'Mau15'!D302)</f>
        <v/>
      </c>
      <c r="E296" s="39" t="str">
        <f>IF(B296="","",'Mau15'!I302)</f>
        <v/>
      </c>
      <c r="F296" s="39" t="str">
        <f>IF(B296="","",SUMIFS(Cau_noi!$B$5:$B$304,Cau_noi!$A$5:$A$304,B296))</f>
        <v/>
      </c>
      <c r="G296" s="39" t="str">
        <f>IF(B296="","",SUMIFS(Cau_noi!$C$5:$C$304,Cau_noi!$A$5:$A$304,B296))</f>
        <v/>
      </c>
      <c r="H296" s="39" t="str">
        <f>IF(B296="","",SUMIFS(Cau_noi!$D$5:$D$304,Cau_noi!$A$5:$A$304,B296))</f>
        <v/>
      </c>
      <c r="I296" s="39" t="str">
        <f>IF(B296="","",SUMIFS(Cau_noi!$E$5:$E$304,Cau_noi!$A$5:$A$304,B296))</f>
        <v/>
      </c>
      <c r="J296" s="39" t="str">
        <f t="shared" si="17"/>
        <v/>
      </c>
      <c r="K296" s="39" t="str">
        <f>IF(B296="","",SUMIFS(KT_DMTT_ChiTiet!$H$5:$H$1004,KT_DMTT_ChiTiet!$C$5:$C$1004,B296,KT_DMTT_ChiTiet!$N$5:$N$1004,1))</f>
        <v/>
      </c>
      <c r="L296" s="39" t="str">
        <f t="shared" si="18"/>
        <v/>
      </c>
      <c r="M296" s="46" t="str">
        <f t="shared" si="19"/>
        <v/>
      </c>
      <c r="N296" s="35" t="str">
        <f>IF(B296="","",IF(K296=0,IF(J296=0,"Pass",IF(COUNTIFS(BOM!$B$5:$B$1004,B296,BOM!$G$5:$G$1004,"KXDDM")&gt;0,"KXDDM","Xem xét")),IF(ABS(M296)&lt;=ThongTin!$C$11,"Pass","Xem xét")))</f>
        <v/>
      </c>
    </row>
    <row r="297" spans="1:14" x14ac:dyDescent="0.25">
      <c r="A297" s="35" t="str">
        <f t="shared" si="16"/>
        <v/>
      </c>
      <c r="B297" s="35" t="str">
        <f>IF('Mau15'!B303="","",'Mau15'!B303)</f>
        <v/>
      </c>
      <c r="C297" s="35" t="str">
        <f>IF(B297="","",'Mau15'!C303)</f>
        <v/>
      </c>
      <c r="D297" s="35" t="str">
        <f>IF(B297="","",'Mau15'!D303)</f>
        <v/>
      </c>
      <c r="E297" s="39" t="str">
        <f>IF(B297="","",'Mau15'!I303)</f>
        <v/>
      </c>
      <c r="F297" s="39" t="str">
        <f>IF(B297="","",SUMIFS(Cau_noi!$B$5:$B$304,Cau_noi!$A$5:$A$304,B297))</f>
        <v/>
      </c>
      <c r="G297" s="39" t="str">
        <f>IF(B297="","",SUMIFS(Cau_noi!$C$5:$C$304,Cau_noi!$A$5:$A$304,B297))</f>
        <v/>
      </c>
      <c r="H297" s="39" t="str">
        <f>IF(B297="","",SUMIFS(Cau_noi!$D$5:$D$304,Cau_noi!$A$5:$A$304,B297))</f>
        <v/>
      </c>
      <c r="I297" s="39" t="str">
        <f>IF(B297="","",SUMIFS(Cau_noi!$E$5:$E$304,Cau_noi!$A$5:$A$304,B297))</f>
        <v/>
      </c>
      <c r="J297" s="39" t="str">
        <f t="shared" si="17"/>
        <v/>
      </c>
      <c r="K297" s="39" t="str">
        <f>IF(B297="","",SUMIFS(KT_DMTT_ChiTiet!$H$5:$H$1004,KT_DMTT_ChiTiet!$C$5:$C$1004,B297,KT_DMTT_ChiTiet!$N$5:$N$1004,1))</f>
        <v/>
      </c>
      <c r="L297" s="39" t="str">
        <f t="shared" si="18"/>
        <v/>
      </c>
      <c r="M297" s="46" t="str">
        <f t="shared" si="19"/>
        <v/>
      </c>
      <c r="N297" s="35" t="str">
        <f>IF(B297="","",IF(K297=0,IF(J297=0,"Pass",IF(COUNTIFS(BOM!$B$5:$B$1004,B297,BOM!$G$5:$G$1004,"KXDDM")&gt;0,"KXDDM","Xem xét")),IF(ABS(M297)&lt;=ThongTin!$C$11,"Pass","Xem xét")))</f>
        <v/>
      </c>
    </row>
    <row r="298" spans="1:14" x14ac:dyDescent="0.25">
      <c r="A298" s="35" t="str">
        <f t="shared" si="16"/>
        <v/>
      </c>
      <c r="B298" s="35" t="str">
        <f>IF('Mau15'!B304="","",'Mau15'!B304)</f>
        <v/>
      </c>
      <c r="C298" s="35" t="str">
        <f>IF(B298="","",'Mau15'!C304)</f>
        <v/>
      </c>
      <c r="D298" s="35" t="str">
        <f>IF(B298="","",'Mau15'!D304)</f>
        <v/>
      </c>
      <c r="E298" s="39" t="str">
        <f>IF(B298="","",'Mau15'!I304)</f>
        <v/>
      </c>
      <c r="F298" s="39" t="str">
        <f>IF(B298="","",SUMIFS(Cau_noi!$B$5:$B$304,Cau_noi!$A$5:$A$304,B298))</f>
        <v/>
      </c>
      <c r="G298" s="39" t="str">
        <f>IF(B298="","",SUMIFS(Cau_noi!$C$5:$C$304,Cau_noi!$A$5:$A$304,B298))</f>
        <v/>
      </c>
      <c r="H298" s="39" t="str">
        <f>IF(B298="","",SUMIFS(Cau_noi!$D$5:$D$304,Cau_noi!$A$5:$A$304,B298))</f>
        <v/>
      </c>
      <c r="I298" s="39" t="str">
        <f>IF(B298="","",SUMIFS(Cau_noi!$E$5:$E$304,Cau_noi!$A$5:$A$304,B298))</f>
        <v/>
      </c>
      <c r="J298" s="39" t="str">
        <f t="shared" si="17"/>
        <v/>
      </c>
      <c r="K298" s="39" t="str">
        <f>IF(B298="","",SUMIFS(KT_DMTT_ChiTiet!$H$5:$H$1004,KT_DMTT_ChiTiet!$C$5:$C$1004,B298,KT_DMTT_ChiTiet!$N$5:$N$1004,1))</f>
        <v/>
      </c>
      <c r="L298" s="39" t="str">
        <f t="shared" si="18"/>
        <v/>
      </c>
      <c r="M298" s="46" t="str">
        <f t="shared" si="19"/>
        <v/>
      </c>
      <c r="N298" s="35" t="str">
        <f>IF(B298="","",IF(K298=0,IF(J298=0,"Pass",IF(COUNTIFS(BOM!$B$5:$B$1004,B298,BOM!$G$5:$G$1004,"KXDDM")&gt;0,"KXDDM","Xem xét")),IF(ABS(M298)&lt;=ThongTin!$C$11,"Pass","Xem xét")))</f>
        <v/>
      </c>
    </row>
    <row r="299" spans="1:14" x14ac:dyDescent="0.25">
      <c r="A299" s="35" t="str">
        <f t="shared" si="16"/>
        <v/>
      </c>
      <c r="B299" s="35" t="str">
        <f>IF('Mau15'!B305="","",'Mau15'!B305)</f>
        <v/>
      </c>
      <c r="C299" s="35" t="str">
        <f>IF(B299="","",'Mau15'!C305)</f>
        <v/>
      </c>
      <c r="D299" s="35" t="str">
        <f>IF(B299="","",'Mau15'!D305)</f>
        <v/>
      </c>
      <c r="E299" s="39" t="str">
        <f>IF(B299="","",'Mau15'!I305)</f>
        <v/>
      </c>
      <c r="F299" s="39" t="str">
        <f>IF(B299="","",SUMIFS(Cau_noi!$B$5:$B$304,Cau_noi!$A$5:$A$304,B299))</f>
        <v/>
      </c>
      <c r="G299" s="39" t="str">
        <f>IF(B299="","",SUMIFS(Cau_noi!$C$5:$C$304,Cau_noi!$A$5:$A$304,B299))</f>
        <v/>
      </c>
      <c r="H299" s="39" t="str">
        <f>IF(B299="","",SUMIFS(Cau_noi!$D$5:$D$304,Cau_noi!$A$5:$A$304,B299))</f>
        <v/>
      </c>
      <c r="I299" s="39" t="str">
        <f>IF(B299="","",SUMIFS(Cau_noi!$E$5:$E$304,Cau_noi!$A$5:$A$304,B299))</f>
        <v/>
      </c>
      <c r="J299" s="39" t="str">
        <f t="shared" si="17"/>
        <v/>
      </c>
      <c r="K299" s="39" t="str">
        <f>IF(B299="","",SUMIFS(KT_DMTT_ChiTiet!$H$5:$H$1004,KT_DMTT_ChiTiet!$C$5:$C$1004,B299,KT_DMTT_ChiTiet!$N$5:$N$1004,1))</f>
        <v/>
      </c>
      <c r="L299" s="39" t="str">
        <f t="shared" si="18"/>
        <v/>
      </c>
      <c r="M299" s="46" t="str">
        <f t="shared" si="19"/>
        <v/>
      </c>
      <c r="N299" s="35" t="str">
        <f>IF(B299="","",IF(K299=0,IF(J299=0,"Pass",IF(COUNTIFS(BOM!$B$5:$B$1004,B299,BOM!$G$5:$G$1004,"KXDDM")&gt;0,"KXDDM","Xem xét")),IF(ABS(M299)&lt;=ThongTin!$C$11,"Pass","Xem xét")))</f>
        <v/>
      </c>
    </row>
    <row r="300" spans="1:14" x14ac:dyDescent="0.25">
      <c r="A300" s="35" t="str">
        <f t="shared" si="16"/>
        <v/>
      </c>
      <c r="B300" s="35" t="str">
        <f>IF('Mau15'!B306="","",'Mau15'!B306)</f>
        <v/>
      </c>
      <c r="C300" s="35" t="str">
        <f>IF(B300="","",'Mau15'!C306)</f>
        <v/>
      </c>
      <c r="D300" s="35" t="str">
        <f>IF(B300="","",'Mau15'!D306)</f>
        <v/>
      </c>
      <c r="E300" s="39" t="str">
        <f>IF(B300="","",'Mau15'!I306)</f>
        <v/>
      </c>
      <c r="F300" s="39" t="str">
        <f>IF(B300="","",SUMIFS(Cau_noi!$B$5:$B$304,Cau_noi!$A$5:$A$304,B300))</f>
        <v/>
      </c>
      <c r="G300" s="39" t="str">
        <f>IF(B300="","",SUMIFS(Cau_noi!$C$5:$C$304,Cau_noi!$A$5:$A$304,B300))</f>
        <v/>
      </c>
      <c r="H300" s="39" t="str">
        <f>IF(B300="","",SUMIFS(Cau_noi!$D$5:$D$304,Cau_noi!$A$5:$A$304,B300))</f>
        <v/>
      </c>
      <c r="I300" s="39" t="str">
        <f>IF(B300="","",SUMIFS(Cau_noi!$E$5:$E$304,Cau_noi!$A$5:$A$304,B300))</f>
        <v/>
      </c>
      <c r="J300" s="39" t="str">
        <f t="shared" si="17"/>
        <v/>
      </c>
      <c r="K300" s="39" t="str">
        <f>IF(B300="","",SUMIFS(KT_DMTT_ChiTiet!$H$5:$H$1004,KT_DMTT_ChiTiet!$C$5:$C$1004,B300,KT_DMTT_ChiTiet!$N$5:$N$1004,1))</f>
        <v/>
      </c>
      <c r="L300" s="39" t="str">
        <f t="shared" si="18"/>
        <v/>
      </c>
      <c r="M300" s="46" t="str">
        <f t="shared" si="19"/>
        <v/>
      </c>
      <c r="N300" s="35" t="str">
        <f>IF(B300="","",IF(K300=0,IF(J300=0,"Pass",IF(COUNTIFS(BOM!$B$5:$B$1004,B300,BOM!$G$5:$G$1004,"KXDDM")&gt;0,"KXDDM","Xem xét")),IF(ABS(M300)&lt;=ThongTin!$C$11,"Pass","Xem xét")))</f>
        <v/>
      </c>
    </row>
    <row r="301" spans="1:14" x14ac:dyDescent="0.25">
      <c r="A301" s="35" t="str">
        <f t="shared" si="16"/>
        <v/>
      </c>
      <c r="B301" s="35" t="str">
        <f>IF('Mau15'!B307="","",'Mau15'!B307)</f>
        <v/>
      </c>
      <c r="C301" s="35" t="str">
        <f>IF(B301="","",'Mau15'!C307)</f>
        <v/>
      </c>
      <c r="D301" s="35" t="str">
        <f>IF(B301="","",'Mau15'!D307)</f>
        <v/>
      </c>
      <c r="E301" s="39" t="str">
        <f>IF(B301="","",'Mau15'!I307)</f>
        <v/>
      </c>
      <c r="F301" s="39" t="str">
        <f>IF(B301="","",SUMIFS(Cau_noi!$B$5:$B$304,Cau_noi!$A$5:$A$304,B301))</f>
        <v/>
      </c>
      <c r="G301" s="39" t="str">
        <f>IF(B301="","",SUMIFS(Cau_noi!$C$5:$C$304,Cau_noi!$A$5:$A$304,B301))</f>
        <v/>
      </c>
      <c r="H301" s="39" t="str">
        <f>IF(B301="","",SUMIFS(Cau_noi!$D$5:$D$304,Cau_noi!$A$5:$A$304,B301))</f>
        <v/>
      </c>
      <c r="I301" s="39" t="str">
        <f>IF(B301="","",SUMIFS(Cau_noi!$E$5:$E$304,Cau_noi!$A$5:$A$304,B301))</f>
        <v/>
      </c>
      <c r="J301" s="39" t="str">
        <f t="shared" si="17"/>
        <v/>
      </c>
      <c r="K301" s="39" t="str">
        <f>IF(B301="","",SUMIFS(KT_DMTT_ChiTiet!$H$5:$H$1004,KT_DMTT_ChiTiet!$C$5:$C$1004,B301,KT_DMTT_ChiTiet!$N$5:$N$1004,1))</f>
        <v/>
      </c>
      <c r="L301" s="39" t="str">
        <f t="shared" si="18"/>
        <v/>
      </c>
      <c r="M301" s="46" t="str">
        <f t="shared" si="19"/>
        <v/>
      </c>
      <c r="N301" s="35" t="str">
        <f>IF(B301="","",IF(K301=0,IF(J301=0,"Pass",IF(COUNTIFS(BOM!$B$5:$B$1004,B301,BOM!$G$5:$G$1004,"KXDDM")&gt;0,"KXDDM","Xem xét")),IF(ABS(M301)&lt;=ThongTin!$C$11,"Pass","Xem xét")))</f>
        <v/>
      </c>
    </row>
    <row r="302" spans="1:14" x14ac:dyDescent="0.25">
      <c r="A302" s="35" t="str">
        <f t="shared" si="16"/>
        <v/>
      </c>
      <c r="B302" s="35" t="str">
        <f>IF('Mau15'!B308="","",'Mau15'!B308)</f>
        <v/>
      </c>
      <c r="C302" s="35" t="str">
        <f>IF(B302="","",'Mau15'!C308)</f>
        <v/>
      </c>
      <c r="D302" s="35" t="str">
        <f>IF(B302="","",'Mau15'!D308)</f>
        <v/>
      </c>
      <c r="E302" s="39" t="str">
        <f>IF(B302="","",'Mau15'!I308)</f>
        <v/>
      </c>
      <c r="F302" s="39" t="str">
        <f>IF(B302="","",SUMIFS(Cau_noi!$B$5:$B$304,Cau_noi!$A$5:$A$304,B302))</f>
        <v/>
      </c>
      <c r="G302" s="39" t="str">
        <f>IF(B302="","",SUMIFS(Cau_noi!$C$5:$C$304,Cau_noi!$A$5:$A$304,B302))</f>
        <v/>
      </c>
      <c r="H302" s="39" t="str">
        <f>IF(B302="","",SUMIFS(Cau_noi!$D$5:$D$304,Cau_noi!$A$5:$A$304,B302))</f>
        <v/>
      </c>
      <c r="I302" s="39" t="str">
        <f>IF(B302="","",SUMIFS(Cau_noi!$E$5:$E$304,Cau_noi!$A$5:$A$304,B302))</f>
        <v/>
      </c>
      <c r="J302" s="39" t="str">
        <f t="shared" si="17"/>
        <v/>
      </c>
      <c r="K302" s="39" t="str">
        <f>IF(B302="","",SUMIFS(KT_DMTT_ChiTiet!$H$5:$H$1004,KT_DMTT_ChiTiet!$C$5:$C$1004,B302,KT_DMTT_ChiTiet!$N$5:$N$1004,1))</f>
        <v/>
      </c>
      <c r="L302" s="39" t="str">
        <f t="shared" si="18"/>
        <v/>
      </c>
      <c r="M302" s="46" t="str">
        <f t="shared" si="19"/>
        <v/>
      </c>
      <c r="N302" s="35" t="str">
        <f>IF(B302="","",IF(K302=0,IF(J302=0,"Pass",IF(COUNTIFS(BOM!$B$5:$B$1004,B302,BOM!$G$5:$G$1004,"KXDDM")&gt;0,"KXDDM","Xem xét")),IF(ABS(M302)&lt;=ThongTin!$C$11,"Pass","Xem xét")))</f>
        <v/>
      </c>
    </row>
    <row r="303" spans="1:14" x14ac:dyDescent="0.25">
      <c r="A303" s="35" t="str">
        <f t="shared" si="16"/>
        <v/>
      </c>
      <c r="B303" s="35" t="str">
        <f>IF('Mau15'!B309="","",'Mau15'!B309)</f>
        <v/>
      </c>
      <c r="C303" s="35" t="str">
        <f>IF(B303="","",'Mau15'!C309)</f>
        <v/>
      </c>
      <c r="D303" s="35" t="str">
        <f>IF(B303="","",'Mau15'!D309)</f>
        <v/>
      </c>
      <c r="E303" s="39" t="str">
        <f>IF(B303="","",'Mau15'!I309)</f>
        <v/>
      </c>
      <c r="F303" s="39" t="str">
        <f>IF(B303="","",SUMIFS(Cau_noi!$B$5:$B$304,Cau_noi!$A$5:$A$304,B303))</f>
        <v/>
      </c>
      <c r="G303" s="39" t="str">
        <f>IF(B303="","",SUMIFS(Cau_noi!$C$5:$C$304,Cau_noi!$A$5:$A$304,B303))</f>
        <v/>
      </c>
      <c r="H303" s="39" t="str">
        <f>IF(B303="","",SUMIFS(Cau_noi!$D$5:$D$304,Cau_noi!$A$5:$A$304,B303))</f>
        <v/>
      </c>
      <c r="I303" s="39" t="str">
        <f>IF(B303="","",SUMIFS(Cau_noi!$E$5:$E$304,Cau_noi!$A$5:$A$304,B303))</f>
        <v/>
      </c>
      <c r="J303" s="39" t="str">
        <f t="shared" si="17"/>
        <v/>
      </c>
      <c r="K303" s="39" t="str">
        <f>IF(B303="","",SUMIFS(KT_DMTT_ChiTiet!$H$5:$H$1004,KT_DMTT_ChiTiet!$C$5:$C$1004,B303,KT_DMTT_ChiTiet!$N$5:$N$1004,1))</f>
        <v/>
      </c>
      <c r="L303" s="39" t="str">
        <f t="shared" si="18"/>
        <v/>
      </c>
      <c r="M303" s="46" t="str">
        <f t="shared" si="19"/>
        <v/>
      </c>
      <c r="N303" s="35" t="str">
        <f>IF(B303="","",IF(K303=0,IF(J303=0,"Pass",IF(COUNTIFS(BOM!$B$5:$B$1004,B303,BOM!$G$5:$G$1004,"KXDDM")&gt;0,"KXDDM","Xem xét")),IF(ABS(M303)&lt;=ThongTin!$C$11,"Pass","Xem xét")))</f>
        <v/>
      </c>
    </row>
    <row r="304" spans="1:14" x14ac:dyDescent="0.25">
      <c r="A304" s="35" t="str">
        <f t="shared" si="16"/>
        <v/>
      </c>
      <c r="B304" s="35" t="str">
        <f>IF('Mau15'!B310="","",'Mau15'!B310)</f>
        <v/>
      </c>
      <c r="C304" s="35" t="str">
        <f>IF(B304="","",'Mau15'!C310)</f>
        <v/>
      </c>
      <c r="D304" s="35" t="str">
        <f>IF(B304="","",'Mau15'!D310)</f>
        <v/>
      </c>
      <c r="E304" s="39" t="str">
        <f>IF(B304="","",'Mau15'!I310)</f>
        <v/>
      </c>
      <c r="F304" s="39" t="str">
        <f>IF(B304="","",SUMIFS(Cau_noi!$B$5:$B$304,Cau_noi!$A$5:$A$304,B304))</f>
        <v/>
      </c>
      <c r="G304" s="39" t="str">
        <f>IF(B304="","",SUMIFS(Cau_noi!$C$5:$C$304,Cau_noi!$A$5:$A$304,B304))</f>
        <v/>
      </c>
      <c r="H304" s="39" t="str">
        <f>IF(B304="","",SUMIFS(Cau_noi!$D$5:$D$304,Cau_noi!$A$5:$A$304,B304))</f>
        <v/>
      </c>
      <c r="I304" s="39" t="str">
        <f>IF(B304="","",SUMIFS(Cau_noi!$E$5:$E$304,Cau_noi!$A$5:$A$304,B304))</f>
        <v/>
      </c>
      <c r="J304" s="39" t="str">
        <f t="shared" si="17"/>
        <v/>
      </c>
      <c r="K304" s="39" t="str">
        <f>IF(B304="","",SUMIFS(KT_DMTT_ChiTiet!$H$5:$H$1004,KT_DMTT_ChiTiet!$C$5:$C$1004,B304,KT_DMTT_ChiTiet!$N$5:$N$1004,1))</f>
        <v/>
      </c>
      <c r="L304" s="39" t="str">
        <f t="shared" si="18"/>
        <v/>
      </c>
      <c r="M304" s="46" t="str">
        <f t="shared" si="19"/>
        <v/>
      </c>
      <c r="N304" s="35" t="str">
        <f>IF(B304="","",IF(K304=0,IF(J304=0,"Pass",IF(COUNTIFS(BOM!$B$5:$B$1004,B304,BOM!$G$5:$G$1004,"KXDDM")&gt;0,"KXDDM","Xem xét")),IF(ABS(M304)&lt;=ThongTin!$C$11,"Pass","Xem xét")))</f>
        <v/>
      </c>
    </row>
  </sheetData>
  <sheetProtection password="D0B3" sheet="1" objects="1" scenarios="1" formatColumns="0" formatRows="0" autoFilter="0"/>
  <conditionalFormatting sqref="N5:N304">
    <cfRule type="cellIs" dxfId="50" priority="1" operator="equal">
      <formula>"Pass"</formula>
    </cfRule>
    <cfRule type="cellIs" dxfId="49" priority="2" operator="equal">
      <formula>"Khớp"</formula>
    </cfRule>
    <cfRule type="cellIs" dxfId="48" priority="3" operator="equal">
      <formula>"OK"</formula>
    </cfRule>
    <cfRule type="cellIs" dxfId="47" priority="4" operator="equal">
      <formula>"Xem xét"</formula>
    </cfRule>
    <cfRule type="cellIs" dxfId="46" priority="5" operator="equal">
      <formula>"Lệch"</formula>
    </cfRule>
  </conditionalFormatting>
  <hyperlinks>
    <hyperlink ref="A3" r:id="rId1" xr:uid="{00000000-0004-0000-10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0AD47"/>
  </sheetPr>
  <dimension ref="A1:M1004"/>
  <sheetViews>
    <sheetView showGridLines="0" workbookViewId="0">
      <pane xSplit="3" ySplit="4" topLeftCell="D5" activePane="bottomRight" state="frozen"/>
      <selection pane="topRight"/>
      <selection pane="bottomLeft"/>
      <selection pane="bottomRight"/>
    </sheetView>
  </sheetViews>
  <sheetFormatPr defaultRowHeight="14.4" x14ac:dyDescent="0.25"/>
  <cols>
    <col min="1" max="1" width="6" customWidth="1"/>
    <col min="2" max="3" width="12" customWidth="1"/>
    <col min="4" max="4" width="8" customWidth="1"/>
    <col min="5" max="5" width="12" customWidth="1"/>
    <col min="6" max="6" width="18" customWidth="1"/>
    <col min="7" max="8" width="14" customWidth="1"/>
    <col min="9" max="9" width="18" customWidth="1"/>
    <col min="10" max="12" width="16" customWidth="1"/>
    <col min="13" max="13" width="18" customWidth="1"/>
  </cols>
  <sheetData>
    <row r="1" spans="1:13" ht="17.55" x14ac:dyDescent="0.3">
      <c r="A1" s="1" t="s">
        <v>384</v>
      </c>
    </row>
    <row r="2" spans="1:13" x14ac:dyDescent="0.25">
      <c r="A2" s="30" t="str">
        <f>"ĐMTT kiểm tra ngược = ĐMTT Mẫu 16 × (6)/(7) của mã NL. Cảnh báo khi lệch so với định mức chuẩn vượt ±"&amp;TEXT(ThongTin!$C$12,"0%")</f>
        <v>ĐMTT kiểm tra ngược = ĐMTT Mẫu 16 × (6)/(7) của mã NL. Cảnh báo khi lệch so với định mức chuẩn vượt ±5%</v>
      </c>
    </row>
    <row r="3" spans="1:13" x14ac:dyDescent="0.25">
      <c r="A3" s="28" t="s">
        <v>4</v>
      </c>
      <c r="J3" s="9" t="s">
        <v>385</v>
      </c>
      <c r="L3" s="43" t="str">
        <f>COUNTIF(M5:M1004,"OK")&amp;" / "&amp;COUNTIF(M5:M1004,"Xem xét")</f>
        <v>14 / 0</v>
      </c>
    </row>
    <row r="4" spans="1:13" ht="48.05" customHeight="1" x14ac:dyDescent="0.25">
      <c r="A4" s="11" t="s">
        <v>298</v>
      </c>
      <c r="B4" s="11" t="s">
        <v>213</v>
      </c>
      <c r="C4" s="11" t="s">
        <v>239</v>
      </c>
      <c r="D4" s="11" t="s">
        <v>365</v>
      </c>
      <c r="E4" s="11" t="s">
        <v>373</v>
      </c>
      <c r="F4" s="11" t="s">
        <v>386</v>
      </c>
      <c r="G4" s="11" t="s">
        <v>387</v>
      </c>
      <c r="H4" s="11" t="s">
        <v>388</v>
      </c>
      <c r="I4" s="11" t="s">
        <v>389</v>
      </c>
      <c r="J4" s="11" t="s">
        <v>390</v>
      </c>
      <c r="K4" s="11" t="s">
        <v>391</v>
      </c>
      <c r="L4" s="11" t="s">
        <v>392</v>
      </c>
      <c r="M4" s="11" t="s">
        <v>311</v>
      </c>
    </row>
    <row r="5" spans="1:13" x14ac:dyDescent="0.25">
      <c r="A5" s="35">
        <f t="shared" ref="A5:A68" si="0">IF(B5="","",ROW()-4)</f>
        <v>1</v>
      </c>
      <c r="B5" s="35" t="str">
        <f>IF(BOM!A5="","",BOM!A5)</f>
        <v>AO01</v>
      </c>
      <c r="C5" s="35" t="str">
        <f>IF(B5="","",BOM!B5)</f>
        <v>VAI01</v>
      </c>
      <c r="D5" s="35" t="str">
        <f>IF(B5="","",KT_DMTT_ChiTiet!E5)</f>
        <v>MTR</v>
      </c>
      <c r="E5" s="36" t="str">
        <f>IF(B5="","",BOM!G5&amp;"")</f>
        <v/>
      </c>
      <c r="F5" s="39">
        <f>IF(B5="","",BOM!E5)</f>
        <v>1.8540000000000001</v>
      </c>
      <c r="G5" s="39">
        <f>IF(OR(B5="",E5="KXDDM"),"",BOM!F5)</f>
        <v>1.8540000000000001</v>
      </c>
      <c r="H5" s="39">
        <f>IF(OR(B5="",E5&lt;&gt;""),"",IFERROR(INDEX(KT_nguoc_theo_NL!$J$5:$J$304,MATCH(C5,KT_nguoc_theo_NL!$B$5:$B$304,0))/INDEX(KT_nguoc_theo_NL!$K$5:$K$304,MATCH(C5,KT_nguoc_theo_NL!$B$5:$B$304,0)),""))</f>
        <v>1.001300030426244</v>
      </c>
      <c r="I5" s="39">
        <f t="shared" ref="I5:I68" si="1">IF(OR(H5="",G5=""),"",G5*H5)</f>
        <v>1.8564102564102565</v>
      </c>
      <c r="J5" s="46">
        <f t="shared" ref="J5:J68" si="2">IF(OR(I5="",I5=0),"",(G5-I5)/I5)</f>
        <v>-1.2983425414364498E-3</v>
      </c>
      <c r="K5" s="46">
        <f t="shared" ref="K5:K68" si="3">IF(OR(G5="",F5="",F5=0),"",(G5-F5)/F5)</f>
        <v>0</v>
      </c>
      <c r="L5" s="46">
        <f t="shared" ref="L5:L68" si="4">IF(OR(I5="",F5="",F5=0),"",(I5-F5)/F5)</f>
        <v>1.3000304262440043E-3</v>
      </c>
      <c r="M5" s="35" t="str">
        <f>IF(B5="","",IF(E5="KXDDM","KXDDM – không ĐM",IF(E5&lt;&gt;"","Không KT ("&amp;E5&amp;")",IF(OR(K5="",L5=""),"Xem xét",IF(MAX(ABS(K5),ABS(L5))&lt;=ThongTin!$C$12,"OK","Xem xét")))))</f>
        <v>OK</v>
      </c>
    </row>
    <row r="6" spans="1:13" x14ac:dyDescent="0.25">
      <c r="A6" s="35">
        <f t="shared" si="0"/>
        <v>2</v>
      </c>
      <c r="B6" s="35" t="str">
        <f>IF(BOM!A6="","",BOM!A6)</f>
        <v>AO01</v>
      </c>
      <c r="C6" s="35" t="str">
        <f>IF(B6="","",BOM!B6)</f>
        <v>CHI01</v>
      </c>
      <c r="D6" s="35" t="str">
        <f>IF(B6="","",KT_DMTT_ChiTiet!E6)</f>
        <v>MTR</v>
      </c>
      <c r="E6" s="36" t="str">
        <f>IF(B6="","",BOM!G6&amp;"")</f>
        <v/>
      </c>
      <c r="F6" s="39">
        <f>IF(B6="","",BOM!E6)</f>
        <v>126</v>
      </c>
      <c r="G6" s="39">
        <f>IF(OR(B6="",E6="KXDDM"),"",BOM!F6)</f>
        <v>126</v>
      </c>
      <c r="H6" s="39">
        <f>IF(OR(B6="",E6&lt;&gt;""),"",IFERROR(INDEX(KT_nguoc_theo_NL!$J$5:$J$304,MATCH(C6,KT_nguoc_theo_NL!$B$5:$B$304,0))/INDEX(KT_nguoc_theo_NL!$K$5:$K$304,MATCH(C6,KT_nguoc_theo_NL!$B$5:$B$304,0)),""))</f>
        <v>1.0002079434393845</v>
      </c>
      <c r="I6" s="39">
        <f t="shared" si="1"/>
        <v>126.02620087336244</v>
      </c>
      <c r="J6" s="46">
        <f t="shared" si="2"/>
        <v>-2.0790020790017492E-4</v>
      </c>
      <c r="K6" s="46">
        <f t="shared" si="3"/>
        <v>0</v>
      </c>
      <c r="L6" s="46">
        <f t="shared" si="4"/>
        <v>2.0794343938445442E-4</v>
      </c>
      <c r="M6" s="35" t="str">
        <f>IF(B6="","",IF(E6="KXDDM","KXDDM – không ĐM",IF(E6&lt;&gt;"","Không KT ("&amp;E6&amp;")",IF(OR(K6="",L6=""),"Xem xét",IF(MAX(ABS(K6),ABS(L6))&lt;=ThongTin!$C$12,"OK","Xem xét")))))</f>
        <v>OK</v>
      </c>
    </row>
    <row r="7" spans="1:13" x14ac:dyDescent="0.25">
      <c r="A7" s="35">
        <f t="shared" si="0"/>
        <v>3</v>
      </c>
      <c r="B7" s="35" t="str">
        <f>IF(BOM!A7="","",BOM!A7)</f>
        <v>AO01</v>
      </c>
      <c r="C7" s="35" t="str">
        <f>IF(B7="","",BOM!B7)</f>
        <v>NUT01</v>
      </c>
      <c r="D7" s="35" t="str">
        <f>IF(B7="","",KT_DMTT_ChiTiet!E7)</f>
        <v>PCE</v>
      </c>
      <c r="E7" s="36" t="str">
        <f>IF(B7="","",BOM!G7&amp;"")</f>
        <v/>
      </c>
      <c r="F7" s="39">
        <f>IF(B7="","",BOM!E7)</f>
        <v>6.12</v>
      </c>
      <c r="G7" s="39">
        <f>IF(OR(B7="",E7="KXDDM"),"",BOM!F7)</f>
        <v>6.12</v>
      </c>
      <c r="H7" s="39">
        <f>IF(OR(B7="",E7&lt;&gt;""),"",IFERROR(INDEX(KT_nguoc_theo_NL!$J$5:$J$304,MATCH(C7,KT_nguoc_theo_NL!$B$5:$B$304,0))/INDEX(KT_nguoc_theo_NL!$K$5:$K$304,MATCH(C7,KT_nguoc_theo_NL!$B$5:$B$304,0)),""))</f>
        <v>1.019091847265222</v>
      </c>
      <c r="I7" s="39">
        <f t="shared" si="1"/>
        <v>6.2368421052631584</v>
      </c>
      <c r="J7" s="46">
        <f t="shared" si="2"/>
        <v>-1.8734177215189936E-2</v>
      </c>
      <c r="K7" s="46">
        <f t="shared" si="3"/>
        <v>0</v>
      </c>
      <c r="L7" s="46">
        <f t="shared" si="4"/>
        <v>1.9091847265221944E-2</v>
      </c>
      <c r="M7" s="35" t="str">
        <f>IF(B7="","",IF(E7="KXDDM","KXDDM – không ĐM",IF(E7&lt;&gt;"","Không KT ("&amp;E7&amp;")",IF(OR(K7="",L7=""),"Xem xét",IF(MAX(ABS(K7),ABS(L7))&lt;=ThongTin!$C$12,"OK","Xem xét")))))</f>
        <v>OK</v>
      </c>
    </row>
    <row r="8" spans="1:13" x14ac:dyDescent="0.25">
      <c r="A8" s="35">
        <f t="shared" si="0"/>
        <v>4</v>
      </c>
      <c r="B8" s="35" t="str">
        <f>IF(BOM!A8="","",BOM!A8)</f>
        <v>AO01</v>
      </c>
      <c r="C8" s="35" t="str">
        <f>IF(B8="","",BOM!B8)</f>
        <v>KHOA01</v>
      </c>
      <c r="D8" s="35" t="str">
        <f>IF(B8="","",KT_DMTT_ChiTiet!E8)</f>
        <v>PCE</v>
      </c>
      <c r="E8" s="36" t="str">
        <f>IF(B8="","",BOM!G8&amp;"")</f>
        <v/>
      </c>
      <c r="F8" s="39">
        <f>IF(B8="","",BOM!E8)</f>
        <v>1.01</v>
      </c>
      <c r="G8" s="39">
        <f>IF(OR(B8="",E8="KXDDM"),"",BOM!F8)</f>
        <v>1.01</v>
      </c>
      <c r="H8" s="39">
        <f>IF(OR(B8="",E8&lt;&gt;""),"",IFERROR(INDEX(KT_nguoc_theo_NL!$J$5:$J$304,MATCH(C8,KT_nguoc_theo_NL!$B$5:$B$304,0))/INDEX(KT_nguoc_theo_NL!$K$5:$K$304,MATCH(C8,KT_nguoc_theo_NL!$B$5:$B$304,0)),""))</f>
        <v>1</v>
      </c>
      <c r="I8" s="39">
        <f t="shared" si="1"/>
        <v>1.01</v>
      </c>
      <c r="J8" s="46">
        <f t="shared" si="2"/>
        <v>0</v>
      </c>
      <c r="K8" s="46">
        <f t="shared" si="3"/>
        <v>0</v>
      </c>
      <c r="L8" s="46">
        <f t="shared" si="4"/>
        <v>0</v>
      </c>
      <c r="M8" s="35" t="str">
        <f>IF(B8="","",IF(E8="KXDDM","KXDDM – không ĐM",IF(E8&lt;&gt;"","Không KT ("&amp;E8&amp;")",IF(OR(K8="",L8=""),"Xem xét",IF(MAX(ABS(K8),ABS(L8))&lt;=ThongTin!$C$12,"OK","Xem xét")))))</f>
        <v>OK</v>
      </c>
    </row>
    <row r="9" spans="1:13" x14ac:dyDescent="0.25">
      <c r="A9" s="35">
        <f t="shared" si="0"/>
        <v>5</v>
      </c>
      <c r="B9" s="35" t="str">
        <f>IF(BOM!A9="","",BOM!A9)</f>
        <v>AO01</v>
      </c>
      <c r="C9" s="35" t="str">
        <f>IF(B9="","",BOM!B9)</f>
        <v>NHAN01</v>
      </c>
      <c r="D9" s="35" t="str">
        <f>IF(B9="","",KT_DMTT_ChiTiet!E9)</f>
        <v>PCE</v>
      </c>
      <c r="E9" s="36" t="str">
        <f>IF(B9="","",BOM!G9&amp;"")</f>
        <v/>
      </c>
      <c r="F9" s="39">
        <f>IF(B9="","",BOM!E9)</f>
        <v>2.02</v>
      </c>
      <c r="G9" s="39">
        <f>IF(OR(B9="",E9="KXDDM"),"",BOM!F9)</f>
        <v>2.02</v>
      </c>
      <c r="H9" s="39">
        <f>IF(OR(B9="",E9&lt;&gt;""),"",IFERROR(INDEX(KT_nguoc_theo_NL!$J$5:$J$304,MATCH(C9,KT_nguoc_theo_NL!$B$5:$B$304,0))/INDEX(KT_nguoc_theo_NL!$K$5:$K$304,MATCH(C9,KT_nguoc_theo_NL!$B$5:$B$304,0)),""))</f>
        <v>1.0006000600060005</v>
      </c>
      <c r="I9" s="39">
        <f t="shared" si="1"/>
        <v>2.021212121212121</v>
      </c>
      <c r="J9" s="46">
        <f t="shared" si="2"/>
        <v>-5.9970014992493151E-4</v>
      </c>
      <c r="K9" s="46">
        <f t="shared" si="3"/>
        <v>0</v>
      </c>
      <c r="L9" s="46">
        <f t="shared" si="4"/>
        <v>6.0006000600049396E-4</v>
      </c>
      <c r="M9" s="35" t="str">
        <f>IF(B9="","",IF(E9="KXDDM","KXDDM – không ĐM",IF(E9&lt;&gt;"","Không KT ("&amp;E9&amp;")",IF(OR(K9="",L9=""),"Xem xét",IF(MAX(ABS(K9),ABS(L9))&lt;=ThongTin!$C$12,"OK","Xem xét")))))</f>
        <v>OK</v>
      </c>
    </row>
    <row r="10" spans="1:13" x14ac:dyDescent="0.25">
      <c r="A10" s="35">
        <f t="shared" si="0"/>
        <v>6</v>
      </c>
      <c r="B10" s="35" t="str">
        <f>IF(BOM!A10="","",BOM!A10)</f>
        <v>AO01</v>
      </c>
      <c r="C10" s="35" t="str">
        <f>IF(B10="","",BOM!B10)</f>
        <v>TUI01</v>
      </c>
      <c r="D10" s="35" t="str">
        <f>IF(B10="","",KT_DMTT_ChiTiet!E10)</f>
        <v>PCE</v>
      </c>
      <c r="E10" s="36" t="str">
        <f>IF(B10="","",BOM!G10&amp;"")</f>
        <v>X</v>
      </c>
      <c r="F10" s="39">
        <f>IF(B10="","",BOM!E10)</f>
        <v>1</v>
      </c>
      <c r="G10" s="39">
        <f>IF(OR(B10="",E10="KXDDM"),"",BOM!F10)</f>
        <v>1</v>
      </c>
      <c r="H10" s="39" t="str">
        <f>IF(OR(B10="",E10&lt;&gt;""),"",IFERROR(INDEX(KT_nguoc_theo_NL!$J$5:$J$304,MATCH(C10,KT_nguoc_theo_NL!$B$5:$B$304,0))/INDEX(KT_nguoc_theo_NL!$K$5:$K$304,MATCH(C10,KT_nguoc_theo_NL!$B$5:$B$304,0)),""))</f>
        <v/>
      </c>
      <c r="I10" s="39" t="str">
        <f t="shared" si="1"/>
        <v/>
      </c>
      <c r="J10" s="46" t="str">
        <f t="shared" si="2"/>
        <v/>
      </c>
      <c r="K10" s="46">
        <f t="shared" si="3"/>
        <v>0</v>
      </c>
      <c r="L10" s="46" t="str">
        <f t="shared" si="4"/>
        <v/>
      </c>
      <c r="M10" s="35" t="str">
        <f>IF(B10="","",IF(E10="KXDDM","KXDDM – không ĐM",IF(E10&lt;&gt;"","Không KT ("&amp;E10&amp;")",IF(OR(K10="",L10=""),"Xem xét",IF(MAX(ABS(K10),ABS(L10))&lt;=ThongTin!$C$12,"OK","Xem xét")))))</f>
        <v>Không KT (X)</v>
      </c>
    </row>
    <row r="11" spans="1:13" x14ac:dyDescent="0.25">
      <c r="A11" s="35">
        <f t="shared" si="0"/>
        <v>7</v>
      </c>
      <c r="B11" s="35" t="str">
        <f>IF(BOM!A11="","",BOM!A11)</f>
        <v>AO01</v>
      </c>
      <c r="C11" s="35" t="str">
        <f>IF(B11="","",BOM!B11)</f>
        <v>PHAN01</v>
      </c>
      <c r="D11" s="35" t="str">
        <f>IF(B11="","",KT_DMTT_ChiTiet!E11)</f>
        <v>Viên</v>
      </c>
      <c r="E11" s="36" t="str">
        <f>IF(B11="","",BOM!G11&amp;"")</f>
        <v>KXDDM</v>
      </c>
      <c r="F11" s="39" t="str">
        <f>IF(B11="","",BOM!E11)</f>
        <v/>
      </c>
      <c r="G11" s="39" t="str">
        <f>IF(OR(B11="",E11="KXDDM"),"",BOM!F11)</f>
        <v/>
      </c>
      <c r="H11" s="39" t="str">
        <f>IF(OR(B11="",E11&lt;&gt;""),"",IFERROR(INDEX(KT_nguoc_theo_NL!$J$5:$J$304,MATCH(C11,KT_nguoc_theo_NL!$B$5:$B$304,0))/INDEX(KT_nguoc_theo_NL!$K$5:$K$304,MATCH(C11,KT_nguoc_theo_NL!$B$5:$B$304,0)),""))</f>
        <v/>
      </c>
      <c r="I11" s="39" t="str">
        <f t="shared" si="1"/>
        <v/>
      </c>
      <c r="J11" s="46" t="str">
        <f t="shared" si="2"/>
        <v/>
      </c>
      <c r="K11" s="46" t="str">
        <f t="shared" si="3"/>
        <v/>
      </c>
      <c r="L11" s="46" t="str">
        <f t="shared" si="4"/>
        <v/>
      </c>
      <c r="M11" s="35" t="str">
        <f>IF(B11="","",IF(E11="KXDDM","KXDDM – không ĐM",IF(E11&lt;&gt;"","Không KT ("&amp;E11&amp;")",IF(OR(K11="",L11=""),"Xem xét",IF(MAX(ABS(K11),ABS(L11))&lt;=ThongTin!$C$12,"OK","Xem xét")))))</f>
        <v>KXDDM – không ĐM</v>
      </c>
    </row>
    <row r="12" spans="1:13" x14ac:dyDescent="0.25">
      <c r="A12" s="35">
        <f t="shared" si="0"/>
        <v>8</v>
      </c>
      <c r="B12" s="35" t="str">
        <f>IF(BOM!A12="","",BOM!A12)</f>
        <v>QUAN01</v>
      </c>
      <c r="C12" s="35" t="str">
        <f>IF(B12="","",BOM!B12)</f>
        <v>VAI01</v>
      </c>
      <c r="D12" s="35" t="str">
        <f>IF(B12="","",KT_DMTT_ChiTiet!E12)</f>
        <v>MTR</v>
      </c>
      <c r="E12" s="36" t="str">
        <f>IF(B12="","",BOM!G12&amp;"")</f>
        <v/>
      </c>
      <c r="F12" s="39">
        <f>IF(B12="","",BOM!E12)</f>
        <v>1.236</v>
      </c>
      <c r="G12" s="39">
        <f>IF(OR(B12="",E12="KXDDM"),"",BOM!F12)</f>
        <v>1.236</v>
      </c>
      <c r="H12" s="39">
        <f>IF(OR(B12="",E12&lt;&gt;""),"",IFERROR(INDEX(KT_nguoc_theo_NL!$J$5:$J$304,MATCH(C12,KT_nguoc_theo_NL!$B$5:$B$304,0))/INDEX(KT_nguoc_theo_NL!$K$5:$K$304,MATCH(C12,KT_nguoc_theo_NL!$B$5:$B$304,0)),""))</f>
        <v>1.001300030426244</v>
      </c>
      <c r="I12" s="39">
        <f t="shared" si="1"/>
        <v>1.2376068376068377</v>
      </c>
      <c r="J12" s="46">
        <f t="shared" si="2"/>
        <v>-1.2983425414365096E-3</v>
      </c>
      <c r="K12" s="46">
        <f t="shared" si="3"/>
        <v>0</v>
      </c>
      <c r="L12" s="46">
        <f t="shared" si="4"/>
        <v>1.3000304262440641E-3</v>
      </c>
      <c r="M12" s="35" t="str">
        <f>IF(B12="","",IF(E12="KXDDM","KXDDM – không ĐM",IF(E12&lt;&gt;"","Không KT ("&amp;E12&amp;")",IF(OR(K12="",L12=""),"Xem xét",IF(MAX(ABS(K12),ABS(L12))&lt;=ThongTin!$C$12,"OK","Xem xét")))))</f>
        <v>OK</v>
      </c>
    </row>
    <row r="13" spans="1:13" x14ac:dyDescent="0.25">
      <c r="A13" s="35">
        <f t="shared" si="0"/>
        <v>9</v>
      </c>
      <c r="B13" s="35" t="str">
        <f>IF(BOM!A13="","",BOM!A13)</f>
        <v>QUAN01</v>
      </c>
      <c r="C13" s="35" t="str">
        <f>IF(B13="","",BOM!B13)</f>
        <v>CHI01</v>
      </c>
      <c r="D13" s="35" t="str">
        <f>IF(B13="","",KT_DMTT_ChiTiet!E13)</f>
        <v>MTR</v>
      </c>
      <c r="E13" s="36" t="str">
        <f>IF(B13="","",BOM!G13&amp;"")</f>
        <v/>
      </c>
      <c r="F13" s="39">
        <f>IF(B13="","",BOM!E13)</f>
        <v>84</v>
      </c>
      <c r="G13" s="39">
        <f>IF(OR(B13="",E13="KXDDM"),"",BOM!F13)</f>
        <v>84</v>
      </c>
      <c r="H13" s="39">
        <f>IF(OR(B13="",E13&lt;&gt;""),"",IFERROR(INDEX(KT_nguoc_theo_NL!$J$5:$J$304,MATCH(C13,KT_nguoc_theo_NL!$B$5:$B$304,0))/INDEX(KT_nguoc_theo_NL!$K$5:$K$304,MATCH(C13,KT_nguoc_theo_NL!$B$5:$B$304,0)),""))</f>
        <v>1.0002079434393845</v>
      </c>
      <c r="I13" s="39">
        <f t="shared" si="1"/>
        <v>84.017467248908289</v>
      </c>
      <c r="J13" s="46">
        <f t="shared" si="2"/>
        <v>-2.0790020790011855E-4</v>
      </c>
      <c r="K13" s="46">
        <f t="shared" si="3"/>
        <v>0</v>
      </c>
      <c r="L13" s="46">
        <f t="shared" si="4"/>
        <v>2.0794343938439802E-4</v>
      </c>
      <c r="M13" s="35" t="str">
        <f>IF(B13="","",IF(E13="KXDDM","KXDDM – không ĐM",IF(E13&lt;&gt;"","Không KT ("&amp;E13&amp;")",IF(OR(K13="",L13=""),"Xem xét",IF(MAX(ABS(K13),ABS(L13))&lt;=ThongTin!$C$12,"OK","Xem xét")))))</f>
        <v>OK</v>
      </c>
    </row>
    <row r="14" spans="1:13" x14ac:dyDescent="0.25">
      <c r="A14" s="35">
        <f t="shared" si="0"/>
        <v>10</v>
      </c>
      <c r="B14" s="35" t="str">
        <f>IF(BOM!A14="","",BOM!A14)</f>
        <v>QUAN01</v>
      </c>
      <c r="C14" s="35" t="str">
        <f>IF(B14="","",BOM!B14)</f>
        <v>NUT01</v>
      </c>
      <c r="D14" s="35" t="str">
        <f>IF(B14="","",KT_DMTT_ChiTiet!E14)</f>
        <v>PCE</v>
      </c>
      <c r="E14" s="36" t="str">
        <f>IF(B14="","",BOM!G14&amp;"")</f>
        <v/>
      </c>
      <c r="F14" s="39">
        <f>IF(B14="","",BOM!E14)</f>
        <v>2.04</v>
      </c>
      <c r="G14" s="39">
        <f>IF(OR(B14="",E14="KXDDM"),"",BOM!F14)</f>
        <v>2.04</v>
      </c>
      <c r="H14" s="39">
        <f>IF(OR(B14="",E14&lt;&gt;""),"",IFERROR(INDEX(KT_nguoc_theo_NL!$J$5:$J$304,MATCH(C14,KT_nguoc_theo_NL!$B$5:$B$304,0))/INDEX(KT_nguoc_theo_NL!$K$5:$K$304,MATCH(C14,KT_nguoc_theo_NL!$B$5:$B$304,0)),""))</f>
        <v>1.019091847265222</v>
      </c>
      <c r="I14" s="39">
        <f t="shared" si="1"/>
        <v>2.0789473684210527</v>
      </c>
      <c r="J14" s="46">
        <f t="shared" si="2"/>
        <v>-1.8734177215189867E-2</v>
      </c>
      <c r="K14" s="46">
        <f t="shared" si="3"/>
        <v>0</v>
      </c>
      <c r="L14" s="46">
        <f t="shared" si="4"/>
        <v>1.9091847265221871E-2</v>
      </c>
      <c r="M14" s="35" t="str">
        <f>IF(B14="","",IF(E14="KXDDM","KXDDM – không ĐM",IF(E14&lt;&gt;"","Không KT ("&amp;E14&amp;")",IF(OR(K14="",L14=""),"Xem xét",IF(MAX(ABS(K14),ABS(L14))&lt;=ThongTin!$C$12,"OK","Xem xét")))))</f>
        <v>OK</v>
      </c>
    </row>
    <row r="15" spans="1:13" x14ac:dyDescent="0.25">
      <c r="A15" s="35">
        <f t="shared" si="0"/>
        <v>11</v>
      </c>
      <c r="B15" s="35" t="str">
        <f>IF(BOM!A15="","",BOM!A15)</f>
        <v>QUAN01</v>
      </c>
      <c r="C15" s="35" t="str">
        <f>IF(B15="","",BOM!B15)</f>
        <v>KHOA01</v>
      </c>
      <c r="D15" s="35" t="str">
        <f>IF(B15="","",KT_DMTT_ChiTiet!E15)</f>
        <v>PCE</v>
      </c>
      <c r="E15" s="36" t="str">
        <f>IF(B15="","",BOM!G15&amp;"")</f>
        <v/>
      </c>
      <c r="F15" s="39">
        <f>IF(B15="","",BOM!E15)</f>
        <v>1.01</v>
      </c>
      <c r="G15" s="39">
        <f>IF(OR(B15="",E15="KXDDM"),"",BOM!F15)</f>
        <v>1.01</v>
      </c>
      <c r="H15" s="39">
        <f>IF(OR(B15="",E15&lt;&gt;""),"",IFERROR(INDEX(KT_nguoc_theo_NL!$J$5:$J$304,MATCH(C15,KT_nguoc_theo_NL!$B$5:$B$304,0))/INDEX(KT_nguoc_theo_NL!$K$5:$K$304,MATCH(C15,KT_nguoc_theo_NL!$B$5:$B$304,0)),""))</f>
        <v>1</v>
      </c>
      <c r="I15" s="39">
        <f t="shared" si="1"/>
        <v>1.01</v>
      </c>
      <c r="J15" s="46">
        <f t="shared" si="2"/>
        <v>0</v>
      </c>
      <c r="K15" s="46">
        <f t="shared" si="3"/>
        <v>0</v>
      </c>
      <c r="L15" s="46">
        <f t="shared" si="4"/>
        <v>0</v>
      </c>
      <c r="M15" s="35" t="str">
        <f>IF(B15="","",IF(E15="KXDDM","KXDDM – không ĐM",IF(E15&lt;&gt;"","Không KT ("&amp;E15&amp;")",IF(OR(K15="",L15=""),"Xem xét",IF(MAX(ABS(K15),ABS(L15))&lt;=ThongTin!$C$12,"OK","Xem xét")))))</f>
        <v>OK</v>
      </c>
    </row>
    <row r="16" spans="1:13" x14ac:dyDescent="0.25">
      <c r="A16" s="35">
        <f t="shared" si="0"/>
        <v>12</v>
      </c>
      <c r="B16" s="35" t="str">
        <f>IF(BOM!A16="","",BOM!A16)</f>
        <v>QUAN01</v>
      </c>
      <c r="C16" s="35" t="str">
        <f>IF(B16="","",BOM!B16)</f>
        <v>NHAN01</v>
      </c>
      <c r="D16" s="35" t="str">
        <f>IF(B16="","",KT_DMTT_ChiTiet!E16)</f>
        <v>PCE</v>
      </c>
      <c r="E16" s="36" t="str">
        <f>IF(B16="","",BOM!G16&amp;"")</f>
        <v/>
      </c>
      <c r="F16" s="39">
        <f>IF(B16="","",BOM!E16)</f>
        <v>1.01</v>
      </c>
      <c r="G16" s="39">
        <f>IF(OR(B16="",E16="KXDDM"),"",BOM!F16)</f>
        <v>1.01</v>
      </c>
      <c r="H16" s="39">
        <f>IF(OR(B16="",E16&lt;&gt;""),"",IFERROR(INDEX(KT_nguoc_theo_NL!$J$5:$J$304,MATCH(C16,KT_nguoc_theo_NL!$B$5:$B$304,0))/INDEX(KT_nguoc_theo_NL!$K$5:$K$304,MATCH(C16,KT_nguoc_theo_NL!$B$5:$B$304,0)),""))</f>
        <v>1.0006000600060005</v>
      </c>
      <c r="I16" s="39">
        <f t="shared" si="1"/>
        <v>1.0106060606060605</v>
      </c>
      <c r="J16" s="46">
        <f t="shared" si="2"/>
        <v>-5.9970014992493151E-4</v>
      </c>
      <c r="K16" s="46">
        <f t="shared" si="3"/>
        <v>0</v>
      </c>
      <c r="L16" s="46">
        <f t="shared" si="4"/>
        <v>6.0006000600049396E-4</v>
      </c>
      <c r="M16" s="35" t="str">
        <f>IF(B16="","",IF(E16="KXDDM","KXDDM – không ĐM",IF(E16&lt;&gt;"","Không KT ("&amp;E16&amp;")",IF(OR(K16="",L16=""),"Xem xét",IF(MAX(ABS(K16),ABS(L16))&lt;=ThongTin!$C$12,"OK","Xem xét")))))</f>
        <v>OK</v>
      </c>
    </row>
    <row r="17" spans="1:13" x14ac:dyDescent="0.25">
      <c r="A17" s="35">
        <f t="shared" si="0"/>
        <v>13</v>
      </c>
      <c r="B17" s="35" t="str">
        <f>IF(BOM!A17="","",BOM!A17)</f>
        <v>QUAN01</v>
      </c>
      <c r="C17" s="35" t="str">
        <f>IF(B17="","",BOM!B17)</f>
        <v>TUI01</v>
      </c>
      <c r="D17" s="35" t="str">
        <f>IF(B17="","",KT_DMTT_ChiTiet!E17)</f>
        <v>PCE</v>
      </c>
      <c r="E17" s="36" t="str">
        <f>IF(B17="","",BOM!G17&amp;"")</f>
        <v>X</v>
      </c>
      <c r="F17" s="39">
        <f>IF(B17="","",BOM!E17)</f>
        <v>1</v>
      </c>
      <c r="G17" s="39">
        <f>IF(OR(B17="",E17="KXDDM"),"",BOM!F17)</f>
        <v>1</v>
      </c>
      <c r="H17" s="39" t="str">
        <f>IF(OR(B17="",E17&lt;&gt;""),"",IFERROR(INDEX(KT_nguoc_theo_NL!$J$5:$J$304,MATCH(C17,KT_nguoc_theo_NL!$B$5:$B$304,0))/INDEX(KT_nguoc_theo_NL!$K$5:$K$304,MATCH(C17,KT_nguoc_theo_NL!$B$5:$B$304,0)),""))</f>
        <v/>
      </c>
      <c r="I17" s="39" t="str">
        <f t="shared" si="1"/>
        <v/>
      </c>
      <c r="J17" s="46" t="str">
        <f t="shared" si="2"/>
        <v/>
      </c>
      <c r="K17" s="46">
        <f t="shared" si="3"/>
        <v>0</v>
      </c>
      <c r="L17" s="46" t="str">
        <f t="shared" si="4"/>
        <v/>
      </c>
      <c r="M17" s="35" t="str">
        <f>IF(B17="","",IF(E17="KXDDM","KXDDM – không ĐM",IF(E17&lt;&gt;"","Không KT ("&amp;E17&amp;")",IF(OR(K17="",L17=""),"Xem xét",IF(MAX(ABS(K17),ABS(L17))&lt;=ThongTin!$C$12,"OK","Xem xét")))))</f>
        <v>Không KT (X)</v>
      </c>
    </row>
    <row r="18" spans="1:13" x14ac:dyDescent="0.25">
      <c r="A18" s="35">
        <f t="shared" si="0"/>
        <v>14</v>
      </c>
      <c r="B18" s="35" t="str">
        <f>IF(BOM!A18="","",BOM!A18)</f>
        <v>QUAN01</v>
      </c>
      <c r="C18" s="35" t="str">
        <f>IF(B18="","",BOM!B18)</f>
        <v>PHAN01</v>
      </c>
      <c r="D18" s="35" t="str">
        <f>IF(B18="","",KT_DMTT_ChiTiet!E18)</f>
        <v>Viên</v>
      </c>
      <c r="E18" s="36" t="str">
        <f>IF(B18="","",BOM!G18&amp;"")</f>
        <v>KXDDM</v>
      </c>
      <c r="F18" s="39" t="str">
        <f>IF(B18="","",BOM!E18)</f>
        <v/>
      </c>
      <c r="G18" s="39" t="str">
        <f>IF(OR(B18="",E18="KXDDM"),"",BOM!F18)</f>
        <v/>
      </c>
      <c r="H18" s="39" t="str">
        <f>IF(OR(B18="",E18&lt;&gt;""),"",IFERROR(INDEX(KT_nguoc_theo_NL!$J$5:$J$304,MATCH(C18,KT_nguoc_theo_NL!$B$5:$B$304,0))/INDEX(KT_nguoc_theo_NL!$K$5:$K$304,MATCH(C18,KT_nguoc_theo_NL!$B$5:$B$304,0)),""))</f>
        <v/>
      </c>
      <c r="I18" s="39" t="str">
        <f t="shared" si="1"/>
        <v/>
      </c>
      <c r="J18" s="46" t="str">
        <f t="shared" si="2"/>
        <v/>
      </c>
      <c r="K18" s="46" t="str">
        <f t="shared" si="3"/>
        <v/>
      </c>
      <c r="L18" s="46" t="str">
        <f t="shared" si="4"/>
        <v/>
      </c>
      <c r="M18" s="35" t="str">
        <f>IF(B18="","",IF(E18="KXDDM","KXDDM – không ĐM",IF(E18&lt;&gt;"","Không KT ("&amp;E18&amp;")",IF(OR(K18="",L18=""),"Xem xét",IF(MAX(ABS(K18),ABS(L18))&lt;=ThongTin!$C$12,"OK","Xem xét")))))</f>
        <v>KXDDM – không ĐM</v>
      </c>
    </row>
    <row r="19" spans="1:13" x14ac:dyDescent="0.25">
      <c r="A19" s="35">
        <f t="shared" si="0"/>
        <v>15</v>
      </c>
      <c r="B19" s="35" t="str">
        <f>IF(BOM!A19="","",BOM!A19)</f>
        <v>VAY01</v>
      </c>
      <c r="C19" s="35" t="str">
        <f>IF(B19="","",BOM!B19)</f>
        <v>VAI01</v>
      </c>
      <c r="D19" s="35" t="str">
        <f>IF(B19="","",KT_DMTT_ChiTiet!E19)</f>
        <v>MTR</v>
      </c>
      <c r="E19" s="36" t="str">
        <f>IF(B19="","",BOM!G19&amp;"")</f>
        <v/>
      </c>
      <c r="F19" s="39">
        <f>IF(B19="","",BOM!E19)</f>
        <v>1.5449999999999999</v>
      </c>
      <c r="G19" s="39">
        <f>IF(OR(B19="",E19="KXDDM"),"",BOM!F19)</f>
        <v>1.5449999999999999</v>
      </c>
      <c r="H19" s="39">
        <f>IF(OR(B19="",E19&lt;&gt;""),"",IFERROR(INDEX(KT_nguoc_theo_NL!$J$5:$J$304,MATCH(C19,KT_nguoc_theo_NL!$B$5:$B$304,0))/INDEX(KT_nguoc_theo_NL!$K$5:$K$304,MATCH(C19,KT_nguoc_theo_NL!$B$5:$B$304,0)),""))</f>
        <v>1.001300030426244</v>
      </c>
      <c r="I19" s="39">
        <f t="shared" si="1"/>
        <v>1.5470085470085471</v>
      </c>
      <c r="J19" s="46">
        <f t="shared" si="2"/>
        <v>-1.2983425414365456E-3</v>
      </c>
      <c r="K19" s="46">
        <f t="shared" si="3"/>
        <v>0</v>
      </c>
      <c r="L19" s="46">
        <f t="shared" si="4"/>
        <v>1.3000304262441001E-3</v>
      </c>
      <c r="M19" s="35" t="str">
        <f>IF(B19="","",IF(E19="KXDDM","KXDDM – không ĐM",IF(E19&lt;&gt;"","Không KT ("&amp;E19&amp;")",IF(OR(K19="",L19=""),"Xem xét",IF(MAX(ABS(K19),ABS(L19))&lt;=ThongTin!$C$12,"OK","Xem xét")))))</f>
        <v>OK</v>
      </c>
    </row>
    <row r="20" spans="1:13" x14ac:dyDescent="0.25">
      <c r="A20" s="35">
        <f t="shared" si="0"/>
        <v>16</v>
      </c>
      <c r="B20" s="35" t="str">
        <f>IF(BOM!A20="","",BOM!A20)</f>
        <v>VAY01</v>
      </c>
      <c r="C20" s="35" t="str">
        <f>IF(B20="","",BOM!B20)</f>
        <v>CHI01</v>
      </c>
      <c r="D20" s="35" t="str">
        <f>IF(B20="","",KT_DMTT_ChiTiet!E20)</f>
        <v>MTR</v>
      </c>
      <c r="E20" s="36" t="str">
        <f>IF(B20="","",BOM!G20&amp;"")</f>
        <v/>
      </c>
      <c r="F20" s="39">
        <f>IF(B20="","",BOM!E20)</f>
        <v>94.5</v>
      </c>
      <c r="G20" s="39">
        <f>IF(OR(B20="",E20="KXDDM"),"",BOM!F20)</f>
        <v>94.5</v>
      </c>
      <c r="H20" s="39">
        <f>IF(OR(B20="",E20&lt;&gt;""),"",IFERROR(INDEX(KT_nguoc_theo_NL!$J$5:$J$304,MATCH(C20,KT_nguoc_theo_NL!$B$5:$B$304,0))/INDEX(KT_nguoc_theo_NL!$K$5:$K$304,MATCH(C20,KT_nguoc_theo_NL!$B$5:$B$304,0)),""))</f>
        <v>1.0002079434393845</v>
      </c>
      <c r="I20" s="39">
        <f t="shared" si="1"/>
        <v>94.519650655021834</v>
      </c>
      <c r="J20" s="46">
        <f t="shared" si="2"/>
        <v>-2.0790020790021249E-4</v>
      </c>
      <c r="K20" s="46">
        <f t="shared" si="3"/>
        <v>0</v>
      </c>
      <c r="L20" s="46">
        <f t="shared" si="4"/>
        <v>2.0794343938449202E-4</v>
      </c>
      <c r="M20" s="35" t="str">
        <f>IF(B20="","",IF(E20="KXDDM","KXDDM – không ĐM",IF(E20&lt;&gt;"","Không KT ("&amp;E20&amp;")",IF(OR(K20="",L20=""),"Xem xét",IF(MAX(ABS(K20),ABS(L20))&lt;=ThongTin!$C$12,"OK","Xem xét")))))</f>
        <v>OK</v>
      </c>
    </row>
    <row r="21" spans="1:13" x14ac:dyDescent="0.25">
      <c r="A21" s="35">
        <f t="shared" si="0"/>
        <v>17</v>
      </c>
      <c r="B21" s="35" t="str">
        <f>IF(BOM!A21="","",BOM!A21)</f>
        <v>VAY01</v>
      </c>
      <c r="C21" s="35" t="str">
        <f>IF(B21="","",BOM!B21)</f>
        <v>KHOA01</v>
      </c>
      <c r="D21" s="35" t="str">
        <f>IF(B21="","",KT_DMTT_ChiTiet!E21)</f>
        <v>PCE</v>
      </c>
      <c r="E21" s="36" t="str">
        <f>IF(B21="","",BOM!G21&amp;"")</f>
        <v/>
      </c>
      <c r="F21" s="39">
        <f>IF(B21="","",BOM!E21)</f>
        <v>1.01</v>
      </c>
      <c r="G21" s="39">
        <f>IF(OR(B21="",E21="KXDDM"),"",BOM!F21)</f>
        <v>1.01</v>
      </c>
      <c r="H21" s="39">
        <f>IF(OR(B21="",E21&lt;&gt;""),"",IFERROR(INDEX(KT_nguoc_theo_NL!$J$5:$J$304,MATCH(C21,KT_nguoc_theo_NL!$B$5:$B$304,0))/INDEX(KT_nguoc_theo_NL!$K$5:$K$304,MATCH(C21,KT_nguoc_theo_NL!$B$5:$B$304,0)),""))</f>
        <v>1</v>
      </c>
      <c r="I21" s="39">
        <f t="shared" si="1"/>
        <v>1.01</v>
      </c>
      <c r="J21" s="46">
        <f t="shared" si="2"/>
        <v>0</v>
      </c>
      <c r="K21" s="46">
        <f t="shared" si="3"/>
        <v>0</v>
      </c>
      <c r="L21" s="46">
        <f t="shared" si="4"/>
        <v>0</v>
      </c>
      <c r="M21" s="35" t="str">
        <f>IF(B21="","",IF(E21="KXDDM","KXDDM – không ĐM",IF(E21&lt;&gt;"","Không KT ("&amp;E21&amp;")",IF(OR(K21="",L21=""),"Xem xét",IF(MAX(ABS(K21),ABS(L21))&lt;=ThongTin!$C$12,"OK","Xem xét")))))</f>
        <v>OK</v>
      </c>
    </row>
    <row r="22" spans="1:13" x14ac:dyDescent="0.25">
      <c r="A22" s="35">
        <f t="shared" si="0"/>
        <v>18</v>
      </c>
      <c r="B22" s="35" t="str">
        <f>IF(BOM!A22="","",BOM!A22)</f>
        <v>VAY01</v>
      </c>
      <c r="C22" s="35" t="str">
        <f>IF(B22="","",BOM!B22)</f>
        <v>NHAN01</v>
      </c>
      <c r="D22" s="35" t="str">
        <f>IF(B22="","",KT_DMTT_ChiTiet!E22)</f>
        <v>PCE</v>
      </c>
      <c r="E22" s="36" t="str">
        <f>IF(B22="","",BOM!G22&amp;"")</f>
        <v/>
      </c>
      <c r="F22" s="39">
        <f>IF(B22="","",BOM!E22)</f>
        <v>1.01</v>
      </c>
      <c r="G22" s="39">
        <f>IF(OR(B22="",E22="KXDDM"),"",BOM!F22)</f>
        <v>1.01</v>
      </c>
      <c r="H22" s="39">
        <f>IF(OR(B22="",E22&lt;&gt;""),"",IFERROR(INDEX(KT_nguoc_theo_NL!$J$5:$J$304,MATCH(C22,KT_nguoc_theo_NL!$B$5:$B$304,0))/INDEX(KT_nguoc_theo_NL!$K$5:$K$304,MATCH(C22,KT_nguoc_theo_NL!$B$5:$B$304,0)),""))</f>
        <v>1.0006000600060005</v>
      </c>
      <c r="I22" s="39">
        <f t="shared" si="1"/>
        <v>1.0106060606060605</v>
      </c>
      <c r="J22" s="46">
        <f t="shared" si="2"/>
        <v>-5.9970014992493151E-4</v>
      </c>
      <c r="K22" s="46">
        <f t="shared" si="3"/>
        <v>0</v>
      </c>
      <c r="L22" s="46">
        <f t="shared" si="4"/>
        <v>6.0006000600049396E-4</v>
      </c>
      <c r="M22" s="35" t="str">
        <f>IF(B22="","",IF(E22="KXDDM","KXDDM – không ĐM",IF(E22&lt;&gt;"","Không KT ("&amp;E22&amp;")",IF(OR(K22="",L22=""),"Xem xét",IF(MAX(ABS(K22),ABS(L22))&lt;=ThongTin!$C$12,"OK","Xem xét")))))</f>
        <v>OK</v>
      </c>
    </row>
    <row r="23" spans="1:13" x14ac:dyDescent="0.25">
      <c r="A23" s="35">
        <f t="shared" si="0"/>
        <v>19</v>
      </c>
      <c r="B23" s="35" t="str">
        <f>IF(BOM!A23="","",BOM!A23)</f>
        <v>VAY01</v>
      </c>
      <c r="C23" s="35" t="str">
        <f>IF(B23="","",BOM!B23)</f>
        <v>TUI01</v>
      </c>
      <c r="D23" s="35" t="str">
        <f>IF(B23="","",KT_DMTT_ChiTiet!E23)</f>
        <v>PCE</v>
      </c>
      <c r="E23" s="36" t="str">
        <f>IF(B23="","",BOM!G23&amp;"")</f>
        <v>X</v>
      </c>
      <c r="F23" s="39">
        <f>IF(B23="","",BOM!E23)</f>
        <v>1</v>
      </c>
      <c r="G23" s="39">
        <f>IF(OR(B23="",E23="KXDDM"),"",BOM!F23)</f>
        <v>1</v>
      </c>
      <c r="H23" s="39" t="str">
        <f>IF(OR(B23="",E23&lt;&gt;""),"",IFERROR(INDEX(KT_nguoc_theo_NL!$J$5:$J$304,MATCH(C23,KT_nguoc_theo_NL!$B$5:$B$304,0))/INDEX(KT_nguoc_theo_NL!$K$5:$K$304,MATCH(C23,KT_nguoc_theo_NL!$B$5:$B$304,0)),""))</f>
        <v/>
      </c>
      <c r="I23" s="39" t="str">
        <f t="shared" si="1"/>
        <v/>
      </c>
      <c r="J23" s="46" t="str">
        <f t="shared" si="2"/>
        <v/>
      </c>
      <c r="K23" s="46">
        <f t="shared" si="3"/>
        <v>0</v>
      </c>
      <c r="L23" s="46" t="str">
        <f t="shared" si="4"/>
        <v/>
      </c>
      <c r="M23" s="35" t="str">
        <f>IF(B23="","",IF(E23="KXDDM","KXDDM – không ĐM",IF(E23&lt;&gt;"","Không KT ("&amp;E23&amp;")",IF(OR(K23="",L23=""),"Xem xét",IF(MAX(ABS(K23),ABS(L23))&lt;=ThongTin!$C$12,"OK","Xem xét")))))</f>
        <v>Không KT (X)</v>
      </c>
    </row>
    <row r="24" spans="1:13" x14ac:dyDescent="0.25">
      <c r="A24" s="35" t="str">
        <f t="shared" si="0"/>
        <v/>
      </c>
      <c r="B24" s="35" t="str">
        <f>IF(BOM!A24="","",BOM!A24)</f>
        <v/>
      </c>
      <c r="C24" s="35" t="str">
        <f>IF(B24="","",BOM!B24)</f>
        <v/>
      </c>
      <c r="D24" s="35" t="str">
        <f>IF(B24="","",KT_DMTT_ChiTiet!E24)</f>
        <v/>
      </c>
      <c r="E24" s="36" t="str">
        <f>IF(B24="","",BOM!G24&amp;"")</f>
        <v/>
      </c>
      <c r="F24" s="39" t="str">
        <f>IF(B24="","",BOM!E24)</f>
        <v/>
      </c>
      <c r="G24" s="39" t="str">
        <f>IF(OR(B24="",E24="KXDDM"),"",BOM!F24)</f>
        <v/>
      </c>
      <c r="H24" s="39" t="str">
        <f>IF(OR(B24="",E24&lt;&gt;""),"",IFERROR(INDEX(KT_nguoc_theo_NL!$J$5:$J$304,MATCH(C24,KT_nguoc_theo_NL!$B$5:$B$304,0))/INDEX(KT_nguoc_theo_NL!$K$5:$K$304,MATCH(C24,KT_nguoc_theo_NL!$B$5:$B$304,0)),""))</f>
        <v/>
      </c>
      <c r="I24" s="39" t="str">
        <f t="shared" si="1"/>
        <v/>
      </c>
      <c r="J24" s="46" t="str">
        <f t="shared" si="2"/>
        <v/>
      </c>
      <c r="K24" s="46" t="str">
        <f t="shared" si="3"/>
        <v/>
      </c>
      <c r="L24" s="46" t="str">
        <f t="shared" si="4"/>
        <v/>
      </c>
      <c r="M24" s="35" t="str">
        <f>IF(B24="","",IF(E24="KXDDM","KXDDM – không ĐM",IF(E24&lt;&gt;"","Không KT ("&amp;E24&amp;")",IF(OR(K24="",L24=""),"Xem xét",IF(MAX(ABS(K24),ABS(L24))&lt;=ThongTin!$C$12,"OK","Xem xét")))))</f>
        <v/>
      </c>
    </row>
    <row r="25" spans="1:13" x14ac:dyDescent="0.25">
      <c r="A25" s="35" t="str">
        <f t="shared" si="0"/>
        <v/>
      </c>
      <c r="B25" s="35" t="str">
        <f>IF(BOM!A25="","",BOM!A25)</f>
        <v/>
      </c>
      <c r="C25" s="35" t="str">
        <f>IF(B25="","",BOM!B25)</f>
        <v/>
      </c>
      <c r="D25" s="35" t="str">
        <f>IF(B25="","",KT_DMTT_ChiTiet!E25)</f>
        <v/>
      </c>
      <c r="E25" s="36" t="str">
        <f>IF(B25="","",BOM!G25&amp;"")</f>
        <v/>
      </c>
      <c r="F25" s="39" t="str">
        <f>IF(B25="","",BOM!E25)</f>
        <v/>
      </c>
      <c r="G25" s="39" t="str">
        <f>IF(OR(B25="",E25="KXDDM"),"",BOM!F25)</f>
        <v/>
      </c>
      <c r="H25" s="39" t="str">
        <f>IF(OR(B25="",E25&lt;&gt;""),"",IFERROR(INDEX(KT_nguoc_theo_NL!$J$5:$J$304,MATCH(C25,KT_nguoc_theo_NL!$B$5:$B$304,0))/INDEX(KT_nguoc_theo_NL!$K$5:$K$304,MATCH(C25,KT_nguoc_theo_NL!$B$5:$B$304,0)),""))</f>
        <v/>
      </c>
      <c r="I25" s="39" t="str">
        <f t="shared" si="1"/>
        <v/>
      </c>
      <c r="J25" s="46" t="str">
        <f t="shared" si="2"/>
        <v/>
      </c>
      <c r="K25" s="46" t="str">
        <f t="shared" si="3"/>
        <v/>
      </c>
      <c r="L25" s="46" t="str">
        <f t="shared" si="4"/>
        <v/>
      </c>
      <c r="M25" s="35" t="str">
        <f>IF(B25="","",IF(E25="KXDDM","KXDDM – không ĐM",IF(E25&lt;&gt;"","Không KT ("&amp;E25&amp;")",IF(OR(K25="",L25=""),"Xem xét",IF(MAX(ABS(K25),ABS(L25))&lt;=ThongTin!$C$12,"OK","Xem xét")))))</f>
        <v/>
      </c>
    </row>
    <row r="26" spans="1:13" x14ac:dyDescent="0.25">
      <c r="A26" s="35" t="str">
        <f t="shared" si="0"/>
        <v/>
      </c>
      <c r="B26" s="35" t="str">
        <f>IF(BOM!A26="","",BOM!A26)</f>
        <v/>
      </c>
      <c r="C26" s="35" t="str">
        <f>IF(B26="","",BOM!B26)</f>
        <v/>
      </c>
      <c r="D26" s="35" t="str">
        <f>IF(B26="","",KT_DMTT_ChiTiet!E26)</f>
        <v/>
      </c>
      <c r="E26" s="36" t="str">
        <f>IF(B26="","",BOM!G26&amp;"")</f>
        <v/>
      </c>
      <c r="F26" s="39" t="str">
        <f>IF(B26="","",BOM!E26)</f>
        <v/>
      </c>
      <c r="G26" s="39" t="str">
        <f>IF(OR(B26="",E26="KXDDM"),"",BOM!F26)</f>
        <v/>
      </c>
      <c r="H26" s="39" t="str">
        <f>IF(OR(B26="",E26&lt;&gt;""),"",IFERROR(INDEX(KT_nguoc_theo_NL!$J$5:$J$304,MATCH(C26,KT_nguoc_theo_NL!$B$5:$B$304,0))/INDEX(KT_nguoc_theo_NL!$K$5:$K$304,MATCH(C26,KT_nguoc_theo_NL!$B$5:$B$304,0)),""))</f>
        <v/>
      </c>
      <c r="I26" s="39" t="str">
        <f t="shared" si="1"/>
        <v/>
      </c>
      <c r="J26" s="46" t="str">
        <f t="shared" si="2"/>
        <v/>
      </c>
      <c r="K26" s="46" t="str">
        <f t="shared" si="3"/>
        <v/>
      </c>
      <c r="L26" s="46" t="str">
        <f t="shared" si="4"/>
        <v/>
      </c>
      <c r="M26" s="35" t="str">
        <f>IF(B26="","",IF(E26="KXDDM","KXDDM – không ĐM",IF(E26&lt;&gt;"","Không KT ("&amp;E26&amp;")",IF(OR(K26="",L26=""),"Xem xét",IF(MAX(ABS(K26),ABS(L26))&lt;=ThongTin!$C$12,"OK","Xem xét")))))</f>
        <v/>
      </c>
    </row>
    <row r="27" spans="1:13" x14ac:dyDescent="0.25">
      <c r="A27" s="35" t="str">
        <f t="shared" si="0"/>
        <v/>
      </c>
      <c r="B27" s="35" t="str">
        <f>IF(BOM!A27="","",BOM!A27)</f>
        <v/>
      </c>
      <c r="C27" s="35" t="str">
        <f>IF(B27="","",BOM!B27)</f>
        <v/>
      </c>
      <c r="D27" s="35" t="str">
        <f>IF(B27="","",KT_DMTT_ChiTiet!E27)</f>
        <v/>
      </c>
      <c r="E27" s="36" t="str">
        <f>IF(B27="","",BOM!G27&amp;"")</f>
        <v/>
      </c>
      <c r="F27" s="39" t="str">
        <f>IF(B27="","",BOM!E27)</f>
        <v/>
      </c>
      <c r="G27" s="39" t="str">
        <f>IF(OR(B27="",E27="KXDDM"),"",BOM!F27)</f>
        <v/>
      </c>
      <c r="H27" s="39" t="str">
        <f>IF(OR(B27="",E27&lt;&gt;""),"",IFERROR(INDEX(KT_nguoc_theo_NL!$J$5:$J$304,MATCH(C27,KT_nguoc_theo_NL!$B$5:$B$304,0))/INDEX(KT_nguoc_theo_NL!$K$5:$K$304,MATCH(C27,KT_nguoc_theo_NL!$B$5:$B$304,0)),""))</f>
        <v/>
      </c>
      <c r="I27" s="39" t="str">
        <f t="shared" si="1"/>
        <v/>
      </c>
      <c r="J27" s="46" t="str">
        <f t="shared" si="2"/>
        <v/>
      </c>
      <c r="K27" s="46" t="str">
        <f t="shared" si="3"/>
        <v/>
      </c>
      <c r="L27" s="46" t="str">
        <f t="shared" si="4"/>
        <v/>
      </c>
      <c r="M27" s="35" t="str">
        <f>IF(B27="","",IF(E27="KXDDM","KXDDM – không ĐM",IF(E27&lt;&gt;"","Không KT ("&amp;E27&amp;")",IF(OR(K27="",L27=""),"Xem xét",IF(MAX(ABS(K27),ABS(L27))&lt;=ThongTin!$C$12,"OK","Xem xét")))))</f>
        <v/>
      </c>
    </row>
    <row r="28" spans="1:13" x14ac:dyDescent="0.25">
      <c r="A28" s="35" t="str">
        <f t="shared" si="0"/>
        <v/>
      </c>
      <c r="B28" s="35" t="str">
        <f>IF(BOM!A28="","",BOM!A28)</f>
        <v/>
      </c>
      <c r="C28" s="35" t="str">
        <f>IF(B28="","",BOM!B28)</f>
        <v/>
      </c>
      <c r="D28" s="35" t="str">
        <f>IF(B28="","",KT_DMTT_ChiTiet!E28)</f>
        <v/>
      </c>
      <c r="E28" s="36" t="str">
        <f>IF(B28="","",BOM!G28&amp;"")</f>
        <v/>
      </c>
      <c r="F28" s="39" t="str">
        <f>IF(B28="","",BOM!E28)</f>
        <v/>
      </c>
      <c r="G28" s="39" t="str">
        <f>IF(OR(B28="",E28="KXDDM"),"",BOM!F28)</f>
        <v/>
      </c>
      <c r="H28" s="39" t="str">
        <f>IF(OR(B28="",E28&lt;&gt;""),"",IFERROR(INDEX(KT_nguoc_theo_NL!$J$5:$J$304,MATCH(C28,KT_nguoc_theo_NL!$B$5:$B$304,0))/INDEX(KT_nguoc_theo_NL!$K$5:$K$304,MATCH(C28,KT_nguoc_theo_NL!$B$5:$B$304,0)),""))</f>
        <v/>
      </c>
      <c r="I28" s="39" t="str">
        <f t="shared" si="1"/>
        <v/>
      </c>
      <c r="J28" s="46" t="str">
        <f t="shared" si="2"/>
        <v/>
      </c>
      <c r="K28" s="46" t="str">
        <f t="shared" si="3"/>
        <v/>
      </c>
      <c r="L28" s="46" t="str">
        <f t="shared" si="4"/>
        <v/>
      </c>
      <c r="M28" s="35" t="str">
        <f>IF(B28="","",IF(E28="KXDDM","KXDDM – không ĐM",IF(E28&lt;&gt;"","Không KT ("&amp;E28&amp;")",IF(OR(K28="",L28=""),"Xem xét",IF(MAX(ABS(K28),ABS(L28))&lt;=ThongTin!$C$12,"OK","Xem xét")))))</f>
        <v/>
      </c>
    </row>
    <row r="29" spans="1:13" x14ac:dyDescent="0.25">
      <c r="A29" s="35" t="str">
        <f t="shared" si="0"/>
        <v/>
      </c>
      <c r="B29" s="35" t="str">
        <f>IF(BOM!A29="","",BOM!A29)</f>
        <v/>
      </c>
      <c r="C29" s="35" t="str">
        <f>IF(B29="","",BOM!B29)</f>
        <v/>
      </c>
      <c r="D29" s="35" t="str">
        <f>IF(B29="","",KT_DMTT_ChiTiet!E29)</f>
        <v/>
      </c>
      <c r="E29" s="36" t="str">
        <f>IF(B29="","",BOM!G29&amp;"")</f>
        <v/>
      </c>
      <c r="F29" s="39" t="str">
        <f>IF(B29="","",BOM!E29)</f>
        <v/>
      </c>
      <c r="G29" s="39" t="str">
        <f>IF(OR(B29="",E29="KXDDM"),"",BOM!F29)</f>
        <v/>
      </c>
      <c r="H29" s="39" t="str">
        <f>IF(OR(B29="",E29&lt;&gt;""),"",IFERROR(INDEX(KT_nguoc_theo_NL!$J$5:$J$304,MATCH(C29,KT_nguoc_theo_NL!$B$5:$B$304,0))/INDEX(KT_nguoc_theo_NL!$K$5:$K$304,MATCH(C29,KT_nguoc_theo_NL!$B$5:$B$304,0)),""))</f>
        <v/>
      </c>
      <c r="I29" s="39" t="str">
        <f t="shared" si="1"/>
        <v/>
      </c>
      <c r="J29" s="46" t="str">
        <f t="shared" si="2"/>
        <v/>
      </c>
      <c r="K29" s="46" t="str">
        <f t="shared" si="3"/>
        <v/>
      </c>
      <c r="L29" s="46" t="str">
        <f t="shared" si="4"/>
        <v/>
      </c>
      <c r="M29" s="35" t="str">
        <f>IF(B29="","",IF(E29="KXDDM","KXDDM – không ĐM",IF(E29&lt;&gt;"","Không KT ("&amp;E29&amp;")",IF(OR(K29="",L29=""),"Xem xét",IF(MAX(ABS(K29),ABS(L29))&lt;=ThongTin!$C$12,"OK","Xem xét")))))</f>
        <v/>
      </c>
    </row>
    <row r="30" spans="1:13" x14ac:dyDescent="0.25">
      <c r="A30" s="35" t="str">
        <f t="shared" si="0"/>
        <v/>
      </c>
      <c r="B30" s="35" t="str">
        <f>IF(BOM!A30="","",BOM!A30)</f>
        <v/>
      </c>
      <c r="C30" s="35" t="str">
        <f>IF(B30="","",BOM!B30)</f>
        <v/>
      </c>
      <c r="D30" s="35" t="str">
        <f>IF(B30="","",KT_DMTT_ChiTiet!E30)</f>
        <v/>
      </c>
      <c r="E30" s="36" t="str">
        <f>IF(B30="","",BOM!G30&amp;"")</f>
        <v/>
      </c>
      <c r="F30" s="39" t="str">
        <f>IF(B30="","",BOM!E30)</f>
        <v/>
      </c>
      <c r="G30" s="39" t="str">
        <f>IF(OR(B30="",E30="KXDDM"),"",BOM!F30)</f>
        <v/>
      </c>
      <c r="H30" s="39" t="str">
        <f>IF(OR(B30="",E30&lt;&gt;""),"",IFERROR(INDEX(KT_nguoc_theo_NL!$J$5:$J$304,MATCH(C30,KT_nguoc_theo_NL!$B$5:$B$304,0))/INDEX(KT_nguoc_theo_NL!$K$5:$K$304,MATCH(C30,KT_nguoc_theo_NL!$B$5:$B$304,0)),""))</f>
        <v/>
      </c>
      <c r="I30" s="39" t="str">
        <f t="shared" si="1"/>
        <v/>
      </c>
      <c r="J30" s="46" t="str">
        <f t="shared" si="2"/>
        <v/>
      </c>
      <c r="K30" s="46" t="str">
        <f t="shared" si="3"/>
        <v/>
      </c>
      <c r="L30" s="46" t="str">
        <f t="shared" si="4"/>
        <v/>
      </c>
      <c r="M30" s="35" t="str">
        <f>IF(B30="","",IF(E30="KXDDM","KXDDM – không ĐM",IF(E30&lt;&gt;"","Không KT ("&amp;E30&amp;")",IF(OR(K30="",L30=""),"Xem xét",IF(MAX(ABS(K30),ABS(L30))&lt;=ThongTin!$C$12,"OK","Xem xét")))))</f>
        <v/>
      </c>
    </row>
    <row r="31" spans="1:13" x14ac:dyDescent="0.25">
      <c r="A31" s="35" t="str">
        <f t="shared" si="0"/>
        <v/>
      </c>
      <c r="B31" s="35" t="str">
        <f>IF(BOM!A31="","",BOM!A31)</f>
        <v/>
      </c>
      <c r="C31" s="35" t="str">
        <f>IF(B31="","",BOM!B31)</f>
        <v/>
      </c>
      <c r="D31" s="35" t="str">
        <f>IF(B31="","",KT_DMTT_ChiTiet!E31)</f>
        <v/>
      </c>
      <c r="E31" s="36" t="str">
        <f>IF(B31="","",BOM!G31&amp;"")</f>
        <v/>
      </c>
      <c r="F31" s="39" t="str">
        <f>IF(B31="","",BOM!E31)</f>
        <v/>
      </c>
      <c r="G31" s="39" t="str">
        <f>IF(OR(B31="",E31="KXDDM"),"",BOM!F31)</f>
        <v/>
      </c>
      <c r="H31" s="39" t="str">
        <f>IF(OR(B31="",E31&lt;&gt;""),"",IFERROR(INDEX(KT_nguoc_theo_NL!$J$5:$J$304,MATCH(C31,KT_nguoc_theo_NL!$B$5:$B$304,0))/INDEX(KT_nguoc_theo_NL!$K$5:$K$304,MATCH(C31,KT_nguoc_theo_NL!$B$5:$B$304,0)),""))</f>
        <v/>
      </c>
      <c r="I31" s="39" t="str">
        <f t="shared" si="1"/>
        <v/>
      </c>
      <c r="J31" s="46" t="str">
        <f t="shared" si="2"/>
        <v/>
      </c>
      <c r="K31" s="46" t="str">
        <f t="shared" si="3"/>
        <v/>
      </c>
      <c r="L31" s="46" t="str">
        <f t="shared" si="4"/>
        <v/>
      </c>
      <c r="M31" s="35" t="str">
        <f>IF(B31="","",IF(E31="KXDDM","KXDDM – không ĐM",IF(E31&lt;&gt;"","Không KT ("&amp;E31&amp;")",IF(OR(K31="",L31=""),"Xem xét",IF(MAX(ABS(K31),ABS(L31))&lt;=ThongTin!$C$12,"OK","Xem xét")))))</f>
        <v/>
      </c>
    </row>
    <row r="32" spans="1:13" x14ac:dyDescent="0.25">
      <c r="A32" s="35" t="str">
        <f t="shared" si="0"/>
        <v/>
      </c>
      <c r="B32" s="35" t="str">
        <f>IF(BOM!A32="","",BOM!A32)</f>
        <v/>
      </c>
      <c r="C32" s="35" t="str">
        <f>IF(B32="","",BOM!B32)</f>
        <v/>
      </c>
      <c r="D32" s="35" t="str">
        <f>IF(B32="","",KT_DMTT_ChiTiet!E32)</f>
        <v/>
      </c>
      <c r="E32" s="36" t="str">
        <f>IF(B32="","",BOM!G32&amp;"")</f>
        <v/>
      </c>
      <c r="F32" s="39" t="str">
        <f>IF(B32="","",BOM!E32)</f>
        <v/>
      </c>
      <c r="G32" s="39" t="str">
        <f>IF(OR(B32="",E32="KXDDM"),"",BOM!F32)</f>
        <v/>
      </c>
      <c r="H32" s="39" t="str">
        <f>IF(OR(B32="",E32&lt;&gt;""),"",IFERROR(INDEX(KT_nguoc_theo_NL!$J$5:$J$304,MATCH(C32,KT_nguoc_theo_NL!$B$5:$B$304,0))/INDEX(KT_nguoc_theo_NL!$K$5:$K$304,MATCH(C32,KT_nguoc_theo_NL!$B$5:$B$304,0)),""))</f>
        <v/>
      </c>
      <c r="I32" s="39" t="str">
        <f t="shared" si="1"/>
        <v/>
      </c>
      <c r="J32" s="46" t="str">
        <f t="shared" si="2"/>
        <v/>
      </c>
      <c r="K32" s="46" t="str">
        <f t="shared" si="3"/>
        <v/>
      </c>
      <c r="L32" s="46" t="str">
        <f t="shared" si="4"/>
        <v/>
      </c>
      <c r="M32" s="35" t="str">
        <f>IF(B32="","",IF(E32="KXDDM","KXDDM – không ĐM",IF(E32&lt;&gt;"","Không KT ("&amp;E32&amp;")",IF(OR(K32="",L32=""),"Xem xét",IF(MAX(ABS(K32),ABS(L32))&lt;=ThongTin!$C$12,"OK","Xem xét")))))</f>
        <v/>
      </c>
    </row>
    <row r="33" spans="1:13" x14ac:dyDescent="0.25">
      <c r="A33" s="35" t="str">
        <f t="shared" si="0"/>
        <v/>
      </c>
      <c r="B33" s="35" t="str">
        <f>IF(BOM!A33="","",BOM!A33)</f>
        <v/>
      </c>
      <c r="C33" s="35" t="str">
        <f>IF(B33="","",BOM!B33)</f>
        <v/>
      </c>
      <c r="D33" s="35" t="str">
        <f>IF(B33="","",KT_DMTT_ChiTiet!E33)</f>
        <v/>
      </c>
      <c r="E33" s="36" t="str">
        <f>IF(B33="","",BOM!G33&amp;"")</f>
        <v/>
      </c>
      <c r="F33" s="39" t="str">
        <f>IF(B33="","",BOM!E33)</f>
        <v/>
      </c>
      <c r="G33" s="39" t="str">
        <f>IF(OR(B33="",E33="KXDDM"),"",BOM!F33)</f>
        <v/>
      </c>
      <c r="H33" s="39" t="str">
        <f>IF(OR(B33="",E33&lt;&gt;""),"",IFERROR(INDEX(KT_nguoc_theo_NL!$J$5:$J$304,MATCH(C33,KT_nguoc_theo_NL!$B$5:$B$304,0))/INDEX(KT_nguoc_theo_NL!$K$5:$K$304,MATCH(C33,KT_nguoc_theo_NL!$B$5:$B$304,0)),""))</f>
        <v/>
      </c>
      <c r="I33" s="39" t="str">
        <f t="shared" si="1"/>
        <v/>
      </c>
      <c r="J33" s="46" t="str">
        <f t="shared" si="2"/>
        <v/>
      </c>
      <c r="K33" s="46" t="str">
        <f t="shared" si="3"/>
        <v/>
      </c>
      <c r="L33" s="46" t="str">
        <f t="shared" si="4"/>
        <v/>
      </c>
      <c r="M33" s="35" t="str">
        <f>IF(B33="","",IF(E33="KXDDM","KXDDM – không ĐM",IF(E33&lt;&gt;"","Không KT ("&amp;E33&amp;")",IF(OR(K33="",L33=""),"Xem xét",IF(MAX(ABS(K33),ABS(L33))&lt;=ThongTin!$C$12,"OK","Xem xét")))))</f>
        <v/>
      </c>
    </row>
    <row r="34" spans="1:13" x14ac:dyDescent="0.25">
      <c r="A34" s="35" t="str">
        <f t="shared" si="0"/>
        <v/>
      </c>
      <c r="B34" s="35" t="str">
        <f>IF(BOM!A34="","",BOM!A34)</f>
        <v/>
      </c>
      <c r="C34" s="35" t="str">
        <f>IF(B34="","",BOM!B34)</f>
        <v/>
      </c>
      <c r="D34" s="35" t="str">
        <f>IF(B34="","",KT_DMTT_ChiTiet!E34)</f>
        <v/>
      </c>
      <c r="E34" s="36" t="str">
        <f>IF(B34="","",BOM!G34&amp;"")</f>
        <v/>
      </c>
      <c r="F34" s="39" t="str">
        <f>IF(B34="","",BOM!E34)</f>
        <v/>
      </c>
      <c r="G34" s="39" t="str">
        <f>IF(OR(B34="",E34="KXDDM"),"",BOM!F34)</f>
        <v/>
      </c>
      <c r="H34" s="39" t="str">
        <f>IF(OR(B34="",E34&lt;&gt;""),"",IFERROR(INDEX(KT_nguoc_theo_NL!$J$5:$J$304,MATCH(C34,KT_nguoc_theo_NL!$B$5:$B$304,0))/INDEX(KT_nguoc_theo_NL!$K$5:$K$304,MATCH(C34,KT_nguoc_theo_NL!$B$5:$B$304,0)),""))</f>
        <v/>
      </c>
      <c r="I34" s="39" t="str">
        <f t="shared" si="1"/>
        <v/>
      </c>
      <c r="J34" s="46" t="str">
        <f t="shared" si="2"/>
        <v/>
      </c>
      <c r="K34" s="46" t="str">
        <f t="shared" si="3"/>
        <v/>
      </c>
      <c r="L34" s="46" t="str">
        <f t="shared" si="4"/>
        <v/>
      </c>
      <c r="M34" s="35" t="str">
        <f>IF(B34="","",IF(E34="KXDDM","KXDDM – không ĐM",IF(E34&lt;&gt;"","Không KT ("&amp;E34&amp;")",IF(OR(K34="",L34=""),"Xem xét",IF(MAX(ABS(K34),ABS(L34))&lt;=ThongTin!$C$12,"OK","Xem xét")))))</f>
        <v/>
      </c>
    </row>
    <row r="35" spans="1:13" x14ac:dyDescent="0.25">
      <c r="A35" s="35" t="str">
        <f t="shared" si="0"/>
        <v/>
      </c>
      <c r="B35" s="35" t="str">
        <f>IF(BOM!A35="","",BOM!A35)</f>
        <v/>
      </c>
      <c r="C35" s="35" t="str">
        <f>IF(B35="","",BOM!B35)</f>
        <v/>
      </c>
      <c r="D35" s="35" t="str">
        <f>IF(B35="","",KT_DMTT_ChiTiet!E35)</f>
        <v/>
      </c>
      <c r="E35" s="36" t="str">
        <f>IF(B35="","",BOM!G35&amp;"")</f>
        <v/>
      </c>
      <c r="F35" s="39" t="str">
        <f>IF(B35="","",BOM!E35)</f>
        <v/>
      </c>
      <c r="G35" s="39" t="str">
        <f>IF(OR(B35="",E35="KXDDM"),"",BOM!F35)</f>
        <v/>
      </c>
      <c r="H35" s="39" t="str">
        <f>IF(OR(B35="",E35&lt;&gt;""),"",IFERROR(INDEX(KT_nguoc_theo_NL!$J$5:$J$304,MATCH(C35,KT_nguoc_theo_NL!$B$5:$B$304,0))/INDEX(KT_nguoc_theo_NL!$K$5:$K$304,MATCH(C35,KT_nguoc_theo_NL!$B$5:$B$304,0)),""))</f>
        <v/>
      </c>
      <c r="I35" s="39" t="str">
        <f t="shared" si="1"/>
        <v/>
      </c>
      <c r="J35" s="46" t="str">
        <f t="shared" si="2"/>
        <v/>
      </c>
      <c r="K35" s="46" t="str">
        <f t="shared" si="3"/>
        <v/>
      </c>
      <c r="L35" s="46" t="str">
        <f t="shared" si="4"/>
        <v/>
      </c>
      <c r="M35" s="35" t="str">
        <f>IF(B35="","",IF(E35="KXDDM","KXDDM – không ĐM",IF(E35&lt;&gt;"","Không KT ("&amp;E35&amp;")",IF(OR(K35="",L35=""),"Xem xét",IF(MAX(ABS(K35),ABS(L35))&lt;=ThongTin!$C$12,"OK","Xem xét")))))</f>
        <v/>
      </c>
    </row>
    <row r="36" spans="1:13" x14ac:dyDescent="0.25">
      <c r="A36" s="35" t="str">
        <f t="shared" si="0"/>
        <v/>
      </c>
      <c r="B36" s="35" t="str">
        <f>IF(BOM!A36="","",BOM!A36)</f>
        <v/>
      </c>
      <c r="C36" s="35" t="str">
        <f>IF(B36="","",BOM!B36)</f>
        <v/>
      </c>
      <c r="D36" s="35" t="str">
        <f>IF(B36="","",KT_DMTT_ChiTiet!E36)</f>
        <v/>
      </c>
      <c r="E36" s="36" t="str">
        <f>IF(B36="","",BOM!G36&amp;"")</f>
        <v/>
      </c>
      <c r="F36" s="39" t="str">
        <f>IF(B36="","",BOM!E36)</f>
        <v/>
      </c>
      <c r="G36" s="39" t="str">
        <f>IF(OR(B36="",E36="KXDDM"),"",BOM!F36)</f>
        <v/>
      </c>
      <c r="H36" s="39" t="str">
        <f>IF(OR(B36="",E36&lt;&gt;""),"",IFERROR(INDEX(KT_nguoc_theo_NL!$J$5:$J$304,MATCH(C36,KT_nguoc_theo_NL!$B$5:$B$304,0))/INDEX(KT_nguoc_theo_NL!$K$5:$K$304,MATCH(C36,KT_nguoc_theo_NL!$B$5:$B$304,0)),""))</f>
        <v/>
      </c>
      <c r="I36" s="39" t="str">
        <f t="shared" si="1"/>
        <v/>
      </c>
      <c r="J36" s="46" t="str">
        <f t="shared" si="2"/>
        <v/>
      </c>
      <c r="K36" s="46" t="str">
        <f t="shared" si="3"/>
        <v/>
      </c>
      <c r="L36" s="46" t="str">
        <f t="shared" si="4"/>
        <v/>
      </c>
      <c r="M36" s="35" t="str">
        <f>IF(B36="","",IF(E36="KXDDM","KXDDM – không ĐM",IF(E36&lt;&gt;"","Không KT ("&amp;E36&amp;")",IF(OR(K36="",L36=""),"Xem xét",IF(MAX(ABS(K36),ABS(L36))&lt;=ThongTin!$C$12,"OK","Xem xét")))))</f>
        <v/>
      </c>
    </row>
    <row r="37" spans="1:13" x14ac:dyDescent="0.25">
      <c r="A37" s="35" t="str">
        <f t="shared" si="0"/>
        <v/>
      </c>
      <c r="B37" s="35" t="str">
        <f>IF(BOM!A37="","",BOM!A37)</f>
        <v/>
      </c>
      <c r="C37" s="35" t="str">
        <f>IF(B37="","",BOM!B37)</f>
        <v/>
      </c>
      <c r="D37" s="35" t="str">
        <f>IF(B37="","",KT_DMTT_ChiTiet!E37)</f>
        <v/>
      </c>
      <c r="E37" s="36" t="str">
        <f>IF(B37="","",BOM!G37&amp;"")</f>
        <v/>
      </c>
      <c r="F37" s="39" t="str">
        <f>IF(B37="","",BOM!E37)</f>
        <v/>
      </c>
      <c r="G37" s="39" t="str">
        <f>IF(OR(B37="",E37="KXDDM"),"",BOM!F37)</f>
        <v/>
      </c>
      <c r="H37" s="39" t="str">
        <f>IF(OR(B37="",E37&lt;&gt;""),"",IFERROR(INDEX(KT_nguoc_theo_NL!$J$5:$J$304,MATCH(C37,KT_nguoc_theo_NL!$B$5:$B$304,0))/INDEX(KT_nguoc_theo_NL!$K$5:$K$304,MATCH(C37,KT_nguoc_theo_NL!$B$5:$B$304,0)),""))</f>
        <v/>
      </c>
      <c r="I37" s="39" t="str">
        <f t="shared" si="1"/>
        <v/>
      </c>
      <c r="J37" s="46" t="str">
        <f t="shared" si="2"/>
        <v/>
      </c>
      <c r="K37" s="46" t="str">
        <f t="shared" si="3"/>
        <v/>
      </c>
      <c r="L37" s="46" t="str">
        <f t="shared" si="4"/>
        <v/>
      </c>
      <c r="M37" s="35" t="str">
        <f>IF(B37="","",IF(E37="KXDDM","KXDDM – không ĐM",IF(E37&lt;&gt;"","Không KT ("&amp;E37&amp;")",IF(OR(K37="",L37=""),"Xem xét",IF(MAX(ABS(K37),ABS(L37))&lt;=ThongTin!$C$12,"OK","Xem xét")))))</f>
        <v/>
      </c>
    </row>
    <row r="38" spans="1:13" x14ac:dyDescent="0.25">
      <c r="A38" s="35" t="str">
        <f t="shared" si="0"/>
        <v/>
      </c>
      <c r="B38" s="35" t="str">
        <f>IF(BOM!A38="","",BOM!A38)</f>
        <v/>
      </c>
      <c r="C38" s="35" t="str">
        <f>IF(B38="","",BOM!B38)</f>
        <v/>
      </c>
      <c r="D38" s="35" t="str">
        <f>IF(B38="","",KT_DMTT_ChiTiet!E38)</f>
        <v/>
      </c>
      <c r="E38" s="36" t="str">
        <f>IF(B38="","",BOM!G38&amp;"")</f>
        <v/>
      </c>
      <c r="F38" s="39" t="str">
        <f>IF(B38="","",BOM!E38)</f>
        <v/>
      </c>
      <c r="G38" s="39" t="str">
        <f>IF(OR(B38="",E38="KXDDM"),"",BOM!F38)</f>
        <v/>
      </c>
      <c r="H38" s="39" t="str">
        <f>IF(OR(B38="",E38&lt;&gt;""),"",IFERROR(INDEX(KT_nguoc_theo_NL!$J$5:$J$304,MATCH(C38,KT_nguoc_theo_NL!$B$5:$B$304,0))/INDEX(KT_nguoc_theo_NL!$K$5:$K$304,MATCH(C38,KT_nguoc_theo_NL!$B$5:$B$304,0)),""))</f>
        <v/>
      </c>
      <c r="I38" s="39" t="str">
        <f t="shared" si="1"/>
        <v/>
      </c>
      <c r="J38" s="46" t="str">
        <f t="shared" si="2"/>
        <v/>
      </c>
      <c r="K38" s="46" t="str">
        <f t="shared" si="3"/>
        <v/>
      </c>
      <c r="L38" s="46" t="str">
        <f t="shared" si="4"/>
        <v/>
      </c>
      <c r="M38" s="35" t="str">
        <f>IF(B38="","",IF(E38="KXDDM","KXDDM – không ĐM",IF(E38&lt;&gt;"","Không KT ("&amp;E38&amp;")",IF(OR(K38="",L38=""),"Xem xét",IF(MAX(ABS(K38),ABS(L38))&lt;=ThongTin!$C$12,"OK","Xem xét")))))</f>
        <v/>
      </c>
    </row>
    <row r="39" spans="1:13" x14ac:dyDescent="0.25">
      <c r="A39" s="35" t="str">
        <f t="shared" si="0"/>
        <v/>
      </c>
      <c r="B39" s="35" t="str">
        <f>IF(BOM!A39="","",BOM!A39)</f>
        <v/>
      </c>
      <c r="C39" s="35" t="str">
        <f>IF(B39="","",BOM!B39)</f>
        <v/>
      </c>
      <c r="D39" s="35" t="str">
        <f>IF(B39="","",KT_DMTT_ChiTiet!E39)</f>
        <v/>
      </c>
      <c r="E39" s="36" t="str">
        <f>IF(B39="","",BOM!G39&amp;"")</f>
        <v/>
      </c>
      <c r="F39" s="39" t="str">
        <f>IF(B39="","",BOM!E39)</f>
        <v/>
      </c>
      <c r="G39" s="39" t="str">
        <f>IF(OR(B39="",E39="KXDDM"),"",BOM!F39)</f>
        <v/>
      </c>
      <c r="H39" s="39" t="str">
        <f>IF(OR(B39="",E39&lt;&gt;""),"",IFERROR(INDEX(KT_nguoc_theo_NL!$J$5:$J$304,MATCH(C39,KT_nguoc_theo_NL!$B$5:$B$304,0))/INDEX(KT_nguoc_theo_NL!$K$5:$K$304,MATCH(C39,KT_nguoc_theo_NL!$B$5:$B$304,0)),""))</f>
        <v/>
      </c>
      <c r="I39" s="39" t="str">
        <f t="shared" si="1"/>
        <v/>
      </c>
      <c r="J39" s="46" t="str">
        <f t="shared" si="2"/>
        <v/>
      </c>
      <c r="K39" s="46" t="str">
        <f t="shared" si="3"/>
        <v/>
      </c>
      <c r="L39" s="46" t="str">
        <f t="shared" si="4"/>
        <v/>
      </c>
      <c r="M39" s="35" t="str">
        <f>IF(B39="","",IF(E39="KXDDM","KXDDM – không ĐM",IF(E39&lt;&gt;"","Không KT ("&amp;E39&amp;")",IF(OR(K39="",L39=""),"Xem xét",IF(MAX(ABS(K39),ABS(L39))&lt;=ThongTin!$C$12,"OK","Xem xét")))))</f>
        <v/>
      </c>
    </row>
    <row r="40" spans="1:13" x14ac:dyDescent="0.25">
      <c r="A40" s="35" t="str">
        <f t="shared" si="0"/>
        <v/>
      </c>
      <c r="B40" s="35" t="str">
        <f>IF(BOM!A40="","",BOM!A40)</f>
        <v/>
      </c>
      <c r="C40" s="35" t="str">
        <f>IF(B40="","",BOM!B40)</f>
        <v/>
      </c>
      <c r="D40" s="35" t="str">
        <f>IF(B40="","",KT_DMTT_ChiTiet!E40)</f>
        <v/>
      </c>
      <c r="E40" s="36" t="str">
        <f>IF(B40="","",BOM!G40&amp;"")</f>
        <v/>
      </c>
      <c r="F40" s="39" t="str">
        <f>IF(B40="","",BOM!E40)</f>
        <v/>
      </c>
      <c r="G40" s="39" t="str">
        <f>IF(OR(B40="",E40="KXDDM"),"",BOM!F40)</f>
        <v/>
      </c>
      <c r="H40" s="39" t="str">
        <f>IF(OR(B40="",E40&lt;&gt;""),"",IFERROR(INDEX(KT_nguoc_theo_NL!$J$5:$J$304,MATCH(C40,KT_nguoc_theo_NL!$B$5:$B$304,0))/INDEX(KT_nguoc_theo_NL!$K$5:$K$304,MATCH(C40,KT_nguoc_theo_NL!$B$5:$B$304,0)),""))</f>
        <v/>
      </c>
      <c r="I40" s="39" t="str">
        <f t="shared" si="1"/>
        <v/>
      </c>
      <c r="J40" s="46" t="str">
        <f t="shared" si="2"/>
        <v/>
      </c>
      <c r="K40" s="46" t="str">
        <f t="shared" si="3"/>
        <v/>
      </c>
      <c r="L40" s="46" t="str">
        <f t="shared" si="4"/>
        <v/>
      </c>
      <c r="M40" s="35" t="str">
        <f>IF(B40="","",IF(E40="KXDDM","KXDDM – không ĐM",IF(E40&lt;&gt;"","Không KT ("&amp;E40&amp;")",IF(OR(K40="",L40=""),"Xem xét",IF(MAX(ABS(K40),ABS(L40))&lt;=ThongTin!$C$12,"OK","Xem xét")))))</f>
        <v/>
      </c>
    </row>
    <row r="41" spans="1:13" x14ac:dyDescent="0.25">
      <c r="A41" s="35" t="str">
        <f t="shared" si="0"/>
        <v/>
      </c>
      <c r="B41" s="35" t="str">
        <f>IF(BOM!A41="","",BOM!A41)</f>
        <v/>
      </c>
      <c r="C41" s="35" t="str">
        <f>IF(B41="","",BOM!B41)</f>
        <v/>
      </c>
      <c r="D41" s="35" t="str">
        <f>IF(B41="","",KT_DMTT_ChiTiet!E41)</f>
        <v/>
      </c>
      <c r="E41" s="36" t="str">
        <f>IF(B41="","",BOM!G41&amp;"")</f>
        <v/>
      </c>
      <c r="F41" s="39" t="str">
        <f>IF(B41="","",BOM!E41)</f>
        <v/>
      </c>
      <c r="G41" s="39" t="str">
        <f>IF(OR(B41="",E41="KXDDM"),"",BOM!F41)</f>
        <v/>
      </c>
      <c r="H41" s="39" t="str">
        <f>IF(OR(B41="",E41&lt;&gt;""),"",IFERROR(INDEX(KT_nguoc_theo_NL!$J$5:$J$304,MATCH(C41,KT_nguoc_theo_NL!$B$5:$B$304,0))/INDEX(KT_nguoc_theo_NL!$K$5:$K$304,MATCH(C41,KT_nguoc_theo_NL!$B$5:$B$304,0)),""))</f>
        <v/>
      </c>
      <c r="I41" s="39" t="str">
        <f t="shared" si="1"/>
        <v/>
      </c>
      <c r="J41" s="46" t="str">
        <f t="shared" si="2"/>
        <v/>
      </c>
      <c r="K41" s="46" t="str">
        <f t="shared" si="3"/>
        <v/>
      </c>
      <c r="L41" s="46" t="str">
        <f t="shared" si="4"/>
        <v/>
      </c>
      <c r="M41" s="35" t="str">
        <f>IF(B41="","",IF(E41="KXDDM","KXDDM – không ĐM",IF(E41&lt;&gt;"","Không KT ("&amp;E41&amp;")",IF(OR(K41="",L41=""),"Xem xét",IF(MAX(ABS(K41),ABS(L41))&lt;=ThongTin!$C$12,"OK","Xem xét")))))</f>
        <v/>
      </c>
    </row>
    <row r="42" spans="1:13" x14ac:dyDescent="0.25">
      <c r="A42" s="35" t="str">
        <f t="shared" si="0"/>
        <v/>
      </c>
      <c r="B42" s="35" t="str">
        <f>IF(BOM!A42="","",BOM!A42)</f>
        <v/>
      </c>
      <c r="C42" s="35" t="str">
        <f>IF(B42="","",BOM!B42)</f>
        <v/>
      </c>
      <c r="D42" s="35" t="str">
        <f>IF(B42="","",KT_DMTT_ChiTiet!E42)</f>
        <v/>
      </c>
      <c r="E42" s="36" t="str">
        <f>IF(B42="","",BOM!G42&amp;"")</f>
        <v/>
      </c>
      <c r="F42" s="39" t="str">
        <f>IF(B42="","",BOM!E42)</f>
        <v/>
      </c>
      <c r="G42" s="39" t="str">
        <f>IF(OR(B42="",E42="KXDDM"),"",BOM!F42)</f>
        <v/>
      </c>
      <c r="H42" s="39" t="str">
        <f>IF(OR(B42="",E42&lt;&gt;""),"",IFERROR(INDEX(KT_nguoc_theo_NL!$J$5:$J$304,MATCH(C42,KT_nguoc_theo_NL!$B$5:$B$304,0))/INDEX(KT_nguoc_theo_NL!$K$5:$K$304,MATCH(C42,KT_nguoc_theo_NL!$B$5:$B$304,0)),""))</f>
        <v/>
      </c>
      <c r="I42" s="39" t="str">
        <f t="shared" si="1"/>
        <v/>
      </c>
      <c r="J42" s="46" t="str">
        <f t="shared" si="2"/>
        <v/>
      </c>
      <c r="K42" s="46" t="str">
        <f t="shared" si="3"/>
        <v/>
      </c>
      <c r="L42" s="46" t="str">
        <f t="shared" si="4"/>
        <v/>
      </c>
      <c r="M42" s="35" t="str">
        <f>IF(B42="","",IF(E42="KXDDM","KXDDM – không ĐM",IF(E42&lt;&gt;"","Không KT ("&amp;E42&amp;")",IF(OR(K42="",L42=""),"Xem xét",IF(MAX(ABS(K42),ABS(L42))&lt;=ThongTin!$C$12,"OK","Xem xét")))))</f>
        <v/>
      </c>
    </row>
    <row r="43" spans="1:13" x14ac:dyDescent="0.25">
      <c r="A43" s="35" t="str">
        <f t="shared" si="0"/>
        <v/>
      </c>
      <c r="B43" s="35" t="str">
        <f>IF(BOM!A43="","",BOM!A43)</f>
        <v/>
      </c>
      <c r="C43" s="35" t="str">
        <f>IF(B43="","",BOM!B43)</f>
        <v/>
      </c>
      <c r="D43" s="35" t="str">
        <f>IF(B43="","",KT_DMTT_ChiTiet!E43)</f>
        <v/>
      </c>
      <c r="E43" s="36" t="str">
        <f>IF(B43="","",BOM!G43&amp;"")</f>
        <v/>
      </c>
      <c r="F43" s="39" t="str">
        <f>IF(B43="","",BOM!E43)</f>
        <v/>
      </c>
      <c r="G43" s="39" t="str">
        <f>IF(OR(B43="",E43="KXDDM"),"",BOM!F43)</f>
        <v/>
      </c>
      <c r="H43" s="39" t="str">
        <f>IF(OR(B43="",E43&lt;&gt;""),"",IFERROR(INDEX(KT_nguoc_theo_NL!$J$5:$J$304,MATCH(C43,KT_nguoc_theo_NL!$B$5:$B$304,0))/INDEX(KT_nguoc_theo_NL!$K$5:$K$304,MATCH(C43,KT_nguoc_theo_NL!$B$5:$B$304,0)),""))</f>
        <v/>
      </c>
      <c r="I43" s="39" t="str">
        <f t="shared" si="1"/>
        <v/>
      </c>
      <c r="J43" s="46" t="str">
        <f t="shared" si="2"/>
        <v/>
      </c>
      <c r="K43" s="46" t="str">
        <f t="shared" si="3"/>
        <v/>
      </c>
      <c r="L43" s="46" t="str">
        <f t="shared" si="4"/>
        <v/>
      </c>
      <c r="M43" s="35" t="str">
        <f>IF(B43="","",IF(E43="KXDDM","KXDDM – không ĐM",IF(E43&lt;&gt;"","Không KT ("&amp;E43&amp;")",IF(OR(K43="",L43=""),"Xem xét",IF(MAX(ABS(K43),ABS(L43))&lt;=ThongTin!$C$12,"OK","Xem xét")))))</f>
        <v/>
      </c>
    </row>
    <row r="44" spans="1:13" x14ac:dyDescent="0.25">
      <c r="A44" s="35" t="str">
        <f t="shared" si="0"/>
        <v/>
      </c>
      <c r="B44" s="35" t="str">
        <f>IF(BOM!A44="","",BOM!A44)</f>
        <v/>
      </c>
      <c r="C44" s="35" t="str">
        <f>IF(B44="","",BOM!B44)</f>
        <v/>
      </c>
      <c r="D44" s="35" t="str">
        <f>IF(B44="","",KT_DMTT_ChiTiet!E44)</f>
        <v/>
      </c>
      <c r="E44" s="36" t="str">
        <f>IF(B44="","",BOM!G44&amp;"")</f>
        <v/>
      </c>
      <c r="F44" s="39" t="str">
        <f>IF(B44="","",BOM!E44)</f>
        <v/>
      </c>
      <c r="G44" s="39" t="str">
        <f>IF(OR(B44="",E44="KXDDM"),"",BOM!F44)</f>
        <v/>
      </c>
      <c r="H44" s="39" t="str">
        <f>IF(OR(B44="",E44&lt;&gt;""),"",IFERROR(INDEX(KT_nguoc_theo_NL!$J$5:$J$304,MATCH(C44,KT_nguoc_theo_NL!$B$5:$B$304,0))/INDEX(KT_nguoc_theo_NL!$K$5:$K$304,MATCH(C44,KT_nguoc_theo_NL!$B$5:$B$304,0)),""))</f>
        <v/>
      </c>
      <c r="I44" s="39" t="str">
        <f t="shared" si="1"/>
        <v/>
      </c>
      <c r="J44" s="46" t="str">
        <f t="shared" si="2"/>
        <v/>
      </c>
      <c r="K44" s="46" t="str">
        <f t="shared" si="3"/>
        <v/>
      </c>
      <c r="L44" s="46" t="str">
        <f t="shared" si="4"/>
        <v/>
      </c>
      <c r="M44" s="35" t="str">
        <f>IF(B44="","",IF(E44="KXDDM","KXDDM – không ĐM",IF(E44&lt;&gt;"","Không KT ("&amp;E44&amp;")",IF(OR(K44="",L44=""),"Xem xét",IF(MAX(ABS(K44),ABS(L44))&lt;=ThongTin!$C$12,"OK","Xem xét")))))</f>
        <v/>
      </c>
    </row>
    <row r="45" spans="1:13" x14ac:dyDescent="0.25">
      <c r="A45" s="35" t="str">
        <f t="shared" si="0"/>
        <v/>
      </c>
      <c r="B45" s="35" t="str">
        <f>IF(BOM!A45="","",BOM!A45)</f>
        <v/>
      </c>
      <c r="C45" s="35" t="str">
        <f>IF(B45="","",BOM!B45)</f>
        <v/>
      </c>
      <c r="D45" s="35" t="str">
        <f>IF(B45="","",KT_DMTT_ChiTiet!E45)</f>
        <v/>
      </c>
      <c r="E45" s="36" t="str">
        <f>IF(B45="","",BOM!G45&amp;"")</f>
        <v/>
      </c>
      <c r="F45" s="39" t="str">
        <f>IF(B45="","",BOM!E45)</f>
        <v/>
      </c>
      <c r="G45" s="39" t="str">
        <f>IF(OR(B45="",E45="KXDDM"),"",BOM!F45)</f>
        <v/>
      </c>
      <c r="H45" s="39" t="str">
        <f>IF(OR(B45="",E45&lt;&gt;""),"",IFERROR(INDEX(KT_nguoc_theo_NL!$J$5:$J$304,MATCH(C45,KT_nguoc_theo_NL!$B$5:$B$304,0))/INDEX(KT_nguoc_theo_NL!$K$5:$K$304,MATCH(C45,KT_nguoc_theo_NL!$B$5:$B$304,0)),""))</f>
        <v/>
      </c>
      <c r="I45" s="39" t="str">
        <f t="shared" si="1"/>
        <v/>
      </c>
      <c r="J45" s="46" t="str">
        <f t="shared" si="2"/>
        <v/>
      </c>
      <c r="K45" s="46" t="str">
        <f t="shared" si="3"/>
        <v/>
      </c>
      <c r="L45" s="46" t="str">
        <f t="shared" si="4"/>
        <v/>
      </c>
      <c r="M45" s="35" t="str">
        <f>IF(B45="","",IF(E45="KXDDM","KXDDM – không ĐM",IF(E45&lt;&gt;"","Không KT ("&amp;E45&amp;")",IF(OR(K45="",L45=""),"Xem xét",IF(MAX(ABS(K45),ABS(L45))&lt;=ThongTin!$C$12,"OK","Xem xét")))))</f>
        <v/>
      </c>
    </row>
    <row r="46" spans="1:13" x14ac:dyDescent="0.25">
      <c r="A46" s="35" t="str">
        <f t="shared" si="0"/>
        <v/>
      </c>
      <c r="B46" s="35" t="str">
        <f>IF(BOM!A46="","",BOM!A46)</f>
        <v/>
      </c>
      <c r="C46" s="35" t="str">
        <f>IF(B46="","",BOM!B46)</f>
        <v/>
      </c>
      <c r="D46" s="35" t="str">
        <f>IF(B46="","",KT_DMTT_ChiTiet!E46)</f>
        <v/>
      </c>
      <c r="E46" s="36" t="str">
        <f>IF(B46="","",BOM!G46&amp;"")</f>
        <v/>
      </c>
      <c r="F46" s="39" t="str">
        <f>IF(B46="","",BOM!E46)</f>
        <v/>
      </c>
      <c r="G46" s="39" t="str">
        <f>IF(OR(B46="",E46="KXDDM"),"",BOM!F46)</f>
        <v/>
      </c>
      <c r="H46" s="39" t="str">
        <f>IF(OR(B46="",E46&lt;&gt;""),"",IFERROR(INDEX(KT_nguoc_theo_NL!$J$5:$J$304,MATCH(C46,KT_nguoc_theo_NL!$B$5:$B$304,0))/INDEX(KT_nguoc_theo_NL!$K$5:$K$304,MATCH(C46,KT_nguoc_theo_NL!$B$5:$B$304,0)),""))</f>
        <v/>
      </c>
      <c r="I46" s="39" t="str">
        <f t="shared" si="1"/>
        <v/>
      </c>
      <c r="J46" s="46" t="str">
        <f t="shared" si="2"/>
        <v/>
      </c>
      <c r="K46" s="46" t="str">
        <f t="shared" si="3"/>
        <v/>
      </c>
      <c r="L46" s="46" t="str">
        <f t="shared" si="4"/>
        <v/>
      </c>
      <c r="M46" s="35" t="str">
        <f>IF(B46="","",IF(E46="KXDDM","KXDDM – không ĐM",IF(E46&lt;&gt;"","Không KT ("&amp;E46&amp;")",IF(OR(K46="",L46=""),"Xem xét",IF(MAX(ABS(K46),ABS(L46))&lt;=ThongTin!$C$12,"OK","Xem xét")))))</f>
        <v/>
      </c>
    </row>
    <row r="47" spans="1:13" x14ac:dyDescent="0.25">
      <c r="A47" s="35" t="str">
        <f t="shared" si="0"/>
        <v/>
      </c>
      <c r="B47" s="35" t="str">
        <f>IF(BOM!A47="","",BOM!A47)</f>
        <v/>
      </c>
      <c r="C47" s="35" t="str">
        <f>IF(B47="","",BOM!B47)</f>
        <v/>
      </c>
      <c r="D47" s="35" t="str">
        <f>IF(B47="","",KT_DMTT_ChiTiet!E47)</f>
        <v/>
      </c>
      <c r="E47" s="36" t="str">
        <f>IF(B47="","",BOM!G47&amp;"")</f>
        <v/>
      </c>
      <c r="F47" s="39" t="str">
        <f>IF(B47="","",BOM!E47)</f>
        <v/>
      </c>
      <c r="G47" s="39" t="str">
        <f>IF(OR(B47="",E47="KXDDM"),"",BOM!F47)</f>
        <v/>
      </c>
      <c r="H47" s="39" t="str">
        <f>IF(OR(B47="",E47&lt;&gt;""),"",IFERROR(INDEX(KT_nguoc_theo_NL!$J$5:$J$304,MATCH(C47,KT_nguoc_theo_NL!$B$5:$B$304,0))/INDEX(KT_nguoc_theo_NL!$K$5:$K$304,MATCH(C47,KT_nguoc_theo_NL!$B$5:$B$304,0)),""))</f>
        <v/>
      </c>
      <c r="I47" s="39" t="str">
        <f t="shared" si="1"/>
        <v/>
      </c>
      <c r="J47" s="46" t="str">
        <f t="shared" si="2"/>
        <v/>
      </c>
      <c r="K47" s="46" t="str">
        <f t="shared" si="3"/>
        <v/>
      </c>
      <c r="L47" s="46" t="str">
        <f t="shared" si="4"/>
        <v/>
      </c>
      <c r="M47" s="35" t="str">
        <f>IF(B47="","",IF(E47="KXDDM","KXDDM – không ĐM",IF(E47&lt;&gt;"","Không KT ("&amp;E47&amp;")",IF(OR(K47="",L47=""),"Xem xét",IF(MAX(ABS(K47),ABS(L47))&lt;=ThongTin!$C$12,"OK","Xem xét")))))</f>
        <v/>
      </c>
    </row>
    <row r="48" spans="1:13" x14ac:dyDescent="0.25">
      <c r="A48" s="35" t="str">
        <f t="shared" si="0"/>
        <v/>
      </c>
      <c r="B48" s="35" t="str">
        <f>IF(BOM!A48="","",BOM!A48)</f>
        <v/>
      </c>
      <c r="C48" s="35" t="str">
        <f>IF(B48="","",BOM!B48)</f>
        <v/>
      </c>
      <c r="D48" s="35" t="str">
        <f>IF(B48="","",KT_DMTT_ChiTiet!E48)</f>
        <v/>
      </c>
      <c r="E48" s="36" t="str">
        <f>IF(B48="","",BOM!G48&amp;"")</f>
        <v/>
      </c>
      <c r="F48" s="39" t="str">
        <f>IF(B48="","",BOM!E48)</f>
        <v/>
      </c>
      <c r="G48" s="39" t="str">
        <f>IF(OR(B48="",E48="KXDDM"),"",BOM!F48)</f>
        <v/>
      </c>
      <c r="H48" s="39" t="str">
        <f>IF(OR(B48="",E48&lt;&gt;""),"",IFERROR(INDEX(KT_nguoc_theo_NL!$J$5:$J$304,MATCH(C48,KT_nguoc_theo_NL!$B$5:$B$304,0))/INDEX(KT_nguoc_theo_NL!$K$5:$K$304,MATCH(C48,KT_nguoc_theo_NL!$B$5:$B$304,0)),""))</f>
        <v/>
      </c>
      <c r="I48" s="39" t="str">
        <f t="shared" si="1"/>
        <v/>
      </c>
      <c r="J48" s="46" t="str">
        <f t="shared" si="2"/>
        <v/>
      </c>
      <c r="K48" s="46" t="str">
        <f t="shared" si="3"/>
        <v/>
      </c>
      <c r="L48" s="46" t="str">
        <f t="shared" si="4"/>
        <v/>
      </c>
      <c r="M48" s="35" t="str">
        <f>IF(B48="","",IF(E48="KXDDM","KXDDM – không ĐM",IF(E48&lt;&gt;"","Không KT ("&amp;E48&amp;")",IF(OR(K48="",L48=""),"Xem xét",IF(MAX(ABS(K48),ABS(L48))&lt;=ThongTin!$C$12,"OK","Xem xét")))))</f>
        <v/>
      </c>
    </row>
    <row r="49" spans="1:13" x14ac:dyDescent="0.25">
      <c r="A49" s="35" t="str">
        <f t="shared" si="0"/>
        <v/>
      </c>
      <c r="B49" s="35" t="str">
        <f>IF(BOM!A49="","",BOM!A49)</f>
        <v/>
      </c>
      <c r="C49" s="35" t="str">
        <f>IF(B49="","",BOM!B49)</f>
        <v/>
      </c>
      <c r="D49" s="35" t="str">
        <f>IF(B49="","",KT_DMTT_ChiTiet!E49)</f>
        <v/>
      </c>
      <c r="E49" s="36" t="str">
        <f>IF(B49="","",BOM!G49&amp;"")</f>
        <v/>
      </c>
      <c r="F49" s="39" t="str">
        <f>IF(B49="","",BOM!E49)</f>
        <v/>
      </c>
      <c r="G49" s="39" t="str">
        <f>IF(OR(B49="",E49="KXDDM"),"",BOM!F49)</f>
        <v/>
      </c>
      <c r="H49" s="39" t="str">
        <f>IF(OR(B49="",E49&lt;&gt;""),"",IFERROR(INDEX(KT_nguoc_theo_NL!$J$5:$J$304,MATCH(C49,KT_nguoc_theo_NL!$B$5:$B$304,0))/INDEX(KT_nguoc_theo_NL!$K$5:$K$304,MATCH(C49,KT_nguoc_theo_NL!$B$5:$B$304,0)),""))</f>
        <v/>
      </c>
      <c r="I49" s="39" t="str">
        <f t="shared" si="1"/>
        <v/>
      </c>
      <c r="J49" s="46" t="str">
        <f t="shared" si="2"/>
        <v/>
      </c>
      <c r="K49" s="46" t="str">
        <f t="shared" si="3"/>
        <v/>
      </c>
      <c r="L49" s="46" t="str">
        <f t="shared" si="4"/>
        <v/>
      </c>
      <c r="M49" s="35" t="str">
        <f>IF(B49="","",IF(E49="KXDDM","KXDDM – không ĐM",IF(E49&lt;&gt;"","Không KT ("&amp;E49&amp;")",IF(OR(K49="",L49=""),"Xem xét",IF(MAX(ABS(K49),ABS(L49))&lt;=ThongTin!$C$12,"OK","Xem xét")))))</f>
        <v/>
      </c>
    </row>
    <row r="50" spans="1:13" x14ac:dyDescent="0.25">
      <c r="A50" s="35" t="str">
        <f t="shared" si="0"/>
        <v/>
      </c>
      <c r="B50" s="35" t="str">
        <f>IF(BOM!A50="","",BOM!A50)</f>
        <v/>
      </c>
      <c r="C50" s="35" t="str">
        <f>IF(B50="","",BOM!B50)</f>
        <v/>
      </c>
      <c r="D50" s="35" t="str">
        <f>IF(B50="","",KT_DMTT_ChiTiet!E50)</f>
        <v/>
      </c>
      <c r="E50" s="36" t="str">
        <f>IF(B50="","",BOM!G50&amp;"")</f>
        <v/>
      </c>
      <c r="F50" s="39" t="str">
        <f>IF(B50="","",BOM!E50)</f>
        <v/>
      </c>
      <c r="G50" s="39" t="str">
        <f>IF(OR(B50="",E50="KXDDM"),"",BOM!F50)</f>
        <v/>
      </c>
      <c r="H50" s="39" t="str">
        <f>IF(OR(B50="",E50&lt;&gt;""),"",IFERROR(INDEX(KT_nguoc_theo_NL!$J$5:$J$304,MATCH(C50,KT_nguoc_theo_NL!$B$5:$B$304,0))/INDEX(KT_nguoc_theo_NL!$K$5:$K$304,MATCH(C50,KT_nguoc_theo_NL!$B$5:$B$304,0)),""))</f>
        <v/>
      </c>
      <c r="I50" s="39" t="str">
        <f t="shared" si="1"/>
        <v/>
      </c>
      <c r="J50" s="46" t="str">
        <f t="shared" si="2"/>
        <v/>
      </c>
      <c r="K50" s="46" t="str">
        <f t="shared" si="3"/>
        <v/>
      </c>
      <c r="L50" s="46" t="str">
        <f t="shared" si="4"/>
        <v/>
      </c>
      <c r="M50" s="35" t="str">
        <f>IF(B50="","",IF(E50="KXDDM","KXDDM – không ĐM",IF(E50&lt;&gt;"","Không KT ("&amp;E50&amp;")",IF(OR(K50="",L50=""),"Xem xét",IF(MAX(ABS(K50),ABS(L50))&lt;=ThongTin!$C$12,"OK","Xem xét")))))</f>
        <v/>
      </c>
    </row>
    <row r="51" spans="1:13" x14ac:dyDescent="0.25">
      <c r="A51" s="35" t="str">
        <f t="shared" si="0"/>
        <v/>
      </c>
      <c r="B51" s="35" t="str">
        <f>IF(BOM!A51="","",BOM!A51)</f>
        <v/>
      </c>
      <c r="C51" s="35" t="str">
        <f>IF(B51="","",BOM!B51)</f>
        <v/>
      </c>
      <c r="D51" s="35" t="str">
        <f>IF(B51="","",KT_DMTT_ChiTiet!E51)</f>
        <v/>
      </c>
      <c r="E51" s="36" t="str">
        <f>IF(B51="","",BOM!G51&amp;"")</f>
        <v/>
      </c>
      <c r="F51" s="39" t="str">
        <f>IF(B51="","",BOM!E51)</f>
        <v/>
      </c>
      <c r="G51" s="39" t="str">
        <f>IF(OR(B51="",E51="KXDDM"),"",BOM!F51)</f>
        <v/>
      </c>
      <c r="H51" s="39" t="str">
        <f>IF(OR(B51="",E51&lt;&gt;""),"",IFERROR(INDEX(KT_nguoc_theo_NL!$J$5:$J$304,MATCH(C51,KT_nguoc_theo_NL!$B$5:$B$304,0))/INDEX(KT_nguoc_theo_NL!$K$5:$K$304,MATCH(C51,KT_nguoc_theo_NL!$B$5:$B$304,0)),""))</f>
        <v/>
      </c>
      <c r="I51" s="39" t="str">
        <f t="shared" si="1"/>
        <v/>
      </c>
      <c r="J51" s="46" t="str">
        <f t="shared" si="2"/>
        <v/>
      </c>
      <c r="K51" s="46" t="str">
        <f t="shared" si="3"/>
        <v/>
      </c>
      <c r="L51" s="46" t="str">
        <f t="shared" si="4"/>
        <v/>
      </c>
      <c r="M51" s="35" t="str">
        <f>IF(B51="","",IF(E51="KXDDM","KXDDM – không ĐM",IF(E51&lt;&gt;"","Không KT ("&amp;E51&amp;")",IF(OR(K51="",L51=""),"Xem xét",IF(MAX(ABS(K51),ABS(L51))&lt;=ThongTin!$C$12,"OK","Xem xét")))))</f>
        <v/>
      </c>
    </row>
    <row r="52" spans="1:13" x14ac:dyDescent="0.25">
      <c r="A52" s="35" t="str">
        <f t="shared" si="0"/>
        <v/>
      </c>
      <c r="B52" s="35" t="str">
        <f>IF(BOM!A52="","",BOM!A52)</f>
        <v/>
      </c>
      <c r="C52" s="35" t="str">
        <f>IF(B52="","",BOM!B52)</f>
        <v/>
      </c>
      <c r="D52" s="35" t="str">
        <f>IF(B52="","",KT_DMTT_ChiTiet!E52)</f>
        <v/>
      </c>
      <c r="E52" s="36" t="str">
        <f>IF(B52="","",BOM!G52&amp;"")</f>
        <v/>
      </c>
      <c r="F52" s="39" t="str">
        <f>IF(B52="","",BOM!E52)</f>
        <v/>
      </c>
      <c r="G52" s="39" t="str">
        <f>IF(OR(B52="",E52="KXDDM"),"",BOM!F52)</f>
        <v/>
      </c>
      <c r="H52" s="39" t="str">
        <f>IF(OR(B52="",E52&lt;&gt;""),"",IFERROR(INDEX(KT_nguoc_theo_NL!$J$5:$J$304,MATCH(C52,KT_nguoc_theo_NL!$B$5:$B$304,0))/INDEX(KT_nguoc_theo_NL!$K$5:$K$304,MATCH(C52,KT_nguoc_theo_NL!$B$5:$B$304,0)),""))</f>
        <v/>
      </c>
      <c r="I52" s="39" t="str">
        <f t="shared" si="1"/>
        <v/>
      </c>
      <c r="J52" s="46" t="str">
        <f t="shared" si="2"/>
        <v/>
      </c>
      <c r="K52" s="46" t="str">
        <f t="shared" si="3"/>
        <v/>
      </c>
      <c r="L52" s="46" t="str">
        <f t="shared" si="4"/>
        <v/>
      </c>
      <c r="M52" s="35" t="str">
        <f>IF(B52="","",IF(E52="KXDDM","KXDDM – không ĐM",IF(E52&lt;&gt;"","Không KT ("&amp;E52&amp;")",IF(OR(K52="",L52=""),"Xem xét",IF(MAX(ABS(K52),ABS(L52))&lt;=ThongTin!$C$12,"OK","Xem xét")))))</f>
        <v/>
      </c>
    </row>
    <row r="53" spans="1:13" x14ac:dyDescent="0.25">
      <c r="A53" s="35" t="str">
        <f t="shared" si="0"/>
        <v/>
      </c>
      <c r="B53" s="35" t="str">
        <f>IF(BOM!A53="","",BOM!A53)</f>
        <v/>
      </c>
      <c r="C53" s="35" t="str">
        <f>IF(B53="","",BOM!B53)</f>
        <v/>
      </c>
      <c r="D53" s="35" t="str">
        <f>IF(B53="","",KT_DMTT_ChiTiet!E53)</f>
        <v/>
      </c>
      <c r="E53" s="36" t="str">
        <f>IF(B53="","",BOM!G53&amp;"")</f>
        <v/>
      </c>
      <c r="F53" s="39" t="str">
        <f>IF(B53="","",BOM!E53)</f>
        <v/>
      </c>
      <c r="G53" s="39" t="str">
        <f>IF(OR(B53="",E53="KXDDM"),"",BOM!F53)</f>
        <v/>
      </c>
      <c r="H53" s="39" t="str">
        <f>IF(OR(B53="",E53&lt;&gt;""),"",IFERROR(INDEX(KT_nguoc_theo_NL!$J$5:$J$304,MATCH(C53,KT_nguoc_theo_NL!$B$5:$B$304,0))/INDEX(KT_nguoc_theo_NL!$K$5:$K$304,MATCH(C53,KT_nguoc_theo_NL!$B$5:$B$304,0)),""))</f>
        <v/>
      </c>
      <c r="I53" s="39" t="str">
        <f t="shared" si="1"/>
        <v/>
      </c>
      <c r="J53" s="46" t="str">
        <f t="shared" si="2"/>
        <v/>
      </c>
      <c r="K53" s="46" t="str">
        <f t="shared" si="3"/>
        <v/>
      </c>
      <c r="L53" s="46" t="str">
        <f t="shared" si="4"/>
        <v/>
      </c>
      <c r="M53" s="35" t="str">
        <f>IF(B53="","",IF(E53="KXDDM","KXDDM – không ĐM",IF(E53&lt;&gt;"","Không KT ("&amp;E53&amp;")",IF(OR(K53="",L53=""),"Xem xét",IF(MAX(ABS(K53),ABS(L53))&lt;=ThongTin!$C$12,"OK","Xem xét")))))</f>
        <v/>
      </c>
    </row>
    <row r="54" spans="1:13" x14ac:dyDescent="0.25">
      <c r="A54" s="35" t="str">
        <f t="shared" si="0"/>
        <v/>
      </c>
      <c r="B54" s="35" t="str">
        <f>IF(BOM!A54="","",BOM!A54)</f>
        <v/>
      </c>
      <c r="C54" s="35" t="str">
        <f>IF(B54="","",BOM!B54)</f>
        <v/>
      </c>
      <c r="D54" s="35" t="str">
        <f>IF(B54="","",KT_DMTT_ChiTiet!E54)</f>
        <v/>
      </c>
      <c r="E54" s="36" t="str">
        <f>IF(B54="","",BOM!G54&amp;"")</f>
        <v/>
      </c>
      <c r="F54" s="39" t="str">
        <f>IF(B54="","",BOM!E54)</f>
        <v/>
      </c>
      <c r="G54" s="39" t="str">
        <f>IF(OR(B54="",E54="KXDDM"),"",BOM!F54)</f>
        <v/>
      </c>
      <c r="H54" s="39" t="str">
        <f>IF(OR(B54="",E54&lt;&gt;""),"",IFERROR(INDEX(KT_nguoc_theo_NL!$J$5:$J$304,MATCH(C54,KT_nguoc_theo_NL!$B$5:$B$304,0))/INDEX(KT_nguoc_theo_NL!$K$5:$K$304,MATCH(C54,KT_nguoc_theo_NL!$B$5:$B$304,0)),""))</f>
        <v/>
      </c>
      <c r="I54" s="39" t="str">
        <f t="shared" si="1"/>
        <v/>
      </c>
      <c r="J54" s="46" t="str">
        <f t="shared" si="2"/>
        <v/>
      </c>
      <c r="K54" s="46" t="str">
        <f t="shared" si="3"/>
        <v/>
      </c>
      <c r="L54" s="46" t="str">
        <f t="shared" si="4"/>
        <v/>
      </c>
      <c r="M54" s="35" t="str">
        <f>IF(B54="","",IF(E54="KXDDM","KXDDM – không ĐM",IF(E54&lt;&gt;"","Không KT ("&amp;E54&amp;")",IF(OR(K54="",L54=""),"Xem xét",IF(MAX(ABS(K54),ABS(L54))&lt;=ThongTin!$C$12,"OK","Xem xét")))))</f>
        <v/>
      </c>
    </row>
    <row r="55" spans="1:13" x14ac:dyDescent="0.25">
      <c r="A55" s="35" t="str">
        <f t="shared" si="0"/>
        <v/>
      </c>
      <c r="B55" s="35" t="str">
        <f>IF(BOM!A55="","",BOM!A55)</f>
        <v/>
      </c>
      <c r="C55" s="35" t="str">
        <f>IF(B55="","",BOM!B55)</f>
        <v/>
      </c>
      <c r="D55" s="35" t="str">
        <f>IF(B55="","",KT_DMTT_ChiTiet!E55)</f>
        <v/>
      </c>
      <c r="E55" s="36" t="str">
        <f>IF(B55="","",BOM!G55&amp;"")</f>
        <v/>
      </c>
      <c r="F55" s="39" t="str">
        <f>IF(B55="","",BOM!E55)</f>
        <v/>
      </c>
      <c r="G55" s="39" t="str">
        <f>IF(OR(B55="",E55="KXDDM"),"",BOM!F55)</f>
        <v/>
      </c>
      <c r="H55" s="39" t="str">
        <f>IF(OR(B55="",E55&lt;&gt;""),"",IFERROR(INDEX(KT_nguoc_theo_NL!$J$5:$J$304,MATCH(C55,KT_nguoc_theo_NL!$B$5:$B$304,0))/INDEX(KT_nguoc_theo_NL!$K$5:$K$304,MATCH(C55,KT_nguoc_theo_NL!$B$5:$B$304,0)),""))</f>
        <v/>
      </c>
      <c r="I55" s="39" t="str">
        <f t="shared" si="1"/>
        <v/>
      </c>
      <c r="J55" s="46" t="str">
        <f t="shared" si="2"/>
        <v/>
      </c>
      <c r="K55" s="46" t="str">
        <f t="shared" si="3"/>
        <v/>
      </c>
      <c r="L55" s="46" t="str">
        <f t="shared" si="4"/>
        <v/>
      </c>
      <c r="M55" s="35" t="str">
        <f>IF(B55="","",IF(E55="KXDDM","KXDDM – không ĐM",IF(E55&lt;&gt;"","Không KT ("&amp;E55&amp;")",IF(OR(K55="",L55=""),"Xem xét",IF(MAX(ABS(K55),ABS(L55))&lt;=ThongTin!$C$12,"OK","Xem xét")))))</f>
        <v/>
      </c>
    </row>
    <row r="56" spans="1:13" x14ac:dyDescent="0.25">
      <c r="A56" s="35" t="str">
        <f t="shared" si="0"/>
        <v/>
      </c>
      <c r="B56" s="35" t="str">
        <f>IF(BOM!A56="","",BOM!A56)</f>
        <v/>
      </c>
      <c r="C56" s="35" t="str">
        <f>IF(B56="","",BOM!B56)</f>
        <v/>
      </c>
      <c r="D56" s="35" t="str">
        <f>IF(B56="","",KT_DMTT_ChiTiet!E56)</f>
        <v/>
      </c>
      <c r="E56" s="36" t="str">
        <f>IF(B56="","",BOM!G56&amp;"")</f>
        <v/>
      </c>
      <c r="F56" s="39" t="str">
        <f>IF(B56="","",BOM!E56)</f>
        <v/>
      </c>
      <c r="G56" s="39" t="str">
        <f>IF(OR(B56="",E56="KXDDM"),"",BOM!F56)</f>
        <v/>
      </c>
      <c r="H56" s="39" t="str">
        <f>IF(OR(B56="",E56&lt;&gt;""),"",IFERROR(INDEX(KT_nguoc_theo_NL!$J$5:$J$304,MATCH(C56,KT_nguoc_theo_NL!$B$5:$B$304,0))/INDEX(KT_nguoc_theo_NL!$K$5:$K$304,MATCH(C56,KT_nguoc_theo_NL!$B$5:$B$304,0)),""))</f>
        <v/>
      </c>
      <c r="I56" s="39" t="str">
        <f t="shared" si="1"/>
        <v/>
      </c>
      <c r="J56" s="46" t="str">
        <f t="shared" si="2"/>
        <v/>
      </c>
      <c r="K56" s="46" t="str">
        <f t="shared" si="3"/>
        <v/>
      </c>
      <c r="L56" s="46" t="str">
        <f t="shared" si="4"/>
        <v/>
      </c>
      <c r="M56" s="35" t="str">
        <f>IF(B56="","",IF(E56="KXDDM","KXDDM – không ĐM",IF(E56&lt;&gt;"","Không KT ("&amp;E56&amp;")",IF(OR(K56="",L56=""),"Xem xét",IF(MAX(ABS(K56),ABS(L56))&lt;=ThongTin!$C$12,"OK","Xem xét")))))</f>
        <v/>
      </c>
    </row>
    <row r="57" spans="1:13" x14ac:dyDescent="0.25">
      <c r="A57" s="35" t="str">
        <f t="shared" si="0"/>
        <v/>
      </c>
      <c r="B57" s="35" t="str">
        <f>IF(BOM!A57="","",BOM!A57)</f>
        <v/>
      </c>
      <c r="C57" s="35" t="str">
        <f>IF(B57="","",BOM!B57)</f>
        <v/>
      </c>
      <c r="D57" s="35" t="str">
        <f>IF(B57="","",KT_DMTT_ChiTiet!E57)</f>
        <v/>
      </c>
      <c r="E57" s="36" t="str">
        <f>IF(B57="","",BOM!G57&amp;"")</f>
        <v/>
      </c>
      <c r="F57" s="39" t="str">
        <f>IF(B57="","",BOM!E57)</f>
        <v/>
      </c>
      <c r="G57" s="39" t="str">
        <f>IF(OR(B57="",E57="KXDDM"),"",BOM!F57)</f>
        <v/>
      </c>
      <c r="H57" s="39" t="str">
        <f>IF(OR(B57="",E57&lt;&gt;""),"",IFERROR(INDEX(KT_nguoc_theo_NL!$J$5:$J$304,MATCH(C57,KT_nguoc_theo_NL!$B$5:$B$304,0))/INDEX(KT_nguoc_theo_NL!$K$5:$K$304,MATCH(C57,KT_nguoc_theo_NL!$B$5:$B$304,0)),""))</f>
        <v/>
      </c>
      <c r="I57" s="39" t="str">
        <f t="shared" si="1"/>
        <v/>
      </c>
      <c r="J57" s="46" t="str">
        <f t="shared" si="2"/>
        <v/>
      </c>
      <c r="K57" s="46" t="str">
        <f t="shared" si="3"/>
        <v/>
      </c>
      <c r="L57" s="46" t="str">
        <f t="shared" si="4"/>
        <v/>
      </c>
      <c r="M57" s="35" t="str">
        <f>IF(B57="","",IF(E57="KXDDM","KXDDM – không ĐM",IF(E57&lt;&gt;"","Không KT ("&amp;E57&amp;")",IF(OR(K57="",L57=""),"Xem xét",IF(MAX(ABS(K57),ABS(L57))&lt;=ThongTin!$C$12,"OK","Xem xét")))))</f>
        <v/>
      </c>
    </row>
    <row r="58" spans="1:13" x14ac:dyDescent="0.25">
      <c r="A58" s="35" t="str">
        <f t="shared" si="0"/>
        <v/>
      </c>
      <c r="B58" s="35" t="str">
        <f>IF(BOM!A58="","",BOM!A58)</f>
        <v/>
      </c>
      <c r="C58" s="35" t="str">
        <f>IF(B58="","",BOM!B58)</f>
        <v/>
      </c>
      <c r="D58" s="35" t="str">
        <f>IF(B58="","",KT_DMTT_ChiTiet!E58)</f>
        <v/>
      </c>
      <c r="E58" s="36" t="str">
        <f>IF(B58="","",BOM!G58&amp;"")</f>
        <v/>
      </c>
      <c r="F58" s="39" t="str">
        <f>IF(B58="","",BOM!E58)</f>
        <v/>
      </c>
      <c r="G58" s="39" t="str">
        <f>IF(OR(B58="",E58="KXDDM"),"",BOM!F58)</f>
        <v/>
      </c>
      <c r="H58" s="39" t="str">
        <f>IF(OR(B58="",E58&lt;&gt;""),"",IFERROR(INDEX(KT_nguoc_theo_NL!$J$5:$J$304,MATCH(C58,KT_nguoc_theo_NL!$B$5:$B$304,0))/INDEX(KT_nguoc_theo_NL!$K$5:$K$304,MATCH(C58,KT_nguoc_theo_NL!$B$5:$B$304,0)),""))</f>
        <v/>
      </c>
      <c r="I58" s="39" t="str">
        <f t="shared" si="1"/>
        <v/>
      </c>
      <c r="J58" s="46" t="str">
        <f t="shared" si="2"/>
        <v/>
      </c>
      <c r="K58" s="46" t="str">
        <f t="shared" si="3"/>
        <v/>
      </c>
      <c r="L58" s="46" t="str">
        <f t="shared" si="4"/>
        <v/>
      </c>
      <c r="M58" s="35" t="str">
        <f>IF(B58="","",IF(E58="KXDDM","KXDDM – không ĐM",IF(E58&lt;&gt;"","Không KT ("&amp;E58&amp;")",IF(OR(K58="",L58=""),"Xem xét",IF(MAX(ABS(K58),ABS(L58))&lt;=ThongTin!$C$12,"OK","Xem xét")))))</f>
        <v/>
      </c>
    </row>
    <row r="59" spans="1:13" x14ac:dyDescent="0.25">
      <c r="A59" s="35" t="str">
        <f t="shared" si="0"/>
        <v/>
      </c>
      <c r="B59" s="35" t="str">
        <f>IF(BOM!A59="","",BOM!A59)</f>
        <v/>
      </c>
      <c r="C59" s="35" t="str">
        <f>IF(B59="","",BOM!B59)</f>
        <v/>
      </c>
      <c r="D59" s="35" t="str">
        <f>IF(B59="","",KT_DMTT_ChiTiet!E59)</f>
        <v/>
      </c>
      <c r="E59" s="36" t="str">
        <f>IF(B59="","",BOM!G59&amp;"")</f>
        <v/>
      </c>
      <c r="F59" s="39" t="str">
        <f>IF(B59="","",BOM!E59)</f>
        <v/>
      </c>
      <c r="G59" s="39" t="str">
        <f>IF(OR(B59="",E59="KXDDM"),"",BOM!F59)</f>
        <v/>
      </c>
      <c r="H59" s="39" t="str">
        <f>IF(OR(B59="",E59&lt;&gt;""),"",IFERROR(INDEX(KT_nguoc_theo_NL!$J$5:$J$304,MATCH(C59,KT_nguoc_theo_NL!$B$5:$B$304,0))/INDEX(KT_nguoc_theo_NL!$K$5:$K$304,MATCH(C59,KT_nguoc_theo_NL!$B$5:$B$304,0)),""))</f>
        <v/>
      </c>
      <c r="I59" s="39" t="str">
        <f t="shared" si="1"/>
        <v/>
      </c>
      <c r="J59" s="46" t="str">
        <f t="shared" si="2"/>
        <v/>
      </c>
      <c r="K59" s="46" t="str">
        <f t="shared" si="3"/>
        <v/>
      </c>
      <c r="L59" s="46" t="str">
        <f t="shared" si="4"/>
        <v/>
      </c>
      <c r="M59" s="35" t="str">
        <f>IF(B59="","",IF(E59="KXDDM","KXDDM – không ĐM",IF(E59&lt;&gt;"","Không KT ("&amp;E59&amp;")",IF(OR(K59="",L59=""),"Xem xét",IF(MAX(ABS(K59),ABS(L59))&lt;=ThongTin!$C$12,"OK","Xem xét")))))</f>
        <v/>
      </c>
    </row>
    <row r="60" spans="1:13" x14ac:dyDescent="0.25">
      <c r="A60" s="35" t="str">
        <f t="shared" si="0"/>
        <v/>
      </c>
      <c r="B60" s="35" t="str">
        <f>IF(BOM!A60="","",BOM!A60)</f>
        <v/>
      </c>
      <c r="C60" s="35" t="str">
        <f>IF(B60="","",BOM!B60)</f>
        <v/>
      </c>
      <c r="D60" s="35" t="str">
        <f>IF(B60="","",KT_DMTT_ChiTiet!E60)</f>
        <v/>
      </c>
      <c r="E60" s="36" t="str">
        <f>IF(B60="","",BOM!G60&amp;"")</f>
        <v/>
      </c>
      <c r="F60" s="39" t="str">
        <f>IF(B60="","",BOM!E60)</f>
        <v/>
      </c>
      <c r="G60" s="39" t="str">
        <f>IF(OR(B60="",E60="KXDDM"),"",BOM!F60)</f>
        <v/>
      </c>
      <c r="H60" s="39" t="str">
        <f>IF(OR(B60="",E60&lt;&gt;""),"",IFERROR(INDEX(KT_nguoc_theo_NL!$J$5:$J$304,MATCH(C60,KT_nguoc_theo_NL!$B$5:$B$304,0))/INDEX(KT_nguoc_theo_NL!$K$5:$K$304,MATCH(C60,KT_nguoc_theo_NL!$B$5:$B$304,0)),""))</f>
        <v/>
      </c>
      <c r="I60" s="39" t="str">
        <f t="shared" si="1"/>
        <v/>
      </c>
      <c r="J60" s="46" t="str">
        <f t="shared" si="2"/>
        <v/>
      </c>
      <c r="K60" s="46" t="str">
        <f t="shared" si="3"/>
        <v/>
      </c>
      <c r="L60" s="46" t="str">
        <f t="shared" si="4"/>
        <v/>
      </c>
      <c r="M60" s="35" t="str">
        <f>IF(B60="","",IF(E60="KXDDM","KXDDM – không ĐM",IF(E60&lt;&gt;"","Không KT ("&amp;E60&amp;")",IF(OR(K60="",L60=""),"Xem xét",IF(MAX(ABS(K60),ABS(L60))&lt;=ThongTin!$C$12,"OK","Xem xét")))))</f>
        <v/>
      </c>
    </row>
    <row r="61" spans="1:13" x14ac:dyDescent="0.25">
      <c r="A61" s="35" t="str">
        <f t="shared" si="0"/>
        <v/>
      </c>
      <c r="B61" s="35" t="str">
        <f>IF(BOM!A61="","",BOM!A61)</f>
        <v/>
      </c>
      <c r="C61" s="35" t="str">
        <f>IF(B61="","",BOM!B61)</f>
        <v/>
      </c>
      <c r="D61" s="35" t="str">
        <f>IF(B61="","",KT_DMTT_ChiTiet!E61)</f>
        <v/>
      </c>
      <c r="E61" s="36" t="str">
        <f>IF(B61="","",BOM!G61&amp;"")</f>
        <v/>
      </c>
      <c r="F61" s="39" t="str">
        <f>IF(B61="","",BOM!E61)</f>
        <v/>
      </c>
      <c r="G61" s="39" t="str">
        <f>IF(OR(B61="",E61="KXDDM"),"",BOM!F61)</f>
        <v/>
      </c>
      <c r="H61" s="39" t="str">
        <f>IF(OR(B61="",E61&lt;&gt;""),"",IFERROR(INDEX(KT_nguoc_theo_NL!$J$5:$J$304,MATCH(C61,KT_nguoc_theo_NL!$B$5:$B$304,0))/INDEX(KT_nguoc_theo_NL!$K$5:$K$304,MATCH(C61,KT_nguoc_theo_NL!$B$5:$B$304,0)),""))</f>
        <v/>
      </c>
      <c r="I61" s="39" t="str">
        <f t="shared" si="1"/>
        <v/>
      </c>
      <c r="J61" s="46" t="str">
        <f t="shared" si="2"/>
        <v/>
      </c>
      <c r="K61" s="46" t="str">
        <f t="shared" si="3"/>
        <v/>
      </c>
      <c r="L61" s="46" t="str">
        <f t="shared" si="4"/>
        <v/>
      </c>
      <c r="M61" s="35" t="str">
        <f>IF(B61="","",IF(E61="KXDDM","KXDDM – không ĐM",IF(E61&lt;&gt;"","Không KT ("&amp;E61&amp;")",IF(OR(K61="",L61=""),"Xem xét",IF(MAX(ABS(K61),ABS(L61))&lt;=ThongTin!$C$12,"OK","Xem xét")))))</f>
        <v/>
      </c>
    </row>
    <row r="62" spans="1:13" x14ac:dyDescent="0.25">
      <c r="A62" s="35" t="str">
        <f t="shared" si="0"/>
        <v/>
      </c>
      <c r="B62" s="35" t="str">
        <f>IF(BOM!A62="","",BOM!A62)</f>
        <v/>
      </c>
      <c r="C62" s="35" t="str">
        <f>IF(B62="","",BOM!B62)</f>
        <v/>
      </c>
      <c r="D62" s="35" t="str">
        <f>IF(B62="","",KT_DMTT_ChiTiet!E62)</f>
        <v/>
      </c>
      <c r="E62" s="36" t="str">
        <f>IF(B62="","",BOM!G62&amp;"")</f>
        <v/>
      </c>
      <c r="F62" s="39" t="str">
        <f>IF(B62="","",BOM!E62)</f>
        <v/>
      </c>
      <c r="G62" s="39" t="str">
        <f>IF(OR(B62="",E62="KXDDM"),"",BOM!F62)</f>
        <v/>
      </c>
      <c r="H62" s="39" t="str">
        <f>IF(OR(B62="",E62&lt;&gt;""),"",IFERROR(INDEX(KT_nguoc_theo_NL!$J$5:$J$304,MATCH(C62,KT_nguoc_theo_NL!$B$5:$B$304,0))/INDEX(KT_nguoc_theo_NL!$K$5:$K$304,MATCH(C62,KT_nguoc_theo_NL!$B$5:$B$304,0)),""))</f>
        <v/>
      </c>
      <c r="I62" s="39" t="str">
        <f t="shared" si="1"/>
        <v/>
      </c>
      <c r="J62" s="46" t="str">
        <f t="shared" si="2"/>
        <v/>
      </c>
      <c r="K62" s="46" t="str">
        <f t="shared" si="3"/>
        <v/>
      </c>
      <c r="L62" s="46" t="str">
        <f t="shared" si="4"/>
        <v/>
      </c>
      <c r="M62" s="35" t="str">
        <f>IF(B62="","",IF(E62="KXDDM","KXDDM – không ĐM",IF(E62&lt;&gt;"","Không KT ("&amp;E62&amp;")",IF(OR(K62="",L62=""),"Xem xét",IF(MAX(ABS(K62),ABS(L62))&lt;=ThongTin!$C$12,"OK","Xem xét")))))</f>
        <v/>
      </c>
    </row>
    <row r="63" spans="1:13" x14ac:dyDescent="0.25">
      <c r="A63" s="35" t="str">
        <f t="shared" si="0"/>
        <v/>
      </c>
      <c r="B63" s="35" t="str">
        <f>IF(BOM!A63="","",BOM!A63)</f>
        <v/>
      </c>
      <c r="C63" s="35" t="str">
        <f>IF(B63="","",BOM!B63)</f>
        <v/>
      </c>
      <c r="D63" s="35" t="str">
        <f>IF(B63="","",KT_DMTT_ChiTiet!E63)</f>
        <v/>
      </c>
      <c r="E63" s="36" t="str">
        <f>IF(B63="","",BOM!G63&amp;"")</f>
        <v/>
      </c>
      <c r="F63" s="39" t="str">
        <f>IF(B63="","",BOM!E63)</f>
        <v/>
      </c>
      <c r="G63" s="39" t="str">
        <f>IF(OR(B63="",E63="KXDDM"),"",BOM!F63)</f>
        <v/>
      </c>
      <c r="H63" s="39" t="str">
        <f>IF(OR(B63="",E63&lt;&gt;""),"",IFERROR(INDEX(KT_nguoc_theo_NL!$J$5:$J$304,MATCH(C63,KT_nguoc_theo_NL!$B$5:$B$304,0))/INDEX(KT_nguoc_theo_NL!$K$5:$K$304,MATCH(C63,KT_nguoc_theo_NL!$B$5:$B$304,0)),""))</f>
        <v/>
      </c>
      <c r="I63" s="39" t="str">
        <f t="shared" si="1"/>
        <v/>
      </c>
      <c r="J63" s="46" t="str">
        <f t="shared" si="2"/>
        <v/>
      </c>
      <c r="K63" s="46" t="str">
        <f t="shared" si="3"/>
        <v/>
      </c>
      <c r="L63" s="46" t="str">
        <f t="shared" si="4"/>
        <v/>
      </c>
      <c r="M63" s="35" t="str">
        <f>IF(B63="","",IF(E63="KXDDM","KXDDM – không ĐM",IF(E63&lt;&gt;"","Không KT ("&amp;E63&amp;")",IF(OR(K63="",L63=""),"Xem xét",IF(MAX(ABS(K63),ABS(L63))&lt;=ThongTin!$C$12,"OK","Xem xét")))))</f>
        <v/>
      </c>
    </row>
    <row r="64" spans="1:13" x14ac:dyDescent="0.25">
      <c r="A64" s="35" t="str">
        <f t="shared" si="0"/>
        <v/>
      </c>
      <c r="B64" s="35" t="str">
        <f>IF(BOM!A64="","",BOM!A64)</f>
        <v/>
      </c>
      <c r="C64" s="35" t="str">
        <f>IF(B64="","",BOM!B64)</f>
        <v/>
      </c>
      <c r="D64" s="35" t="str">
        <f>IF(B64="","",KT_DMTT_ChiTiet!E64)</f>
        <v/>
      </c>
      <c r="E64" s="36" t="str">
        <f>IF(B64="","",BOM!G64&amp;"")</f>
        <v/>
      </c>
      <c r="F64" s="39" t="str">
        <f>IF(B64="","",BOM!E64)</f>
        <v/>
      </c>
      <c r="G64" s="39" t="str">
        <f>IF(OR(B64="",E64="KXDDM"),"",BOM!F64)</f>
        <v/>
      </c>
      <c r="H64" s="39" t="str">
        <f>IF(OR(B64="",E64&lt;&gt;""),"",IFERROR(INDEX(KT_nguoc_theo_NL!$J$5:$J$304,MATCH(C64,KT_nguoc_theo_NL!$B$5:$B$304,0))/INDEX(KT_nguoc_theo_NL!$K$5:$K$304,MATCH(C64,KT_nguoc_theo_NL!$B$5:$B$304,0)),""))</f>
        <v/>
      </c>
      <c r="I64" s="39" t="str">
        <f t="shared" si="1"/>
        <v/>
      </c>
      <c r="J64" s="46" t="str">
        <f t="shared" si="2"/>
        <v/>
      </c>
      <c r="K64" s="46" t="str">
        <f t="shared" si="3"/>
        <v/>
      </c>
      <c r="L64" s="46" t="str">
        <f t="shared" si="4"/>
        <v/>
      </c>
      <c r="M64" s="35" t="str">
        <f>IF(B64="","",IF(E64="KXDDM","KXDDM – không ĐM",IF(E64&lt;&gt;"","Không KT ("&amp;E64&amp;")",IF(OR(K64="",L64=""),"Xem xét",IF(MAX(ABS(K64),ABS(L64))&lt;=ThongTin!$C$12,"OK","Xem xét")))))</f>
        <v/>
      </c>
    </row>
    <row r="65" spans="1:13" x14ac:dyDescent="0.25">
      <c r="A65" s="35" t="str">
        <f t="shared" si="0"/>
        <v/>
      </c>
      <c r="B65" s="35" t="str">
        <f>IF(BOM!A65="","",BOM!A65)</f>
        <v/>
      </c>
      <c r="C65" s="35" t="str">
        <f>IF(B65="","",BOM!B65)</f>
        <v/>
      </c>
      <c r="D65" s="35" t="str">
        <f>IF(B65="","",KT_DMTT_ChiTiet!E65)</f>
        <v/>
      </c>
      <c r="E65" s="36" t="str">
        <f>IF(B65="","",BOM!G65&amp;"")</f>
        <v/>
      </c>
      <c r="F65" s="39" t="str">
        <f>IF(B65="","",BOM!E65)</f>
        <v/>
      </c>
      <c r="G65" s="39" t="str">
        <f>IF(OR(B65="",E65="KXDDM"),"",BOM!F65)</f>
        <v/>
      </c>
      <c r="H65" s="39" t="str">
        <f>IF(OR(B65="",E65&lt;&gt;""),"",IFERROR(INDEX(KT_nguoc_theo_NL!$J$5:$J$304,MATCH(C65,KT_nguoc_theo_NL!$B$5:$B$304,0))/INDEX(KT_nguoc_theo_NL!$K$5:$K$304,MATCH(C65,KT_nguoc_theo_NL!$B$5:$B$304,0)),""))</f>
        <v/>
      </c>
      <c r="I65" s="39" t="str">
        <f t="shared" si="1"/>
        <v/>
      </c>
      <c r="J65" s="46" t="str">
        <f t="shared" si="2"/>
        <v/>
      </c>
      <c r="K65" s="46" t="str">
        <f t="shared" si="3"/>
        <v/>
      </c>
      <c r="L65" s="46" t="str">
        <f t="shared" si="4"/>
        <v/>
      </c>
      <c r="M65" s="35" t="str">
        <f>IF(B65="","",IF(E65="KXDDM","KXDDM – không ĐM",IF(E65&lt;&gt;"","Không KT ("&amp;E65&amp;")",IF(OR(K65="",L65=""),"Xem xét",IF(MAX(ABS(K65),ABS(L65))&lt;=ThongTin!$C$12,"OK","Xem xét")))))</f>
        <v/>
      </c>
    </row>
    <row r="66" spans="1:13" x14ac:dyDescent="0.25">
      <c r="A66" s="35" t="str">
        <f t="shared" si="0"/>
        <v/>
      </c>
      <c r="B66" s="35" t="str">
        <f>IF(BOM!A66="","",BOM!A66)</f>
        <v/>
      </c>
      <c r="C66" s="35" t="str">
        <f>IF(B66="","",BOM!B66)</f>
        <v/>
      </c>
      <c r="D66" s="35" t="str">
        <f>IF(B66="","",KT_DMTT_ChiTiet!E66)</f>
        <v/>
      </c>
      <c r="E66" s="36" t="str">
        <f>IF(B66="","",BOM!G66&amp;"")</f>
        <v/>
      </c>
      <c r="F66" s="39" t="str">
        <f>IF(B66="","",BOM!E66)</f>
        <v/>
      </c>
      <c r="G66" s="39" t="str">
        <f>IF(OR(B66="",E66="KXDDM"),"",BOM!F66)</f>
        <v/>
      </c>
      <c r="H66" s="39" t="str">
        <f>IF(OR(B66="",E66&lt;&gt;""),"",IFERROR(INDEX(KT_nguoc_theo_NL!$J$5:$J$304,MATCH(C66,KT_nguoc_theo_NL!$B$5:$B$304,0))/INDEX(KT_nguoc_theo_NL!$K$5:$K$304,MATCH(C66,KT_nguoc_theo_NL!$B$5:$B$304,0)),""))</f>
        <v/>
      </c>
      <c r="I66" s="39" t="str">
        <f t="shared" si="1"/>
        <v/>
      </c>
      <c r="J66" s="46" t="str">
        <f t="shared" si="2"/>
        <v/>
      </c>
      <c r="K66" s="46" t="str">
        <f t="shared" si="3"/>
        <v/>
      </c>
      <c r="L66" s="46" t="str">
        <f t="shared" si="4"/>
        <v/>
      </c>
      <c r="M66" s="35" t="str">
        <f>IF(B66="","",IF(E66="KXDDM","KXDDM – không ĐM",IF(E66&lt;&gt;"","Không KT ("&amp;E66&amp;")",IF(OR(K66="",L66=""),"Xem xét",IF(MAX(ABS(K66),ABS(L66))&lt;=ThongTin!$C$12,"OK","Xem xét")))))</f>
        <v/>
      </c>
    </row>
    <row r="67" spans="1:13" x14ac:dyDescent="0.25">
      <c r="A67" s="35" t="str">
        <f t="shared" si="0"/>
        <v/>
      </c>
      <c r="B67" s="35" t="str">
        <f>IF(BOM!A67="","",BOM!A67)</f>
        <v/>
      </c>
      <c r="C67" s="35" t="str">
        <f>IF(B67="","",BOM!B67)</f>
        <v/>
      </c>
      <c r="D67" s="35" t="str">
        <f>IF(B67="","",KT_DMTT_ChiTiet!E67)</f>
        <v/>
      </c>
      <c r="E67" s="36" t="str">
        <f>IF(B67="","",BOM!G67&amp;"")</f>
        <v/>
      </c>
      <c r="F67" s="39" t="str">
        <f>IF(B67="","",BOM!E67)</f>
        <v/>
      </c>
      <c r="G67" s="39" t="str">
        <f>IF(OR(B67="",E67="KXDDM"),"",BOM!F67)</f>
        <v/>
      </c>
      <c r="H67" s="39" t="str">
        <f>IF(OR(B67="",E67&lt;&gt;""),"",IFERROR(INDEX(KT_nguoc_theo_NL!$J$5:$J$304,MATCH(C67,KT_nguoc_theo_NL!$B$5:$B$304,0))/INDEX(KT_nguoc_theo_NL!$K$5:$K$304,MATCH(C67,KT_nguoc_theo_NL!$B$5:$B$304,0)),""))</f>
        <v/>
      </c>
      <c r="I67" s="39" t="str">
        <f t="shared" si="1"/>
        <v/>
      </c>
      <c r="J67" s="46" t="str">
        <f t="shared" si="2"/>
        <v/>
      </c>
      <c r="K67" s="46" t="str">
        <f t="shared" si="3"/>
        <v/>
      </c>
      <c r="L67" s="46" t="str">
        <f t="shared" si="4"/>
        <v/>
      </c>
      <c r="M67" s="35" t="str">
        <f>IF(B67="","",IF(E67="KXDDM","KXDDM – không ĐM",IF(E67&lt;&gt;"","Không KT ("&amp;E67&amp;")",IF(OR(K67="",L67=""),"Xem xét",IF(MAX(ABS(K67),ABS(L67))&lt;=ThongTin!$C$12,"OK","Xem xét")))))</f>
        <v/>
      </c>
    </row>
    <row r="68" spans="1:13" x14ac:dyDescent="0.25">
      <c r="A68" s="35" t="str">
        <f t="shared" si="0"/>
        <v/>
      </c>
      <c r="B68" s="35" t="str">
        <f>IF(BOM!A68="","",BOM!A68)</f>
        <v/>
      </c>
      <c r="C68" s="35" t="str">
        <f>IF(B68="","",BOM!B68)</f>
        <v/>
      </c>
      <c r="D68" s="35" t="str">
        <f>IF(B68="","",KT_DMTT_ChiTiet!E68)</f>
        <v/>
      </c>
      <c r="E68" s="36" t="str">
        <f>IF(B68="","",BOM!G68&amp;"")</f>
        <v/>
      </c>
      <c r="F68" s="39" t="str">
        <f>IF(B68="","",BOM!E68)</f>
        <v/>
      </c>
      <c r="G68" s="39" t="str">
        <f>IF(OR(B68="",E68="KXDDM"),"",BOM!F68)</f>
        <v/>
      </c>
      <c r="H68" s="39" t="str">
        <f>IF(OR(B68="",E68&lt;&gt;""),"",IFERROR(INDEX(KT_nguoc_theo_NL!$J$5:$J$304,MATCH(C68,KT_nguoc_theo_NL!$B$5:$B$304,0))/INDEX(KT_nguoc_theo_NL!$K$5:$K$304,MATCH(C68,KT_nguoc_theo_NL!$B$5:$B$304,0)),""))</f>
        <v/>
      </c>
      <c r="I68" s="39" t="str">
        <f t="shared" si="1"/>
        <v/>
      </c>
      <c r="J68" s="46" t="str">
        <f t="shared" si="2"/>
        <v/>
      </c>
      <c r="K68" s="46" t="str">
        <f t="shared" si="3"/>
        <v/>
      </c>
      <c r="L68" s="46" t="str">
        <f t="shared" si="4"/>
        <v/>
      </c>
      <c r="M68" s="35" t="str">
        <f>IF(B68="","",IF(E68="KXDDM","KXDDM – không ĐM",IF(E68&lt;&gt;"","Không KT ("&amp;E68&amp;")",IF(OR(K68="",L68=""),"Xem xét",IF(MAX(ABS(K68),ABS(L68))&lt;=ThongTin!$C$12,"OK","Xem xét")))))</f>
        <v/>
      </c>
    </row>
    <row r="69" spans="1:13" x14ac:dyDescent="0.25">
      <c r="A69" s="35" t="str">
        <f t="shared" ref="A69:A132" si="5">IF(B69="","",ROW()-4)</f>
        <v/>
      </c>
      <c r="B69" s="35" t="str">
        <f>IF(BOM!A69="","",BOM!A69)</f>
        <v/>
      </c>
      <c r="C69" s="35" t="str">
        <f>IF(B69="","",BOM!B69)</f>
        <v/>
      </c>
      <c r="D69" s="35" t="str">
        <f>IF(B69="","",KT_DMTT_ChiTiet!E69)</f>
        <v/>
      </c>
      <c r="E69" s="36" t="str">
        <f>IF(B69="","",BOM!G69&amp;"")</f>
        <v/>
      </c>
      <c r="F69" s="39" t="str">
        <f>IF(B69="","",BOM!E69)</f>
        <v/>
      </c>
      <c r="G69" s="39" t="str">
        <f>IF(OR(B69="",E69="KXDDM"),"",BOM!F69)</f>
        <v/>
      </c>
      <c r="H69" s="39" t="str">
        <f>IF(OR(B69="",E69&lt;&gt;""),"",IFERROR(INDEX(KT_nguoc_theo_NL!$J$5:$J$304,MATCH(C69,KT_nguoc_theo_NL!$B$5:$B$304,0))/INDEX(KT_nguoc_theo_NL!$K$5:$K$304,MATCH(C69,KT_nguoc_theo_NL!$B$5:$B$304,0)),""))</f>
        <v/>
      </c>
      <c r="I69" s="39" t="str">
        <f t="shared" ref="I69:I132" si="6">IF(OR(H69="",G69=""),"",G69*H69)</f>
        <v/>
      </c>
      <c r="J69" s="46" t="str">
        <f t="shared" ref="J69:J132" si="7">IF(OR(I69="",I69=0),"",(G69-I69)/I69)</f>
        <v/>
      </c>
      <c r="K69" s="46" t="str">
        <f t="shared" ref="K69:K132" si="8">IF(OR(G69="",F69="",F69=0),"",(G69-F69)/F69)</f>
        <v/>
      </c>
      <c r="L69" s="46" t="str">
        <f t="shared" ref="L69:L132" si="9">IF(OR(I69="",F69="",F69=0),"",(I69-F69)/F69)</f>
        <v/>
      </c>
      <c r="M69" s="35" t="str">
        <f>IF(B69="","",IF(E69="KXDDM","KXDDM – không ĐM",IF(E69&lt;&gt;"","Không KT ("&amp;E69&amp;")",IF(OR(K69="",L69=""),"Xem xét",IF(MAX(ABS(K69),ABS(L69))&lt;=ThongTin!$C$12,"OK","Xem xét")))))</f>
        <v/>
      </c>
    </row>
    <row r="70" spans="1:13" x14ac:dyDescent="0.25">
      <c r="A70" s="35" t="str">
        <f t="shared" si="5"/>
        <v/>
      </c>
      <c r="B70" s="35" t="str">
        <f>IF(BOM!A70="","",BOM!A70)</f>
        <v/>
      </c>
      <c r="C70" s="35" t="str">
        <f>IF(B70="","",BOM!B70)</f>
        <v/>
      </c>
      <c r="D70" s="35" t="str">
        <f>IF(B70="","",KT_DMTT_ChiTiet!E70)</f>
        <v/>
      </c>
      <c r="E70" s="36" t="str">
        <f>IF(B70="","",BOM!G70&amp;"")</f>
        <v/>
      </c>
      <c r="F70" s="39" t="str">
        <f>IF(B70="","",BOM!E70)</f>
        <v/>
      </c>
      <c r="G70" s="39" t="str">
        <f>IF(OR(B70="",E70="KXDDM"),"",BOM!F70)</f>
        <v/>
      </c>
      <c r="H70" s="39" t="str">
        <f>IF(OR(B70="",E70&lt;&gt;""),"",IFERROR(INDEX(KT_nguoc_theo_NL!$J$5:$J$304,MATCH(C70,KT_nguoc_theo_NL!$B$5:$B$304,0))/INDEX(KT_nguoc_theo_NL!$K$5:$K$304,MATCH(C70,KT_nguoc_theo_NL!$B$5:$B$304,0)),""))</f>
        <v/>
      </c>
      <c r="I70" s="39" t="str">
        <f t="shared" si="6"/>
        <v/>
      </c>
      <c r="J70" s="46" t="str">
        <f t="shared" si="7"/>
        <v/>
      </c>
      <c r="K70" s="46" t="str">
        <f t="shared" si="8"/>
        <v/>
      </c>
      <c r="L70" s="46" t="str">
        <f t="shared" si="9"/>
        <v/>
      </c>
      <c r="M70" s="35" t="str">
        <f>IF(B70="","",IF(E70="KXDDM","KXDDM – không ĐM",IF(E70&lt;&gt;"","Không KT ("&amp;E70&amp;")",IF(OR(K70="",L70=""),"Xem xét",IF(MAX(ABS(K70),ABS(L70))&lt;=ThongTin!$C$12,"OK","Xem xét")))))</f>
        <v/>
      </c>
    </row>
    <row r="71" spans="1:13" x14ac:dyDescent="0.25">
      <c r="A71" s="35" t="str">
        <f t="shared" si="5"/>
        <v/>
      </c>
      <c r="B71" s="35" t="str">
        <f>IF(BOM!A71="","",BOM!A71)</f>
        <v/>
      </c>
      <c r="C71" s="35" t="str">
        <f>IF(B71="","",BOM!B71)</f>
        <v/>
      </c>
      <c r="D71" s="35" t="str">
        <f>IF(B71="","",KT_DMTT_ChiTiet!E71)</f>
        <v/>
      </c>
      <c r="E71" s="36" t="str">
        <f>IF(B71="","",BOM!G71&amp;"")</f>
        <v/>
      </c>
      <c r="F71" s="39" t="str">
        <f>IF(B71="","",BOM!E71)</f>
        <v/>
      </c>
      <c r="G71" s="39" t="str">
        <f>IF(OR(B71="",E71="KXDDM"),"",BOM!F71)</f>
        <v/>
      </c>
      <c r="H71" s="39" t="str">
        <f>IF(OR(B71="",E71&lt;&gt;""),"",IFERROR(INDEX(KT_nguoc_theo_NL!$J$5:$J$304,MATCH(C71,KT_nguoc_theo_NL!$B$5:$B$304,0))/INDEX(KT_nguoc_theo_NL!$K$5:$K$304,MATCH(C71,KT_nguoc_theo_NL!$B$5:$B$304,0)),""))</f>
        <v/>
      </c>
      <c r="I71" s="39" t="str">
        <f t="shared" si="6"/>
        <v/>
      </c>
      <c r="J71" s="46" t="str">
        <f t="shared" si="7"/>
        <v/>
      </c>
      <c r="K71" s="46" t="str">
        <f t="shared" si="8"/>
        <v/>
      </c>
      <c r="L71" s="46" t="str">
        <f t="shared" si="9"/>
        <v/>
      </c>
      <c r="M71" s="35" t="str">
        <f>IF(B71="","",IF(E71="KXDDM","KXDDM – không ĐM",IF(E71&lt;&gt;"","Không KT ("&amp;E71&amp;")",IF(OR(K71="",L71=""),"Xem xét",IF(MAX(ABS(K71),ABS(L71))&lt;=ThongTin!$C$12,"OK","Xem xét")))))</f>
        <v/>
      </c>
    </row>
    <row r="72" spans="1:13" x14ac:dyDescent="0.25">
      <c r="A72" s="35" t="str">
        <f t="shared" si="5"/>
        <v/>
      </c>
      <c r="B72" s="35" t="str">
        <f>IF(BOM!A72="","",BOM!A72)</f>
        <v/>
      </c>
      <c r="C72" s="35" t="str">
        <f>IF(B72="","",BOM!B72)</f>
        <v/>
      </c>
      <c r="D72" s="35" t="str">
        <f>IF(B72="","",KT_DMTT_ChiTiet!E72)</f>
        <v/>
      </c>
      <c r="E72" s="36" t="str">
        <f>IF(B72="","",BOM!G72&amp;"")</f>
        <v/>
      </c>
      <c r="F72" s="39" t="str">
        <f>IF(B72="","",BOM!E72)</f>
        <v/>
      </c>
      <c r="G72" s="39" t="str">
        <f>IF(OR(B72="",E72="KXDDM"),"",BOM!F72)</f>
        <v/>
      </c>
      <c r="H72" s="39" t="str">
        <f>IF(OR(B72="",E72&lt;&gt;""),"",IFERROR(INDEX(KT_nguoc_theo_NL!$J$5:$J$304,MATCH(C72,KT_nguoc_theo_NL!$B$5:$B$304,0))/INDEX(KT_nguoc_theo_NL!$K$5:$K$304,MATCH(C72,KT_nguoc_theo_NL!$B$5:$B$304,0)),""))</f>
        <v/>
      </c>
      <c r="I72" s="39" t="str">
        <f t="shared" si="6"/>
        <v/>
      </c>
      <c r="J72" s="46" t="str">
        <f t="shared" si="7"/>
        <v/>
      </c>
      <c r="K72" s="46" t="str">
        <f t="shared" si="8"/>
        <v/>
      </c>
      <c r="L72" s="46" t="str">
        <f t="shared" si="9"/>
        <v/>
      </c>
      <c r="M72" s="35" t="str">
        <f>IF(B72="","",IF(E72="KXDDM","KXDDM – không ĐM",IF(E72&lt;&gt;"","Không KT ("&amp;E72&amp;")",IF(OR(K72="",L72=""),"Xem xét",IF(MAX(ABS(K72),ABS(L72))&lt;=ThongTin!$C$12,"OK","Xem xét")))))</f>
        <v/>
      </c>
    </row>
    <row r="73" spans="1:13" x14ac:dyDescent="0.25">
      <c r="A73" s="35" t="str">
        <f t="shared" si="5"/>
        <v/>
      </c>
      <c r="B73" s="35" t="str">
        <f>IF(BOM!A73="","",BOM!A73)</f>
        <v/>
      </c>
      <c r="C73" s="35" t="str">
        <f>IF(B73="","",BOM!B73)</f>
        <v/>
      </c>
      <c r="D73" s="35" t="str">
        <f>IF(B73="","",KT_DMTT_ChiTiet!E73)</f>
        <v/>
      </c>
      <c r="E73" s="36" t="str">
        <f>IF(B73="","",BOM!G73&amp;"")</f>
        <v/>
      </c>
      <c r="F73" s="39" t="str">
        <f>IF(B73="","",BOM!E73)</f>
        <v/>
      </c>
      <c r="G73" s="39" t="str">
        <f>IF(OR(B73="",E73="KXDDM"),"",BOM!F73)</f>
        <v/>
      </c>
      <c r="H73" s="39" t="str">
        <f>IF(OR(B73="",E73&lt;&gt;""),"",IFERROR(INDEX(KT_nguoc_theo_NL!$J$5:$J$304,MATCH(C73,KT_nguoc_theo_NL!$B$5:$B$304,0))/INDEX(KT_nguoc_theo_NL!$K$5:$K$304,MATCH(C73,KT_nguoc_theo_NL!$B$5:$B$304,0)),""))</f>
        <v/>
      </c>
      <c r="I73" s="39" t="str">
        <f t="shared" si="6"/>
        <v/>
      </c>
      <c r="J73" s="46" t="str">
        <f t="shared" si="7"/>
        <v/>
      </c>
      <c r="K73" s="46" t="str">
        <f t="shared" si="8"/>
        <v/>
      </c>
      <c r="L73" s="46" t="str">
        <f t="shared" si="9"/>
        <v/>
      </c>
      <c r="M73" s="35" t="str">
        <f>IF(B73="","",IF(E73="KXDDM","KXDDM – không ĐM",IF(E73&lt;&gt;"","Không KT ("&amp;E73&amp;")",IF(OR(K73="",L73=""),"Xem xét",IF(MAX(ABS(K73),ABS(L73))&lt;=ThongTin!$C$12,"OK","Xem xét")))))</f>
        <v/>
      </c>
    </row>
    <row r="74" spans="1:13" x14ac:dyDescent="0.25">
      <c r="A74" s="35" t="str">
        <f t="shared" si="5"/>
        <v/>
      </c>
      <c r="B74" s="35" t="str">
        <f>IF(BOM!A74="","",BOM!A74)</f>
        <v/>
      </c>
      <c r="C74" s="35" t="str">
        <f>IF(B74="","",BOM!B74)</f>
        <v/>
      </c>
      <c r="D74" s="35" t="str">
        <f>IF(B74="","",KT_DMTT_ChiTiet!E74)</f>
        <v/>
      </c>
      <c r="E74" s="36" t="str">
        <f>IF(B74="","",BOM!G74&amp;"")</f>
        <v/>
      </c>
      <c r="F74" s="39" t="str">
        <f>IF(B74="","",BOM!E74)</f>
        <v/>
      </c>
      <c r="G74" s="39" t="str">
        <f>IF(OR(B74="",E74="KXDDM"),"",BOM!F74)</f>
        <v/>
      </c>
      <c r="H74" s="39" t="str">
        <f>IF(OR(B74="",E74&lt;&gt;""),"",IFERROR(INDEX(KT_nguoc_theo_NL!$J$5:$J$304,MATCH(C74,KT_nguoc_theo_NL!$B$5:$B$304,0))/INDEX(KT_nguoc_theo_NL!$K$5:$K$304,MATCH(C74,KT_nguoc_theo_NL!$B$5:$B$304,0)),""))</f>
        <v/>
      </c>
      <c r="I74" s="39" t="str">
        <f t="shared" si="6"/>
        <v/>
      </c>
      <c r="J74" s="46" t="str">
        <f t="shared" si="7"/>
        <v/>
      </c>
      <c r="K74" s="46" t="str">
        <f t="shared" si="8"/>
        <v/>
      </c>
      <c r="L74" s="46" t="str">
        <f t="shared" si="9"/>
        <v/>
      </c>
      <c r="M74" s="35" t="str">
        <f>IF(B74="","",IF(E74="KXDDM","KXDDM – không ĐM",IF(E74&lt;&gt;"","Không KT ("&amp;E74&amp;")",IF(OR(K74="",L74=""),"Xem xét",IF(MAX(ABS(K74),ABS(L74))&lt;=ThongTin!$C$12,"OK","Xem xét")))))</f>
        <v/>
      </c>
    </row>
    <row r="75" spans="1:13" x14ac:dyDescent="0.25">
      <c r="A75" s="35" t="str">
        <f t="shared" si="5"/>
        <v/>
      </c>
      <c r="B75" s="35" t="str">
        <f>IF(BOM!A75="","",BOM!A75)</f>
        <v/>
      </c>
      <c r="C75" s="35" t="str">
        <f>IF(B75="","",BOM!B75)</f>
        <v/>
      </c>
      <c r="D75" s="35" t="str">
        <f>IF(B75="","",KT_DMTT_ChiTiet!E75)</f>
        <v/>
      </c>
      <c r="E75" s="36" t="str">
        <f>IF(B75="","",BOM!G75&amp;"")</f>
        <v/>
      </c>
      <c r="F75" s="39" t="str">
        <f>IF(B75="","",BOM!E75)</f>
        <v/>
      </c>
      <c r="G75" s="39" t="str">
        <f>IF(OR(B75="",E75="KXDDM"),"",BOM!F75)</f>
        <v/>
      </c>
      <c r="H75" s="39" t="str">
        <f>IF(OR(B75="",E75&lt;&gt;""),"",IFERROR(INDEX(KT_nguoc_theo_NL!$J$5:$J$304,MATCH(C75,KT_nguoc_theo_NL!$B$5:$B$304,0))/INDEX(KT_nguoc_theo_NL!$K$5:$K$304,MATCH(C75,KT_nguoc_theo_NL!$B$5:$B$304,0)),""))</f>
        <v/>
      </c>
      <c r="I75" s="39" t="str">
        <f t="shared" si="6"/>
        <v/>
      </c>
      <c r="J75" s="46" t="str">
        <f t="shared" si="7"/>
        <v/>
      </c>
      <c r="K75" s="46" t="str">
        <f t="shared" si="8"/>
        <v/>
      </c>
      <c r="L75" s="46" t="str">
        <f t="shared" si="9"/>
        <v/>
      </c>
      <c r="M75" s="35" t="str">
        <f>IF(B75="","",IF(E75="KXDDM","KXDDM – không ĐM",IF(E75&lt;&gt;"","Không KT ("&amp;E75&amp;")",IF(OR(K75="",L75=""),"Xem xét",IF(MAX(ABS(K75),ABS(L75))&lt;=ThongTin!$C$12,"OK","Xem xét")))))</f>
        <v/>
      </c>
    </row>
    <row r="76" spans="1:13" x14ac:dyDescent="0.25">
      <c r="A76" s="35" t="str">
        <f t="shared" si="5"/>
        <v/>
      </c>
      <c r="B76" s="35" t="str">
        <f>IF(BOM!A76="","",BOM!A76)</f>
        <v/>
      </c>
      <c r="C76" s="35" t="str">
        <f>IF(B76="","",BOM!B76)</f>
        <v/>
      </c>
      <c r="D76" s="35" t="str">
        <f>IF(B76="","",KT_DMTT_ChiTiet!E76)</f>
        <v/>
      </c>
      <c r="E76" s="36" t="str">
        <f>IF(B76="","",BOM!G76&amp;"")</f>
        <v/>
      </c>
      <c r="F76" s="39" t="str">
        <f>IF(B76="","",BOM!E76)</f>
        <v/>
      </c>
      <c r="G76" s="39" t="str">
        <f>IF(OR(B76="",E76="KXDDM"),"",BOM!F76)</f>
        <v/>
      </c>
      <c r="H76" s="39" t="str">
        <f>IF(OR(B76="",E76&lt;&gt;""),"",IFERROR(INDEX(KT_nguoc_theo_NL!$J$5:$J$304,MATCH(C76,KT_nguoc_theo_NL!$B$5:$B$304,0))/INDEX(KT_nguoc_theo_NL!$K$5:$K$304,MATCH(C76,KT_nguoc_theo_NL!$B$5:$B$304,0)),""))</f>
        <v/>
      </c>
      <c r="I76" s="39" t="str">
        <f t="shared" si="6"/>
        <v/>
      </c>
      <c r="J76" s="46" t="str">
        <f t="shared" si="7"/>
        <v/>
      </c>
      <c r="K76" s="46" t="str">
        <f t="shared" si="8"/>
        <v/>
      </c>
      <c r="L76" s="46" t="str">
        <f t="shared" si="9"/>
        <v/>
      </c>
      <c r="M76" s="35" t="str">
        <f>IF(B76="","",IF(E76="KXDDM","KXDDM – không ĐM",IF(E76&lt;&gt;"","Không KT ("&amp;E76&amp;")",IF(OR(K76="",L76=""),"Xem xét",IF(MAX(ABS(K76),ABS(L76))&lt;=ThongTin!$C$12,"OK","Xem xét")))))</f>
        <v/>
      </c>
    </row>
    <row r="77" spans="1:13" x14ac:dyDescent="0.25">
      <c r="A77" s="35" t="str">
        <f t="shared" si="5"/>
        <v/>
      </c>
      <c r="B77" s="35" t="str">
        <f>IF(BOM!A77="","",BOM!A77)</f>
        <v/>
      </c>
      <c r="C77" s="35" t="str">
        <f>IF(B77="","",BOM!B77)</f>
        <v/>
      </c>
      <c r="D77" s="35" t="str">
        <f>IF(B77="","",KT_DMTT_ChiTiet!E77)</f>
        <v/>
      </c>
      <c r="E77" s="36" t="str">
        <f>IF(B77="","",BOM!G77&amp;"")</f>
        <v/>
      </c>
      <c r="F77" s="39" t="str">
        <f>IF(B77="","",BOM!E77)</f>
        <v/>
      </c>
      <c r="G77" s="39" t="str">
        <f>IF(OR(B77="",E77="KXDDM"),"",BOM!F77)</f>
        <v/>
      </c>
      <c r="H77" s="39" t="str">
        <f>IF(OR(B77="",E77&lt;&gt;""),"",IFERROR(INDEX(KT_nguoc_theo_NL!$J$5:$J$304,MATCH(C77,KT_nguoc_theo_NL!$B$5:$B$304,0))/INDEX(KT_nguoc_theo_NL!$K$5:$K$304,MATCH(C77,KT_nguoc_theo_NL!$B$5:$B$304,0)),""))</f>
        <v/>
      </c>
      <c r="I77" s="39" t="str">
        <f t="shared" si="6"/>
        <v/>
      </c>
      <c r="J77" s="46" t="str">
        <f t="shared" si="7"/>
        <v/>
      </c>
      <c r="K77" s="46" t="str">
        <f t="shared" si="8"/>
        <v/>
      </c>
      <c r="L77" s="46" t="str">
        <f t="shared" si="9"/>
        <v/>
      </c>
      <c r="M77" s="35" t="str">
        <f>IF(B77="","",IF(E77="KXDDM","KXDDM – không ĐM",IF(E77&lt;&gt;"","Không KT ("&amp;E77&amp;")",IF(OR(K77="",L77=""),"Xem xét",IF(MAX(ABS(K77),ABS(L77))&lt;=ThongTin!$C$12,"OK","Xem xét")))))</f>
        <v/>
      </c>
    </row>
    <row r="78" spans="1:13" x14ac:dyDescent="0.25">
      <c r="A78" s="35" t="str">
        <f t="shared" si="5"/>
        <v/>
      </c>
      <c r="B78" s="35" t="str">
        <f>IF(BOM!A78="","",BOM!A78)</f>
        <v/>
      </c>
      <c r="C78" s="35" t="str">
        <f>IF(B78="","",BOM!B78)</f>
        <v/>
      </c>
      <c r="D78" s="35" t="str">
        <f>IF(B78="","",KT_DMTT_ChiTiet!E78)</f>
        <v/>
      </c>
      <c r="E78" s="36" t="str">
        <f>IF(B78="","",BOM!G78&amp;"")</f>
        <v/>
      </c>
      <c r="F78" s="39" t="str">
        <f>IF(B78="","",BOM!E78)</f>
        <v/>
      </c>
      <c r="G78" s="39" t="str">
        <f>IF(OR(B78="",E78="KXDDM"),"",BOM!F78)</f>
        <v/>
      </c>
      <c r="H78" s="39" t="str">
        <f>IF(OR(B78="",E78&lt;&gt;""),"",IFERROR(INDEX(KT_nguoc_theo_NL!$J$5:$J$304,MATCH(C78,KT_nguoc_theo_NL!$B$5:$B$304,0))/INDEX(KT_nguoc_theo_NL!$K$5:$K$304,MATCH(C78,KT_nguoc_theo_NL!$B$5:$B$304,0)),""))</f>
        <v/>
      </c>
      <c r="I78" s="39" t="str">
        <f t="shared" si="6"/>
        <v/>
      </c>
      <c r="J78" s="46" t="str">
        <f t="shared" si="7"/>
        <v/>
      </c>
      <c r="K78" s="46" t="str">
        <f t="shared" si="8"/>
        <v/>
      </c>
      <c r="L78" s="46" t="str">
        <f t="shared" si="9"/>
        <v/>
      </c>
      <c r="M78" s="35" t="str">
        <f>IF(B78="","",IF(E78="KXDDM","KXDDM – không ĐM",IF(E78&lt;&gt;"","Không KT ("&amp;E78&amp;")",IF(OR(K78="",L78=""),"Xem xét",IF(MAX(ABS(K78),ABS(L78))&lt;=ThongTin!$C$12,"OK","Xem xét")))))</f>
        <v/>
      </c>
    </row>
    <row r="79" spans="1:13" x14ac:dyDescent="0.25">
      <c r="A79" s="35" t="str">
        <f t="shared" si="5"/>
        <v/>
      </c>
      <c r="B79" s="35" t="str">
        <f>IF(BOM!A79="","",BOM!A79)</f>
        <v/>
      </c>
      <c r="C79" s="35" t="str">
        <f>IF(B79="","",BOM!B79)</f>
        <v/>
      </c>
      <c r="D79" s="35" t="str">
        <f>IF(B79="","",KT_DMTT_ChiTiet!E79)</f>
        <v/>
      </c>
      <c r="E79" s="36" t="str">
        <f>IF(B79="","",BOM!G79&amp;"")</f>
        <v/>
      </c>
      <c r="F79" s="39" t="str">
        <f>IF(B79="","",BOM!E79)</f>
        <v/>
      </c>
      <c r="G79" s="39" t="str">
        <f>IF(OR(B79="",E79="KXDDM"),"",BOM!F79)</f>
        <v/>
      </c>
      <c r="H79" s="39" t="str">
        <f>IF(OR(B79="",E79&lt;&gt;""),"",IFERROR(INDEX(KT_nguoc_theo_NL!$J$5:$J$304,MATCH(C79,KT_nguoc_theo_NL!$B$5:$B$304,0))/INDEX(KT_nguoc_theo_NL!$K$5:$K$304,MATCH(C79,KT_nguoc_theo_NL!$B$5:$B$304,0)),""))</f>
        <v/>
      </c>
      <c r="I79" s="39" t="str">
        <f t="shared" si="6"/>
        <v/>
      </c>
      <c r="J79" s="46" t="str">
        <f t="shared" si="7"/>
        <v/>
      </c>
      <c r="K79" s="46" t="str">
        <f t="shared" si="8"/>
        <v/>
      </c>
      <c r="L79" s="46" t="str">
        <f t="shared" si="9"/>
        <v/>
      </c>
      <c r="M79" s="35" t="str">
        <f>IF(B79="","",IF(E79="KXDDM","KXDDM – không ĐM",IF(E79&lt;&gt;"","Không KT ("&amp;E79&amp;")",IF(OR(K79="",L79=""),"Xem xét",IF(MAX(ABS(K79),ABS(L79))&lt;=ThongTin!$C$12,"OK","Xem xét")))))</f>
        <v/>
      </c>
    </row>
    <row r="80" spans="1:13" x14ac:dyDescent="0.25">
      <c r="A80" s="35" t="str">
        <f t="shared" si="5"/>
        <v/>
      </c>
      <c r="B80" s="35" t="str">
        <f>IF(BOM!A80="","",BOM!A80)</f>
        <v/>
      </c>
      <c r="C80" s="35" t="str">
        <f>IF(B80="","",BOM!B80)</f>
        <v/>
      </c>
      <c r="D80" s="35" t="str">
        <f>IF(B80="","",KT_DMTT_ChiTiet!E80)</f>
        <v/>
      </c>
      <c r="E80" s="36" t="str">
        <f>IF(B80="","",BOM!G80&amp;"")</f>
        <v/>
      </c>
      <c r="F80" s="39" t="str">
        <f>IF(B80="","",BOM!E80)</f>
        <v/>
      </c>
      <c r="G80" s="39" t="str">
        <f>IF(OR(B80="",E80="KXDDM"),"",BOM!F80)</f>
        <v/>
      </c>
      <c r="H80" s="39" t="str">
        <f>IF(OR(B80="",E80&lt;&gt;""),"",IFERROR(INDEX(KT_nguoc_theo_NL!$J$5:$J$304,MATCH(C80,KT_nguoc_theo_NL!$B$5:$B$304,0))/INDEX(KT_nguoc_theo_NL!$K$5:$K$304,MATCH(C80,KT_nguoc_theo_NL!$B$5:$B$304,0)),""))</f>
        <v/>
      </c>
      <c r="I80" s="39" t="str">
        <f t="shared" si="6"/>
        <v/>
      </c>
      <c r="J80" s="46" t="str">
        <f t="shared" si="7"/>
        <v/>
      </c>
      <c r="K80" s="46" t="str">
        <f t="shared" si="8"/>
        <v/>
      </c>
      <c r="L80" s="46" t="str">
        <f t="shared" si="9"/>
        <v/>
      </c>
      <c r="M80" s="35" t="str">
        <f>IF(B80="","",IF(E80="KXDDM","KXDDM – không ĐM",IF(E80&lt;&gt;"","Không KT ("&amp;E80&amp;")",IF(OR(K80="",L80=""),"Xem xét",IF(MAX(ABS(K80),ABS(L80))&lt;=ThongTin!$C$12,"OK","Xem xét")))))</f>
        <v/>
      </c>
    </row>
    <row r="81" spans="1:13" x14ac:dyDescent="0.25">
      <c r="A81" s="35" t="str">
        <f t="shared" si="5"/>
        <v/>
      </c>
      <c r="B81" s="35" t="str">
        <f>IF(BOM!A81="","",BOM!A81)</f>
        <v/>
      </c>
      <c r="C81" s="35" t="str">
        <f>IF(B81="","",BOM!B81)</f>
        <v/>
      </c>
      <c r="D81" s="35" t="str">
        <f>IF(B81="","",KT_DMTT_ChiTiet!E81)</f>
        <v/>
      </c>
      <c r="E81" s="36" t="str">
        <f>IF(B81="","",BOM!G81&amp;"")</f>
        <v/>
      </c>
      <c r="F81" s="39" t="str">
        <f>IF(B81="","",BOM!E81)</f>
        <v/>
      </c>
      <c r="G81" s="39" t="str">
        <f>IF(OR(B81="",E81="KXDDM"),"",BOM!F81)</f>
        <v/>
      </c>
      <c r="H81" s="39" t="str">
        <f>IF(OR(B81="",E81&lt;&gt;""),"",IFERROR(INDEX(KT_nguoc_theo_NL!$J$5:$J$304,MATCH(C81,KT_nguoc_theo_NL!$B$5:$B$304,0))/INDEX(KT_nguoc_theo_NL!$K$5:$K$304,MATCH(C81,KT_nguoc_theo_NL!$B$5:$B$304,0)),""))</f>
        <v/>
      </c>
      <c r="I81" s="39" t="str">
        <f t="shared" si="6"/>
        <v/>
      </c>
      <c r="J81" s="46" t="str">
        <f t="shared" si="7"/>
        <v/>
      </c>
      <c r="K81" s="46" t="str">
        <f t="shared" si="8"/>
        <v/>
      </c>
      <c r="L81" s="46" t="str">
        <f t="shared" si="9"/>
        <v/>
      </c>
      <c r="M81" s="35" t="str">
        <f>IF(B81="","",IF(E81="KXDDM","KXDDM – không ĐM",IF(E81&lt;&gt;"","Không KT ("&amp;E81&amp;")",IF(OR(K81="",L81=""),"Xem xét",IF(MAX(ABS(K81),ABS(L81))&lt;=ThongTin!$C$12,"OK","Xem xét")))))</f>
        <v/>
      </c>
    </row>
    <row r="82" spans="1:13" x14ac:dyDescent="0.25">
      <c r="A82" s="35" t="str">
        <f t="shared" si="5"/>
        <v/>
      </c>
      <c r="B82" s="35" t="str">
        <f>IF(BOM!A82="","",BOM!A82)</f>
        <v/>
      </c>
      <c r="C82" s="35" t="str">
        <f>IF(B82="","",BOM!B82)</f>
        <v/>
      </c>
      <c r="D82" s="35" t="str">
        <f>IF(B82="","",KT_DMTT_ChiTiet!E82)</f>
        <v/>
      </c>
      <c r="E82" s="36" t="str">
        <f>IF(B82="","",BOM!G82&amp;"")</f>
        <v/>
      </c>
      <c r="F82" s="39" t="str">
        <f>IF(B82="","",BOM!E82)</f>
        <v/>
      </c>
      <c r="G82" s="39" t="str">
        <f>IF(OR(B82="",E82="KXDDM"),"",BOM!F82)</f>
        <v/>
      </c>
      <c r="H82" s="39" t="str">
        <f>IF(OR(B82="",E82&lt;&gt;""),"",IFERROR(INDEX(KT_nguoc_theo_NL!$J$5:$J$304,MATCH(C82,KT_nguoc_theo_NL!$B$5:$B$304,0))/INDEX(KT_nguoc_theo_NL!$K$5:$K$304,MATCH(C82,KT_nguoc_theo_NL!$B$5:$B$304,0)),""))</f>
        <v/>
      </c>
      <c r="I82" s="39" t="str">
        <f t="shared" si="6"/>
        <v/>
      </c>
      <c r="J82" s="46" t="str">
        <f t="shared" si="7"/>
        <v/>
      </c>
      <c r="K82" s="46" t="str">
        <f t="shared" si="8"/>
        <v/>
      </c>
      <c r="L82" s="46" t="str">
        <f t="shared" si="9"/>
        <v/>
      </c>
      <c r="M82" s="35" t="str">
        <f>IF(B82="","",IF(E82="KXDDM","KXDDM – không ĐM",IF(E82&lt;&gt;"","Không KT ("&amp;E82&amp;")",IF(OR(K82="",L82=""),"Xem xét",IF(MAX(ABS(K82),ABS(L82))&lt;=ThongTin!$C$12,"OK","Xem xét")))))</f>
        <v/>
      </c>
    </row>
    <row r="83" spans="1:13" x14ac:dyDescent="0.25">
      <c r="A83" s="35" t="str">
        <f t="shared" si="5"/>
        <v/>
      </c>
      <c r="B83" s="35" t="str">
        <f>IF(BOM!A83="","",BOM!A83)</f>
        <v/>
      </c>
      <c r="C83" s="35" t="str">
        <f>IF(B83="","",BOM!B83)</f>
        <v/>
      </c>
      <c r="D83" s="35" t="str">
        <f>IF(B83="","",KT_DMTT_ChiTiet!E83)</f>
        <v/>
      </c>
      <c r="E83" s="36" t="str">
        <f>IF(B83="","",BOM!G83&amp;"")</f>
        <v/>
      </c>
      <c r="F83" s="39" t="str">
        <f>IF(B83="","",BOM!E83)</f>
        <v/>
      </c>
      <c r="G83" s="39" t="str">
        <f>IF(OR(B83="",E83="KXDDM"),"",BOM!F83)</f>
        <v/>
      </c>
      <c r="H83" s="39" t="str">
        <f>IF(OR(B83="",E83&lt;&gt;""),"",IFERROR(INDEX(KT_nguoc_theo_NL!$J$5:$J$304,MATCH(C83,KT_nguoc_theo_NL!$B$5:$B$304,0))/INDEX(KT_nguoc_theo_NL!$K$5:$K$304,MATCH(C83,KT_nguoc_theo_NL!$B$5:$B$304,0)),""))</f>
        <v/>
      </c>
      <c r="I83" s="39" t="str">
        <f t="shared" si="6"/>
        <v/>
      </c>
      <c r="J83" s="46" t="str">
        <f t="shared" si="7"/>
        <v/>
      </c>
      <c r="K83" s="46" t="str">
        <f t="shared" si="8"/>
        <v/>
      </c>
      <c r="L83" s="46" t="str">
        <f t="shared" si="9"/>
        <v/>
      </c>
      <c r="M83" s="35" t="str">
        <f>IF(B83="","",IF(E83="KXDDM","KXDDM – không ĐM",IF(E83&lt;&gt;"","Không KT ("&amp;E83&amp;")",IF(OR(K83="",L83=""),"Xem xét",IF(MAX(ABS(K83),ABS(L83))&lt;=ThongTin!$C$12,"OK","Xem xét")))))</f>
        <v/>
      </c>
    </row>
    <row r="84" spans="1:13" x14ac:dyDescent="0.25">
      <c r="A84" s="35" t="str">
        <f t="shared" si="5"/>
        <v/>
      </c>
      <c r="B84" s="35" t="str">
        <f>IF(BOM!A84="","",BOM!A84)</f>
        <v/>
      </c>
      <c r="C84" s="35" t="str">
        <f>IF(B84="","",BOM!B84)</f>
        <v/>
      </c>
      <c r="D84" s="35" t="str">
        <f>IF(B84="","",KT_DMTT_ChiTiet!E84)</f>
        <v/>
      </c>
      <c r="E84" s="36" t="str">
        <f>IF(B84="","",BOM!G84&amp;"")</f>
        <v/>
      </c>
      <c r="F84" s="39" t="str">
        <f>IF(B84="","",BOM!E84)</f>
        <v/>
      </c>
      <c r="G84" s="39" t="str">
        <f>IF(OR(B84="",E84="KXDDM"),"",BOM!F84)</f>
        <v/>
      </c>
      <c r="H84" s="39" t="str">
        <f>IF(OR(B84="",E84&lt;&gt;""),"",IFERROR(INDEX(KT_nguoc_theo_NL!$J$5:$J$304,MATCH(C84,KT_nguoc_theo_NL!$B$5:$B$304,0))/INDEX(KT_nguoc_theo_NL!$K$5:$K$304,MATCH(C84,KT_nguoc_theo_NL!$B$5:$B$304,0)),""))</f>
        <v/>
      </c>
      <c r="I84" s="39" t="str">
        <f t="shared" si="6"/>
        <v/>
      </c>
      <c r="J84" s="46" t="str">
        <f t="shared" si="7"/>
        <v/>
      </c>
      <c r="K84" s="46" t="str">
        <f t="shared" si="8"/>
        <v/>
      </c>
      <c r="L84" s="46" t="str">
        <f t="shared" si="9"/>
        <v/>
      </c>
      <c r="M84" s="35" t="str">
        <f>IF(B84="","",IF(E84="KXDDM","KXDDM – không ĐM",IF(E84&lt;&gt;"","Không KT ("&amp;E84&amp;")",IF(OR(K84="",L84=""),"Xem xét",IF(MAX(ABS(K84),ABS(L84))&lt;=ThongTin!$C$12,"OK","Xem xét")))))</f>
        <v/>
      </c>
    </row>
    <row r="85" spans="1:13" x14ac:dyDescent="0.25">
      <c r="A85" s="35" t="str">
        <f t="shared" si="5"/>
        <v/>
      </c>
      <c r="B85" s="35" t="str">
        <f>IF(BOM!A85="","",BOM!A85)</f>
        <v/>
      </c>
      <c r="C85" s="35" t="str">
        <f>IF(B85="","",BOM!B85)</f>
        <v/>
      </c>
      <c r="D85" s="35" t="str">
        <f>IF(B85="","",KT_DMTT_ChiTiet!E85)</f>
        <v/>
      </c>
      <c r="E85" s="36" t="str">
        <f>IF(B85="","",BOM!G85&amp;"")</f>
        <v/>
      </c>
      <c r="F85" s="39" t="str">
        <f>IF(B85="","",BOM!E85)</f>
        <v/>
      </c>
      <c r="G85" s="39" t="str">
        <f>IF(OR(B85="",E85="KXDDM"),"",BOM!F85)</f>
        <v/>
      </c>
      <c r="H85" s="39" t="str">
        <f>IF(OR(B85="",E85&lt;&gt;""),"",IFERROR(INDEX(KT_nguoc_theo_NL!$J$5:$J$304,MATCH(C85,KT_nguoc_theo_NL!$B$5:$B$304,0))/INDEX(KT_nguoc_theo_NL!$K$5:$K$304,MATCH(C85,KT_nguoc_theo_NL!$B$5:$B$304,0)),""))</f>
        <v/>
      </c>
      <c r="I85" s="39" t="str">
        <f t="shared" si="6"/>
        <v/>
      </c>
      <c r="J85" s="46" t="str">
        <f t="shared" si="7"/>
        <v/>
      </c>
      <c r="K85" s="46" t="str">
        <f t="shared" si="8"/>
        <v/>
      </c>
      <c r="L85" s="46" t="str">
        <f t="shared" si="9"/>
        <v/>
      </c>
      <c r="M85" s="35" t="str">
        <f>IF(B85="","",IF(E85="KXDDM","KXDDM – không ĐM",IF(E85&lt;&gt;"","Không KT ("&amp;E85&amp;")",IF(OR(K85="",L85=""),"Xem xét",IF(MAX(ABS(K85),ABS(L85))&lt;=ThongTin!$C$12,"OK","Xem xét")))))</f>
        <v/>
      </c>
    </row>
    <row r="86" spans="1:13" x14ac:dyDescent="0.25">
      <c r="A86" s="35" t="str">
        <f t="shared" si="5"/>
        <v/>
      </c>
      <c r="B86" s="35" t="str">
        <f>IF(BOM!A86="","",BOM!A86)</f>
        <v/>
      </c>
      <c r="C86" s="35" t="str">
        <f>IF(B86="","",BOM!B86)</f>
        <v/>
      </c>
      <c r="D86" s="35" t="str">
        <f>IF(B86="","",KT_DMTT_ChiTiet!E86)</f>
        <v/>
      </c>
      <c r="E86" s="36" t="str">
        <f>IF(B86="","",BOM!G86&amp;"")</f>
        <v/>
      </c>
      <c r="F86" s="39" t="str">
        <f>IF(B86="","",BOM!E86)</f>
        <v/>
      </c>
      <c r="G86" s="39" t="str">
        <f>IF(OR(B86="",E86="KXDDM"),"",BOM!F86)</f>
        <v/>
      </c>
      <c r="H86" s="39" t="str">
        <f>IF(OR(B86="",E86&lt;&gt;""),"",IFERROR(INDEX(KT_nguoc_theo_NL!$J$5:$J$304,MATCH(C86,KT_nguoc_theo_NL!$B$5:$B$304,0))/INDEX(KT_nguoc_theo_NL!$K$5:$K$304,MATCH(C86,KT_nguoc_theo_NL!$B$5:$B$304,0)),""))</f>
        <v/>
      </c>
      <c r="I86" s="39" t="str">
        <f t="shared" si="6"/>
        <v/>
      </c>
      <c r="J86" s="46" t="str">
        <f t="shared" si="7"/>
        <v/>
      </c>
      <c r="K86" s="46" t="str">
        <f t="shared" si="8"/>
        <v/>
      </c>
      <c r="L86" s="46" t="str">
        <f t="shared" si="9"/>
        <v/>
      </c>
      <c r="M86" s="35" t="str">
        <f>IF(B86="","",IF(E86="KXDDM","KXDDM – không ĐM",IF(E86&lt;&gt;"","Không KT ("&amp;E86&amp;")",IF(OR(K86="",L86=""),"Xem xét",IF(MAX(ABS(K86),ABS(L86))&lt;=ThongTin!$C$12,"OK","Xem xét")))))</f>
        <v/>
      </c>
    </row>
    <row r="87" spans="1:13" x14ac:dyDescent="0.25">
      <c r="A87" s="35" t="str">
        <f t="shared" si="5"/>
        <v/>
      </c>
      <c r="B87" s="35" t="str">
        <f>IF(BOM!A87="","",BOM!A87)</f>
        <v/>
      </c>
      <c r="C87" s="35" t="str">
        <f>IF(B87="","",BOM!B87)</f>
        <v/>
      </c>
      <c r="D87" s="35" t="str">
        <f>IF(B87="","",KT_DMTT_ChiTiet!E87)</f>
        <v/>
      </c>
      <c r="E87" s="36" t="str">
        <f>IF(B87="","",BOM!G87&amp;"")</f>
        <v/>
      </c>
      <c r="F87" s="39" t="str">
        <f>IF(B87="","",BOM!E87)</f>
        <v/>
      </c>
      <c r="G87" s="39" t="str">
        <f>IF(OR(B87="",E87="KXDDM"),"",BOM!F87)</f>
        <v/>
      </c>
      <c r="H87" s="39" t="str">
        <f>IF(OR(B87="",E87&lt;&gt;""),"",IFERROR(INDEX(KT_nguoc_theo_NL!$J$5:$J$304,MATCH(C87,KT_nguoc_theo_NL!$B$5:$B$304,0))/INDEX(KT_nguoc_theo_NL!$K$5:$K$304,MATCH(C87,KT_nguoc_theo_NL!$B$5:$B$304,0)),""))</f>
        <v/>
      </c>
      <c r="I87" s="39" t="str">
        <f t="shared" si="6"/>
        <v/>
      </c>
      <c r="J87" s="46" t="str">
        <f t="shared" si="7"/>
        <v/>
      </c>
      <c r="K87" s="46" t="str">
        <f t="shared" si="8"/>
        <v/>
      </c>
      <c r="L87" s="46" t="str">
        <f t="shared" si="9"/>
        <v/>
      </c>
      <c r="M87" s="35" t="str">
        <f>IF(B87="","",IF(E87="KXDDM","KXDDM – không ĐM",IF(E87&lt;&gt;"","Không KT ("&amp;E87&amp;")",IF(OR(K87="",L87=""),"Xem xét",IF(MAX(ABS(K87),ABS(L87))&lt;=ThongTin!$C$12,"OK","Xem xét")))))</f>
        <v/>
      </c>
    </row>
    <row r="88" spans="1:13" x14ac:dyDescent="0.25">
      <c r="A88" s="35" t="str">
        <f t="shared" si="5"/>
        <v/>
      </c>
      <c r="B88" s="35" t="str">
        <f>IF(BOM!A88="","",BOM!A88)</f>
        <v/>
      </c>
      <c r="C88" s="35" t="str">
        <f>IF(B88="","",BOM!B88)</f>
        <v/>
      </c>
      <c r="D88" s="35" t="str">
        <f>IF(B88="","",KT_DMTT_ChiTiet!E88)</f>
        <v/>
      </c>
      <c r="E88" s="36" t="str">
        <f>IF(B88="","",BOM!G88&amp;"")</f>
        <v/>
      </c>
      <c r="F88" s="39" t="str">
        <f>IF(B88="","",BOM!E88)</f>
        <v/>
      </c>
      <c r="G88" s="39" t="str">
        <f>IF(OR(B88="",E88="KXDDM"),"",BOM!F88)</f>
        <v/>
      </c>
      <c r="H88" s="39" t="str">
        <f>IF(OR(B88="",E88&lt;&gt;""),"",IFERROR(INDEX(KT_nguoc_theo_NL!$J$5:$J$304,MATCH(C88,KT_nguoc_theo_NL!$B$5:$B$304,0))/INDEX(KT_nguoc_theo_NL!$K$5:$K$304,MATCH(C88,KT_nguoc_theo_NL!$B$5:$B$304,0)),""))</f>
        <v/>
      </c>
      <c r="I88" s="39" t="str">
        <f t="shared" si="6"/>
        <v/>
      </c>
      <c r="J88" s="46" t="str">
        <f t="shared" si="7"/>
        <v/>
      </c>
      <c r="K88" s="46" t="str">
        <f t="shared" si="8"/>
        <v/>
      </c>
      <c r="L88" s="46" t="str">
        <f t="shared" si="9"/>
        <v/>
      </c>
      <c r="M88" s="35" t="str">
        <f>IF(B88="","",IF(E88="KXDDM","KXDDM – không ĐM",IF(E88&lt;&gt;"","Không KT ("&amp;E88&amp;")",IF(OR(K88="",L88=""),"Xem xét",IF(MAX(ABS(K88),ABS(L88))&lt;=ThongTin!$C$12,"OK","Xem xét")))))</f>
        <v/>
      </c>
    </row>
    <row r="89" spans="1:13" x14ac:dyDescent="0.25">
      <c r="A89" s="35" t="str">
        <f t="shared" si="5"/>
        <v/>
      </c>
      <c r="B89" s="35" t="str">
        <f>IF(BOM!A89="","",BOM!A89)</f>
        <v/>
      </c>
      <c r="C89" s="35" t="str">
        <f>IF(B89="","",BOM!B89)</f>
        <v/>
      </c>
      <c r="D89" s="35" t="str">
        <f>IF(B89="","",KT_DMTT_ChiTiet!E89)</f>
        <v/>
      </c>
      <c r="E89" s="36" t="str">
        <f>IF(B89="","",BOM!G89&amp;"")</f>
        <v/>
      </c>
      <c r="F89" s="39" t="str">
        <f>IF(B89="","",BOM!E89)</f>
        <v/>
      </c>
      <c r="G89" s="39" t="str">
        <f>IF(OR(B89="",E89="KXDDM"),"",BOM!F89)</f>
        <v/>
      </c>
      <c r="H89" s="39" t="str">
        <f>IF(OR(B89="",E89&lt;&gt;""),"",IFERROR(INDEX(KT_nguoc_theo_NL!$J$5:$J$304,MATCH(C89,KT_nguoc_theo_NL!$B$5:$B$304,0))/INDEX(KT_nguoc_theo_NL!$K$5:$K$304,MATCH(C89,KT_nguoc_theo_NL!$B$5:$B$304,0)),""))</f>
        <v/>
      </c>
      <c r="I89" s="39" t="str">
        <f t="shared" si="6"/>
        <v/>
      </c>
      <c r="J89" s="46" t="str">
        <f t="shared" si="7"/>
        <v/>
      </c>
      <c r="K89" s="46" t="str">
        <f t="shared" si="8"/>
        <v/>
      </c>
      <c r="L89" s="46" t="str">
        <f t="shared" si="9"/>
        <v/>
      </c>
      <c r="M89" s="35" t="str">
        <f>IF(B89="","",IF(E89="KXDDM","KXDDM – không ĐM",IF(E89&lt;&gt;"","Không KT ("&amp;E89&amp;")",IF(OR(K89="",L89=""),"Xem xét",IF(MAX(ABS(K89),ABS(L89))&lt;=ThongTin!$C$12,"OK","Xem xét")))))</f>
        <v/>
      </c>
    </row>
    <row r="90" spans="1:13" x14ac:dyDescent="0.25">
      <c r="A90" s="35" t="str">
        <f t="shared" si="5"/>
        <v/>
      </c>
      <c r="B90" s="35" t="str">
        <f>IF(BOM!A90="","",BOM!A90)</f>
        <v/>
      </c>
      <c r="C90" s="35" t="str">
        <f>IF(B90="","",BOM!B90)</f>
        <v/>
      </c>
      <c r="D90" s="35" t="str">
        <f>IF(B90="","",KT_DMTT_ChiTiet!E90)</f>
        <v/>
      </c>
      <c r="E90" s="36" t="str">
        <f>IF(B90="","",BOM!G90&amp;"")</f>
        <v/>
      </c>
      <c r="F90" s="39" t="str">
        <f>IF(B90="","",BOM!E90)</f>
        <v/>
      </c>
      <c r="G90" s="39" t="str">
        <f>IF(OR(B90="",E90="KXDDM"),"",BOM!F90)</f>
        <v/>
      </c>
      <c r="H90" s="39" t="str">
        <f>IF(OR(B90="",E90&lt;&gt;""),"",IFERROR(INDEX(KT_nguoc_theo_NL!$J$5:$J$304,MATCH(C90,KT_nguoc_theo_NL!$B$5:$B$304,0))/INDEX(KT_nguoc_theo_NL!$K$5:$K$304,MATCH(C90,KT_nguoc_theo_NL!$B$5:$B$304,0)),""))</f>
        <v/>
      </c>
      <c r="I90" s="39" t="str">
        <f t="shared" si="6"/>
        <v/>
      </c>
      <c r="J90" s="46" t="str">
        <f t="shared" si="7"/>
        <v/>
      </c>
      <c r="K90" s="46" t="str">
        <f t="shared" si="8"/>
        <v/>
      </c>
      <c r="L90" s="46" t="str">
        <f t="shared" si="9"/>
        <v/>
      </c>
      <c r="M90" s="35" t="str">
        <f>IF(B90="","",IF(E90="KXDDM","KXDDM – không ĐM",IF(E90&lt;&gt;"","Không KT ("&amp;E90&amp;")",IF(OR(K90="",L90=""),"Xem xét",IF(MAX(ABS(K90),ABS(L90))&lt;=ThongTin!$C$12,"OK","Xem xét")))))</f>
        <v/>
      </c>
    </row>
    <row r="91" spans="1:13" x14ac:dyDescent="0.25">
      <c r="A91" s="35" t="str">
        <f t="shared" si="5"/>
        <v/>
      </c>
      <c r="B91" s="35" t="str">
        <f>IF(BOM!A91="","",BOM!A91)</f>
        <v/>
      </c>
      <c r="C91" s="35" t="str">
        <f>IF(B91="","",BOM!B91)</f>
        <v/>
      </c>
      <c r="D91" s="35" t="str">
        <f>IF(B91="","",KT_DMTT_ChiTiet!E91)</f>
        <v/>
      </c>
      <c r="E91" s="36" t="str">
        <f>IF(B91="","",BOM!G91&amp;"")</f>
        <v/>
      </c>
      <c r="F91" s="39" t="str">
        <f>IF(B91="","",BOM!E91)</f>
        <v/>
      </c>
      <c r="G91" s="39" t="str">
        <f>IF(OR(B91="",E91="KXDDM"),"",BOM!F91)</f>
        <v/>
      </c>
      <c r="H91" s="39" t="str">
        <f>IF(OR(B91="",E91&lt;&gt;""),"",IFERROR(INDEX(KT_nguoc_theo_NL!$J$5:$J$304,MATCH(C91,KT_nguoc_theo_NL!$B$5:$B$304,0))/INDEX(KT_nguoc_theo_NL!$K$5:$K$304,MATCH(C91,KT_nguoc_theo_NL!$B$5:$B$304,0)),""))</f>
        <v/>
      </c>
      <c r="I91" s="39" t="str">
        <f t="shared" si="6"/>
        <v/>
      </c>
      <c r="J91" s="46" t="str">
        <f t="shared" si="7"/>
        <v/>
      </c>
      <c r="K91" s="46" t="str">
        <f t="shared" si="8"/>
        <v/>
      </c>
      <c r="L91" s="46" t="str">
        <f t="shared" si="9"/>
        <v/>
      </c>
      <c r="M91" s="35" t="str">
        <f>IF(B91="","",IF(E91="KXDDM","KXDDM – không ĐM",IF(E91&lt;&gt;"","Không KT ("&amp;E91&amp;")",IF(OR(K91="",L91=""),"Xem xét",IF(MAX(ABS(K91),ABS(L91))&lt;=ThongTin!$C$12,"OK","Xem xét")))))</f>
        <v/>
      </c>
    </row>
    <row r="92" spans="1:13" x14ac:dyDescent="0.25">
      <c r="A92" s="35" t="str">
        <f t="shared" si="5"/>
        <v/>
      </c>
      <c r="B92" s="35" t="str">
        <f>IF(BOM!A92="","",BOM!A92)</f>
        <v/>
      </c>
      <c r="C92" s="35" t="str">
        <f>IF(B92="","",BOM!B92)</f>
        <v/>
      </c>
      <c r="D92" s="35" t="str">
        <f>IF(B92="","",KT_DMTT_ChiTiet!E92)</f>
        <v/>
      </c>
      <c r="E92" s="36" t="str">
        <f>IF(B92="","",BOM!G92&amp;"")</f>
        <v/>
      </c>
      <c r="F92" s="39" t="str">
        <f>IF(B92="","",BOM!E92)</f>
        <v/>
      </c>
      <c r="G92" s="39" t="str">
        <f>IF(OR(B92="",E92="KXDDM"),"",BOM!F92)</f>
        <v/>
      </c>
      <c r="H92" s="39" t="str">
        <f>IF(OR(B92="",E92&lt;&gt;""),"",IFERROR(INDEX(KT_nguoc_theo_NL!$J$5:$J$304,MATCH(C92,KT_nguoc_theo_NL!$B$5:$B$304,0))/INDEX(KT_nguoc_theo_NL!$K$5:$K$304,MATCH(C92,KT_nguoc_theo_NL!$B$5:$B$304,0)),""))</f>
        <v/>
      </c>
      <c r="I92" s="39" t="str">
        <f t="shared" si="6"/>
        <v/>
      </c>
      <c r="J92" s="46" t="str">
        <f t="shared" si="7"/>
        <v/>
      </c>
      <c r="K92" s="46" t="str">
        <f t="shared" si="8"/>
        <v/>
      </c>
      <c r="L92" s="46" t="str">
        <f t="shared" si="9"/>
        <v/>
      </c>
      <c r="M92" s="35" t="str">
        <f>IF(B92="","",IF(E92="KXDDM","KXDDM – không ĐM",IF(E92&lt;&gt;"","Không KT ("&amp;E92&amp;")",IF(OR(K92="",L92=""),"Xem xét",IF(MAX(ABS(K92),ABS(L92))&lt;=ThongTin!$C$12,"OK","Xem xét")))))</f>
        <v/>
      </c>
    </row>
    <row r="93" spans="1:13" x14ac:dyDescent="0.25">
      <c r="A93" s="35" t="str">
        <f t="shared" si="5"/>
        <v/>
      </c>
      <c r="B93" s="35" t="str">
        <f>IF(BOM!A93="","",BOM!A93)</f>
        <v/>
      </c>
      <c r="C93" s="35" t="str">
        <f>IF(B93="","",BOM!B93)</f>
        <v/>
      </c>
      <c r="D93" s="35" t="str">
        <f>IF(B93="","",KT_DMTT_ChiTiet!E93)</f>
        <v/>
      </c>
      <c r="E93" s="36" t="str">
        <f>IF(B93="","",BOM!G93&amp;"")</f>
        <v/>
      </c>
      <c r="F93" s="39" t="str">
        <f>IF(B93="","",BOM!E93)</f>
        <v/>
      </c>
      <c r="G93" s="39" t="str">
        <f>IF(OR(B93="",E93="KXDDM"),"",BOM!F93)</f>
        <v/>
      </c>
      <c r="H93" s="39" t="str">
        <f>IF(OR(B93="",E93&lt;&gt;""),"",IFERROR(INDEX(KT_nguoc_theo_NL!$J$5:$J$304,MATCH(C93,KT_nguoc_theo_NL!$B$5:$B$304,0))/INDEX(KT_nguoc_theo_NL!$K$5:$K$304,MATCH(C93,KT_nguoc_theo_NL!$B$5:$B$304,0)),""))</f>
        <v/>
      </c>
      <c r="I93" s="39" t="str">
        <f t="shared" si="6"/>
        <v/>
      </c>
      <c r="J93" s="46" t="str">
        <f t="shared" si="7"/>
        <v/>
      </c>
      <c r="K93" s="46" t="str">
        <f t="shared" si="8"/>
        <v/>
      </c>
      <c r="L93" s="46" t="str">
        <f t="shared" si="9"/>
        <v/>
      </c>
      <c r="M93" s="35" t="str">
        <f>IF(B93="","",IF(E93="KXDDM","KXDDM – không ĐM",IF(E93&lt;&gt;"","Không KT ("&amp;E93&amp;")",IF(OR(K93="",L93=""),"Xem xét",IF(MAX(ABS(K93),ABS(L93))&lt;=ThongTin!$C$12,"OK","Xem xét")))))</f>
        <v/>
      </c>
    </row>
    <row r="94" spans="1:13" x14ac:dyDescent="0.25">
      <c r="A94" s="35" t="str">
        <f t="shared" si="5"/>
        <v/>
      </c>
      <c r="B94" s="35" t="str">
        <f>IF(BOM!A94="","",BOM!A94)</f>
        <v/>
      </c>
      <c r="C94" s="35" t="str">
        <f>IF(B94="","",BOM!B94)</f>
        <v/>
      </c>
      <c r="D94" s="35" t="str">
        <f>IF(B94="","",KT_DMTT_ChiTiet!E94)</f>
        <v/>
      </c>
      <c r="E94" s="36" t="str">
        <f>IF(B94="","",BOM!G94&amp;"")</f>
        <v/>
      </c>
      <c r="F94" s="39" t="str">
        <f>IF(B94="","",BOM!E94)</f>
        <v/>
      </c>
      <c r="G94" s="39" t="str">
        <f>IF(OR(B94="",E94="KXDDM"),"",BOM!F94)</f>
        <v/>
      </c>
      <c r="H94" s="39" t="str">
        <f>IF(OR(B94="",E94&lt;&gt;""),"",IFERROR(INDEX(KT_nguoc_theo_NL!$J$5:$J$304,MATCH(C94,KT_nguoc_theo_NL!$B$5:$B$304,0))/INDEX(KT_nguoc_theo_NL!$K$5:$K$304,MATCH(C94,KT_nguoc_theo_NL!$B$5:$B$304,0)),""))</f>
        <v/>
      </c>
      <c r="I94" s="39" t="str">
        <f t="shared" si="6"/>
        <v/>
      </c>
      <c r="J94" s="46" t="str">
        <f t="shared" si="7"/>
        <v/>
      </c>
      <c r="K94" s="46" t="str">
        <f t="shared" si="8"/>
        <v/>
      </c>
      <c r="L94" s="46" t="str">
        <f t="shared" si="9"/>
        <v/>
      </c>
      <c r="M94" s="35" t="str">
        <f>IF(B94="","",IF(E94="KXDDM","KXDDM – không ĐM",IF(E94&lt;&gt;"","Không KT ("&amp;E94&amp;")",IF(OR(K94="",L94=""),"Xem xét",IF(MAX(ABS(K94),ABS(L94))&lt;=ThongTin!$C$12,"OK","Xem xét")))))</f>
        <v/>
      </c>
    </row>
    <row r="95" spans="1:13" x14ac:dyDescent="0.25">
      <c r="A95" s="35" t="str">
        <f t="shared" si="5"/>
        <v/>
      </c>
      <c r="B95" s="35" t="str">
        <f>IF(BOM!A95="","",BOM!A95)</f>
        <v/>
      </c>
      <c r="C95" s="35" t="str">
        <f>IF(B95="","",BOM!B95)</f>
        <v/>
      </c>
      <c r="D95" s="35" t="str">
        <f>IF(B95="","",KT_DMTT_ChiTiet!E95)</f>
        <v/>
      </c>
      <c r="E95" s="36" t="str">
        <f>IF(B95="","",BOM!G95&amp;"")</f>
        <v/>
      </c>
      <c r="F95" s="39" t="str">
        <f>IF(B95="","",BOM!E95)</f>
        <v/>
      </c>
      <c r="G95" s="39" t="str">
        <f>IF(OR(B95="",E95="KXDDM"),"",BOM!F95)</f>
        <v/>
      </c>
      <c r="H95" s="39" t="str">
        <f>IF(OR(B95="",E95&lt;&gt;""),"",IFERROR(INDEX(KT_nguoc_theo_NL!$J$5:$J$304,MATCH(C95,KT_nguoc_theo_NL!$B$5:$B$304,0))/INDEX(KT_nguoc_theo_NL!$K$5:$K$304,MATCH(C95,KT_nguoc_theo_NL!$B$5:$B$304,0)),""))</f>
        <v/>
      </c>
      <c r="I95" s="39" t="str">
        <f t="shared" si="6"/>
        <v/>
      </c>
      <c r="J95" s="46" t="str">
        <f t="shared" si="7"/>
        <v/>
      </c>
      <c r="K95" s="46" t="str">
        <f t="shared" si="8"/>
        <v/>
      </c>
      <c r="L95" s="46" t="str">
        <f t="shared" si="9"/>
        <v/>
      </c>
      <c r="M95" s="35" t="str">
        <f>IF(B95="","",IF(E95="KXDDM","KXDDM – không ĐM",IF(E95&lt;&gt;"","Không KT ("&amp;E95&amp;")",IF(OR(K95="",L95=""),"Xem xét",IF(MAX(ABS(K95),ABS(L95))&lt;=ThongTin!$C$12,"OK","Xem xét")))))</f>
        <v/>
      </c>
    </row>
    <row r="96" spans="1:13" x14ac:dyDescent="0.25">
      <c r="A96" s="35" t="str">
        <f t="shared" si="5"/>
        <v/>
      </c>
      <c r="B96" s="35" t="str">
        <f>IF(BOM!A96="","",BOM!A96)</f>
        <v/>
      </c>
      <c r="C96" s="35" t="str">
        <f>IF(B96="","",BOM!B96)</f>
        <v/>
      </c>
      <c r="D96" s="35" t="str">
        <f>IF(B96="","",KT_DMTT_ChiTiet!E96)</f>
        <v/>
      </c>
      <c r="E96" s="36" t="str">
        <f>IF(B96="","",BOM!G96&amp;"")</f>
        <v/>
      </c>
      <c r="F96" s="39" t="str">
        <f>IF(B96="","",BOM!E96)</f>
        <v/>
      </c>
      <c r="G96" s="39" t="str">
        <f>IF(OR(B96="",E96="KXDDM"),"",BOM!F96)</f>
        <v/>
      </c>
      <c r="H96" s="39" t="str">
        <f>IF(OR(B96="",E96&lt;&gt;""),"",IFERROR(INDEX(KT_nguoc_theo_NL!$J$5:$J$304,MATCH(C96,KT_nguoc_theo_NL!$B$5:$B$304,0))/INDEX(KT_nguoc_theo_NL!$K$5:$K$304,MATCH(C96,KT_nguoc_theo_NL!$B$5:$B$304,0)),""))</f>
        <v/>
      </c>
      <c r="I96" s="39" t="str">
        <f t="shared" si="6"/>
        <v/>
      </c>
      <c r="J96" s="46" t="str">
        <f t="shared" si="7"/>
        <v/>
      </c>
      <c r="K96" s="46" t="str">
        <f t="shared" si="8"/>
        <v/>
      </c>
      <c r="L96" s="46" t="str">
        <f t="shared" si="9"/>
        <v/>
      </c>
      <c r="M96" s="35" t="str">
        <f>IF(B96="","",IF(E96="KXDDM","KXDDM – không ĐM",IF(E96&lt;&gt;"","Không KT ("&amp;E96&amp;")",IF(OR(K96="",L96=""),"Xem xét",IF(MAX(ABS(K96),ABS(L96))&lt;=ThongTin!$C$12,"OK","Xem xét")))))</f>
        <v/>
      </c>
    </row>
    <row r="97" spans="1:13" x14ac:dyDescent="0.25">
      <c r="A97" s="35" t="str">
        <f t="shared" si="5"/>
        <v/>
      </c>
      <c r="B97" s="35" t="str">
        <f>IF(BOM!A97="","",BOM!A97)</f>
        <v/>
      </c>
      <c r="C97" s="35" t="str">
        <f>IF(B97="","",BOM!B97)</f>
        <v/>
      </c>
      <c r="D97" s="35" t="str">
        <f>IF(B97="","",KT_DMTT_ChiTiet!E97)</f>
        <v/>
      </c>
      <c r="E97" s="36" t="str">
        <f>IF(B97="","",BOM!G97&amp;"")</f>
        <v/>
      </c>
      <c r="F97" s="39" t="str">
        <f>IF(B97="","",BOM!E97)</f>
        <v/>
      </c>
      <c r="G97" s="39" t="str">
        <f>IF(OR(B97="",E97="KXDDM"),"",BOM!F97)</f>
        <v/>
      </c>
      <c r="H97" s="39" t="str">
        <f>IF(OR(B97="",E97&lt;&gt;""),"",IFERROR(INDEX(KT_nguoc_theo_NL!$J$5:$J$304,MATCH(C97,KT_nguoc_theo_NL!$B$5:$B$304,0))/INDEX(KT_nguoc_theo_NL!$K$5:$K$304,MATCH(C97,KT_nguoc_theo_NL!$B$5:$B$304,0)),""))</f>
        <v/>
      </c>
      <c r="I97" s="39" t="str">
        <f t="shared" si="6"/>
        <v/>
      </c>
      <c r="J97" s="46" t="str">
        <f t="shared" si="7"/>
        <v/>
      </c>
      <c r="K97" s="46" t="str">
        <f t="shared" si="8"/>
        <v/>
      </c>
      <c r="L97" s="46" t="str">
        <f t="shared" si="9"/>
        <v/>
      </c>
      <c r="M97" s="35" t="str">
        <f>IF(B97="","",IF(E97="KXDDM","KXDDM – không ĐM",IF(E97&lt;&gt;"","Không KT ("&amp;E97&amp;")",IF(OR(K97="",L97=""),"Xem xét",IF(MAX(ABS(K97),ABS(L97))&lt;=ThongTin!$C$12,"OK","Xem xét")))))</f>
        <v/>
      </c>
    </row>
    <row r="98" spans="1:13" x14ac:dyDescent="0.25">
      <c r="A98" s="35" t="str">
        <f t="shared" si="5"/>
        <v/>
      </c>
      <c r="B98" s="35" t="str">
        <f>IF(BOM!A98="","",BOM!A98)</f>
        <v/>
      </c>
      <c r="C98" s="35" t="str">
        <f>IF(B98="","",BOM!B98)</f>
        <v/>
      </c>
      <c r="D98" s="35" t="str">
        <f>IF(B98="","",KT_DMTT_ChiTiet!E98)</f>
        <v/>
      </c>
      <c r="E98" s="36" t="str">
        <f>IF(B98="","",BOM!G98&amp;"")</f>
        <v/>
      </c>
      <c r="F98" s="39" t="str">
        <f>IF(B98="","",BOM!E98)</f>
        <v/>
      </c>
      <c r="G98" s="39" t="str">
        <f>IF(OR(B98="",E98="KXDDM"),"",BOM!F98)</f>
        <v/>
      </c>
      <c r="H98" s="39" t="str">
        <f>IF(OR(B98="",E98&lt;&gt;""),"",IFERROR(INDEX(KT_nguoc_theo_NL!$J$5:$J$304,MATCH(C98,KT_nguoc_theo_NL!$B$5:$B$304,0))/INDEX(KT_nguoc_theo_NL!$K$5:$K$304,MATCH(C98,KT_nguoc_theo_NL!$B$5:$B$304,0)),""))</f>
        <v/>
      </c>
      <c r="I98" s="39" t="str">
        <f t="shared" si="6"/>
        <v/>
      </c>
      <c r="J98" s="46" t="str">
        <f t="shared" si="7"/>
        <v/>
      </c>
      <c r="K98" s="46" t="str">
        <f t="shared" si="8"/>
        <v/>
      </c>
      <c r="L98" s="46" t="str">
        <f t="shared" si="9"/>
        <v/>
      </c>
      <c r="M98" s="35" t="str">
        <f>IF(B98="","",IF(E98="KXDDM","KXDDM – không ĐM",IF(E98&lt;&gt;"","Không KT ("&amp;E98&amp;")",IF(OR(K98="",L98=""),"Xem xét",IF(MAX(ABS(K98),ABS(L98))&lt;=ThongTin!$C$12,"OK","Xem xét")))))</f>
        <v/>
      </c>
    </row>
    <row r="99" spans="1:13" x14ac:dyDescent="0.25">
      <c r="A99" s="35" t="str">
        <f t="shared" si="5"/>
        <v/>
      </c>
      <c r="B99" s="35" t="str">
        <f>IF(BOM!A99="","",BOM!A99)</f>
        <v/>
      </c>
      <c r="C99" s="35" t="str">
        <f>IF(B99="","",BOM!B99)</f>
        <v/>
      </c>
      <c r="D99" s="35" t="str">
        <f>IF(B99="","",KT_DMTT_ChiTiet!E99)</f>
        <v/>
      </c>
      <c r="E99" s="36" t="str">
        <f>IF(B99="","",BOM!G99&amp;"")</f>
        <v/>
      </c>
      <c r="F99" s="39" t="str">
        <f>IF(B99="","",BOM!E99)</f>
        <v/>
      </c>
      <c r="G99" s="39" t="str">
        <f>IF(OR(B99="",E99="KXDDM"),"",BOM!F99)</f>
        <v/>
      </c>
      <c r="H99" s="39" t="str">
        <f>IF(OR(B99="",E99&lt;&gt;""),"",IFERROR(INDEX(KT_nguoc_theo_NL!$J$5:$J$304,MATCH(C99,KT_nguoc_theo_NL!$B$5:$B$304,0))/INDEX(KT_nguoc_theo_NL!$K$5:$K$304,MATCH(C99,KT_nguoc_theo_NL!$B$5:$B$304,0)),""))</f>
        <v/>
      </c>
      <c r="I99" s="39" t="str">
        <f t="shared" si="6"/>
        <v/>
      </c>
      <c r="J99" s="46" t="str">
        <f t="shared" si="7"/>
        <v/>
      </c>
      <c r="K99" s="46" t="str">
        <f t="shared" si="8"/>
        <v/>
      </c>
      <c r="L99" s="46" t="str">
        <f t="shared" si="9"/>
        <v/>
      </c>
      <c r="M99" s="35" t="str">
        <f>IF(B99="","",IF(E99="KXDDM","KXDDM – không ĐM",IF(E99&lt;&gt;"","Không KT ("&amp;E99&amp;")",IF(OR(K99="",L99=""),"Xem xét",IF(MAX(ABS(K99),ABS(L99))&lt;=ThongTin!$C$12,"OK","Xem xét")))))</f>
        <v/>
      </c>
    </row>
    <row r="100" spans="1:13" x14ac:dyDescent="0.25">
      <c r="A100" s="35" t="str">
        <f t="shared" si="5"/>
        <v/>
      </c>
      <c r="B100" s="35" t="str">
        <f>IF(BOM!A100="","",BOM!A100)</f>
        <v/>
      </c>
      <c r="C100" s="35" t="str">
        <f>IF(B100="","",BOM!B100)</f>
        <v/>
      </c>
      <c r="D100" s="35" t="str">
        <f>IF(B100="","",KT_DMTT_ChiTiet!E100)</f>
        <v/>
      </c>
      <c r="E100" s="36" t="str">
        <f>IF(B100="","",BOM!G100&amp;"")</f>
        <v/>
      </c>
      <c r="F100" s="39" t="str">
        <f>IF(B100="","",BOM!E100)</f>
        <v/>
      </c>
      <c r="G100" s="39" t="str">
        <f>IF(OR(B100="",E100="KXDDM"),"",BOM!F100)</f>
        <v/>
      </c>
      <c r="H100" s="39" t="str">
        <f>IF(OR(B100="",E100&lt;&gt;""),"",IFERROR(INDEX(KT_nguoc_theo_NL!$J$5:$J$304,MATCH(C100,KT_nguoc_theo_NL!$B$5:$B$304,0))/INDEX(KT_nguoc_theo_NL!$K$5:$K$304,MATCH(C100,KT_nguoc_theo_NL!$B$5:$B$304,0)),""))</f>
        <v/>
      </c>
      <c r="I100" s="39" t="str">
        <f t="shared" si="6"/>
        <v/>
      </c>
      <c r="J100" s="46" t="str">
        <f t="shared" si="7"/>
        <v/>
      </c>
      <c r="K100" s="46" t="str">
        <f t="shared" si="8"/>
        <v/>
      </c>
      <c r="L100" s="46" t="str">
        <f t="shared" si="9"/>
        <v/>
      </c>
      <c r="M100" s="35" t="str">
        <f>IF(B100="","",IF(E100="KXDDM","KXDDM – không ĐM",IF(E100&lt;&gt;"","Không KT ("&amp;E100&amp;")",IF(OR(K100="",L100=""),"Xem xét",IF(MAX(ABS(K100),ABS(L100))&lt;=ThongTin!$C$12,"OK","Xem xét")))))</f>
        <v/>
      </c>
    </row>
    <row r="101" spans="1:13" x14ac:dyDescent="0.25">
      <c r="A101" s="35" t="str">
        <f t="shared" si="5"/>
        <v/>
      </c>
      <c r="B101" s="35" t="str">
        <f>IF(BOM!A101="","",BOM!A101)</f>
        <v/>
      </c>
      <c r="C101" s="35" t="str">
        <f>IF(B101="","",BOM!B101)</f>
        <v/>
      </c>
      <c r="D101" s="35" t="str">
        <f>IF(B101="","",KT_DMTT_ChiTiet!E101)</f>
        <v/>
      </c>
      <c r="E101" s="36" t="str">
        <f>IF(B101="","",BOM!G101&amp;"")</f>
        <v/>
      </c>
      <c r="F101" s="39" t="str">
        <f>IF(B101="","",BOM!E101)</f>
        <v/>
      </c>
      <c r="G101" s="39" t="str">
        <f>IF(OR(B101="",E101="KXDDM"),"",BOM!F101)</f>
        <v/>
      </c>
      <c r="H101" s="39" t="str">
        <f>IF(OR(B101="",E101&lt;&gt;""),"",IFERROR(INDEX(KT_nguoc_theo_NL!$J$5:$J$304,MATCH(C101,KT_nguoc_theo_NL!$B$5:$B$304,0))/INDEX(KT_nguoc_theo_NL!$K$5:$K$304,MATCH(C101,KT_nguoc_theo_NL!$B$5:$B$304,0)),""))</f>
        <v/>
      </c>
      <c r="I101" s="39" t="str">
        <f t="shared" si="6"/>
        <v/>
      </c>
      <c r="J101" s="46" t="str">
        <f t="shared" si="7"/>
        <v/>
      </c>
      <c r="K101" s="46" t="str">
        <f t="shared" si="8"/>
        <v/>
      </c>
      <c r="L101" s="46" t="str">
        <f t="shared" si="9"/>
        <v/>
      </c>
      <c r="M101" s="35" t="str">
        <f>IF(B101="","",IF(E101="KXDDM","KXDDM – không ĐM",IF(E101&lt;&gt;"","Không KT ("&amp;E101&amp;")",IF(OR(K101="",L101=""),"Xem xét",IF(MAX(ABS(K101),ABS(L101))&lt;=ThongTin!$C$12,"OK","Xem xét")))))</f>
        <v/>
      </c>
    </row>
    <row r="102" spans="1:13" x14ac:dyDescent="0.25">
      <c r="A102" s="35" t="str">
        <f t="shared" si="5"/>
        <v/>
      </c>
      <c r="B102" s="35" t="str">
        <f>IF(BOM!A102="","",BOM!A102)</f>
        <v/>
      </c>
      <c r="C102" s="35" t="str">
        <f>IF(B102="","",BOM!B102)</f>
        <v/>
      </c>
      <c r="D102" s="35" t="str">
        <f>IF(B102="","",KT_DMTT_ChiTiet!E102)</f>
        <v/>
      </c>
      <c r="E102" s="36" t="str">
        <f>IF(B102="","",BOM!G102&amp;"")</f>
        <v/>
      </c>
      <c r="F102" s="39" t="str">
        <f>IF(B102="","",BOM!E102)</f>
        <v/>
      </c>
      <c r="G102" s="39" t="str">
        <f>IF(OR(B102="",E102="KXDDM"),"",BOM!F102)</f>
        <v/>
      </c>
      <c r="H102" s="39" t="str">
        <f>IF(OR(B102="",E102&lt;&gt;""),"",IFERROR(INDEX(KT_nguoc_theo_NL!$J$5:$J$304,MATCH(C102,KT_nguoc_theo_NL!$B$5:$B$304,0))/INDEX(KT_nguoc_theo_NL!$K$5:$K$304,MATCH(C102,KT_nguoc_theo_NL!$B$5:$B$304,0)),""))</f>
        <v/>
      </c>
      <c r="I102" s="39" t="str">
        <f t="shared" si="6"/>
        <v/>
      </c>
      <c r="J102" s="46" t="str">
        <f t="shared" si="7"/>
        <v/>
      </c>
      <c r="K102" s="46" t="str">
        <f t="shared" si="8"/>
        <v/>
      </c>
      <c r="L102" s="46" t="str">
        <f t="shared" si="9"/>
        <v/>
      </c>
      <c r="M102" s="35" t="str">
        <f>IF(B102="","",IF(E102="KXDDM","KXDDM – không ĐM",IF(E102&lt;&gt;"","Không KT ("&amp;E102&amp;")",IF(OR(K102="",L102=""),"Xem xét",IF(MAX(ABS(K102),ABS(L102))&lt;=ThongTin!$C$12,"OK","Xem xét")))))</f>
        <v/>
      </c>
    </row>
    <row r="103" spans="1:13" x14ac:dyDescent="0.25">
      <c r="A103" s="35" t="str">
        <f t="shared" si="5"/>
        <v/>
      </c>
      <c r="B103" s="35" t="str">
        <f>IF(BOM!A103="","",BOM!A103)</f>
        <v/>
      </c>
      <c r="C103" s="35" t="str">
        <f>IF(B103="","",BOM!B103)</f>
        <v/>
      </c>
      <c r="D103" s="35" t="str">
        <f>IF(B103="","",KT_DMTT_ChiTiet!E103)</f>
        <v/>
      </c>
      <c r="E103" s="36" t="str">
        <f>IF(B103="","",BOM!G103&amp;"")</f>
        <v/>
      </c>
      <c r="F103" s="39" t="str">
        <f>IF(B103="","",BOM!E103)</f>
        <v/>
      </c>
      <c r="G103" s="39" t="str">
        <f>IF(OR(B103="",E103="KXDDM"),"",BOM!F103)</f>
        <v/>
      </c>
      <c r="H103" s="39" t="str">
        <f>IF(OR(B103="",E103&lt;&gt;""),"",IFERROR(INDEX(KT_nguoc_theo_NL!$J$5:$J$304,MATCH(C103,KT_nguoc_theo_NL!$B$5:$B$304,0))/INDEX(KT_nguoc_theo_NL!$K$5:$K$304,MATCH(C103,KT_nguoc_theo_NL!$B$5:$B$304,0)),""))</f>
        <v/>
      </c>
      <c r="I103" s="39" t="str">
        <f t="shared" si="6"/>
        <v/>
      </c>
      <c r="J103" s="46" t="str">
        <f t="shared" si="7"/>
        <v/>
      </c>
      <c r="K103" s="46" t="str">
        <f t="shared" si="8"/>
        <v/>
      </c>
      <c r="L103" s="46" t="str">
        <f t="shared" si="9"/>
        <v/>
      </c>
      <c r="M103" s="35" t="str">
        <f>IF(B103="","",IF(E103="KXDDM","KXDDM – không ĐM",IF(E103&lt;&gt;"","Không KT ("&amp;E103&amp;")",IF(OR(K103="",L103=""),"Xem xét",IF(MAX(ABS(K103),ABS(L103))&lt;=ThongTin!$C$12,"OK","Xem xét")))))</f>
        <v/>
      </c>
    </row>
    <row r="104" spans="1:13" x14ac:dyDescent="0.25">
      <c r="A104" s="35" t="str">
        <f t="shared" si="5"/>
        <v/>
      </c>
      <c r="B104" s="35" t="str">
        <f>IF(BOM!A104="","",BOM!A104)</f>
        <v/>
      </c>
      <c r="C104" s="35" t="str">
        <f>IF(B104="","",BOM!B104)</f>
        <v/>
      </c>
      <c r="D104" s="35" t="str">
        <f>IF(B104="","",KT_DMTT_ChiTiet!E104)</f>
        <v/>
      </c>
      <c r="E104" s="36" t="str">
        <f>IF(B104="","",BOM!G104&amp;"")</f>
        <v/>
      </c>
      <c r="F104" s="39" t="str">
        <f>IF(B104="","",BOM!E104)</f>
        <v/>
      </c>
      <c r="G104" s="39" t="str">
        <f>IF(OR(B104="",E104="KXDDM"),"",BOM!F104)</f>
        <v/>
      </c>
      <c r="H104" s="39" t="str">
        <f>IF(OR(B104="",E104&lt;&gt;""),"",IFERROR(INDEX(KT_nguoc_theo_NL!$J$5:$J$304,MATCH(C104,KT_nguoc_theo_NL!$B$5:$B$304,0))/INDEX(KT_nguoc_theo_NL!$K$5:$K$304,MATCH(C104,KT_nguoc_theo_NL!$B$5:$B$304,0)),""))</f>
        <v/>
      </c>
      <c r="I104" s="39" t="str">
        <f t="shared" si="6"/>
        <v/>
      </c>
      <c r="J104" s="46" t="str">
        <f t="shared" si="7"/>
        <v/>
      </c>
      <c r="K104" s="46" t="str">
        <f t="shared" si="8"/>
        <v/>
      </c>
      <c r="L104" s="46" t="str">
        <f t="shared" si="9"/>
        <v/>
      </c>
      <c r="M104" s="35" t="str">
        <f>IF(B104="","",IF(E104="KXDDM","KXDDM – không ĐM",IF(E104&lt;&gt;"","Không KT ("&amp;E104&amp;")",IF(OR(K104="",L104=""),"Xem xét",IF(MAX(ABS(K104),ABS(L104))&lt;=ThongTin!$C$12,"OK","Xem xét")))))</f>
        <v/>
      </c>
    </row>
    <row r="105" spans="1:13" x14ac:dyDescent="0.25">
      <c r="A105" s="35" t="str">
        <f t="shared" si="5"/>
        <v/>
      </c>
      <c r="B105" s="35" t="str">
        <f>IF(BOM!A105="","",BOM!A105)</f>
        <v/>
      </c>
      <c r="C105" s="35" t="str">
        <f>IF(B105="","",BOM!B105)</f>
        <v/>
      </c>
      <c r="D105" s="35" t="str">
        <f>IF(B105="","",KT_DMTT_ChiTiet!E105)</f>
        <v/>
      </c>
      <c r="E105" s="36" t="str">
        <f>IF(B105="","",BOM!G105&amp;"")</f>
        <v/>
      </c>
      <c r="F105" s="39" t="str">
        <f>IF(B105="","",BOM!E105)</f>
        <v/>
      </c>
      <c r="G105" s="39" t="str">
        <f>IF(OR(B105="",E105="KXDDM"),"",BOM!F105)</f>
        <v/>
      </c>
      <c r="H105" s="39" t="str">
        <f>IF(OR(B105="",E105&lt;&gt;""),"",IFERROR(INDEX(KT_nguoc_theo_NL!$J$5:$J$304,MATCH(C105,KT_nguoc_theo_NL!$B$5:$B$304,0))/INDEX(KT_nguoc_theo_NL!$K$5:$K$304,MATCH(C105,KT_nguoc_theo_NL!$B$5:$B$304,0)),""))</f>
        <v/>
      </c>
      <c r="I105" s="39" t="str">
        <f t="shared" si="6"/>
        <v/>
      </c>
      <c r="J105" s="46" t="str">
        <f t="shared" si="7"/>
        <v/>
      </c>
      <c r="K105" s="46" t="str">
        <f t="shared" si="8"/>
        <v/>
      </c>
      <c r="L105" s="46" t="str">
        <f t="shared" si="9"/>
        <v/>
      </c>
      <c r="M105" s="35" t="str">
        <f>IF(B105="","",IF(E105="KXDDM","KXDDM – không ĐM",IF(E105&lt;&gt;"","Không KT ("&amp;E105&amp;")",IF(OR(K105="",L105=""),"Xem xét",IF(MAX(ABS(K105),ABS(L105))&lt;=ThongTin!$C$12,"OK","Xem xét")))))</f>
        <v/>
      </c>
    </row>
    <row r="106" spans="1:13" x14ac:dyDescent="0.25">
      <c r="A106" s="35" t="str">
        <f t="shared" si="5"/>
        <v/>
      </c>
      <c r="B106" s="35" t="str">
        <f>IF(BOM!A106="","",BOM!A106)</f>
        <v/>
      </c>
      <c r="C106" s="35" t="str">
        <f>IF(B106="","",BOM!B106)</f>
        <v/>
      </c>
      <c r="D106" s="35" t="str">
        <f>IF(B106="","",KT_DMTT_ChiTiet!E106)</f>
        <v/>
      </c>
      <c r="E106" s="36" t="str">
        <f>IF(B106="","",BOM!G106&amp;"")</f>
        <v/>
      </c>
      <c r="F106" s="39" t="str">
        <f>IF(B106="","",BOM!E106)</f>
        <v/>
      </c>
      <c r="G106" s="39" t="str">
        <f>IF(OR(B106="",E106="KXDDM"),"",BOM!F106)</f>
        <v/>
      </c>
      <c r="H106" s="39" t="str">
        <f>IF(OR(B106="",E106&lt;&gt;""),"",IFERROR(INDEX(KT_nguoc_theo_NL!$J$5:$J$304,MATCH(C106,KT_nguoc_theo_NL!$B$5:$B$304,0))/INDEX(KT_nguoc_theo_NL!$K$5:$K$304,MATCH(C106,KT_nguoc_theo_NL!$B$5:$B$304,0)),""))</f>
        <v/>
      </c>
      <c r="I106" s="39" t="str">
        <f t="shared" si="6"/>
        <v/>
      </c>
      <c r="J106" s="46" t="str">
        <f t="shared" si="7"/>
        <v/>
      </c>
      <c r="K106" s="46" t="str">
        <f t="shared" si="8"/>
        <v/>
      </c>
      <c r="L106" s="46" t="str">
        <f t="shared" si="9"/>
        <v/>
      </c>
      <c r="M106" s="35" t="str">
        <f>IF(B106="","",IF(E106="KXDDM","KXDDM – không ĐM",IF(E106&lt;&gt;"","Không KT ("&amp;E106&amp;")",IF(OR(K106="",L106=""),"Xem xét",IF(MAX(ABS(K106),ABS(L106))&lt;=ThongTin!$C$12,"OK","Xem xét")))))</f>
        <v/>
      </c>
    </row>
    <row r="107" spans="1:13" x14ac:dyDescent="0.25">
      <c r="A107" s="35" t="str">
        <f t="shared" si="5"/>
        <v/>
      </c>
      <c r="B107" s="35" t="str">
        <f>IF(BOM!A107="","",BOM!A107)</f>
        <v/>
      </c>
      <c r="C107" s="35" t="str">
        <f>IF(B107="","",BOM!B107)</f>
        <v/>
      </c>
      <c r="D107" s="35" t="str">
        <f>IF(B107="","",KT_DMTT_ChiTiet!E107)</f>
        <v/>
      </c>
      <c r="E107" s="36" t="str">
        <f>IF(B107="","",BOM!G107&amp;"")</f>
        <v/>
      </c>
      <c r="F107" s="39" t="str">
        <f>IF(B107="","",BOM!E107)</f>
        <v/>
      </c>
      <c r="G107" s="39" t="str">
        <f>IF(OR(B107="",E107="KXDDM"),"",BOM!F107)</f>
        <v/>
      </c>
      <c r="H107" s="39" t="str">
        <f>IF(OR(B107="",E107&lt;&gt;""),"",IFERROR(INDEX(KT_nguoc_theo_NL!$J$5:$J$304,MATCH(C107,KT_nguoc_theo_NL!$B$5:$B$304,0))/INDEX(KT_nguoc_theo_NL!$K$5:$K$304,MATCH(C107,KT_nguoc_theo_NL!$B$5:$B$304,0)),""))</f>
        <v/>
      </c>
      <c r="I107" s="39" t="str">
        <f t="shared" si="6"/>
        <v/>
      </c>
      <c r="J107" s="46" t="str">
        <f t="shared" si="7"/>
        <v/>
      </c>
      <c r="K107" s="46" t="str">
        <f t="shared" si="8"/>
        <v/>
      </c>
      <c r="L107" s="46" t="str">
        <f t="shared" si="9"/>
        <v/>
      </c>
      <c r="M107" s="35" t="str">
        <f>IF(B107="","",IF(E107="KXDDM","KXDDM – không ĐM",IF(E107&lt;&gt;"","Không KT ("&amp;E107&amp;")",IF(OR(K107="",L107=""),"Xem xét",IF(MAX(ABS(K107),ABS(L107))&lt;=ThongTin!$C$12,"OK","Xem xét")))))</f>
        <v/>
      </c>
    </row>
    <row r="108" spans="1:13" x14ac:dyDescent="0.25">
      <c r="A108" s="35" t="str">
        <f t="shared" si="5"/>
        <v/>
      </c>
      <c r="B108" s="35" t="str">
        <f>IF(BOM!A108="","",BOM!A108)</f>
        <v/>
      </c>
      <c r="C108" s="35" t="str">
        <f>IF(B108="","",BOM!B108)</f>
        <v/>
      </c>
      <c r="D108" s="35" t="str">
        <f>IF(B108="","",KT_DMTT_ChiTiet!E108)</f>
        <v/>
      </c>
      <c r="E108" s="36" t="str">
        <f>IF(B108="","",BOM!G108&amp;"")</f>
        <v/>
      </c>
      <c r="F108" s="39" t="str">
        <f>IF(B108="","",BOM!E108)</f>
        <v/>
      </c>
      <c r="G108" s="39" t="str">
        <f>IF(OR(B108="",E108="KXDDM"),"",BOM!F108)</f>
        <v/>
      </c>
      <c r="H108" s="39" t="str">
        <f>IF(OR(B108="",E108&lt;&gt;""),"",IFERROR(INDEX(KT_nguoc_theo_NL!$J$5:$J$304,MATCH(C108,KT_nguoc_theo_NL!$B$5:$B$304,0))/INDEX(KT_nguoc_theo_NL!$K$5:$K$304,MATCH(C108,KT_nguoc_theo_NL!$B$5:$B$304,0)),""))</f>
        <v/>
      </c>
      <c r="I108" s="39" t="str">
        <f t="shared" si="6"/>
        <v/>
      </c>
      <c r="J108" s="46" t="str">
        <f t="shared" si="7"/>
        <v/>
      </c>
      <c r="K108" s="46" t="str">
        <f t="shared" si="8"/>
        <v/>
      </c>
      <c r="L108" s="46" t="str">
        <f t="shared" si="9"/>
        <v/>
      </c>
      <c r="M108" s="35" t="str">
        <f>IF(B108="","",IF(E108="KXDDM","KXDDM – không ĐM",IF(E108&lt;&gt;"","Không KT ("&amp;E108&amp;")",IF(OR(K108="",L108=""),"Xem xét",IF(MAX(ABS(K108),ABS(L108))&lt;=ThongTin!$C$12,"OK","Xem xét")))))</f>
        <v/>
      </c>
    </row>
    <row r="109" spans="1:13" x14ac:dyDescent="0.25">
      <c r="A109" s="35" t="str">
        <f t="shared" si="5"/>
        <v/>
      </c>
      <c r="B109" s="35" t="str">
        <f>IF(BOM!A109="","",BOM!A109)</f>
        <v/>
      </c>
      <c r="C109" s="35" t="str">
        <f>IF(B109="","",BOM!B109)</f>
        <v/>
      </c>
      <c r="D109" s="35" t="str">
        <f>IF(B109="","",KT_DMTT_ChiTiet!E109)</f>
        <v/>
      </c>
      <c r="E109" s="36" t="str">
        <f>IF(B109="","",BOM!G109&amp;"")</f>
        <v/>
      </c>
      <c r="F109" s="39" t="str">
        <f>IF(B109="","",BOM!E109)</f>
        <v/>
      </c>
      <c r="G109" s="39" t="str">
        <f>IF(OR(B109="",E109="KXDDM"),"",BOM!F109)</f>
        <v/>
      </c>
      <c r="H109" s="39" t="str">
        <f>IF(OR(B109="",E109&lt;&gt;""),"",IFERROR(INDEX(KT_nguoc_theo_NL!$J$5:$J$304,MATCH(C109,KT_nguoc_theo_NL!$B$5:$B$304,0))/INDEX(KT_nguoc_theo_NL!$K$5:$K$304,MATCH(C109,KT_nguoc_theo_NL!$B$5:$B$304,0)),""))</f>
        <v/>
      </c>
      <c r="I109" s="39" t="str">
        <f t="shared" si="6"/>
        <v/>
      </c>
      <c r="J109" s="46" t="str">
        <f t="shared" si="7"/>
        <v/>
      </c>
      <c r="K109" s="46" t="str">
        <f t="shared" si="8"/>
        <v/>
      </c>
      <c r="L109" s="46" t="str">
        <f t="shared" si="9"/>
        <v/>
      </c>
      <c r="M109" s="35" t="str">
        <f>IF(B109="","",IF(E109="KXDDM","KXDDM – không ĐM",IF(E109&lt;&gt;"","Không KT ("&amp;E109&amp;")",IF(OR(K109="",L109=""),"Xem xét",IF(MAX(ABS(K109),ABS(L109))&lt;=ThongTin!$C$12,"OK","Xem xét")))))</f>
        <v/>
      </c>
    </row>
    <row r="110" spans="1:13" x14ac:dyDescent="0.25">
      <c r="A110" s="35" t="str">
        <f t="shared" si="5"/>
        <v/>
      </c>
      <c r="B110" s="35" t="str">
        <f>IF(BOM!A110="","",BOM!A110)</f>
        <v/>
      </c>
      <c r="C110" s="35" t="str">
        <f>IF(B110="","",BOM!B110)</f>
        <v/>
      </c>
      <c r="D110" s="35" t="str">
        <f>IF(B110="","",KT_DMTT_ChiTiet!E110)</f>
        <v/>
      </c>
      <c r="E110" s="36" t="str">
        <f>IF(B110="","",BOM!G110&amp;"")</f>
        <v/>
      </c>
      <c r="F110" s="39" t="str">
        <f>IF(B110="","",BOM!E110)</f>
        <v/>
      </c>
      <c r="G110" s="39" t="str">
        <f>IF(OR(B110="",E110="KXDDM"),"",BOM!F110)</f>
        <v/>
      </c>
      <c r="H110" s="39" t="str">
        <f>IF(OR(B110="",E110&lt;&gt;""),"",IFERROR(INDEX(KT_nguoc_theo_NL!$J$5:$J$304,MATCH(C110,KT_nguoc_theo_NL!$B$5:$B$304,0))/INDEX(KT_nguoc_theo_NL!$K$5:$K$304,MATCH(C110,KT_nguoc_theo_NL!$B$5:$B$304,0)),""))</f>
        <v/>
      </c>
      <c r="I110" s="39" t="str">
        <f t="shared" si="6"/>
        <v/>
      </c>
      <c r="J110" s="46" t="str">
        <f t="shared" si="7"/>
        <v/>
      </c>
      <c r="K110" s="46" t="str">
        <f t="shared" si="8"/>
        <v/>
      </c>
      <c r="L110" s="46" t="str">
        <f t="shared" si="9"/>
        <v/>
      </c>
      <c r="M110" s="35" t="str">
        <f>IF(B110="","",IF(E110="KXDDM","KXDDM – không ĐM",IF(E110&lt;&gt;"","Không KT ("&amp;E110&amp;")",IF(OR(K110="",L110=""),"Xem xét",IF(MAX(ABS(K110),ABS(L110))&lt;=ThongTin!$C$12,"OK","Xem xét")))))</f>
        <v/>
      </c>
    </row>
    <row r="111" spans="1:13" x14ac:dyDescent="0.25">
      <c r="A111" s="35" t="str">
        <f t="shared" si="5"/>
        <v/>
      </c>
      <c r="B111" s="35" t="str">
        <f>IF(BOM!A111="","",BOM!A111)</f>
        <v/>
      </c>
      <c r="C111" s="35" t="str">
        <f>IF(B111="","",BOM!B111)</f>
        <v/>
      </c>
      <c r="D111" s="35" t="str">
        <f>IF(B111="","",KT_DMTT_ChiTiet!E111)</f>
        <v/>
      </c>
      <c r="E111" s="36" t="str">
        <f>IF(B111="","",BOM!G111&amp;"")</f>
        <v/>
      </c>
      <c r="F111" s="39" t="str">
        <f>IF(B111="","",BOM!E111)</f>
        <v/>
      </c>
      <c r="G111" s="39" t="str">
        <f>IF(OR(B111="",E111="KXDDM"),"",BOM!F111)</f>
        <v/>
      </c>
      <c r="H111" s="39" t="str">
        <f>IF(OR(B111="",E111&lt;&gt;""),"",IFERROR(INDEX(KT_nguoc_theo_NL!$J$5:$J$304,MATCH(C111,KT_nguoc_theo_NL!$B$5:$B$304,0))/INDEX(KT_nguoc_theo_NL!$K$5:$K$304,MATCH(C111,KT_nguoc_theo_NL!$B$5:$B$304,0)),""))</f>
        <v/>
      </c>
      <c r="I111" s="39" t="str">
        <f t="shared" si="6"/>
        <v/>
      </c>
      <c r="J111" s="46" t="str">
        <f t="shared" si="7"/>
        <v/>
      </c>
      <c r="K111" s="46" t="str">
        <f t="shared" si="8"/>
        <v/>
      </c>
      <c r="L111" s="46" t="str">
        <f t="shared" si="9"/>
        <v/>
      </c>
      <c r="M111" s="35" t="str">
        <f>IF(B111="","",IF(E111="KXDDM","KXDDM – không ĐM",IF(E111&lt;&gt;"","Không KT ("&amp;E111&amp;")",IF(OR(K111="",L111=""),"Xem xét",IF(MAX(ABS(K111),ABS(L111))&lt;=ThongTin!$C$12,"OK","Xem xét")))))</f>
        <v/>
      </c>
    </row>
    <row r="112" spans="1:13" x14ac:dyDescent="0.25">
      <c r="A112" s="35" t="str">
        <f t="shared" si="5"/>
        <v/>
      </c>
      <c r="B112" s="35" t="str">
        <f>IF(BOM!A112="","",BOM!A112)</f>
        <v/>
      </c>
      <c r="C112" s="35" t="str">
        <f>IF(B112="","",BOM!B112)</f>
        <v/>
      </c>
      <c r="D112" s="35" t="str">
        <f>IF(B112="","",KT_DMTT_ChiTiet!E112)</f>
        <v/>
      </c>
      <c r="E112" s="36" t="str">
        <f>IF(B112="","",BOM!G112&amp;"")</f>
        <v/>
      </c>
      <c r="F112" s="39" t="str">
        <f>IF(B112="","",BOM!E112)</f>
        <v/>
      </c>
      <c r="G112" s="39" t="str">
        <f>IF(OR(B112="",E112="KXDDM"),"",BOM!F112)</f>
        <v/>
      </c>
      <c r="H112" s="39" t="str">
        <f>IF(OR(B112="",E112&lt;&gt;""),"",IFERROR(INDEX(KT_nguoc_theo_NL!$J$5:$J$304,MATCH(C112,KT_nguoc_theo_NL!$B$5:$B$304,0))/INDEX(KT_nguoc_theo_NL!$K$5:$K$304,MATCH(C112,KT_nguoc_theo_NL!$B$5:$B$304,0)),""))</f>
        <v/>
      </c>
      <c r="I112" s="39" t="str">
        <f t="shared" si="6"/>
        <v/>
      </c>
      <c r="J112" s="46" t="str">
        <f t="shared" si="7"/>
        <v/>
      </c>
      <c r="K112" s="46" t="str">
        <f t="shared" si="8"/>
        <v/>
      </c>
      <c r="L112" s="46" t="str">
        <f t="shared" si="9"/>
        <v/>
      </c>
      <c r="M112" s="35" t="str">
        <f>IF(B112="","",IF(E112="KXDDM","KXDDM – không ĐM",IF(E112&lt;&gt;"","Không KT ("&amp;E112&amp;")",IF(OR(K112="",L112=""),"Xem xét",IF(MAX(ABS(K112),ABS(L112))&lt;=ThongTin!$C$12,"OK","Xem xét")))))</f>
        <v/>
      </c>
    </row>
    <row r="113" spans="1:13" x14ac:dyDescent="0.25">
      <c r="A113" s="35" t="str">
        <f t="shared" si="5"/>
        <v/>
      </c>
      <c r="B113" s="35" t="str">
        <f>IF(BOM!A113="","",BOM!A113)</f>
        <v/>
      </c>
      <c r="C113" s="35" t="str">
        <f>IF(B113="","",BOM!B113)</f>
        <v/>
      </c>
      <c r="D113" s="35" t="str">
        <f>IF(B113="","",KT_DMTT_ChiTiet!E113)</f>
        <v/>
      </c>
      <c r="E113" s="36" t="str">
        <f>IF(B113="","",BOM!G113&amp;"")</f>
        <v/>
      </c>
      <c r="F113" s="39" t="str">
        <f>IF(B113="","",BOM!E113)</f>
        <v/>
      </c>
      <c r="G113" s="39" t="str">
        <f>IF(OR(B113="",E113="KXDDM"),"",BOM!F113)</f>
        <v/>
      </c>
      <c r="H113" s="39" t="str">
        <f>IF(OR(B113="",E113&lt;&gt;""),"",IFERROR(INDEX(KT_nguoc_theo_NL!$J$5:$J$304,MATCH(C113,KT_nguoc_theo_NL!$B$5:$B$304,0))/INDEX(KT_nguoc_theo_NL!$K$5:$K$304,MATCH(C113,KT_nguoc_theo_NL!$B$5:$B$304,0)),""))</f>
        <v/>
      </c>
      <c r="I113" s="39" t="str">
        <f t="shared" si="6"/>
        <v/>
      </c>
      <c r="J113" s="46" t="str">
        <f t="shared" si="7"/>
        <v/>
      </c>
      <c r="K113" s="46" t="str">
        <f t="shared" si="8"/>
        <v/>
      </c>
      <c r="L113" s="46" t="str">
        <f t="shared" si="9"/>
        <v/>
      </c>
      <c r="M113" s="35" t="str">
        <f>IF(B113="","",IF(E113="KXDDM","KXDDM – không ĐM",IF(E113&lt;&gt;"","Không KT ("&amp;E113&amp;")",IF(OR(K113="",L113=""),"Xem xét",IF(MAX(ABS(K113),ABS(L113))&lt;=ThongTin!$C$12,"OK","Xem xét")))))</f>
        <v/>
      </c>
    </row>
    <row r="114" spans="1:13" x14ac:dyDescent="0.25">
      <c r="A114" s="35" t="str">
        <f t="shared" si="5"/>
        <v/>
      </c>
      <c r="B114" s="35" t="str">
        <f>IF(BOM!A114="","",BOM!A114)</f>
        <v/>
      </c>
      <c r="C114" s="35" t="str">
        <f>IF(B114="","",BOM!B114)</f>
        <v/>
      </c>
      <c r="D114" s="35" t="str">
        <f>IF(B114="","",KT_DMTT_ChiTiet!E114)</f>
        <v/>
      </c>
      <c r="E114" s="36" t="str">
        <f>IF(B114="","",BOM!G114&amp;"")</f>
        <v/>
      </c>
      <c r="F114" s="39" t="str">
        <f>IF(B114="","",BOM!E114)</f>
        <v/>
      </c>
      <c r="G114" s="39" t="str">
        <f>IF(OR(B114="",E114="KXDDM"),"",BOM!F114)</f>
        <v/>
      </c>
      <c r="H114" s="39" t="str">
        <f>IF(OR(B114="",E114&lt;&gt;""),"",IFERROR(INDEX(KT_nguoc_theo_NL!$J$5:$J$304,MATCH(C114,KT_nguoc_theo_NL!$B$5:$B$304,0))/INDEX(KT_nguoc_theo_NL!$K$5:$K$304,MATCH(C114,KT_nguoc_theo_NL!$B$5:$B$304,0)),""))</f>
        <v/>
      </c>
      <c r="I114" s="39" t="str">
        <f t="shared" si="6"/>
        <v/>
      </c>
      <c r="J114" s="46" t="str">
        <f t="shared" si="7"/>
        <v/>
      </c>
      <c r="K114" s="46" t="str">
        <f t="shared" si="8"/>
        <v/>
      </c>
      <c r="L114" s="46" t="str">
        <f t="shared" si="9"/>
        <v/>
      </c>
      <c r="M114" s="35" t="str">
        <f>IF(B114="","",IF(E114="KXDDM","KXDDM – không ĐM",IF(E114&lt;&gt;"","Không KT ("&amp;E114&amp;")",IF(OR(K114="",L114=""),"Xem xét",IF(MAX(ABS(K114),ABS(L114))&lt;=ThongTin!$C$12,"OK","Xem xét")))))</f>
        <v/>
      </c>
    </row>
    <row r="115" spans="1:13" x14ac:dyDescent="0.25">
      <c r="A115" s="35" t="str">
        <f t="shared" si="5"/>
        <v/>
      </c>
      <c r="B115" s="35" t="str">
        <f>IF(BOM!A115="","",BOM!A115)</f>
        <v/>
      </c>
      <c r="C115" s="35" t="str">
        <f>IF(B115="","",BOM!B115)</f>
        <v/>
      </c>
      <c r="D115" s="35" t="str">
        <f>IF(B115="","",KT_DMTT_ChiTiet!E115)</f>
        <v/>
      </c>
      <c r="E115" s="36" t="str">
        <f>IF(B115="","",BOM!G115&amp;"")</f>
        <v/>
      </c>
      <c r="F115" s="39" t="str">
        <f>IF(B115="","",BOM!E115)</f>
        <v/>
      </c>
      <c r="G115" s="39" t="str">
        <f>IF(OR(B115="",E115="KXDDM"),"",BOM!F115)</f>
        <v/>
      </c>
      <c r="H115" s="39" t="str">
        <f>IF(OR(B115="",E115&lt;&gt;""),"",IFERROR(INDEX(KT_nguoc_theo_NL!$J$5:$J$304,MATCH(C115,KT_nguoc_theo_NL!$B$5:$B$304,0))/INDEX(KT_nguoc_theo_NL!$K$5:$K$304,MATCH(C115,KT_nguoc_theo_NL!$B$5:$B$304,0)),""))</f>
        <v/>
      </c>
      <c r="I115" s="39" t="str">
        <f t="shared" si="6"/>
        <v/>
      </c>
      <c r="J115" s="46" t="str">
        <f t="shared" si="7"/>
        <v/>
      </c>
      <c r="K115" s="46" t="str">
        <f t="shared" si="8"/>
        <v/>
      </c>
      <c r="L115" s="46" t="str">
        <f t="shared" si="9"/>
        <v/>
      </c>
      <c r="M115" s="35" t="str">
        <f>IF(B115="","",IF(E115="KXDDM","KXDDM – không ĐM",IF(E115&lt;&gt;"","Không KT ("&amp;E115&amp;")",IF(OR(K115="",L115=""),"Xem xét",IF(MAX(ABS(K115),ABS(L115))&lt;=ThongTin!$C$12,"OK","Xem xét")))))</f>
        <v/>
      </c>
    </row>
    <row r="116" spans="1:13" x14ac:dyDescent="0.25">
      <c r="A116" s="35" t="str">
        <f t="shared" si="5"/>
        <v/>
      </c>
      <c r="B116" s="35" t="str">
        <f>IF(BOM!A116="","",BOM!A116)</f>
        <v/>
      </c>
      <c r="C116" s="35" t="str">
        <f>IF(B116="","",BOM!B116)</f>
        <v/>
      </c>
      <c r="D116" s="35" t="str">
        <f>IF(B116="","",KT_DMTT_ChiTiet!E116)</f>
        <v/>
      </c>
      <c r="E116" s="36" t="str">
        <f>IF(B116="","",BOM!G116&amp;"")</f>
        <v/>
      </c>
      <c r="F116" s="39" t="str">
        <f>IF(B116="","",BOM!E116)</f>
        <v/>
      </c>
      <c r="G116" s="39" t="str">
        <f>IF(OR(B116="",E116="KXDDM"),"",BOM!F116)</f>
        <v/>
      </c>
      <c r="H116" s="39" t="str">
        <f>IF(OR(B116="",E116&lt;&gt;""),"",IFERROR(INDEX(KT_nguoc_theo_NL!$J$5:$J$304,MATCH(C116,KT_nguoc_theo_NL!$B$5:$B$304,0))/INDEX(KT_nguoc_theo_NL!$K$5:$K$304,MATCH(C116,KT_nguoc_theo_NL!$B$5:$B$304,0)),""))</f>
        <v/>
      </c>
      <c r="I116" s="39" t="str">
        <f t="shared" si="6"/>
        <v/>
      </c>
      <c r="J116" s="46" t="str">
        <f t="shared" si="7"/>
        <v/>
      </c>
      <c r="K116" s="46" t="str">
        <f t="shared" si="8"/>
        <v/>
      </c>
      <c r="L116" s="46" t="str">
        <f t="shared" si="9"/>
        <v/>
      </c>
      <c r="M116" s="35" t="str">
        <f>IF(B116="","",IF(E116="KXDDM","KXDDM – không ĐM",IF(E116&lt;&gt;"","Không KT ("&amp;E116&amp;")",IF(OR(K116="",L116=""),"Xem xét",IF(MAX(ABS(K116),ABS(L116))&lt;=ThongTin!$C$12,"OK","Xem xét")))))</f>
        <v/>
      </c>
    </row>
    <row r="117" spans="1:13" x14ac:dyDescent="0.25">
      <c r="A117" s="35" t="str">
        <f t="shared" si="5"/>
        <v/>
      </c>
      <c r="B117" s="35" t="str">
        <f>IF(BOM!A117="","",BOM!A117)</f>
        <v/>
      </c>
      <c r="C117" s="35" t="str">
        <f>IF(B117="","",BOM!B117)</f>
        <v/>
      </c>
      <c r="D117" s="35" t="str">
        <f>IF(B117="","",KT_DMTT_ChiTiet!E117)</f>
        <v/>
      </c>
      <c r="E117" s="36" t="str">
        <f>IF(B117="","",BOM!G117&amp;"")</f>
        <v/>
      </c>
      <c r="F117" s="39" t="str">
        <f>IF(B117="","",BOM!E117)</f>
        <v/>
      </c>
      <c r="G117" s="39" t="str">
        <f>IF(OR(B117="",E117="KXDDM"),"",BOM!F117)</f>
        <v/>
      </c>
      <c r="H117" s="39" t="str">
        <f>IF(OR(B117="",E117&lt;&gt;""),"",IFERROR(INDEX(KT_nguoc_theo_NL!$J$5:$J$304,MATCH(C117,KT_nguoc_theo_NL!$B$5:$B$304,0))/INDEX(KT_nguoc_theo_NL!$K$5:$K$304,MATCH(C117,KT_nguoc_theo_NL!$B$5:$B$304,0)),""))</f>
        <v/>
      </c>
      <c r="I117" s="39" t="str">
        <f t="shared" si="6"/>
        <v/>
      </c>
      <c r="J117" s="46" t="str">
        <f t="shared" si="7"/>
        <v/>
      </c>
      <c r="K117" s="46" t="str">
        <f t="shared" si="8"/>
        <v/>
      </c>
      <c r="L117" s="46" t="str">
        <f t="shared" si="9"/>
        <v/>
      </c>
      <c r="M117" s="35" t="str">
        <f>IF(B117="","",IF(E117="KXDDM","KXDDM – không ĐM",IF(E117&lt;&gt;"","Không KT ("&amp;E117&amp;")",IF(OR(K117="",L117=""),"Xem xét",IF(MAX(ABS(K117),ABS(L117))&lt;=ThongTin!$C$12,"OK","Xem xét")))))</f>
        <v/>
      </c>
    </row>
    <row r="118" spans="1:13" x14ac:dyDescent="0.25">
      <c r="A118" s="35" t="str">
        <f t="shared" si="5"/>
        <v/>
      </c>
      <c r="B118" s="35" t="str">
        <f>IF(BOM!A118="","",BOM!A118)</f>
        <v/>
      </c>
      <c r="C118" s="35" t="str">
        <f>IF(B118="","",BOM!B118)</f>
        <v/>
      </c>
      <c r="D118" s="35" t="str">
        <f>IF(B118="","",KT_DMTT_ChiTiet!E118)</f>
        <v/>
      </c>
      <c r="E118" s="36" t="str">
        <f>IF(B118="","",BOM!G118&amp;"")</f>
        <v/>
      </c>
      <c r="F118" s="39" t="str">
        <f>IF(B118="","",BOM!E118)</f>
        <v/>
      </c>
      <c r="G118" s="39" t="str">
        <f>IF(OR(B118="",E118="KXDDM"),"",BOM!F118)</f>
        <v/>
      </c>
      <c r="H118" s="39" t="str">
        <f>IF(OR(B118="",E118&lt;&gt;""),"",IFERROR(INDEX(KT_nguoc_theo_NL!$J$5:$J$304,MATCH(C118,KT_nguoc_theo_NL!$B$5:$B$304,0))/INDEX(KT_nguoc_theo_NL!$K$5:$K$304,MATCH(C118,KT_nguoc_theo_NL!$B$5:$B$304,0)),""))</f>
        <v/>
      </c>
      <c r="I118" s="39" t="str">
        <f t="shared" si="6"/>
        <v/>
      </c>
      <c r="J118" s="46" t="str">
        <f t="shared" si="7"/>
        <v/>
      </c>
      <c r="K118" s="46" t="str">
        <f t="shared" si="8"/>
        <v/>
      </c>
      <c r="L118" s="46" t="str">
        <f t="shared" si="9"/>
        <v/>
      </c>
      <c r="M118" s="35" t="str">
        <f>IF(B118="","",IF(E118="KXDDM","KXDDM – không ĐM",IF(E118&lt;&gt;"","Không KT ("&amp;E118&amp;")",IF(OR(K118="",L118=""),"Xem xét",IF(MAX(ABS(K118),ABS(L118))&lt;=ThongTin!$C$12,"OK","Xem xét")))))</f>
        <v/>
      </c>
    </row>
    <row r="119" spans="1:13" x14ac:dyDescent="0.25">
      <c r="A119" s="35" t="str">
        <f t="shared" si="5"/>
        <v/>
      </c>
      <c r="B119" s="35" t="str">
        <f>IF(BOM!A119="","",BOM!A119)</f>
        <v/>
      </c>
      <c r="C119" s="35" t="str">
        <f>IF(B119="","",BOM!B119)</f>
        <v/>
      </c>
      <c r="D119" s="35" t="str">
        <f>IF(B119="","",KT_DMTT_ChiTiet!E119)</f>
        <v/>
      </c>
      <c r="E119" s="36" t="str">
        <f>IF(B119="","",BOM!G119&amp;"")</f>
        <v/>
      </c>
      <c r="F119" s="39" t="str">
        <f>IF(B119="","",BOM!E119)</f>
        <v/>
      </c>
      <c r="G119" s="39" t="str">
        <f>IF(OR(B119="",E119="KXDDM"),"",BOM!F119)</f>
        <v/>
      </c>
      <c r="H119" s="39" t="str">
        <f>IF(OR(B119="",E119&lt;&gt;""),"",IFERROR(INDEX(KT_nguoc_theo_NL!$J$5:$J$304,MATCH(C119,KT_nguoc_theo_NL!$B$5:$B$304,0))/INDEX(KT_nguoc_theo_NL!$K$5:$K$304,MATCH(C119,KT_nguoc_theo_NL!$B$5:$B$304,0)),""))</f>
        <v/>
      </c>
      <c r="I119" s="39" t="str">
        <f t="shared" si="6"/>
        <v/>
      </c>
      <c r="J119" s="46" t="str">
        <f t="shared" si="7"/>
        <v/>
      </c>
      <c r="K119" s="46" t="str">
        <f t="shared" si="8"/>
        <v/>
      </c>
      <c r="L119" s="46" t="str">
        <f t="shared" si="9"/>
        <v/>
      </c>
      <c r="M119" s="35" t="str">
        <f>IF(B119="","",IF(E119="KXDDM","KXDDM – không ĐM",IF(E119&lt;&gt;"","Không KT ("&amp;E119&amp;")",IF(OR(K119="",L119=""),"Xem xét",IF(MAX(ABS(K119),ABS(L119))&lt;=ThongTin!$C$12,"OK","Xem xét")))))</f>
        <v/>
      </c>
    </row>
    <row r="120" spans="1:13" x14ac:dyDescent="0.25">
      <c r="A120" s="35" t="str">
        <f t="shared" si="5"/>
        <v/>
      </c>
      <c r="B120" s="35" t="str">
        <f>IF(BOM!A120="","",BOM!A120)</f>
        <v/>
      </c>
      <c r="C120" s="35" t="str">
        <f>IF(B120="","",BOM!B120)</f>
        <v/>
      </c>
      <c r="D120" s="35" t="str">
        <f>IF(B120="","",KT_DMTT_ChiTiet!E120)</f>
        <v/>
      </c>
      <c r="E120" s="36" t="str">
        <f>IF(B120="","",BOM!G120&amp;"")</f>
        <v/>
      </c>
      <c r="F120" s="39" t="str">
        <f>IF(B120="","",BOM!E120)</f>
        <v/>
      </c>
      <c r="G120" s="39" t="str">
        <f>IF(OR(B120="",E120="KXDDM"),"",BOM!F120)</f>
        <v/>
      </c>
      <c r="H120" s="39" t="str">
        <f>IF(OR(B120="",E120&lt;&gt;""),"",IFERROR(INDEX(KT_nguoc_theo_NL!$J$5:$J$304,MATCH(C120,KT_nguoc_theo_NL!$B$5:$B$304,0))/INDEX(KT_nguoc_theo_NL!$K$5:$K$304,MATCH(C120,KT_nguoc_theo_NL!$B$5:$B$304,0)),""))</f>
        <v/>
      </c>
      <c r="I120" s="39" t="str">
        <f t="shared" si="6"/>
        <v/>
      </c>
      <c r="J120" s="46" t="str">
        <f t="shared" si="7"/>
        <v/>
      </c>
      <c r="K120" s="46" t="str">
        <f t="shared" si="8"/>
        <v/>
      </c>
      <c r="L120" s="46" t="str">
        <f t="shared" si="9"/>
        <v/>
      </c>
      <c r="M120" s="35" t="str">
        <f>IF(B120="","",IF(E120="KXDDM","KXDDM – không ĐM",IF(E120&lt;&gt;"","Không KT ("&amp;E120&amp;")",IF(OR(K120="",L120=""),"Xem xét",IF(MAX(ABS(K120),ABS(L120))&lt;=ThongTin!$C$12,"OK","Xem xét")))))</f>
        <v/>
      </c>
    </row>
    <row r="121" spans="1:13" x14ac:dyDescent="0.25">
      <c r="A121" s="35" t="str">
        <f t="shared" si="5"/>
        <v/>
      </c>
      <c r="B121" s="35" t="str">
        <f>IF(BOM!A121="","",BOM!A121)</f>
        <v/>
      </c>
      <c r="C121" s="35" t="str">
        <f>IF(B121="","",BOM!B121)</f>
        <v/>
      </c>
      <c r="D121" s="35" t="str">
        <f>IF(B121="","",KT_DMTT_ChiTiet!E121)</f>
        <v/>
      </c>
      <c r="E121" s="36" t="str">
        <f>IF(B121="","",BOM!G121&amp;"")</f>
        <v/>
      </c>
      <c r="F121" s="39" t="str">
        <f>IF(B121="","",BOM!E121)</f>
        <v/>
      </c>
      <c r="G121" s="39" t="str">
        <f>IF(OR(B121="",E121="KXDDM"),"",BOM!F121)</f>
        <v/>
      </c>
      <c r="H121" s="39" t="str">
        <f>IF(OR(B121="",E121&lt;&gt;""),"",IFERROR(INDEX(KT_nguoc_theo_NL!$J$5:$J$304,MATCH(C121,KT_nguoc_theo_NL!$B$5:$B$304,0))/INDEX(KT_nguoc_theo_NL!$K$5:$K$304,MATCH(C121,KT_nguoc_theo_NL!$B$5:$B$304,0)),""))</f>
        <v/>
      </c>
      <c r="I121" s="39" t="str">
        <f t="shared" si="6"/>
        <v/>
      </c>
      <c r="J121" s="46" t="str">
        <f t="shared" si="7"/>
        <v/>
      </c>
      <c r="K121" s="46" t="str">
        <f t="shared" si="8"/>
        <v/>
      </c>
      <c r="L121" s="46" t="str">
        <f t="shared" si="9"/>
        <v/>
      </c>
      <c r="M121" s="35" t="str">
        <f>IF(B121="","",IF(E121="KXDDM","KXDDM – không ĐM",IF(E121&lt;&gt;"","Không KT ("&amp;E121&amp;")",IF(OR(K121="",L121=""),"Xem xét",IF(MAX(ABS(K121),ABS(L121))&lt;=ThongTin!$C$12,"OK","Xem xét")))))</f>
        <v/>
      </c>
    </row>
    <row r="122" spans="1:13" x14ac:dyDescent="0.25">
      <c r="A122" s="35" t="str">
        <f t="shared" si="5"/>
        <v/>
      </c>
      <c r="B122" s="35" t="str">
        <f>IF(BOM!A122="","",BOM!A122)</f>
        <v/>
      </c>
      <c r="C122" s="35" t="str">
        <f>IF(B122="","",BOM!B122)</f>
        <v/>
      </c>
      <c r="D122" s="35" t="str">
        <f>IF(B122="","",KT_DMTT_ChiTiet!E122)</f>
        <v/>
      </c>
      <c r="E122" s="36" t="str">
        <f>IF(B122="","",BOM!G122&amp;"")</f>
        <v/>
      </c>
      <c r="F122" s="39" t="str">
        <f>IF(B122="","",BOM!E122)</f>
        <v/>
      </c>
      <c r="G122" s="39" t="str">
        <f>IF(OR(B122="",E122="KXDDM"),"",BOM!F122)</f>
        <v/>
      </c>
      <c r="H122" s="39" t="str">
        <f>IF(OR(B122="",E122&lt;&gt;""),"",IFERROR(INDEX(KT_nguoc_theo_NL!$J$5:$J$304,MATCH(C122,KT_nguoc_theo_NL!$B$5:$B$304,0))/INDEX(KT_nguoc_theo_NL!$K$5:$K$304,MATCH(C122,KT_nguoc_theo_NL!$B$5:$B$304,0)),""))</f>
        <v/>
      </c>
      <c r="I122" s="39" t="str">
        <f t="shared" si="6"/>
        <v/>
      </c>
      <c r="J122" s="46" t="str">
        <f t="shared" si="7"/>
        <v/>
      </c>
      <c r="K122" s="46" t="str">
        <f t="shared" si="8"/>
        <v/>
      </c>
      <c r="L122" s="46" t="str">
        <f t="shared" si="9"/>
        <v/>
      </c>
      <c r="M122" s="35" t="str">
        <f>IF(B122="","",IF(E122="KXDDM","KXDDM – không ĐM",IF(E122&lt;&gt;"","Không KT ("&amp;E122&amp;")",IF(OR(K122="",L122=""),"Xem xét",IF(MAX(ABS(K122),ABS(L122))&lt;=ThongTin!$C$12,"OK","Xem xét")))))</f>
        <v/>
      </c>
    </row>
    <row r="123" spans="1:13" x14ac:dyDescent="0.25">
      <c r="A123" s="35" t="str">
        <f t="shared" si="5"/>
        <v/>
      </c>
      <c r="B123" s="35" t="str">
        <f>IF(BOM!A123="","",BOM!A123)</f>
        <v/>
      </c>
      <c r="C123" s="35" t="str">
        <f>IF(B123="","",BOM!B123)</f>
        <v/>
      </c>
      <c r="D123" s="35" t="str">
        <f>IF(B123="","",KT_DMTT_ChiTiet!E123)</f>
        <v/>
      </c>
      <c r="E123" s="36" t="str">
        <f>IF(B123="","",BOM!G123&amp;"")</f>
        <v/>
      </c>
      <c r="F123" s="39" t="str">
        <f>IF(B123="","",BOM!E123)</f>
        <v/>
      </c>
      <c r="G123" s="39" t="str">
        <f>IF(OR(B123="",E123="KXDDM"),"",BOM!F123)</f>
        <v/>
      </c>
      <c r="H123" s="39" t="str">
        <f>IF(OR(B123="",E123&lt;&gt;""),"",IFERROR(INDEX(KT_nguoc_theo_NL!$J$5:$J$304,MATCH(C123,KT_nguoc_theo_NL!$B$5:$B$304,0))/INDEX(KT_nguoc_theo_NL!$K$5:$K$304,MATCH(C123,KT_nguoc_theo_NL!$B$5:$B$304,0)),""))</f>
        <v/>
      </c>
      <c r="I123" s="39" t="str">
        <f t="shared" si="6"/>
        <v/>
      </c>
      <c r="J123" s="46" t="str">
        <f t="shared" si="7"/>
        <v/>
      </c>
      <c r="K123" s="46" t="str">
        <f t="shared" si="8"/>
        <v/>
      </c>
      <c r="L123" s="46" t="str">
        <f t="shared" si="9"/>
        <v/>
      </c>
      <c r="M123" s="35" t="str">
        <f>IF(B123="","",IF(E123="KXDDM","KXDDM – không ĐM",IF(E123&lt;&gt;"","Không KT ("&amp;E123&amp;")",IF(OR(K123="",L123=""),"Xem xét",IF(MAX(ABS(K123),ABS(L123))&lt;=ThongTin!$C$12,"OK","Xem xét")))))</f>
        <v/>
      </c>
    </row>
    <row r="124" spans="1:13" x14ac:dyDescent="0.25">
      <c r="A124" s="35" t="str">
        <f t="shared" si="5"/>
        <v/>
      </c>
      <c r="B124" s="35" t="str">
        <f>IF(BOM!A124="","",BOM!A124)</f>
        <v/>
      </c>
      <c r="C124" s="35" t="str">
        <f>IF(B124="","",BOM!B124)</f>
        <v/>
      </c>
      <c r="D124" s="35" t="str">
        <f>IF(B124="","",KT_DMTT_ChiTiet!E124)</f>
        <v/>
      </c>
      <c r="E124" s="36" t="str">
        <f>IF(B124="","",BOM!G124&amp;"")</f>
        <v/>
      </c>
      <c r="F124" s="39" t="str">
        <f>IF(B124="","",BOM!E124)</f>
        <v/>
      </c>
      <c r="G124" s="39" t="str">
        <f>IF(OR(B124="",E124="KXDDM"),"",BOM!F124)</f>
        <v/>
      </c>
      <c r="H124" s="39" t="str">
        <f>IF(OR(B124="",E124&lt;&gt;""),"",IFERROR(INDEX(KT_nguoc_theo_NL!$J$5:$J$304,MATCH(C124,KT_nguoc_theo_NL!$B$5:$B$304,0))/INDEX(KT_nguoc_theo_NL!$K$5:$K$304,MATCH(C124,KT_nguoc_theo_NL!$B$5:$B$304,0)),""))</f>
        <v/>
      </c>
      <c r="I124" s="39" t="str">
        <f t="shared" si="6"/>
        <v/>
      </c>
      <c r="J124" s="46" t="str">
        <f t="shared" si="7"/>
        <v/>
      </c>
      <c r="K124" s="46" t="str">
        <f t="shared" si="8"/>
        <v/>
      </c>
      <c r="L124" s="46" t="str">
        <f t="shared" si="9"/>
        <v/>
      </c>
      <c r="M124" s="35" t="str">
        <f>IF(B124="","",IF(E124="KXDDM","KXDDM – không ĐM",IF(E124&lt;&gt;"","Không KT ("&amp;E124&amp;")",IF(OR(K124="",L124=""),"Xem xét",IF(MAX(ABS(K124),ABS(L124))&lt;=ThongTin!$C$12,"OK","Xem xét")))))</f>
        <v/>
      </c>
    </row>
    <row r="125" spans="1:13" x14ac:dyDescent="0.25">
      <c r="A125" s="35" t="str">
        <f t="shared" si="5"/>
        <v/>
      </c>
      <c r="B125" s="35" t="str">
        <f>IF(BOM!A125="","",BOM!A125)</f>
        <v/>
      </c>
      <c r="C125" s="35" t="str">
        <f>IF(B125="","",BOM!B125)</f>
        <v/>
      </c>
      <c r="D125" s="35" t="str">
        <f>IF(B125="","",KT_DMTT_ChiTiet!E125)</f>
        <v/>
      </c>
      <c r="E125" s="36" t="str">
        <f>IF(B125="","",BOM!G125&amp;"")</f>
        <v/>
      </c>
      <c r="F125" s="39" t="str">
        <f>IF(B125="","",BOM!E125)</f>
        <v/>
      </c>
      <c r="G125" s="39" t="str">
        <f>IF(OR(B125="",E125="KXDDM"),"",BOM!F125)</f>
        <v/>
      </c>
      <c r="H125" s="39" t="str">
        <f>IF(OR(B125="",E125&lt;&gt;""),"",IFERROR(INDEX(KT_nguoc_theo_NL!$J$5:$J$304,MATCH(C125,KT_nguoc_theo_NL!$B$5:$B$304,0))/INDEX(KT_nguoc_theo_NL!$K$5:$K$304,MATCH(C125,KT_nguoc_theo_NL!$B$5:$B$304,0)),""))</f>
        <v/>
      </c>
      <c r="I125" s="39" t="str">
        <f t="shared" si="6"/>
        <v/>
      </c>
      <c r="J125" s="46" t="str">
        <f t="shared" si="7"/>
        <v/>
      </c>
      <c r="K125" s="46" t="str">
        <f t="shared" si="8"/>
        <v/>
      </c>
      <c r="L125" s="46" t="str">
        <f t="shared" si="9"/>
        <v/>
      </c>
      <c r="M125" s="35" t="str">
        <f>IF(B125="","",IF(E125="KXDDM","KXDDM – không ĐM",IF(E125&lt;&gt;"","Không KT ("&amp;E125&amp;")",IF(OR(K125="",L125=""),"Xem xét",IF(MAX(ABS(K125),ABS(L125))&lt;=ThongTin!$C$12,"OK","Xem xét")))))</f>
        <v/>
      </c>
    </row>
    <row r="126" spans="1:13" x14ac:dyDescent="0.25">
      <c r="A126" s="35" t="str">
        <f t="shared" si="5"/>
        <v/>
      </c>
      <c r="B126" s="35" t="str">
        <f>IF(BOM!A126="","",BOM!A126)</f>
        <v/>
      </c>
      <c r="C126" s="35" t="str">
        <f>IF(B126="","",BOM!B126)</f>
        <v/>
      </c>
      <c r="D126" s="35" t="str">
        <f>IF(B126="","",KT_DMTT_ChiTiet!E126)</f>
        <v/>
      </c>
      <c r="E126" s="36" t="str">
        <f>IF(B126="","",BOM!G126&amp;"")</f>
        <v/>
      </c>
      <c r="F126" s="39" t="str">
        <f>IF(B126="","",BOM!E126)</f>
        <v/>
      </c>
      <c r="G126" s="39" t="str">
        <f>IF(OR(B126="",E126="KXDDM"),"",BOM!F126)</f>
        <v/>
      </c>
      <c r="H126" s="39" t="str">
        <f>IF(OR(B126="",E126&lt;&gt;""),"",IFERROR(INDEX(KT_nguoc_theo_NL!$J$5:$J$304,MATCH(C126,KT_nguoc_theo_NL!$B$5:$B$304,0))/INDEX(KT_nguoc_theo_NL!$K$5:$K$304,MATCH(C126,KT_nguoc_theo_NL!$B$5:$B$304,0)),""))</f>
        <v/>
      </c>
      <c r="I126" s="39" t="str">
        <f t="shared" si="6"/>
        <v/>
      </c>
      <c r="J126" s="46" t="str">
        <f t="shared" si="7"/>
        <v/>
      </c>
      <c r="K126" s="46" t="str">
        <f t="shared" si="8"/>
        <v/>
      </c>
      <c r="L126" s="46" t="str">
        <f t="shared" si="9"/>
        <v/>
      </c>
      <c r="M126" s="35" t="str">
        <f>IF(B126="","",IF(E126="KXDDM","KXDDM – không ĐM",IF(E126&lt;&gt;"","Không KT ("&amp;E126&amp;")",IF(OR(K126="",L126=""),"Xem xét",IF(MAX(ABS(K126),ABS(L126))&lt;=ThongTin!$C$12,"OK","Xem xét")))))</f>
        <v/>
      </c>
    </row>
    <row r="127" spans="1:13" x14ac:dyDescent="0.25">
      <c r="A127" s="35" t="str">
        <f t="shared" si="5"/>
        <v/>
      </c>
      <c r="B127" s="35" t="str">
        <f>IF(BOM!A127="","",BOM!A127)</f>
        <v/>
      </c>
      <c r="C127" s="35" t="str">
        <f>IF(B127="","",BOM!B127)</f>
        <v/>
      </c>
      <c r="D127" s="35" t="str">
        <f>IF(B127="","",KT_DMTT_ChiTiet!E127)</f>
        <v/>
      </c>
      <c r="E127" s="36" t="str">
        <f>IF(B127="","",BOM!G127&amp;"")</f>
        <v/>
      </c>
      <c r="F127" s="39" t="str">
        <f>IF(B127="","",BOM!E127)</f>
        <v/>
      </c>
      <c r="G127" s="39" t="str">
        <f>IF(OR(B127="",E127="KXDDM"),"",BOM!F127)</f>
        <v/>
      </c>
      <c r="H127" s="39" t="str">
        <f>IF(OR(B127="",E127&lt;&gt;""),"",IFERROR(INDEX(KT_nguoc_theo_NL!$J$5:$J$304,MATCH(C127,KT_nguoc_theo_NL!$B$5:$B$304,0))/INDEX(KT_nguoc_theo_NL!$K$5:$K$304,MATCH(C127,KT_nguoc_theo_NL!$B$5:$B$304,0)),""))</f>
        <v/>
      </c>
      <c r="I127" s="39" t="str">
        <f t="shared" si="6"/>
        <v/>
      </c>
      <c r="J127" s="46" t="str">
        <f t="shared" si="7"/>
        <v/>
      </c>
      <c r="K127" s="46" t="str">
        <f t="shared" si="8"/>
        <v/>
      </c>
      <c r="L127" s="46" t="str">
        <f t="shared" si="9"/>
        <v/>
      </c>
      <c r="M127" s="35" t="str">
        <f>IF(B127="","",IF(E127="KXDDM","KXDDM – không ĐM",IF(E127&lt;&gt;"","Không KT ("&amp;E127&amp;")",IF(OR(K127="",L127=""),"Xem xét",IF(MAX(ABS(K127),ABS(L127))&lt;=ThongTin!$C$12,"OK","Xem xét")))))</f>
        <v/>
      </c>
    </row>
    <row r="128" spans="1:13" x14ac:dyDescent="0.25">
      <c r="A128" s="35" t="str">
        <f t="shared" si="5"/>
        <v/>
      </c>
      <c r="B128" s="35" t="str">
        <f>IF(BOM!A128="","",BOM!A128)</f>
        <v/>
      </c>
      <c r="C128" s="35" t="str">
        <f>IF(B128="","",BOM!B128)</f>
        <v/>
      </c>
      <c r="D128" s="35" t="str">
        <f>IF(B128="","",KT_DMTT_ChiTiet!E128)</f>
        <v/>
      </c>
      <c r="E128" s="36" t="str">
        <f>IF(B128="","",BOM!G128&amp;"")</f>
        <v/>
      </c>
      <c r="F128" s="39" t="str">
        <f>IF(B128="","",BOM!E128)</f>
        <v/>
      </c>
      <c r="G128" s="39" t="str">
        <f>IF(OR(B128="",E128="KXDDM"),"",BOM!F128)</f>
        <v/>
      </c>
      <c r="H128" s="39" t="str">
        <f>IF(OR(B128="",E128&lt;&gt;""),"",IFERROR(INDEX(KT_nguoc_theo_NL!$J$5:$J$304,MATCH(C128,KT_nguoc_theo_NL!$B$5:$B$304,0))/INDEX(KT_nguoc_theo_NL!$K$5:$K$304,MATCH(C128,KT_nguoc_theo_NL!$B$5:$B$304,0)),""))</f>
        <v/>
      </c>
      <c r="I128" s="39" t="str">
        <f t="shared" si="6"/>
        <v/>
      </c>
      <c r="J128" s="46" t="str">
        <f t="shared" si="7"/>
        <v/>
      </c>
      <c r="K128" s="46" t="str">
        <f t="shared" si="8"/>
        <v/>
      </c>
      <c r="L128" s="46" t="str">
        <f t="shared" si="9"/>
        <v/>
      </c>
      <c r="M128" s="35" t="str">
        <f>IF(B128="","",IF(E128="KXDDM","KXDDM – không ĐM",IF(E128&lt;&gt;"","Không KT ("&amp;E128&amp;")",IF(OR(K128="",L128=""),"Xem xét",IF(MAX(ABS(K128),ABS(L128))&lt;=ThongTin!$C$12,"OK","Xem xét")))))</f>
        <v/>
      </c>
    </row>
    <row r="129" spans="1:13" x14ac:dyDescent="0.25">
      <c r="A129" s="35" t="str">
        <f t="shared" si="5"/>
        <v/>
      </c>
      <c r="B129" s="35" t="str">
        <f>IF(BOM!A129="","",BOM!A129)</f>
        <v/>
      </c>
      <c r="C129" s="35" t="str">
        <f>IF(B129="","",BOM!B129)</f>
        <v/>
      </c>
      <c r="D129" s="35" t="str">
        <f>IF(B129="","",KT_DMTT_ChiTiet!E129)</f>
        <v/>
      </c>
      <c r="E129" s="36" t="str">
        <f>IF(B129="","",BOM!G129&amp;"")</f>
        <v/>
      </c>
      <c r="F129" s="39" t="str">
        <f>IF(B129="","",BOM!E129)</f>
        <v/>
      </c>
      <c r="G129" s="39" t="str">
        <f>IF(OR(B129="",E129="KXDDM"),"",BOM!F129)</f>
        <v/>
      </c>
      <c r="H129" s="39" t="str">
        <f>IF(OR(B129="",E129&lt;&gt;""),"",IFERROR(INDEX(KT_nguoc_theo_NL!$J$5:$J$304,MATCH(C129,KT_nguoc_theo_NL!$B$5:$B$304,0))/INDEX(KT_nguoc_theo_NL!$K$5:$K$304,MATCH(C129,KT_nguoc_theo_NL!$B$5:$B$304,0)),""))</f>
        <v/>
      </c>
      <c r="I129" s="39" t="str">
        <f t="shared" si="6"/>
        <v/>
      </c>
      <c r="J129" s="46" t="str">
        <f t="shared" si="7"/>
        <v/>
      </c>
      <c r="K129" s="46" t="str">
        <f t="shared" si="8"/>
        <v/>
      </c>
      <c r="L129" s="46" t="str">
        <f t="shared" si="9"/>
        <v/>
      </c>
      <c r="M129" s="35" t="str">
        <f>IF(B129="","",IF(E129="KXDDM","KXDDM – không ĐM",IF(E129&lt;&gt;"","Không KT ("&amp;E129&amp;")",IF(OR(K129="",L129=""),"Xem xét",IF(MAX(ABS(K129),ABS(L129))&lt;=ThongTin!$C$12,"OK","Xem xét")))))</f>
        <v/>
      </c>
    </row>
    <row r="130" spans="1:13" x14ac:dyDescent="0.25">
      <c r="A130" s="35" t="str">
        <f t="shared" si="5"/>
        <v/>
      </c>
      <c r="B130" s="35" t="str">
        <f>IF(BOM!A130="","",BOM!A130)</f>
        <v/>
      </c>
      <c r="C130" s="35" t="str">
        <f>IF(B130="","",BOM!B130)</f>
        <v/>
      </c>
      <c r="D130" s="35" t="str">
        <f>IF(B130="","",KT_DMTT_ChiTiet!E130)</f>
        <v/>
      </c>
      <c r="E130" s="36" t="str">
        <f>IF(B130="","",BOM!G130&amp;"")</f>
        <v/>
      </c>
      <c r="F130" s="39" t="str">
        <f>IF(B130="","",BOM!E130)</f>
        <v/>
      </c>
      <c r="G130" s="39" t="str">
        <f>IF(OR(B130="",E130="KXDDM"),"",BOM!F130)</f>
        <v/>
      </c>
      <c r="H130" s="39" t="str">
        <f>IF(OR(B130="",E130&lt;&gt;""),"",IFERROR(INDEX(KT_nguoc_theo_NL!$J$5:$J$304,MATCH(C130,KT_nguoc_theo_NL!$B$5:$B$304,0))/INDEX(KT_nguoc_theo_NL!$K$5:$K$304,MATCH(C130,KT_nguoc_theo_NL!$B$5:$B$304,0)),""))</f>
        <v/>
      </c>
      <c r="I130" s="39" t="str">
        <f t="shared" si="6"/>
        <v/>
      </c>
      <c r="J130" s="46" t="str">
        <f t="shared" si="7"/>
        <v/>
      </c>
      <c r="K130" s="46" t="str">
        <f t="shared" si="8"/>
        <v/>
      </c>
      <c r="L130" s="46" t="str">
        <f t="shared" si="9"/>
        <v/>
      </c>
      <c r="M130" s="35" t="str">
        <f>IF(B130="","",IF(E130="KXDDM","KXDDM – không ĐM",IF(E130&lt;&gt;"","Không KT ("&amp;E130&amp;")",IF(OR(K130="",L130=""),"Xem xét",IF(MAX(ABS(K130),ABS(L130))&lt;=ThongTin!$C$12,"OK","Xem xét")))))</f>
        <v/>
      </c>
    </row>
    <row r="131" spans="1:13" x14ac:dyDescent="0.25">
      <c r="A131" s="35" t="str">
        <f t="shared" si="5"/>
        <v/>
      </c>
      <c r="B131" s="35" t="str">
        <f>IF(BOM!A131="","",BOM!A131)</f>
        <v/>
      </c>
      <c r="C131" s="35" t="str">
        <f>IF(B131="","",BOM!B131)</f>
        <v/>
      </c>
      <c r="D131" s="35" t="str">
        <f>IF(B131="","",KT_DMTT_ChiTiet!E131)</f>
        <v/>
      </c>
      <c r="E131" s="36" t="str">
        <f>IF(B131="","",BOM!G131&amp;"")</f>
        <v/>
      </c>
      <c r="F131" s="39" t="str">
        <f>IF(B131="","",BOM!E131)</f>
        <v/>
      </c>
      <c r="G131" s="39" t="str">
        <f>IF(OR(B131="",E131="KXDDM"),"",BOM!F131)</f>
        <v/>
      </c>
      <c r="H131" s="39" t="str">
        <f>IF(OR(B131="",E131&lt;&gt;""),"",IFERROR(INDEX(KT_nguoc_theo_NL!$J$5:$J$304,MATCH(C131,KT_nguoc_theo_NL!$B$5:$B$304,0))/INDEX(KT_nguoc_theo_NL!$K$5:$K$304,MATCH(C131,KT_nguoc_theo_NL!$B$5:$B$304,0)),""))</f>
        <v/>
      </c>
      <c r="I131" s="39" t="str">
        <f t="shared" si="6"/>
        <v/>
      </c>
      <c r="J131" s="46" t="str">
        <f t="shared" si="7"/>
        <v/>
      </c>
      <c r="K131" s="46" t="str">
        <f t="shared" si="8"/>
        <v/>
      </c>
      <c r="L131" s="46" t="str">
        <f t="shared" si="9"/>
        <v/>
      </c>
      <c r="M131" s="35" t="str">
        <f>IF(B131="","",IF(E131="KXDDM","KXDDM – không ĐM",IF(E131&lt;&gt;"","Không KT ("&amp;E131&amp;")",IF(OR(K131="",L131=""),"Xem xét",IF(MAX(ABS(K131),ABS(L131))&lt;=ThongTin!$C$12,"OK","Xem xét")))))</f>
        <v/>
      </c>
    </row>
    <row r="132" spans="1:13" x14ac:dyDescent="0.25">
      <c r="A132" s="35" t="str">
        <f t="shared" si="5"/>
        <v/>
      </c>
      <c r="B132" s="35" t="str">
        <f>IF(BOM!A132="","",BOM!A132)</f>
        <v/>
      </c>
      <c r="C132" s="35" t="str">
        <f>IF(B132="","",BOM!B132)</f>
        <v/>
      </c>
      <c r="D132" s="35" t="str">
        <f>IF(B132="","",KT_DMTT_ChiTiet!E132)</f>
        <v/>
      </c>
      <c r="E132" s="36" t="str">
        <f>IF(B132="","",BOM!G132&amp;"")</f>
        <v/>
      </c>
      <c r="F132" s="39" t="str">
        <f>IF(B132="","",BOM!E132)</f>
        <v/>
      </c>
      <c r="G132" s="39" t="str">
        <f>IF(OR(B132="",E132="KXDDM"),"",BOM!F132)</f>
        <v/>
      </c>
      <c r="H132" s="39" t="str">
        <f>IF(OR(B132="",E132&lt;&gt;""),"",IFERROR(INDEX(KT_nguoc_theo_NL!$J$5:$J$304,MATCH(C132,KT_nguoc_theo_NL!$B$5:$B$304,0))/INDEX(KT_nguoc_theo_NL!$K$5:$K$304,MATCH(C132,KT_nguoc_theo_NL!$B$5:$B$304,0)),""))</f>
        <v/>
      </c>
      <c r="I132" s="39" t="str">
        <f t="shared" si="6"/>
        <v/>
      </c>
      <c r="J132" s="46" t="str">
        <f t="shared" si="7"/>
        <v/>
      </c>
      <c r="K132" s="46" t="str">
        <f t="shared" si="8"/>
        <v/>
      </c>
      <c r="L132" s="46" t="str">
        <f t="shared" si="9"/>
        <v/>
      </c>
      <c r="M132" s="35" t="str">
        <f>IF(B132="","",IF(E132="KXDDM","KXDDM – không ĐM",IF(E132&lt;&gt;"","Không KT ("&amp;E132&amp;")",IF(OR(K132="",L132=""),"Xem xét",IF(MAX(ABS(K132),ABS(L132))&lt;=ThongTin!$C$12,"OK","Xem xét")))))</f>
        <v/>
      </c>
    </row>
    <row r="133" spans="1:13" x14ac:dyDescent="0.25">
      <c r="A133" s="35" t="str">
        <f t="shared" ref="A133:A196" si="10">IF(B133="","",ROW()-4)</f>
        <v/>
      </c>
      <c r="B133" s="35" t="str">
        <f>IF(BOM!A133="","",BOM!A133)</f>
        <v/>
      </c>
      <c r="C133" s="35" t="str">
        <f>IF(B133="","",BOM!B133)</f>
        <v/>
      </c>
      <c r="D133" s="35" t="str">
        <f>IF(B133="","",KT_DMTT_ChiTiet!E133)</f>
        <v/>
      </c>
      <c r="E133" s="36" t="str">
        <f>IF(B133="","",BOM!G133&amp;"")</f>
        <v/>
      </c>
      <c r="F133" s="39" t="str">
        <f>IF(B133="","",BOM!E133)</f>
        <v/>
      </c>
      <c r="G133" s="39" t="str">
        <f>IF(OR(B133="",E133="KXDDM"),"",BOM!F133)</f>
        <v/>
      </c>
      <c r="H133" s="39" t="str">
        <f>IF(OR(B133="",E133&lt;&gt;""),"",IFERROR(INDEX(KT_nguoc_theo_NL!$J$5:$J$304,MATCH(C133,KT_nguoc_theo_NL!$B$5:$B$304,0))/INDEX(KT_nguoc_theo_NL!$K$5:$K$304,MATCH(C133,KT_nguoc_theo_NL!$B$5:$B$304,0)),""))</f>
        <v/>
      </c>
      <c r="I133" s="39" t="str">
        <f t="shared" ref="I133:I196" si="11">IF(OR(H133="",G133=""),"",G133*H133)</f>
        <v/>
      </c>
      <c r="J133" s="46" t="str">
        <f t="shared" ref="J133:J196" si="12">IF(OR(I133="",I133=0),"",(G133-I133)/I133)</f>
        <v/>
      </c>
      <c r="K133" s="46" t="str">
        <f t="shared" ref="K133:K196" si="13">IF(OR(G133="",F133="",F133=0),"",(G133-F133)/F133)</f>
        <v/>
      </c>
      <c r="L133" s="46" t="str">
        <f t="shared" ref="L133:L196" si="14">IF(OR(I133="",F133="",F133=0),"",(I133-F133)/F133)</f>
        <v/>
      </c>
      <c r="M133" s="35" t="str">
        <f>IF(B133="","",IF(E133="KXDDM","KXDDM – không ĐM",IF(E133&lt;&gt;"","Không KT ("&amp;E133&amp;")",IF(OR(K133="",L133=""),"Xem xét",IF(MAX(ABS(K133),ABS(L133))&lt;=ThongTin!$C$12,"OK","Xem xét")))))</f>
        <v/>
      </c>
    </row>
    <row r="134" spans="1:13" x14ac:dyDescent="0.25">
      <c r="A134" s="35" t="str">
        <f t="shared" si="10"/>
        <v/>
      </c>
      <c r="B134" s="35" t="str">
        <f>IF(BOM!A134="","",BOM!A134)</f>
        <v/>
      </c>
      <c r="C134" s="35" t="str">
        <f>IF(B134="","",BOM!B134)</f>
        <v/>
      </c>
      <c r="D134" s="35" t="str">
        <f>IF(B134="","",KT_DMTT_ChiTiet!E134)</f>
        <v/>
      </c>
      <c r="E134" s="36" t="str">
        <f>IF(B134="","",BOM!G134&amp;"")</f>
        <v/>
      </c>
      <c r="F134" s="39" t="str">
        <f>IF(B134="","",BOM!E134)</f>
        <v/>
      </c>
      <c r="G134" s="39" t="str">
        <f>IF(OR(B134="",E134="KXDDM"),"",BOM!F134)</f>
        <v/>
      </c>
      <c r="H134" s="39" t="str">
        <f>IF(OR(B134="",E134&lt;&gt;""),"",IFERROR(INDEX(KT_nguoc_theo_NL!$J$5:$J$304,MATCH(C134,KT_nguoc_theo_NL!$B$5:$B$304,0))/INDEX(KT_nguoc_theo_NL!$K$5:$K$304,MATCH(C134,KT_nguoc_theo_NL!$B$5:$B$304,0)),""))</f>
        <v/>
      </c>
      <c r="I134" s="39" t="str">
        <f t="shared" si="11"/>
        <v/>
      </c>
      <c r="J134" s="46" t="str">
        <f t="shared" si="12"/>
        <v/>
      </c>
      <c r="K134" s="46" t="str">
        <f t="shared" si="13"/>
        <v/>
      </c>
      <c r="L134" s="46" t="str">
        <f t="shared" si="14"/>
        <v/>
      </c>
      <c r="M134" s="35" t="str">
        <f>IF(B134="","",IF(E134="KXDDM","KXDDM – không ĐM",IF(E134&lt;&gt;"","Không KT ("&amp;E134&amp;")",IF(OR(K134="",L134=""),"Xem xét",IF(MAX(ABS(K134),ABS(L134))&lt;=ThongTin!$C$12,"OK","Xem xét")))))</f>
        <v/>
      </c>
    </row>
    <row r="135" spans="1:13" x14ac:dyDescent="0.25">
      <c r="A135" s="35" t="str">
        <f t="shared" si="10"/>
        <v/>
      </c>
      <c r="B135" s="35" t="str">
        <f>IF(BOM!A135="","",BOM!A135)</f>
        <v/>
      </c>
      <c r="C135" s="35" t="str">
        <f>IF(B135="","",BOM!B135)</f>
        <v/>
      </c>
      <c r="D135" s="35" t="str">
        <f>IF(B135="","",KT_DMTT_ChiTiet!E135)</f>
        <v/>
      </c>
      <c r="E135" s="36" t="str">
        <f>IF(B135="","",BOM!G135&amp;"")</f>
        <v/>
      </c>
      <c r="F135" s="39" t="str">
        <f>IF(B135="","",BOM!E135)</f>
        <v/>
      </c>
      <c r="G135" s="39" t="str">
        <f>IF(OR(B135="",E135="KXDDM"),"",BOM!F135)</f>
        <v/>
      </c>
      <c r="H135" s="39" t="str">
        <f>IF(OR(B135="",E135&lt;&gt;""),"",IFERROR(INDEX(KT_nguoc_theo_NL!$J$5:$J$304,MATCH(C135,KT_nguoc_theo_NL!$B$5:$B$304,0))/INDEX(KT_nguoc_theo_NL!$K$5:$K$304,MATCH(C135,KT_nguoc_theo_NL!$B$5:$B$304,0)),""))</f>
        <v/>
      </c>
      <c r="I135" s="39" t="str">
        <f t="shared" si="11"/>
        <v/>
      </c>
      <c r="J135" s="46" t="str">
        <f t="shared" si="12"/>
        <v/>
      </c>
      <c r="K135" s="46" t="str">
        <f t="shared" si="13"/>
        <v/>
      </c>
      <c r="L135" s="46" t="str">
        <f t="shared" si="14"/>
        <v/>
      </c>
      <c r="M135" s="35" t="str">
        <f>IF(B135="","",IF(E135="KXDDM","KXDDM – không ĐM",IF(E135&lt;&gt;"","Không KT ("&amp;E135&amp;")",IF(OR(K135="",L135=""),"Xem xét",IF(MAX(ABS(K135),ABS(L135))&lt;=ThongTin!$C$12,"OK","Xem xét")))))</f>
        <v/>
      </c>
    </row>
    <row r="136" spans="1:13" x14ac:dyDescent="0.25">
      <c r="A136" s="35" t="str">
        <f t="shared" si="10"/>
        <v/>
      </c>
      <c r="B136" s="35" t="str">
        <f>IF(BOM!A136="","",BOM!A136)</f>
        <v/>
      </c>
      <c r="C136" s="35" t="str">
        <f>IF(B136="","",BOM!B136)</f>
        <v/>
      </c>
      <c r="D136" s="35" t="str">
        <f>IF(B136="","",KT_DMTT_ChiTiet!E136)</f>
        <v/>
      </c>
      <c r="E136" s="36" t="str">
        <f>IF(B136="","",BOM!G136&amp;"")</f>
        <v/>
      </c>
      <c r="F136" s="39" t="str">
        <f>IF(B136="","",BOM!E136)</f>
        <v/>
      </c>
      <c r="G136" s="39" t="str">
        <f>IF(OR(B136="",E136="KXDDM"),"",BOM!F136)</f>
        <v/>
      </c>
      <c r="H136" s="39" t="str">
        <f>IF(OR(B136="",E136&lt;&gt;""),"",IFERROR(INDEX(KT_nguoc_theo_NL!$J$5:$J$304,MATCH(C136,KT_nguoc_theo_NL!$B$5:$B$304,0))/INDEX(KT_nguoc_theo_NL!$K$5:$K$304,MATCH(C136,KT_nguoc_theo_NL!$B$5:$B$304,0)),""))</f>
        <v/>
      </c>
      <c r="I136" s="39" t="str">
        <f t="shared" si="11"/>
        <v/>
      </c>
      <c r="J136" s="46" t="str">
        <f t="shared" si="12"/>
        <v/>
      </c>
      <c r="K136" s="46" t="str">
        <f t="shared" si="13"/>
        <v/>
      </c>
      <c r="L136" s="46" t="str">
        <f t="shared" si="14"/>
        <v/>
      </c>
      <c r="M136" s="35" t="str">
        <f>IF(B136="","",IF(E136="KXDDM","KXDDM – không ĐM",IF(E136&lt;&gt;"","Không KT ("&amp;E136&amp;")",IF(OR(K136="",L136=""),"Xem xét",IF(MAX(ABS(K136),ABS(L136))&lt;=ThongTin!$C$12,"OK","Xem xét")))))</f>
        <v/>
      </c>
    </row>
    <row r="137" spans="1:13" x14ac:dyDescent="0.25">
      <c r="A137" s="35" t="str">
        <f t="shared" si="10"/>
        <v/>
      </c>
      <c r="B137" s="35" t="str">
        <f>IF(BOM!A137="","",BOM!A137)</f>
        <v/>
      </c>
      <c r="C137" s="35" t="str">
        <f>IF(B137="","",BOM!B137)</f>
        <v/>
      </c>
      <c r="D137" s="35" t="str">
        <f>IF(B137="","",KT_DMTT_ChiTiet!E137)</f>
        <v/>
      </c>
      <c r="E137" s="36" t="str">
        <f>IF(B137="","",BOM!G137&amp;"")</f>
        <v/>
      </c>
      <c r="F137" s="39" t="str">
        <f>IF(B137="","",BOM!E137)</f>
        <v/>
      </c>
      <c r="G137" s="39" t="str">
        <f>IF(OR(B137="",E137="KXDDM"),"",BOM!F137)</f>
        <v/>
      </c>
      <c r="H137" s="39" t="str">
        <f>IF(OR(B137="",E137&lt;&gt;""),"",IFERROR(INDEX(KT_nguoc_theo_NL!$J$5:$J$304,MATCH(C137,KT_nguoc_theo_NL!$B$5:$B$304,0))/INDEX(KT_nguoc_theo_NL!$K$5:$K$304,MATCH(C137,KT_nguoc_theo_NL!$B$5:$B$304,0)),""))</f>
        <v/>
      </c>
      <c r="I137" s="39" t="str">
        <f t="shared" si="11"/>
        <v/>
      </c>
      <c r="J137" s="46" t="str">
        <f t="shared" si="12"/>
        <v/>
      </c>
      <c r="K137" s="46" t="str">
        <f t="shared" si="13"/>
        <v/>
      </c>
      <c r="L137" s="46" t="str">
        <f t="shared" si="14"/>
        <v/>
      </c>
      <c r="M137" s="35" t="str">
        <f>IF(B137="","",IF(E137="KXDDM","KXDDM – không ĐM",IF(E137&lt;&gt;"","Không KT ("&amp;E137&amp;")",IF(OR(K137="",L137=""),"Xem xét",IF(MAX(ABS(K137),ABS(L137))&lt;=ThongTin!$C$12,"OK","Xem xét")))))</f>
        <v/>
      </c>
    </row>
    <row r="138" spans="1:13" x14ac:dyDescent="0.25">
      <c r="A138" s="35" t="str">
        <f t="shared" si="10"/>
        <v/>
      </c>
      <c r="B138" s="35" t="str">
        <f>IF(BOM!A138="","",BOM!A138)</f>
        <v/>
      </c>
      <c r="C138" s="35" t="str">
        <f>IF(B138="","",BOM!B138)</f>
        <v/>
      </c>
      <c r="D138" s="35" t="str">
        <f>IF(B138="","",KT_DMTT_ChiTiet!E138)</f>
        <v/>
      </c>
      <c r="E138" s="36" t="str">
        <f>IF(B138="","",BOM!G138&amp;"")</f>
        <v/>
      </c>
      <c r="F138" s="39" t="str">
        <f>IF(B138="","",BOM!E138)</f>
        <v/>
      </c>
      <c r="G138" s="39" t="str">
        <f>IF(OR(B138="",E138="KXDDM"),"",BOM!F138)</f>
        <v/>
      </c>
      <c r="H138" s="39" t="str">
        <f>IF(OR(B138="",E138&lt;&gt;""),"",IFERROR(INDEX(KT_nguoc_theo_NL!$J$5:$J$304,MATCH(C138,KT_nguoc_theo_NL!$B$5:$B$304,0))/INDEX(KT_nguoc_theo_NL!$K$5:$K$304,MATCH(C138,KT_nguoc_theo_NL!$B$5:$B$304,0)),""))</f>
        <v/>
      </c>
      <c r="I138" s="39" t="str">
        <f t="shared" si="11"/>
        <v/>
      </c>
      <c r="J138" s="46" t="str">
        <f t="shared" si="12"/>
        <v/>
      </c>
      <c r="K138" s="46" t="str">
        <f t="shared" si="13"/>
        <v/>
      </c>
      <c r="L138" s="46" t="str">
        <f t="shared" si="14"/>
        <v/>
      </c>
      <c r="M138" s="35" t="str">
        <f>IF(B138="","",IF(E138="KXDDM","KXDDM – không ĐM",IF(E138&lt;&gt;"","Không KT ("&amp;E138&amp;")",IF(OR(K138="",L138=""),"Xem xét",IF(MAX(ABS(K138),ABS(L138))&lt;=ThongTin!$C$12,"OK","Xem xét")))))</f>
        <v/>
      </c>
    </row>
    <row r="139" spans="1:13" x14ac:dyDescent="0.25">
      <c r="A139" s="35" t="str">
        <f t="shared" si="10"/>
        <v/>
      </c>
      <c r="B139" s="35" t="str">
        <f>IF(BOM!A139="","",BOM!A139)</f>
        <v/>
      </c>
      <c r="C139" s="35" t="str">
        <f>IF(B139="","",BOM!B139)</f>
        <v/>
      </c>
      <c r="D139" s="35" t="str">
        <f>IF(B139="","",KT_DMTT_ChiTiet!E139)</f>
        <v/>
      </c>
      <c r="E139" s="36" t="str">
        <f>IF(B139="","",BOM!G139&amp;"")</f>
        <v/>
      </c>
      <c r="F139" s="39" t="str">
        <f>IF(B139="","",BOM!E139)</f>
        <v/>
      </c>
      <c r="G139" s="39" t="str">
        <f>IF(OR(B139="",E139="KXDDM"),"",BOM!F139)</f>
        <v/>
      </c>
      <c r="H139" s="39" t="str">
        <f>IF(OR(B139="",E139&lt;&gt;""),"",IFERROR(INDEX(KT_nguoc_theo_NL!$J$5:$J$304,MATCH(C139,KT_nguoc_theo_NL!$B$5:$B$304,0))/INDEX(KT_nguoc_theo_NL!$K$5:$K$304,MATCH(C139,KT_nguoc_theo_NL!$B$5:$B$304,0)),""))</f>
        <v/>
      </c>
      <c r="I139" s="39" t="str">
        <f t="shared" si="11"/>
        <v/>
      </c>
      <c r="J139" s="46" t="str">
        <f t="shared" si="12"/>
        <v/>
      </c>
      <c r="K139" s="46" t="str">
        <f t="shared" si="13"/>
        <v/>
      </c>
      <c r="L139" s="46" t="str">
        <f t="shared" si="14"/>
        <v/>
      </c>
      <c r="M139" s="35" t="str">
        <f>IF(B139="","",IF(E139="KXDDM","KXDDM – không ĐM",IF(E139&lt;&gt;"","Không KT ("&amp;E139&amp;")",IF(OR(K139="",L139=""),"Xem xét",IF(MAX(ABS(K139),ABS(L139))&lt;=ThongTin!$C$12,"OK","Xem xét")))))</f>
        <v/>
      </c>
    </row>
    <row r="140" spans="1:13" x14ac:dyDescent="0.25">
      <c r="A140" s="35" t="str">
        <f t="shared" si="10"/>
        <v/>
      </c>
      <c r="B140" s="35" t="str">
        <f>IF(BOM!A140="","",BOM!A140)</f>
        <v/>
      </c>
      <c r="C140" s="35" t="str">
        <f>IF(B140="","",BOM!B140)</f>
        <v/>
      </c>
      <c r="D140" s="35" t="str">
        <f>IF(B140="","",KT_DMTT_ChiTiet!E140)</f>
        <v/>
      </c>
      <c r="E140" s="36" t="str">
        <f>IF(B140="","",BOM!G140&amp;"")</f>
        <v/>
      </c>
      <c r="F140" s="39" t="str">
        <f>IF(B140="","",BOM!E140)</f>
        <v/>
      </c>
      <c r="G140" s="39" t="str">
        <f>IF(OR(B140="",E140="KXDDM"),"",BOM!F140)</f>
        <v/>
      </c>
      <c r="H140" s="39" t="str">
        <f>IF(OR(B140="",E140&lt;&gt;""),"",IFERROR(INDEX(KT_nguoc_theo_NL!$J$5:$J$304,MATCH(C140,KT_nguoc_theo_NL!$B$5:$B$304,0))/INDEX(KT_nguoc_theo_NL!$K$5:$K$304,MATCH(C140,KT_nguoc_theo_NL!$B$5:$B$304,0)),""))</f>
        <v/>
      </c>
      <c r="I140" s="39" t="str">
        <f t="shared" si="11"/>
        <v/>
      </c>
      <c r="J140" s="46" t="str">
        <f t="shared" si="12"/>
        <v/>
      </c>
      <c r="K140" s="46" t="str">
        <f t="shared" si="13"/>
        <v/>
      </c>
      <c r="L140" s="46" t="str">
        <f t="shared" si="14"/>
        <v/>
      </c>
      <c r="M140" s="35" t="str">
        <f>IF(B140="","",IF(E140="KXDDM","KXDDM – không ĐM",IF(E140&lt;&gt;"","Không KT ("&amp;E140&amp;")",IF(OR(K140="",L140=""),"Xem xét",IF(MAX(ABS(K140),ABS(L140))&lt;=ThongTin!$C$12,"OK","Xem xét")))))</f>
        <v/>
      </c>
    </row>
    <row r="141" spans="1:13" x14ac:dyDescent="0.25">
      <c r="A141" s="35" t="str">
        <f t="shared" si="10"/>
        <v/>
      </c>
      <c r="B141" s="35" t="str">
        <f>IF(BOM!A141="","",BOM!A141)</f>
        <v/>
      </c>
      <c r="C141" s="35" t="str">
        <f>IF(B141="","",BOM!B141)</f>
        <v/>
      </c>
      <c r="D141" s="35" t="str">
        <f>IF(B141="","",KT_DMTT_ChiTiet!E141)</f>
        <v/>
      </c>
      <c r="E141" s="36" t="str">
        <f>IF(B141="","",BOM!G141&amp;"")</f>
        <v/>
      </c>
      <c r="F141" s="39" t="str">
        <f>IF(B141="","",BOM!E141)</f>
        <v/>
      </c>
      <c r="G141" s="39" t="str">
        <f>IF(OR(B141="",E141="KXDDM"),"",BOM!F141)</f>
        <v/>
      </c>
      <c r="H141" s="39" t="str">
        <f>IF(OR(B141="",E141&lt;&gt;""),"",IFERROR(INDEX(KT_nguoc_theo_NL!$J$5:$J$304,MATCH(C141,KT_nguoc_theo_NL!$B$5:$B$304,0))/INDEX(KT_nguoc_theo_NL!$K$5:$K$304,MATCH(C141,KT_nguoc_theo_NL!$B$5:$B$304,0)),""))</f>
        <v/>
      </c>
      <c r="I141" s="39" t="str">
        <f t="shared" si="11"/>
        <v/>
      </c>
      <c r="J141" s="46" t="str">
        <f t="shared" si="12"/>
        <v/>
      </c>
      <c r="K141" s="46" t="str">
        <f t="shared" si="13"/>
        <v/>
      </c>
      <c r="L141" s="46" t="str">
        <f t="shared" si="14"/>
        <v/>
      </c>
      <c r="M141" s="35" t="str">
        <f>IF(B141="","",IF(E141="KXDDM","KXDDM – không ĐM",IF(E141&lt;&gt;"","Không KT ("&amp;E141&amp;")",IF(OR(K141="",L141=""),"Xem xét",IF(MAX(ABS(K141),ABS(L141))&lt;=ThongTin!$C$12,"OK","Xem xét")))))</f>
        <v/>
      </c>
    </row>
    <row r="142" spans="1:13" x14ac:dyDescent="0.25">
      <c r="A142" s="35" t="str">
        <f t="shared" si="10"/>
        <v/>
      </c>
      <c r="B142" s="35" t="str">
        <f>IF(BOM!A142="","",BOM!A142)</f>
        <v/>
      </c>
      <c r="C142" s="35" t="str">
        <f>IF(B142="","",BOM!B142)</f>
        <v/>
      </c>
      <c r="D142" s="35" t="str">
        <f>IF(B142="","",KT_DMTT_ChiTiet!E142)</f>
        <v/>
      </c>
      <c r="E142" s="36" t="str">
        <f>IF(B142="","",BOM!G142&amp;"")</f>
        <v/>
      </c>
      <c r="F142" s="39" t="str">
        <f>IF(B142="","",BOM!E142)</f>
        <v/>
      </c>
      <c r="G142" s="39" t="str">
        <f>IF(OR(B142="",E142="KXDDM"),"",BOM!F142)</f>
        <v/>
      </c>
      <c r="H142" s="39" t="str">
        <f>IF(OR(B142="",E142&lt;&gt;""),"",IFERROR(INDEX(KT_nguoc_theo_NL!$J$5:$J$304,MATCH(C142,KT_nguoc_theo_NL!$B$5:$B$304,0))/INDEX(KT_nguoc_theo_NL!$K$5:$K$304,MATCH(C142,KT_nguoc_theo_NL!$B$5:$B$304,0)),""))</f>
        <v/>
      </c>
      <c r="I142" s="39" t="str">
        <f t="shared" si="11"/>
        <v/>
      </c>
      <c r="J142" s="46" t="str">
        <f t="shared" si="12"/>
        <v/>
      </c>
      <c r="K142" s="46" t="str">
        <f t="shared" si="13"/>
        <v/>
      </c>
      <c r="L142" s="46" t="str">
        <f t="shared" si="14"/>
        <v/>
      </c>
      <c r="M142" s="35" t="str">
        <f>IF(B142="","",IF(E142="KXDDM","KXDDM – không ĐM",IF(E142&lt;&gt;"","Không KT ("&amp;E142&amp;")",IF(OR(K142="",L142=""),"Xem xét",IF(MAX(ABS(K142),ABS(L142))&lt;=ThongTin!$C$12,"OK","Xem xét")))))</f>
        <v/>
      </c>
    </row>
    <row r="143" spans="1:13" x14ac:dyDescent="0.25">
      <c r="A143" s="35" t="str">
        <f t="shared" si="10"/>
        <v/>
      </c>
      <c r="B143" s="35" t="str">
        <f>IF(BOM!A143="","",BOM!A143)</f>
        <v/>
      </c>
      <c r="C143" s="35" t="str">
        <f>IF(B143="","",BOM!B143)</f>
        <v/>
      </c>
      <c r="D143" s="35" t="str">
        <f>IF(B143="","",KT_DMTT_ChiTiet!E143)</f>
        <v/>
      </c>
      <c r="E143" s="36" t="str">
        <f>IF(B143="","",BOM!G143&amp;"")</f>
        <v/>
      </c>
      <c r="F143" s="39" t="str">
        <f>IF(B143="","",BOM!E143)</f>
        <v/>
      </c>
      <c r="G143" s="39" t="str">
        <f>IF(OR(B143="",E143="KXDDM"),"",BOM!F143)</f>
        <v/>
      </c>
      <c r="H143" s="39" t="str">
        <f>IF(OR(B143="",E143&lt;&gt;""),"",IFERROR(INDEX(KT_nguoc_theo_NL!$J$5:$J$304,MATCH(C143,KT_nguoc_theo_NL!$B$5:$B$304,0))/INDEX(KT_nguoc_theo_NL!$K$5:$K$304,MATCH(C143,KT_nguoc_theo_NL!$B$5:$B$304,0)),""))</f>
        <v/>
      </c>
      <c r="I143" s="39" t="str">
        <f t="shared" si="11"/>
        <v/>
      </c>
      <c r="J143" s="46" t="str">
        <f t="shared" si="12"/>
        <v/>
      </c>
      <c r="K143" s="46" t="str">
        <f t="shared" si="13"/>
        <v/>
      </c>
      <c r="L143" s="46" t="str">
        <f t="shared" si="14"/>
        <v/>
      </c>
      <c r="M143" s="35" t="str">
        <f>IF(B143="","",IF(E143="KXDDM","KXDDM – không ĐM",IF(E143&lt;&gt;"","Không KT ("&amp;E143&amp;")",IF(OR(K143="",L143=""),"Xem xét",IF(MAX(ABS(K143),ABS(L143))&lt;=ThongTin!$C$12,"OK","Xem xét")))))</f>
        <v/>
      </c>
    </row>
    <row r="144" spans="1:13" x14ac:dyDescent="0.25">
      <c r="A144" s="35" t="str">
        <f t="shared" si="10"/>
        <v/>
      </c>
      <c r="B144" s="35" t="str">
        <f>IF(BOM!A144="","",BOM!A144)</f>
        <v/>
      </c>
      <c r="C144" s="35" t="str">
        <f>IF(B144="","",BOM!B144)</f>
        <v/>
      </c>
      <c r="D144" s="35" t="str">
        <f>IF(B144="","",KT_DMTT_ChiTiet!E144)</f>
        <v/>
      </c>
      <c r="E144" s="36" t="str">
        <f>IF(B144="","",BOM!G144&amp;"")</f>
        <v/>
      </c>
      <c r="F144" s="39" t="str">
        <f>IF(B144="","",BOM!E144)</f>
        <v/>
      </c>
      <c r="G144" s="39" t="str">
        <f>IF(OR(B144="",E144="KXDDM"),"",BOM!F144)</f>
        <v/>
      </c>
      <c r="H144" s="39" t="str">
        <f>IF(OR(B144="",E144&lt;&gt;""),"",IFERROR(INDEX(KT_nguoc_theo_NL!$J$5:$J$304,MATCH(C144,KT_nguoc_theo_NL!$B$5:$B$304,0))/INDEX(KT_nguoc_theo_NL!$K$5:$K$304,MATCH(C144,KT_nguoc_theo_NL!$B$5:$B$304,0)),""))</f>
        <v/>
      </c>
      <c r="I144" s="39" t="str">
        <f t="shared" si="11"/>
        <v/>
      </c>
      <c r="J144" s="46" t="str">
        <f t="shared" si="12"/>
        <v/>
      </c>
      <c r="K144" s="46" t="str">
        <f t="shared" si="13"/>
        <v/>
      </c>
      <c r="L144" s="46" t="str">
        <f t="shared" si="14"/>
        <v/>
      </c>
      <c r="M144" s="35" t="str">
        <f>IF(B144="","",IF(E144="KXDDM","KXDDM – không ĐM",IF(E144&lt;&gt;"","Không KT ("&amp;E144&amp;")",IF(OR(K144="",L144=""),"Xem xét",IF(MAX(ABS(K144),ABS(L144))&lt;=ThongTin!$C$12,"OK","Xem xét")))))</f>
        <v/>
      </c>
    </row>
    <row r="145" spans="1:13" x14ac:dyDescent="0.25">
      <c r="A145" s="35" t="str">
        <f t="shared" si="10"/>
        <v/>
      </c>
      <c r="B145" s="35" t="str">
        <f>IF(BOM!A145="","",BOM!A145)</f>
        <v/>
      </c>
      <c r="C145" s="35" t="str">
        <f>IF(B145="","",BOM!B145)</f>
        <v/>
      </c>
      <c r="D145" s="35" t="str">
        <f>IF(B145="","",KT_DMTT_ChiTiet!E145)</f>
        <v/>
      </c>
      <c r="E145" s="36" t="str">
        <f>IF(B145="","",BOM!G145&amp;"")</f>
        <v/>
      </c>
      <c r="F145" s="39" t="str">
        <f>IF(B145="","",BOM!E145)</f>
        <v/>
      </c>
      <c r="G145" s="39" t="str">
        <f>IF(OR(B145="",E145="KXDDM"),"",BOM!F145)</f>
        <v/>
      </c>
      <c r="H145" s="39" t="str">
        <f>IF(OR(B145="",E145&lt;&gt;""),"",IFERROR(INDEX(KT_nguoc_theo_NL!$J$5:$J$304,MATCH(C145,KT_nguoc_theo_NL!$B$5:$B$304,0))/INDEX(KT_nguoc_theo_NL!$K$5:$K$304,MATCH(C145,KT_nguoc_theo_NL!$B$5:$B$304,0)),""))</f>
        <v/>
      </c>
      <c r="I145" s="39" t="str">
        <f t="shared" si="11"/>
        <v/>
      </c>
      <c r="J145" s="46" t="str">
        <f t="shared" si="12"/>
        <v/>
      </c>
      <c r="K145" s="46" t="str">
        <f t="shared" si="13"/>
        <v/>
      </c>
      <c r="L145" s="46" t="str">
        <f t="shared" si="14"/>
        <v/>
      </c>
      <c r="M145" s="35" t="str">
        <f>IF(B145="","",IF(E145="KXDDM","KXDDM – không ĐM",IF(E145&lt;&gt;"","Không KT ("&amp;E145&amp;")",IF(OR(K145="",L145=""),"Xem xét",IF(MAX(ABS(K145),ABS(L145))&lt;=ThongTin!$C$12,"OK","Xem xét")))))</f>
        <v/>
      </c>
    </row>
    <row r="146" spans="1:13" x14ac:dyDescent="0.25">
      <c r="A146" s="35" t="str">
        <f t="shared" si="10"/>
        <v/>
      </c>
      <c r="B146" s="35" t="str">
        <f>IF(BOM!A146="","",BOM!A146)</f>
        <v/>
      </c>
      <c r="C146" s="35" t="str">
        <f>IF(B146="","",BOM!B146)</f>
        <v/>
      </c>
      <c r="D146" s="35" t="str">
        <f>IF(B146="","",KT_DMTT_ChiTiet!E146)</f>
        <v/>
      </c>
      <c r="E146" s="36" t="str">
        <f>IF(B146="","",BOM!G146&amp;"")</f>
        <v/>
      </c>
      <c r="F146" s="39" t="str">
        <f>IF(B146="","",BOM!E146)</f>
        <v/>
      </c>
      <c r="G146" s="39" t="str">
        <f>IF(OR(B146="",E146="KXDDM"),"",BOM!F146)</f>
        <v/>
      </c>
      <c r="H146" s="39" t="str">
        <f>IF(OR(B146="",E146&lt;&gt;""),"",IFERROR(INDEX(KT_nguoc_theo_NL!$J$5:$J$304,MATCH(C146,KT_nguoc_theo_NL!$B$5:$B$304,0))/INDEX(KT_nguoc_theo_NL!$K$5:$K$304,MATCH(C146,KT_nguoc_theo_NL!$B$5:$B$304,0)),""))</f>
        <v/>
      </c>
      <c r="I146" s="39" t="str">
        <f t="shared" si="11"/>
        <v/>
      </c>
      <c r="J146" s="46" t="str">
        <f t="shared" si="12"/>
        <v/>
      </c>
      <c r="K146" s="46" t="str">
        <f t="shared" si="13"/>
        <v/>
      </c>
      <c r="L146" s="46" t="str">
        <f t="shared" si="14"/>
        <v/>
      </c>
      <c r="M146" s="35" t="str">
        <f>IF(B146="","",IF(E146="KXDDM","KXDDM – không ĐM",IF(E146&lt;&gt;"","Không KT ("&amp;E146&amp;")",IF(OR(K146="",L146=""),"Xem xét",IF(MAX(ABS(K146),ABS(L146))&lt;=ThongTin!$C$12,"OK","Xem xét")))))</f>
        <v/>
      </c>
    </row>
    <row r="147" spans="1:13" x14ac:dyDescent="0.25">
      <c r="A147" s="35" t="str">
        <f t="shared" si="10"/>
        <v/>
      </c>
      <c r="B147" s="35" t="str">
        <f>IF(BOM!A147="","",BOM!A147)</f>
        <v/>
      </c>
      <c r="C147" s="35" t="str">
        <f>IF(B147="","",BOM!B147)</f>
        <v/>
      </c>
      <c r="D147" s="35" t="str">
        <f>IF(B147="","",KT_DMTT_ChiTiet!E147)</f>
        <v/>
      </c>
      <c r="E147" s="36" t="str">
        <f>IF(B147="","",BOM!G147&amp;"")</f>
        <v/>
      </c>
      <c r="F147" s="39" t="str">
        <f>IF(B147="","",BOM!E147)</f>
        <v/>
      </c>
      <c r="G147" s="39" t="str">
        <f>IF(OR(B147="",E147="KXDDM"),"",BOM!F147)</f>
        <v/>
      </c>
      <c r="H147" s="39" t="str">
        <f>IF(OR(B147="",E147&lt;&gt;""),"",IFERROR(INDEX(KT_nguoc_theo_NL!$J$5:$J$304,MATCH(C147,KT_nguoc_theo_NL!$B$5:$B$304,0))/INDEX(KT_nguoc_theo_NL!$K$5:$K$304,MATCH(C147,KT_nguoc_theo_NL!$B$5:$B$304,0)),""))</f>
        <v/>
      </c>
      <c r="I147" s="39" t="str">
        <f t="shared" si="11"/>
        <v/>
      </c>
      <c r="J147" s="46" t="str">
        <f t="shared" si="12"/>
        <v/>
      </c>
      <c r="K147" s="46" t="str">
        <f t="shared" si="13"/>
        <v/>
      </c>
      <c r="L147" s="46" t="str">
        <f t="shared" si="14"/>
        <v/>
      </c>
      <c r="M147" s="35" t="str">
        <f>IF(B147="","",IF(E147="KXDDM","KXDDM – không ĐM",IF(E147&lt;&gt;"","Không KT ("&amp;E147&amp;")",IF(OR(K147="",L147=""),"Xem xét",IF(MAX(ABS(K147),ABS(L147))&lt;=ThongTin!$C$12,"OK","Xem xét")))))</f>
        <v/>
      </c>
    </row>
    <row r="148" spans="1:13" x14ac:dyDescent="0.25">
      <c r="A148" s="35" t="str">
        <f t="shared" si="10"/>
        <v/>
      </c>
      <c r="B148" s="35" t="str">
        <f>IF(BOM!A148="","",BOM!A148)</f>
        <v/>
      </c>
      <c r="C148" s="35" t="str">
        <f>IF(B148="","",BOM!B148)</f>
        <v/>
      </c>
      <c r="D148" s="35" t="str">
        <f>IF(B148="","",KT_DMTT_ChiTiet!E148)</f>
        <v/>
      </c>
      <c r="E148" s="36" t="str">
        <f>IF(B148="","",BOM!G148&amp;"")</f>
        <v/>
      </c>
      <c r="F148" s="39" t="str">
        <f>IF(B148="","",BOM!E148)</f>
        <v/>
      </c>
      <c r="G148" s="39" t="str">
        <f>IF(OR(B148="",E148="KXDDM"),"",BOM!F148)</f>
        <v/>
      </c>
      <c r="H148" s="39" t="str">
        <f>IF(OR(B148="",E148&lt;&gt;""),"",IFERROR(INDEX(KT_nguoc_theo_NL!$J$5:$J$304,MATCH(C148,KT_nguoc_theo_NL!$B$5:$B$304,0))/INDEX(KT_nguoc_theo_NL!$K$5:$K$304,MATCH(C148,KT_nguoc_theo_NL!$B$5:$B$304,0)),""))</f>
        <v/>
      </c>
      <c r="I148" s="39" t="str">
        <f t="shared" si="11"/>
        <v/>
      </c>
      <c r="J148" s="46" t="str">
        <f t="shared" si="12"/>
        <v/>
      </c>
      <c r="K148" s="46" t="str">
        <f t="shared" si="13"/>
        <v/>
      </c>
      <c r="L148" s="46" t="str">
        <f t="shared" si="14"/>
        <v/>
      </c>
      <c r="M148" s="35" t="str">
        <f>IF(B148="","",IF(E148="KXDDM","KXDDM – không ĐM",IF(E148&lt;&gt;"","Không KT ("&amp;E148&amp;")",IF(OR(K148="",L148=""),"Xem xét",IF(MAX(ABS(K148),ABS(L148))&lt;=ThongTin!$C$12,"OK","Xem xét")))))</f>
        <v/>
      </c>
    </row>
    <row r="149" spans="1:13" x14ac:dyDescent="0.25">
      <c r="A149" s="35" t="str">
        <f t="shared" si="10"/>
        <v/>
      </c>
      <c r="B149" s="35" t="str">
        <f>IF(BOM!A149="","",BOM!A149)</f>
        <v/>
      </c>
      <c r="C149" s="35" t="str">
        <f>IF(B149="","",BOM!B149)</f>
        <v/>
      </c>
      <c r="D149" s="35" t="str">
        <f>IF(B149="","",KT_DMTT_ChiTiet!E149)</f>
        <v/>
      </c>
      <c r="E149" s="36" t="str">
        <f>IF(B149="","",BOM!G149&amp;"")</f>
        <v/>
      </c>
      <c r="F149" s="39" t="str">
        <f>IF(B149="","",BOM!E149)</f>
        <v/>
      </c>
      <c r="G149" s="39" t="str">
        <f>IF(OR(B149="",E149="KXDDM"),"",BOM!F149)</f>
        <v/>
      </c>
      <c r="H149" s="39" t="str">
        <f>IF(OR(B149="",E149&lt;&gt;""),"",IFERROR(INDEX(KT_nguoc_theo_NL!$J$5:$J$304,MATCH(C149,KT_nguoc_theo_NL!$B$5:$B$304,0))/INDEX(KT_nguoc_theo_NL!$K$5:$K$304,MATCH(C149,KT_nguoc_theo_NL!$B$5:$B$304,0)),""))</f>
        <v/>
      </c>
      <c r="I149" s="39" t="str">
        <f t="shared" si="11"/>
        <v/>
      </c>
      <c r="J149" s="46" t="str">
        <f t="shared" si="12"/>
        <v/>
      </c>
      <c r="K149" s="46" t="str">
        <f t="shared" si="13"/>
        <v/>
      </c>
      <c r="L149" s="46" t="str">
        <f t="shared" si="14"/>
        <v/>
      </c>
      <c r="M149" s="35" t="str">
        <f>IF(B149="","",IF(E149="KXDDM","KXDDM – không ĐM",IF(E149&lt;&gt;"","Không KT ("&amp;E149&amp;")",IF(OR(K149="",L149=""),"Xem xét",IF(MAX(ABS(K149),ABS(L149))&lt;=ThongTin!$C$12,"OK","Xem xét")))))</f>
        <v/>
      </c>
    </row>
    <row r="150" spans="1:13" x14ac:dyDescent="0.25">
      <c r="A150" s="35" t="str">
        <f t="shared" si="10"/>
        <v/>
      </c>
      <c r="B150" s="35" t="str">
        <f>IF(BOM!A150="","",BOM!A150)</f>
        <v/>
      </c>
      <c r="C150" s="35" t="str">
        <f>IF(B150="","",BOM!B150)</f>
        <v/>
      </c>
      <c r="D150" s="35" t="str">
        <f>IF(B150="","",KT_DMTT_ChiTiet!E150)</f>
        <v/>
      </c>
      <c r="E150" s="36" t="str">
        <f>IF(B150="","",BOM!G150&amp;"")</f>
        <v/>
      </c>
      <c r="F150" s="39" t="str">
        <f>IF(B150="","",BOM!E150)</f>
        <v/>
      </c>
      <c r="G150" s="39" t="str">
        <f>IF(OR(B150="",E150="KXDDM"),"",BOM!F150)</f>
        <v/>
      </c>
      <c r="H150" s="39" t="str">
        <f>IF(OR(B150="",E150&lt;&gt;""),"",IFERROR(INDEX(KT_nguoc_theo_NL!$J$5:$J$304,MATCH(C150,KT_nguoc_theo_NL!$B$5:$B$304,0))/INDEX(KT_nguoc_theo_NL!$K$5:$K$304,MATCH(C150,KT_nguoc_theo_NL!$B$5:$B$304,0)),""))</f>
        <v/>
      </c>
      <c r="I150" s="39" t="str">
        <f t="shared" si="11"/>
        <v/>
      </c>
      <c r="J150" s="46" t="str">
        <f t="shared" si="12"/>
        <v/>
      </c>
      <c r="K150" s="46" t="str">
        <f t="shared" si="13"/>
        <v/>
      </c>
      <c r="L150" s="46" t="str">
        <f t="shared" si="14"/>
        <v/>
      </c>
      <c r="M150" s="35" t="str">
        <f>IF(B150="","",IF(E150="KXDDM","KXDDM – không ĐM",IF(E150&lt;&gt;"","Không KT ("&amp;E150&amp;")",IF(OR(K150="",L150=""),"Xem xét",IF(MAX(ABS(K150),ABS(L150))&lt;=ThongTin!$C$12,"OK","Xem xét")))))</f>
        <v/>
      </c>
    </row>
    <row r="151" spans="1:13" x14ac:dyDescent="0.25">
      <c r="A151" s="35" t="str">
        <f t="shared" si="10"/>
        <v/>
      </c>
      <c r="B151" s="35" t="str">
        <f>IF(BOM!A151="","",BOM!A151)</f>
        <v/>
      </c>
      <c r="C151" s="35" t="str">
        <f>IF(B151="","",BOM!B151)</f>
        <v/>
      </c>
      <c r="D151" s="35" t="str">
        <f>IF(B151="","",KT_DMTT_ChiTiet!E151)</f>
        <v/>
      </c>
      <c r="E151" s="36" t="str">
        <f>IF(B151="","",BOM!G151&amp;"")</f>
        <v/>
      </c>
      <c r="F151" s="39" t="str">
        <f>IF(B151="","",BOM!E151)</f>
        <v/>
      </c>
      <c r="G151" s="39" t="str">
        <f>IF(OR(B151="",E151="KXDDM"),"",BOM!F151)</f>
        <v/>
      </c>
      <c r="H151" s="39" t="str">
        <f>IF(OR(B151="",E151&lt;&gt;""),"",IFERROR(INDEX(KT_nguoc_theo_NL!$J$5:$J$304,MATCH(C151,KT_nguoc_theo_NL!$B$5:$B$304,0))/INDEX(KT_nguoc_theo_NL!$K$5:$K$304,MATCH(C151,KT_nguoc_theo_NL!$B$5:$B$304,0)),""))</f>
        <v/>
      </c>
      <c r="I151" s="39" t="str">
        <f t="shared" si="11"/>
        <v/>
      </c>
      <c r="J151" s="46" t="str">
        <f t="shared" si="12"/>
        <v/>
      </c>
      <c r="K151" s="46" t="str">
        <f t="shared" si="13"/>
        <v/>
      </c>
      <c r="L151" s="46" t="str">
        <f t="shared" si="14"/>
        <v/>
      </c>
      <c r="M151" s="35" t="str">
        <f>IF(B151="","",IF(E151="KXDDM","KXDDM – không ĐM",IF(E151&lt;&gt;"","Không KT ("&amp;E151&amp;")",IF(OR(K151="",L151=""),"Xem xét",IF(MAX(ABS(K151),ABS(L151))&lt;=ThongTin!$C$12,"OK","Xem xét")))))</f>
        <v/>
      </c>
    </row>
    <row r="152" spans="1:13" x14ac:dyDescent="0.25">
      <c r="A152" s="35" t="str">
        <f t="shared" si="10"/>
        <v/>
      </c>
      <c r="B152" s="35" t="str">
        <f>IF(BOM!A152="","",BOM!A152)</f>
        <v/>
      </c>
      <c r="C152" s="35" t="str">
        <f>IF(B152="","",BOM!B152)</f>
        <v/>
      </c>
      <c r="D152" s="35" t="str">
        <f>IF(B152="","",KT_DMTT_ChiTiet!E152)</f>
        <v/>
      </c>
      <c r="E152" s="36" t="str">
        <f>IF(B152="","",BOM!G152&amp;"")</f>
        <v/>
      </c>
      <c r="F152" s="39" t="str">
        <f>IF(B152="","",BOM!E152)</f>
        <v/>
      </c>
      <c r="G152" s="39" t="str">
        <f>IF(OR(B152="",E152="KXDDM"),"",BOM!F152)</f>
        <v/>
      </c>
      <c r="H152" s="39" t="str">
        <f>IF(OR(B152="",E152&lt;&gt;""),"",IFERROR(INDEX(KT_nguoc_theo_NL!$J$5:$J$304,MATCH(C152,KT_nguoc_theo_NL!$B$5:$B$304,0))/INDEX(KT_nguoc_theo_NL!$K$5:$K$304,MATCH(C152,KT_nguoc_theo_NL!$B$5:$B$304,0)),""))</f>
        <v/>
      </c>
      <c r="I152" s="39" t="str">
        <f t="shared" si="11"/>
        <v/>
      </c>
      <c r="J152" s="46" t="str">
        <f t="shared" si="12"/>
        <v/>
      </c>
      <c r="K152" s="46" t="str">
        <f t="shared" si="13"/>
        <v/>
      </c>
      <c r="L152" s="46" t="str">
        <f t="shared" si="14"/>
        <v/>
      </c>
      <c r="M152" s="35" t="str">
        <f>IF(B152="","",IF(E152="KXDDM","KXDDM – không ĐM",IF(E152&lt;&gt;"","Không KT ("&amp;E152&amp;")",IF(OR(K152="",L152=""),"Xem xét",IF(MAX(ABS(K152),ABS(L152))&lt;=ThongTin!$C$12,"OK","Xem xét")))))</f>
        <v/>
      </c>
    </row>
    <row r="153" spans="1:13" x14ac:dyDescent="0.25">
      <c r="A153" s="35" t="str">
        <f t="shared" si="10"/>
        <v/>
      </c>
      <c r="B153" s="35" t="str">
        <f>IF(BOM!A153="","",BOM!A153)</f>
        <v/>
      </c>
      <c r="C153" s="35" t="str">
        <f>IF(B153="","",BOM!B153)</f>
        <v/>
      </c>
      <c r="D153" s="35" t="str">
        <f>IF(B153="","",KT_DMTT_ChiTiet!E153)</f>
        <v/>
      </c>
      <c r="E153" s="36" t="str">
        <f>IF(B153="","",BOM!G153&amp;"")</f>
        <v/>
      </c>
      <c r="F153" s="39" t="str">
        <f>IF(B153="","",BOM!E153)</f>
        <v/>
      </c>
      <c r="G153" s="39" t="str">
        <f>IF(OR(B153="",E153="KXDDM"),"",BOM!F153)</f>
        <v/>
      </c>
      <c r="H153" s="39" t="str">
        <f>IF(OR(B153="",E153&lt;&gt;""),"",IFERROR(INDEX(KT_nguoc_theo_NL!$J$5:$J$304,MATCH(C153,KT_nguoc_theo_NL!$B$5:$B$304,0))/INDEX(KT_nguoc_theo_NL!$K$5:$K$304,MATCH(C153,KT_nguoc_theo_NL!$B$5:$B$304,0)),""))</f>
        <v/>
      </c>
      <c r="I153" s="39" t="str">
        <f t="shared" si="11"/>
        <v/>
      </c>
      <c r="J153" s="46" t="str">
        <f t="shared" si="12"/>
        <v/>
      </c>
      <c r="K153" s="46" t="str">
        <f t="shared" si="13"/>
        <v/>
      </c>
      <c r="L153" s="46" t="str">
        <f t="shared" si="14"/>
        <v/>
      </c>
      <c r="M153" s="35" t="str">
        <f>IF(B153="","",IF(E153="KXDDM","KXDDM – không ĐM",IF(E153&lt;&gt;"","Không KT ("&amp;E153&amp;")",IF(OR(K153="",L153=""),"Xem xét",IF(MAX(ABS(K153),ABS(L153))&lt;=ThongTin!$C$12,"OK","Xem xét")))))</f>
        <v/>
      </c>
    </row>
    <row r="154" spans="1:13" x14ac:dyDescent="0.25">
      <c r="A154" s="35" t="str">
        <f t="shared" si="10"/>
        <v/>
      </c>
      <c r="B154" s="35" t="str">
        <f>IF(BOM!A154="","",BOM!A154)</f>
        <v/>
      </c>
      <c r="C154" s="35" t="str">
        <f>IF(B154="","",BOM!B154)</f>
        <v/>
      </c>
      <c r="D154" s="35" t="str">
        <f>IF(B154="","",KT_DMTT_ChiTiet!E154)</f>
        <v/>
      </c>
      <c r="E154" s="36" t="str">
        <f>IF(B154="","",BOM!G154&amp;"")</f>
        <v/>
      </c>
      <c r="F154" s="39" t="str">
        <f>IF(B154="","",BOM!E154)</f>
        <v/>
      </c>
      <c r="G154" s="39" t="str">
        <f>IF(OR(B154="",E154="KXDDM"),"",BOM!F154)</f>
        <v/>
      </c>
      <c r="H154" s="39" t="str">
        <f>IF(OR(B154="",E154&lt;&gt;""),"",IFERROR(INDEX(KT_nguoc_theo_NL!$J$5:$J$304,MATCH(C154,KT_nguoc_theo_NL!$B$5:$B$304,0))/INDEX(KT_nguoc_theo_NL!$K$5:$K$304,MATCH(C154,KT_nguoc_theo_NL!$B$5:$B$304,0)),""))</f>
        <v/>
      </c>
      <c r="I154" s="39" t="str">
        <f t="shared" si="11"/>
        <v/>
      </c>
      <c r="J154" s="46" t="str">
        <f t="shared" si="12"/>
        <v/>
      </c>
      <c r="K154" s="46" t="str">
        <f t="shared" si="13"/>
        <v/>
      </c>
      <c r="L154" s="46" t="str">
        <f t="shared" si="14"/>
        <v/>
      </c>
      <c r="M154" s="35" t="str">
        <f>IF(B154="","",IF(E154="KXDDM","KXDDM – không ĐM",IF(E154&lt;&gt;"","Không KT ("&amp;E154&amp;")",IF(OR(K154="",L154=""),"Xem xét",IF(MAX(ABS(K154),ABS(L154))&lt;=ThongTin!$C$12,"OK","Xem xét")))))</f>
        <v/>
      </c>
    </row>
    <row r="155" spans="1:13" x14ac:dyDescent="0.25">
      <c r="A155" s="35" t="str">
        <f t="shared" si="10"/>
        <v/>
      </c>
      <c r="B155" s="35" t="str">
        <f>IF(BOM!A155="","",BOM!A155)</f>
        <v/>
      </c>
      <c r="C155" s="35" t="str">
        <f>IF(B155="","",BOM!B155)</f>
        <v/>
      </c>
      <c r="D155" s="35" t="str">
        <f>IF(B155="","",KT_DMTT_ChiTiet!E155)</f>
        <v/>
      </c>
      <c r="E155" s="36" t="str">
        <f>IF(B155="","",BOM!G155&amp;"")</f>
        <v/>
      </c>
      <c r="F155" s="39" t="str">
        <f>IF(B155="","",BOM!E155)</f>
        <v/>
      </c>
      <c r="G155" s="39" t="str">
        <f>IF(OR(B155="",E155="KXDDM"),"",BOM!F155)</f>
        <v/>
      </c>
      <c r="H155" s="39" t="str">
        <f>IF(OR(B155="",E155&lt;&gt;""),"",IFERROR(INDEX(KT_nguoc_theo_NL!$J$5:$J$304,MATCH(C155,KT_nguoc_theo_NL!$B$5:$B$304,0))/INDEX(KT_nguoc_theo_NL!$K$5:$K$304,MATCH(C155,KT_nguoc_theo_NL!$B$5:$B$304,0)),""))</f>
        <v/>
      </c>
      <c r="I155" s="39" t="str">
        <f t="shared" si="11"/>
        <v/>
      </c>
      <c r="J155" s="46" t="str">
        <f t="shared" si="12"/>
        <v/>
      </c>
      <c r="K155" s="46" t="str">
        <f t="shared" si="13"/>
        <v/>
      </c>
      <c r="L155" s="46" t="str">
        <f t="shared" si="14"/>
        <v/>
      </c>
      <c r="M155" s="35" t="str">
        <f>IF(B155="","",IF(E155="KXDDM","KXDDM – không ĐM",IF(E155&lt;&gt;"","Không KT ("&amp;E155&amp;")",IF(OR(K155="",L155=""),"Xem xét",IF(MAX(ABS(K155),ABS(L155))&lt;=ThongTin!$C$12,"OK","Xem xét")))))</f>
        <v/>
      </c>
    </row>
    <row r="156" spans="1:13" x14ac:dyDescent="0.25">
      <c r="A156" s="35" t="str">
        <f t="shared" si="10"/>
        <v/>
      </c>
      <c r="B156" s="35" t="str">
        <f>IF(BOM!A156="","",BOM!A156)</f>
        <v/>
      </c>
      <c r="C156" s="35" t="str">
        <f>IF(B156="","",BOM!B156)</f>
        <v/>
      </c>
      <c r="D156" s="35" t="str">
        <f>IF(B156="","",KT_DMTT_ChiTiet!E156)</f>
        <v/>
      </c>
      <c r="E156" s="36" t="str">
        <f>IF(B156="","",BOM!G156&amp;"")</f>
        <v/>
      </c>
      <c r="F156" s="39" t="str">
        <f>IF(B156="","",BOM!E156)</f>
        <v/>
      </c>
      <c r="G156" s="39" t="str">
        <f>IF(OR(B156="",E156="KXDDM"),"",BOM!F156)</f>
        <v/>
      </c>
      <c r="H156" s="39" t="str">
        <f>IF(OR(B156="",E156&lt;&gt;""),"",IFERROR(INDEX(KT_nguoc_theo_NL!$J$5:$J$304,MATCH(C156,KT_nguoc_theo_NL!$B$5:$B$304,0))/INDEX(KT_nguoc_theo_NL!$K$5:$K$304,MATCH(C156,KT_nguoc_theo_NL!$B$5:$B$304,0)),""))</f>
        <v/>
      </c>
      <c r="I156" s="39" t="str">
        <f t="shared" si="11"/>
        <v/>
      </c>
      <c r="J156" s="46" t="str">
        <f t="shared" si="12"/>
        <v/>
      </c>
      <c r="K156" s="46" t="str">
        <f t="shared" si="13"/>
        <v/>
      </c>
      <c r="L156" s="46" t="str">
        <f t="shared" si="14"/>
        <v/>
      </c>
      <c r="M156" s="35" t="str">
        <f>IF(B156="","",IF(E156="KXDDM","KXDDM – không ĐM",IF(E156&lt;&gt;"","Không KT ("&amp;E156&amp;")",IF(OR(K156="",L156=""),"Xem xét",IF(MAX(ABS(K156),ABS(L156))&lt;=ThongTin!$C$12,"OK","Xem xét")))))</f>
        <v/>
      </c>
    </row>
    <row r="157" spans="1:13" x14ac:dyDescent="0.25">
      <c r="A157" s="35" t="str">
        <f t="shared" si="10"/>
        <v/>
      </c>
      <c r="B157" s="35" t="str">
        <f>IF(BOM!A157="","",BOM!A157)</f>
        <v/>
      </c>
      <c r="C157" s="35" t="str">
        <f>IF(B157="","",BOM!B157)</f>
        <v/>
      </c>
      <c r="D157" s="35" t="str">
        <f>IF(B157="","",KT_DMTT_ChiTiet!E157)</f>
        <v/>
      </c>
      <c r="E157" s="36" t="str">
        <f>IF(B157="","",BOM!G157&amp;"")</f>
        <v/>
      </c>
      <c r="F157" s="39" t="str">
        <f>IF(B157="","",BOM!E157)</f>
        <v/>
      </c>
      <c r="G157" s="39" t="str">
        <f>IF(OR(B157="",E157="KXDDM"),"",BOM!F157)</f>
        <v/>
      </c>
      <c r="H157" s="39" t="str">
        <f>IF(OR(B157="",E157&lt;&gt;""),"",IFERROR(INDEX(KT_nguoc_theo_NL!$J$5:$J$304,MATCH(C157,KT_nguoc_theo_NL!$B$5:$B$304,0))/INDEX(KT_nguoc_theo_NL!$K$5:$K$304,MATCH(C157,KT_nguoc_theo_NL!$B$5:$B$304,0)),""))</f>
        <v/>
      </c>
      <c r="I157" s="39" t="str">
        <f t="shared" si="11"/>
        <v/>
      </c>
      <c r="J157" s="46" t="str">
        <f t="shared" si="12"/>
        <v/>
      </c>
      <c r="K157" s="46" t="str">
        <f t="shared" si="13"/>
        <v/>
      </c>
      <c r="L157" s="46" t="str">
        <f t="shared" si="14"/>
        <v/>
      </c>
      <c r="M157" s="35" t="str">
        <f>IF(B157="","",IF(E157="KXDDM","KXDDM – không ĐM",IF(E157&lt;&gt;"","Không KT ("&amp;E157&amp;")",IF(OR(K157="",L157=""),"Xem xét",IF(MAX(ABS(K157),ABS(L157))&lt;=ThongTin!$C$12,"OK","Xem xét")))))</f>
        <v/>
      </c>
    </row>
    <row r="158" spans="1:13" x14ac:dyDescent="0.25">
      <c r="A158" s="35" t="str">
        <f t="shared" si="10"/>
        <v/>
      </c>
      <c r="B158" s="35" t="str">
        <f>IF(BOM!A158="","",BOM!A158)</f>
        <v/>
      </c>
      <c r="C158" s="35" t="str">
        <f>IF(B158="","",BOM!B158)</f>
        <v/>
      </c>
      <c r="D158" s="35" t="str">
        <f>IF(B158="","",KT_DMTT_ChiTiet!E158)</f>
        <v/>
      </c>
      <c r="E158" s="36" t="str">
        <f>IF(B158="","",BOM!G158&amp;"")</f>
        <v/>
      </c>
      <c r="F158" s="39" t="str">
        <f>IF(B158="","",BOM!E158)</f>
        <v/>
      </c>
      <c r="G158" s="39" t="str">
        <f>IF(OR(B158="",E158="KXDDM"),"",BOM!F158)</f>
        <v/>
      </c>
      <c r="H158" s="39" t="str">
        <f>IF(OR(B158="",E158&lt;&gt;""),"",IFERROR(INDEX(KT_nguoc_theo_NL!$J$5:$J$304,MATCH(C158,KT_nguoc_theo_NL!$B$5:$B$304,0))/INDEX(KT_nguoc_theo_NL!$K$5:$K$304,MATCH(C158,KT_nguoc_theo_NL!$B$5:$B$304,0)),""))</f>
        <v/>
      </c>
      <c r="I158" s="39" t="str">
        <f t="shared" si="11"/>
        <v/>
      </c>
      <c r="J158" s="46" t="str">
        <f t="shared" si="12"/>
        <v/>
      </c>
      <c r="K158" s="46" t="str">
        <f t="shared" si="13"/>
        <v/>
      </c>
      <c r="L158" s="46" t="str">
        <f t="shared" si="14"/>
        <v/>
      </c>
      <c r="M158" s="35" t="str">
        <f>IF(B158="","",IF(E158="KXDDM","KXDDM – không ĐM",IF(E158&lt;&gt;"","Không KT ("&amp;E158&amp;")",IF(OR(K158="",L158=""),"Xem xét",IF(MAX(ABS(K158),ABS(L158))&lt;=ThongTin!$C$12,"OK","Xem xét")))))</f>
        <v/>
      </c>
    </row>
    <row r="159" spans="1:13" x14ac:dyDescent="0.25">
      <c r="A159" s="35" t="str">
        <f t="shared" si="10"/>
        <v/>
      </c>
      <c r="B159" s="35" t="str">
        <f>IF(BOM!A159="","",BOM!A159)</f>
        <v/>
      </c>
      <c r="C159" s="35" t="str">
        <f>IF(B159="","",BOM!B159)</f>
        <v/>
      </c>
      <c r="D159" s="35" t="str">
        <f>IF(B159="","",KT_DMTT_ChiTiet!E159)</f>
        <v/>
      </c>
      <c r="E159" s="36" t="str">
        <f>IF(B159="","",BOM!G159&amp;"")</f>
        <v/>
      </c>
      <c r="F159" s="39" t="str">
        <f>IF(B159="","",BOM!E159)</f>
        <v/>
      </c>
      <c r="G159" s="39" t="str">
        <f>IF(OR(B159="",E159="KXDDM"),"",BOM!F159)</f>
        <v/>
      </c>
      <c r="H159" s="39" t="str">
        <f>IF(OR(B159="",E159&lt;&gt;""),"",IFERROR(INDEX(KT_nguoc_theo_NL!$J$5:$J$304,MATCH(C159,KT_nguoc_theo_NL!$B$5:$B$304,0))/INDEX(KT_nguoc_theo_NL!$K$5:$K$304,MATCH(C159,KT_nguoc_theo_NL!$B$5:$B$304,0)),""))</f>
        <v/>
      </c>
      <c r="I159" s="39" t="str">
        <f t="shared" si="11"/>
        <v/>
      </c>
      <c r="J159" s="46" t="str">
        <f t="shared" si="12"/>
        <v/>
      </c>
      <c r="K159" s="46" t="str">
        <f t="shared" si="13"/>
        <v/>
      </c>
      <c r="L159" s="46" t="str">
        <f t="shared" si="14"/>
        <v/>
      </c>
      <c r="M159" s="35" t="str">
        <f>IF(B159="","",IF(E159="KXDDM","KXDDM – không ĐM",IF(E159&lt;&gt;"","Không KT ("&amp;E159&amp;")",IF(OR(K159="",L159=""),"Xem xét",IF(MAX(ABS(K159),ABS(L159))&lt;=ThongTin!$C$12,"OK","Xem xét")))))</f>
        <v/>
      </c>
    </row>
    <row r="160" spans="1:13" x14ac:dyDescent="0.25">
      <c r="A160" s="35" t="str">
        <f t="shared" si="10"/>
        <v/>
      </c>
      <c r="B160" s="35" t="str">
        <f>IF(BOM!A160="","",BOM!A160)</f>
        <v/>
      </c>
      <c r="C160" s="35" t="str">
        <f>IF(B160="","",BOM!B160)</f>
        <v/>
      </c>
      <c r="D160" s="35" t="str">
        <f>IF(B160="","",KT_DMTT_ChiTiet!E160)</f>
        <v/>
      </c>
      <c r="E160" s="36" t="str">
        <f>IF(B160="","",BOM!G160&amp;"")</f>
        <v/>
      </c>
      <c r="F160" s="39" t="str">
        <f>IF(B160="","",BOM!E160)</f>
        <v/>
      </c>
      <c r="G160" s="39" t="str">
        <f>IF(OR(B160="",E160="KXDDM"),"",BOM!F160)</f>
        <v/>
      </c>
      <c r="H160" s="39" t="str">
        <f>IF(OR(B160="",E160&lt;&gt;""),"",IFERROR(INDEX(KT_nguoc_theo_NL!$J$5:$J$304,MATCH(C160,KT_nguoc_theo_NL!$B$5:$B$304,0))/INDEX(KT_nguoc_theo_NL!$K$5:$K$304,MATCH(C160,KT_nguoc_theo_NL!$B$5:$B$304,0)),""))</f>
        <v/>
      </c>
      <c r="I160" s="39" t="str">
        <f t="shared" si="11"/>
        <v/>
      </c>
      <c r="J160" s="46" t="str">
        <f t="shared" si="12"/>
        <v/>
      </c>
      <c r="K160" s="46" t="str">
        <f t="shared" si="13"/>
        <v/>
      </c>
      <c r="L160" s="46" t="str">
        <f t="shared" si="14"/>
        <v/>
      </c>
      <c r="M160" s="35" t="str">
        <f>IF(B160="","",IF(E160="KXDDM","KXDDM – không ĐM",IF(E160&lt;&gt;"","Không KT ("&amp;E160&amp;")",IF(OR(K160="",L160=""),"Xem xét",IF(MAX(ABS(K160),ABS(L160))&lt;=ThongTin!$C$12,"OK","Xem xét")))))</f>
        <v/>
      </c>
    </row>
    <row r="161" spans="1:13" x14ac:dyDescent="0.25">
      <c r="A161" s="35" t="str">
        <f t="shared" si="10"/>
        <v/>
      </c>
      <c r="B161" s="35" t="str">
        <f>IF(BOM!A161="","",BOM!A161)</f>
        <v/>
      </c>
      <c r="C161" s="35" t="str">
        <f>IF(B161="","",BOM!B161)</f>
        <v/>
      </c>
      <c r="D161" s="35" t="str">
        <f>IF(B161="","",KT_DMTT_ChiTiet!E161)</f>
        <v/>
      </c>
      <c r="E161" s="36" t="str">
        <f>IF(B161="","",BOM!G161&amp;"")</f>
        <v/>
      </c>
      <c r="F161" s="39" t="str">
        <f>IF(B161="","",BOM!E161)</f>
        <v/>
      </c>
      <c r="G161" s="39" t="str">
        <f>IF(OR(B161="",E161="KXDDM"),"",BOM!F161)</f>
        <v/>
      </c>
      <c r="H161" s="39" t="str">
        <f>IF(OR(B161="",E161&lt;&gt;""),"",IFERROR(INDEX(KT_nguoc_theo_NL!$J$5:$J$304,MATCH(C161,KT_nguoc_theo_NL!$B$5:$B$304,0))/INDEX(KT_nguoc_theo_NL!$K$5:$K$304,MATCH(C161,KT_nguoc_theo_NL!$B$5:$B$304,0)),""))</f>
        <v/>
      </c>
      <c r="I161" s="39" t="str">
        <f t="shared" si="11"/>
        <v/>
      </c>
      <c r="J161" s="46" t="str">
        <f t="shared" si="12"/>
        <v/>
      </c>
      <c r="K161" s="46" t="str">
        <f t="shared" si="13"/>
        <v/>
      </c>
      <c r="L161" s="46" t="str">
        <f t="shared" si="14"/>
        <v/>
      </c>
      <c r="M161" s="35" t="str">
        <f>IF(B161="","",IF(E161="KXDDM","KXDDM – không ĐM",IF(E161&lt;&gt;"","Không KT ("&amp;E161&amp;")",IF(OR(K161="",L161=""),"Xem xét",IF(MAX(ABS(K161),ABS(L161))&lt;=ThongTin!$C$12,"OK","Xem xét")))))</f>
        <v/>
      </c>
    </row>
    <row r="162" spans="1:13" x14ac:dyDescent="0.25">
      <c r="A162" s="35" t="str">
        <f t="shared" si="10"/>
        <v/>
      </c>
      <c r="B162" s="35" t="str">
        <f>IF(BOM!A162="","",BOM!A162)</f>
        <v/>
      </c>
      <c r="C162" s="35" t="str">
        <f>IF(B162="","",BOM!B162)</f>
        <v/>
      </c>
      <c r="D162" s="35" t="str">
        <f>IF(B162="","",KT_DMTT_ChiTiet!E162)</f>
        <v/>
      </c>
      <c r="E162" s="36" t="str">
        <f>IF(B162="","",BOM!G162&amp;"")</f>
        <v/>
      </c>
      <c r="F162" s="39" t="str">
        <f>IF(B162="","",BOM!E162)</f>
        <v/>
      </c>
      <c r="G162" s="39" t="str">
        <f>IF(OR(B162="",E162="KXDDM"),"",BOM!F162)</f>
        <v/>
      </c>
      <c r="H162" s="39" t="str">
        <f>IF(OR(B162="",E162&lt;&gt;""),"",IFERROR(INDEX(KT_nguoc_theo_NL!$J$5:$J$304,MATCH(C162,KT_nguoc_theo_NL!$B$5:$B$304,0))/INDEX(KT_nguoc_theo_NL!$K$5:$K$304,MATCH(C162,KT_nguoc_theo_NL!$B$5:$B$304,0)),""))</f>
        <v/>
      </c>
      <c r="I162" s="39" t="str">
        <f t="shared" si="11"/>
        <v/>
      </c>
      <c r="J162" s="46" t="str">
        <f t="shared" si="12"/>
        <v/>
      </c>
      <c r="K162" s="46" t="str">
        <f t="shared" si="13"/>
        <v/>
      </c>
      <c r="L162" s="46" t="str">
        <f t="shared" si="14"/>
        <v/>
      </c>
      <c r="M162" s="35" t="str">
        <f>IF(B162="","",IF(E162="KXDDM","KXDDM – không ĐM",IF(E162&lt;&gt;"","Không KT ("&amp;E162&amp;")",IF(OR(K162="",L162=""),"Xem xét",IF(MAX(ABS(K162),ABS(L162))&lt;=ThongTin!$C$12,"OK","Xem xét")))))</f>
        <v/>
      </c>
    </row>
    <row r="163" spans="1:13" x14ac:dyDescent="0.25">
      <c r="A163" s="35" t="str">
        <f t="shared" si="10"/>
        <v/>
      </c>
      <c r="B163" s="35" t="str">
        <f>IF(BOM!A163="","",BOM!A163)</f>
        <v/>
      </c>
      <c r="C163" s="35" t="str">
        <f>IF(B163="","",BOM!B163)</f>
        <v/>
      </c>
      <c r="D163" s="35" t="str">
        <f>IF(B163="","",KT_DMTT_ChiTiet!E163)</f>
        <v/>
      </c>
      <c r="E163" s="36" t="str">
        <f>IF(B163="","",BOM!G163&amp;"")</f>
        <v/>
      </c>
      <c r="F163" s="39" t="str">
        <f>IF(B163="","",BOM!E163)</f>
        <v/>
      </c>
      <c r="G163" s="39" t="str">
        <f>IF(OR(B163="",E163="KXDDM"),"",BOM!F163)</f>
        <v/>
      </c>
      <c r="H163" s="39" t="str">
        <f>IF(OR(B163="",E163&lt;&gt;""),"",IFERROR(INDEX(KT_nguoc_theo_NL!$J$5:$J$304,MATCH(C163,KT_nguoc_theo_NL!$B$5:$B$304,0))/INDEX(KT_nguoc_theo_NL!$K$5:$K$304,MATCH(C163,KT_nguoc_theo_NL!$B$5:$B$304,0)),""))</f>
        <v/>
      </c>
      <c r="I163" s="39" t="str">
        <f t="shared" si="11"/>
        <v/>
      </c>
      <c r="J163" s="46" t="str">
        <f t="shared" si="12"/>
        <v/>
      </c>
      <c r="K163" s="46" t="str">
        <f t="shared" si="13"/>
        <v/>
      </c>
      <c r="L163" s="46" t="str">
        <f t="shared" si="14"/>
        <v/>
      </c>
      <c r="M163" s="35" t="str">
        <f>IF(B163="","",IF(E163="KXDDM","KXDDM – không ĐM",IF(E163&lt;&gt;"","Không KT ("&amp;E163&amp;")",IF(OR(K163="",L163=""),"Xem xét",IF(MAX(ABS(K163),ABS(L163))&lt;=ThongTin!$C$12,"OK","Xem xét")))))</f>
        <v/>
      </c>
    </row>
    <row r="164" spans="1:13" x14ac:dyDescent="0.25">
      <c r="A164" s="35" t="str">
        <f t="shared" si="10"/>
        <v/>
      </c>
      <c r="B164" s="35" t="str">
        <f>IF(BOM!A164="","",BOM!A164)</f>
        <v/>
      </c>
      <c r="C164" s="35" t="str">
        <f>IF(B164="","",BOM!B164)</f>
        <v/>
      </c>
      <c r="D164" s="35" t="str">
        <f>IF(B164="","",KT_DMTT_ChiTiet!E164)</f>
        <v/>
      </c>
      <c r="E164" s="36" t="str">
        <f>IF(B164="","",BOM!G164&amp;"")</f>
        <v/>
      </c>
      <c r="F164" s="39" t="str">
        <f>IF(B164="","",BOM!E164)</f>
        <v/>
      </c>
      <c r="G164" s="39" t="str">
        <f>IF(OR(B164="",E164="KXDDM"),"",BOM!F164)</f>
        <v/>
      </c>
      <c r="H164" s="39" t="str">
        <f>IF(OR(B164="",E164&lt;&gt;""),"",IFERROR(INDEX(KT_nguoc_theo_NL!$J$5:$J$304,MATCH(C164,KT_nguoc_theo_NL!$B$5:$B$304,0))/INDEX(KT_nguoc_theo_NL!$K$5:$K$304,MATCH(C164,KT_nguoc_theo_NL!$B$5:$B$304,0)),""))</f>
        <v/>
      </c>
      <c r="I164" s="39" t="str">
        <f t="shared" si="11"/>
        <v/>
      </c>
      <c r="J164" s="46" t="str">
        <f t="shared" si="12"/>
        <v/>
      </c>
      <c r="K164" s="46" t="str">
        <f t="shared" si="13"/>
        <v/>
      </c>
      <c r="L164" s="46" t="str">
        <f t="shared" si="14"/>
        <v/>
      </c>
      <c r="M164" s="35" t="str">
        <f>IF(B164="","",IF(E164="KXDDM","KXDDM – không ĐM",IF(E164&lt;&gt;"","Không KT ("&amp;E164&amp;")",IF(OR(K164="",L164=""),"Xem xét",IF(MAX(ABS(K164),ABS(L164))&lt;=ThongTin!$C$12,"OK","Xem xét")))))</f>
        <v/>
      </c>
    </row>
    <row r="165" spans="1:13" x14ac:dyDescent="0.25">
      <c r="A165" s="35" t="str">
        <f t="shared" si="10"/>
        <v/>
      </c>
      <c r="B165" s="35" t="str">
        <f>IF(BOM!A165="","",BOM!A165)</f>
        <v/>
      </c>
      <c r="C165" s="35" t="str">
        <f>IF(B165="","",BOM!B165)</f>
        <v/>
      </c>
      <c r="D165" s="35" t="str">
        <f>IF(B165="","",KT_DMTT_ChiTiet!E165)</f>
        <v/>
      </c>
      <c r="E165" s="36" t="str">
        <f>IF(B165="","",BOM!G165&amp;"")</f>
        <v/>
      </c>
      <c r="F165" s="39" t="str">
        <f>IF(B165="","",BOM!E165)</f>
        <v/>
      </c>
      <c r="G165" s="39" t="str">
        <f>IF(OR(B165="",E165="KXDDM"),"",BOM!F165)</f>
        <v/>
      </c>
      <c r="H165" s="39" t="str">
        <f>IF(OR(B165="",E165&lt;&gt;""),"",IFERROR(INDEX(KT_nguoc_theo_NL!$J$5:$J$304,MATCH(C165,KT_nguoc_theo_NL!$B$5:$B$304,0))/INDEX(KT_nguoc_theo_NL!$K$5:$K$304,MATCH(C165,KT_nguoc_theo_NL!$B$5:$B$304,0)),""))</f>
        <v/>
      </c>
      <c r="I165" s="39" t="str">
        <f t="shared" si="11"/>
        <v/>
      </c>
      <c r="J165" s="46" t="str">
        <f t="shared" si="12"/>
        <v/>
      </c>
      <c r="K165" s="46" t="str">
        <f t="shared" si="13"/>
        <v/>
      </c>
      <c r="L165" s="46" t="str">
        <f t="shared" si="14"/>
        <v/>
      </c>
      <c r="M165" s="35" t="str">
        <f>IF(B165="","",IF(E165="KXDDM","KXDDM – không ĐM",IF(E165&lt;&gt;"","Không KT ("&amp;E165&amp;")",IF(OR(K165="",L165=""),"Xem xét",IF(MAX(ABS(K165),ABS(L165))&lt;=ThongTin!$C$12,"OK","Xem xét")))))</f>
        <v/>
      </c>
    </row>
    <row r="166" spans="1:13" x14ac:dyDescent="0.25">
      <c r="A166" s="35" t="str">
        <f t="shared" si="10"/>
        <v/>
      </c>
      <c r="B166" s="35" t="str">
        <f>IF(BOM!A166="","",BOM!A166)</f>
        <v/>
      </c>
      <c r="C166" s="35" t="str">
        <f>IF(B166="","",BOM!B166)</f>
        <v/>
      </c>
      <c r="D166" s="35" t="str">
        <f>IF(B166="","",KT_DMTT_ChiTiet!E166)</f>
        <v/>
      </c>
      <c r="E166" s="36" t="str">
        <f>IF(B166="","",BOM!G166&amp;"")</f>
        <v/>
      </c>
      <c r="F166" s="39" t="str">
        <f>IF(B166="","",BOM!E166)</f>
        <v/>
      </c>
      <c r="G166" s="39" t="str">
        <f>IF(OR(B166="",E166="KXDDM"),"",BOM!F166)</f>
        <v/>
      </c>
      <c r="H166" s="39" t="str">
        <f>IF(OR(B166="",E166&lt;&gt;""),"",IFERROR(INDEX(KT_nguoc_theo_NL!$J$5:$J$304,MATCH(C166,KT_nguoc_theo_NL!$B$5:$B$304,0))/INDEX(KT_nguoc_theo_NL!$K$5:$K$304,MATCH(C166,KT_nguoc_theo_NL!$B$5:$B$304,0)),""))</f>
        <v/>
      </c>
      <c r="I166" s="39" t="str">
        <f t="shared" si="11"/>
        <v/>
      </c>
      <c r="J166" s="46" t="str">
        <f t="shared" si="12"/>
        <v/>
      </c>
      <c r="K166" s="46" t="str">
        <f t="shared" si="13"/>
        <v/>
      </c>
      <c r="L166" s="46" t="str">
        <f t="shared" si="14"/>
        <v/>
      </c>
      <c r="M166" s="35" t="str">
        <f>IF(B166="","",IF(E166="KXDDM","KXDDM – không ĐM",IF(E166&lt;&gt;"","Không KT ("&amp;E166&amp;")",IF(OR(K166="",L166=""),"Xem xét",IF(MAX(ABS(K166),ABS(L166))&lt;=ThongTin!$C$12,"OK","Xem xét")))))</f>
        <v/>
      </c>
    </row>
    <row r="167" spans="1:13" x14ac:dyDescent="0.25">
      <c r="A167" s="35" t="str">
        <f t="shared" si="10"/>
        <v/>
      </c>
      <c r="B167" s="35" t="str">
        <f>IF(BOM!A167="","",BOM!A167)</f>
        <v/>
      </c>
      <c r="C167" s="35" t="str">
        <f>IF(B167="","",BOM!B167)</f>
        <v/>
      </c>
      <c r="D167" s="35" t="str">
        <f>IF(B167="","",KT_DMTT_ChiTiet!E167)</f>
        <v/>
      </c>
      <c r="E167" s="36" t="str">
        <f>IF(B167="","",BOM!G167&amp;"")</f>
        <v/>
      </c>
      <c r="F167" s="39" t="str">
        <f>IF(B167="","",BOM!E167)</f>
        <v/>
      </c>
      <c r="G167" s="39" t="str">
        <f>IF(OR(B167="",E167="KXDDM"),"",BOM!F167)</f>
        <v/>
      </c>
      <c r="H167" s="39" t="str">
        <f>IF(OR(B167="",E167&lt;&gt;""),"",IFERROR(INDEX(KT_nguoc_theo_NL!$J$5:$J$304,MATCH(C167,KT_nguoc_theo_NL!$B$5:$B$304,0))/INDEX(KT_nguoc_theo_NL!$K$5:$K$304,MATCH(C167,KT_nguoc_theo_NL!$B$5:$B$304,0)),""))</f>
        <v/>
      </c>
      <c r="I167" s="39" t="str">
        <f t="shared" si="11"/>
        <v/>
      </c>
      <c r="J167" s="46" t="str">
        <f t="shared" si="12"/>
        <v/>
      </c>
      <c r="K167" s="46" t="str">
        <f t="shared" si="13"/>
        <v/>
      </c>
      <c r="L167" s="46" t="str">
        <f t="shared" si="14"/>
        <v/>
      </c>
      <c r="M167" s="35" t="str">
        <f>IF(B167="","",IF(E167="KXDDM","KXDDM – không ĐM",IF(E167&lt;&gt;"","Không KT ("&amp;E167&amp;")",IF(OR(K167="",L167=""),"Xem xét",IF(MAX(ABS(K167),ABS(L167))&lt;=ThongTin!$C$12,"OK","Xem xét")))))</f>
        <v/>
      </c>
    </row>
    <row r="168" spans="1:13" x14ac:dyDescent="0.25">
      <c r="A168" s="35" t="str">
        <f t="shared" si="10"/>
        <v/>
      </c>
      <c r="B168" s="35" t="str">
        <f>IF(BOM!A168="","",BOM!A168)</f>
        <v/>
      </c>
      <c r="C168" s="35" t="str">
        <f>IF(B168="","",BOM!B168)</f>
        <v/>
      </c>
      <c r="D168" s="35" t="str">
        <f>IF(B168="","",KT_DMTT_ChiTiet!E168)</f>
        <v/>
      </c>
      <c r="E168" s="36" t="str">
        <f>IF(B168="","",BOM!G168&amp;"")</f>
        <v/>
      </c>
      <c r="F168" s="39" t="str">
        <f>IF(B168="","",BOM!E168)</f>
        <v/>
      </c>
      <c r="G168" s="39" t="str">
        <f>IF(OR(B168="",E168="KXDDM"),"",BOM!F168)</f>
        <v/>
      </c>
      <c r="H168" s="39" t="str">
        <f>IF(OR(B168="",E168&lt;&gt;""),"",IFERROR(INDEX(KT_nguoc_theo_NL!$J$5:$J$304,MATCH(C168,KT_nguoc_theo_NL!$B$5:$B$304,0))/INDEX(KT_nguoc_theo_NL!$K$5:$K$304,MATCH(C168,KT_nguoc_theo_NL!$B$5:$B$304,0)),""))</f>
        <v/>
      </c>
      <c r="I168" s="39" t="str">
        <f t="shared" si="11"/>
        <v/>
      </c>
      <c r="J168" s="46" t="str">
        <f t="shared" si="12"/>
        <v/>
      </c>
      <c r="K168" s="46" t="str">
        <f t="shared" si="13"/>
        <v/>
      </c>
      <c r="L168" s="46" t="str">
        <f t="shared" si="14"/>
        <v/>
      </c>
      <c r="M168" s="35" t="str">
        <f>IF(B168="","",IF(E168="KXDDM","KXDDM – không ĐM",IF(E168&lt;&gt;"","Không KT ("&amp;E168&amp;")",IF(OR(K168="",L168=""),"Xem xét",IF(MAX(ABS(K168),ABS(L168))&lt;=ThongTin!$C$12,"OK","Xem xét")))))</f>
        <v/>
      </c>
    </row>
    <row r="169" spans="1:13" x14ac:dyDescent="0.25">
      <c r="A169" s="35" t="str">
        <f t="shared" si="10"/>
        <v/>
      </c>
      <c r="B169" s="35" t="str">
        <f>IF(BOM!A169="","",BOM!A169)</f>
        <v/>
      </c>
      <c r="C169" s="35" t="str">
        <f>IF(B169="","",BOM!B169)</f>
        <v/>
      </c>
      <c r="D169" s="35" t="str">
        <f>IF(B169="","",KT_DMTT_ChiTiet!E169)</f>
        <v/>
      </c>
      <c r="E169" s="36" t="str">
        <f>IF(B169="","",BOM!G169&amp;"")</f>
        <v/>
      </c>
      <c r="F169" s="39" t="str">
        <f>IF(B169="","",BOM!E169)</f>
        <v/>
      </c>
      <c r="G169" s="39" t="str">
        <f>IF(OR(B169="",E169="KXDDM"),"",BOM!F169)</f>
        <v/>
      </c>
      <c r="H169" s="39" t="str">
        <f>IF(OR(B169="",E169&lt;&gt;""),"",IFERROR(INDEX(KT_nguoc_theo_NL!$J$5:$J$304,MATCH(C169,KT_nguoc_theo_NL!$B$5:$B$304,0))/INDEX(KT_nguoc_theo_NL!$K$5:$K$304,MATCH(C169,KT_nguoc_theo_NL!$B$5:$B$304,0)),""))</f>
        <v/>
      </c>
      <c r="I169" s="39" t="str">
        <f t="shared" si="11"/>
        <v/>
      </c>
      <c r="J169" s="46" t="str">
        <f t="shared" si="12"/>
        <v/>
      </c>
      <c r="K169" s="46" t="str">
        <f t="shared" si="13"/>
        <v/>
      </c>
      <c r="L169" s="46" t="str">
        <f t="shared" si="14"/>
        <v/>
      </c>
      <c r="M169" s="35" t="str">
        <f>IF(B169="","",IF(E169="KXDDM","KXDDM – không ĐM",IF(E169&lt;&gt;"","Không KT ("&amp;E169&amp;")",IF(OR(K169="",L169=""),"Xem xét",IF(MAX(ABS(K169),ABS(L169))&lt;=ThongTin!$C$12,"OK","Xem xét")))))</f>
        <v/>
      </c>
    </row>
    <row r="170" spans="1:13" x14ac:dyDescent="0.25">
      <c r="A170" s="35" t="str">
        <f t="shared" si="10"/>
        <v/>
      </c>
      <c r="B170" s="35" t="str">
        <f>IF(BOM!A170="","",BOM!A170)</f>
        <v/>
      </c>
      <c r="C170" s="35" t="str">
        <f>IF(B170="","",BOM!B170)</f>
        <v/>
      </c>
      <c r="D170" s="35" t="str">
        <f>IF(B170="","",KT_DMTT_ChiTiet!E170)</f>
        <v/>
      </c>
      <c r="E170" s="36" t="str">
        <f>IF(B170="","",BOM!G170&amp;"")</f>
        <v/>
      </c>
      <c r="F170" s="39" t="str">
        <f>IF(B170="","",BOM!E170)</f>
        <v/>
      </c>
      <c r="G170" s="39" t="str">
        <f>IF(OR(B170="",E170="KXDDM"),"",BOM!F170)</f>
        <v/>
      </c>
      <c r="H170" s="39" t="str">
        <f>IF(OR(B170="",E170&lt;&gt;""),"",IFERROR(INDEX(KT_nguoc_theo_NL!$J$5:$J$304,MATCH(C170,KT_nguoc_theo_NL!$B$5:$B$304,0))/INDEX(KT_nguoc_theo_NL!$K$5:$K$304,MATCH(C170,KT_nguoc_theo_NL!$B$5:$B$304,0)),""))</f>
        <v/>
      </c>
      <c r="I170" s="39" t="str">
        <f t="shared" si="11"/>
        <v/>
      </c>
      <c r="J170" s="46" t="str">
        <f t="shared" si="12"/>
        <v/>
      </c>
      <c r="K170" s="46" t="str">
        <f t="shared" si="13"/>
        <v/>
      </c>
      <c r="L170" s="46" t="str">
        <f t="shared" si="14"/>
        <v/>
      </c>
      <c r="M170" s="35" t="str">
        <f>IF(B170="","",IF(E170="KXDDM","KXDDM – không ĐM",IF(E170&lt;&gt;"","Không KT ("&amp;E170&amp;")",IF(OR(K170="",L170=""),"Xem xét",IF(MAX(ABS(K170),ABS(L170))&lt;=ThongTin!$C$12,"OK","Xem xét")))))</f>
        <v/>
      </c>
    </row>
    <row r="171" spans="1:13" x14ac:dyDescent="0.25">
      <c r="A171" s="35" t="str">
        <f t="shared" si="10"/>
        <v/>
      </c>
      <c r="B171" s="35" t="str">
        <f>IF(BOM!A171="","",BOM!A171)</f>
        <v/>
      </c>
      <c r="C171" s="35" t="str">
        <f>IF(B171="","",BOM!B171)</f>
        <v/>
      </c>
      <c r="D171" s="35" t="str">
        <f>IF(B171="","",KT_DMTT_ChiTiet!E171)</f>
        <v/>
      </c>
      <c r="E171" s="36" t="str">
        <f>IF(B171="","",BOM!G171&amp;"")</f>
        <v/>
      </c>
      <c r="F171" s="39" t="str">
        <f>IF(B171="","",BOM!E171)</f>
        <v/>
      </c>
      <c r="G171" s="39" t="str">
        <f>IF(OR(B171="",E171="KXDDM"),"",BOM!F171)</f>
        <v/>
      </c>
      <c r="H171" s="39" t="str">
        <f>IF(OR(B171="",E171&lt;&gt;""),"",IFERROR(INDEX(KT_nguoc_theo_NL!$J$5:$J$304,MATCH(C171,KT_nguoc_theo_NL!$B$5:$B$304,0))/INDEX(KT_nguoc_theo_NL!$K$5:$K$304,MATCH(C171,KT_nguoc_theo_NL!$B$5:$B$304,0)),""))</f>
        <v/>
      </c>
      <c r="I171" s="39" t="str">
        <f t="shared" si="11"/>
        <v/>
      </c>
      <c r="J171" s="46" t="str">
        <f t="shared" si="12"/>
        <v/>
      </c>
      <c r="K171" s="46" t="str">
        <f t="shared" si="13"/>
        <v/>
      </c>
      <c r="L171" s="46" t="str">
        <f t="shared" si="14"/>
        <v/>
      </c>
      <c r="M171" s="35" t="str">
        <f>IF(B171="","",IF(E171="KXDDM","KXDDM – không ĐM",IF(E171&lt;&gt;"","Không KT ("&amp;E171&amp;")",IF(OR(K171="",L171=""),"Xem xét",IF(MAX(ABS(K171),ABS(L171))&lt;=ThongTin!$C$12,"OK","Xem xét")))))</f>
        <v/>
      </c>
    </row>
    <row r="172" spans="1:13" x14ac:dyDescent="0.25">
      <c r="A172" s="35" t="str">
        <f t="shared" si="10"/>
        <v/>
      </c>
      <c r="B172" s="35" t="str">
        <f>IF(BOM!A172="","",BOM!A172)</f>
        <v/>
      </c>
      <c r="C172" s="35" t="str">
        <f>IF(B172="","",BOM!B172)</f>
        <v/>
      </c>
      <c r="D172" s="35" t="str">
        <f>IF(B172="","",KT_DMTT_ChiTiet!E172)</f>
        <v/>
      </c>
      <c r="E172" s="36" t="str">
        <f>IF(B172="","",BOM!G172&amp;"")</f>
        <v/>
      </c>
      <c r="F172" s="39" t="str">
        <f>IF(B172="","",BOM!E172)</f>
        <v/>
      </c>
      <c r="G172" s="39" t="str">
        <f>IF(OR(B172="",E172="KXDDM"),"",BOM!F172)</f>
        <v/>
      </c>
      <c r="H172" s="39" t="str">
        <f>IF(OR(B172="",E172&lt;&gt;""),"",IFERROR(INDEX(KT_nguoc_theo_NL!$J$5:$J$304,MATCH(C172,KT_nguoc_theo_NL!$B$5:$B$304,0))/INDEX(KT_nguoc_theo_NL!$K$5:$K$304,MATCH(C172,KT_nguoc_theo_NL!$B$5:$B$304,0)),""))</f>
        <v/>
      </c>
      <c r="I172" s="39" t="str">
        <f t="shared" si="11"/>
        <v/>
      </c>
      <c r="J172" s="46" t="str">
        <f t="shared" si="12"/>
        <v/>
      </c>
      <c r="K172" s="46" t="str">
        <f t="shared" si="13"/>
        <v/>
      </c>
      <c r="L172" s="46" t="str">
        <f t="shared" si="14"/>
        <v/>
      </c>
      <c r="M172" s="35" t="str">
        <f>IF(B172="","",IF(E172="KXDDM","KXDDM – không ĐM",IF(E172&lt;&gt;"","Không KT ("&amp;E172&amp;")",IF(OR(K172="",L172=""),"Xem xét",IF(MAX(ABS(K172),ABS(L172))&lt;=ThongTin!$C$12,"OK","Xem xét")))))</f>
        <v/>
      </c>
    </row>
    <row r="173" spans="1:13" x14ac:dyDescent="0.25">
      <c r="A173" s="35" t="str">
        <f t="shared" si="10"/>
        <v/>
      </c>
      <c r="B173" s="35" t="str">
        <f>IF(BOM!A173="","",BOM!A173)</f>
        <v/>
      </c>
      <c r="C173" s="35" t="str">
        <f>IF(B173="","",BOM!B173)</f>
        <v/>
      </c>
      <c r="D173" s="35" t="str">
        <f>IF(B173="","",KT_DMTT_ChiTiet!E173)</f>
        <v/>
      </c>
      <c r="E173" s="36" t="str">
        <f>IF(B173="","",BOM!G173&amp;"")</f>
        <v/>
      </c>
      <c r="F173" s="39" t="str">
        <f>IF(B173="","",BOM!E173)</f>
        <v/>
      </c>
      <c r="G173" s="39" t="str">
        <f>IF(OR(B173="",E173="KXDDM"),"",BOM!F173)</f>
        <v/>
      </c>
      <c r="H173" s="39" t="str">
        <f>IF(OR(B173="",E173&lt;&gt;""),"",IFERROR(INDEX(KT_nguoc_theo_NL!$J$5:$J$304,MATCH(C173,KT_nguoc_theo_NL!$B$5:$B$304,0))/INDEX(KT_nguoc_theo_NL!$K$5:$K$304,MATCH(C173,KT_nguoc_theo_NL!$B$5:$B$304,0)),""))</f>
        <v/>
      </c>
      <c r="I173" s="39" t="str">
        <f t="shared" si="11"/>
        <v/>
      </c>
      <c r="J173" s="46" t="str">
        <f t="shared" si="12"/>
        <v/>
      </c>
      <c r="K173" s="46" t="str">
        <f t="shared" si="13"/>
        <v/>
      </c>
      <c r="L173" s="46" t="str">
        <f t="shared" si="14"/>
        <v/>
      </c>
      <c r="M173" s="35" t="str">
        <f>IF(B173="","",IF(E173="KXDDM","KXDDM – không ĐM",IF(E173&lt;&gt;"","Không KT ("&amp;E173&amp;")",IF(OR(K173="",L173=""),"Xem xét",IF(MAX(ABS(K173),ABS(L173))&lt;=ThongTin!$C$12,"OK","Xem xét")))))</f>
        <v/>
      </c>
    </row>
    <row r="174" spans="1:13" x14ac:dyDescent="0.25">
      <c r="A174" s="35" t="str">
        <f t="shared" si="10"/>
        <v/>
      </c>
      <c r="B174" s="35" t="str">
        <f>IF(BOM!A174="","",BOM!A174)</f>
        <v/>
      </c>
      <c r="C174" s="35" t="str">
        <f>IF(B174="","",BOM!B174)</f>
        <v/>
      </c>
      <c r="D174" s="35" t="str">
        <f>IF(B174="","",KT_DMTT_ChiTiet!E174)</f>
        <v/>
      </c>
      <c r="E174" s="36" t="str">
        <f>IF(B174="","",BOM!G174&amp;"")</f>
        <v/>
      </c>
      <c r="F174" s="39" t="str">
        <f>IF(B174="","",BOM!E174)</f>
        <v/>
      </c>
      <c r="G174" s="39" t="str">
        <f>IF(OR(B174="",E174="KXDDM"),"",BOM!F174)</f>
        <v/>
      </c>
      <c r="H174" s="39" t="str">
        <f>IF(OR(B174="",E174&lt;&gt;""),"",IFERROR(INDEX(KT_nguoc_theo_NL!$J$5:$J$304,MATCH(C174,KT_nguoc_theo_NL!$B$5:$B$304,0))/INDEX(KT_nguoc_theo_NL!$K$5:$K$304,MATCH(C174,KT_nguoc_theo_NL!$B$5:$B$304,0)),""))</f>
        <v/>
      </c>
      <c r="I174" s="39" t="str">
        <f t="shared" si="11"/>
        <v/>
      </c>
      <c r="J174" s="46" t="str">
        <f t="shared" si="12"/>
        <v/>
      </c>
      <c r="K174" s="46" t="str">
        <f t="shared" si="13"/>
        <v/>
      </c>
      <c r="L174" s="46" t="str">
        <f t="shared" si="14"/>
        <v/>
      </c>
      <c r="M174" s="35" t="str">
        <f>IF(B174="","",IF(E174="KXDDM","KXDDM – không ĐM",IF(E174&lt;&gt;"","Không KT ("&amp;E174&amp;")",IF(OR(K174="",L174=""),"Xem xét",IF(MAX(ABS(K174),ABS(L174))&lt;=ThongTin!$C$12,"OK","Xem xét")))))</f>
        <v/>
      </c>
    </row>
    <row r="175" spans="1:13" x14ac:dyDescent="0.25">
      <c r="A175" s="35" t="str">
        <f t="shared" si="10"/>
        <v/>
      </c>
      <c r="B175" s="35" t="str">
        <f>IF(BOM!A175="","",BOM!A175)</f>
        <v/>
      </c>
      <c r="C175" s="35" t="str">
        <f>IF(B175="","",BOM!B175)</f>
        <v/>
      </c>
      <c r="D175" s="35" t="str">
        <f>IF(B175="","",KT_DMTT_ChiTiet!E175)</f>
        <v/>
      </c>
      <c r="E175" s="36" t="str">
        <f>IF(B175="","",BOM!G175&amp;"")</f>
        <v/>
      </c>
      <c r="F175" s="39" t="str">
        <f>IF(B175="","",BOM!E175)</f>
        <v/>
      </c>
      <c r="G175" s="39" t="str">
        <f>IF(OR(B175="",E175="KXDDM"),"",BOM!F175)</f>
        <v/>
      </c>
      <c r="H175" s="39" t="str">
        <f>IF(OR(B175="",E175&lt;&gt;""),"",IFERROR(INDEX(KT_nguoc_theo_NL!$J$5:$J$304,MATCH(C175,KT_nguoc_theo_NL!$B$5:$B$304,0))/INDEX(KT_nguoc_theo_NL!$K$5:$K$304,MATCH(C175,KT_nguoc_theo_NL!$B$5:$B$304,0)),""))</f>
        <v/>
      </c>
      <c r="I175" s="39" t="str">
        <f t="shared" si="11"/>
        <v/>
      </c>
      <c r="J175" s="46" t="str">
        <f t="shared" si="12"/>
        <v/>
      </c>
      <c r="K175" s="46" t="str">
        <f t="shared" si="13"/>
        <v/>
      </c>
      <c r="L175" s="46" t="str">
        <f t="shared" si="14"/>
        <v/>
      </c>
      <c r="M175" s="35" t="str">
        <f>IF(B175="","",IF(E175="KXDDM","KXDDM – không ĐM",IF(E175&lt;&gt;"","Không KT ("&amp;E175&amp;")",IF(OR(K175="",L175=""),"Xem xét",IF(MAX(ABS(K175),ABS(L175))&lt;=ThongTin!$C$12,"OK","Xem xét")))))</f>
        <v/>
      </c>
    </row>
    <row r="176" spans="1:13" x14ac:dyDescent="0.25">
      <c r="A176" s="35" t="str">
        <f t="shared" si="10"/>
        <v/>
      </c>
      <c r="B176" s="35" t="str">
        <f>IF(BOM!A176="","",BOM!A176)</f>
        <v/>
      </c>
      <c r="C176" s="35" t="str">
        <f>IF(B176="","",BOM!B176)</f>
        <v/>
      </c>
      <c r="D176" s="35" t="str">
        <f>IF(B176="","",KT_DMTT_ChiTiet!E176)</f>
        <v/>
      </c>
      <c r="E176" s="36" t="str">
        <f>IF(B176="","",BOM!G176&amp;"")</f>
        <v/>
      </c>
      <c r="F176" s="39" t="str">
        <f>IF(B176="","",BOM!E176)</f>
        <v/>
      </c>
      <c r="G176" s="39" t="str">
        <f>IF(OR(B176="",E176="KXDDM"),"",BOM!F176)</f>
        <v/>
      </c>
      <c r="H176" s="39" t="str">
        <f>IF(OR(B176="",E176&lt;&gt;""),"",IFERROR(INDEX(KT_nguoc_theo_NL!$J$5:$J$304,MATCH(C176,KT_nguoc_theo_NL!$B$5:$B$304,0))/INDEX(KT_nguoc_theo_NL!$K$5:$K$304,MATCH(C176,KT_nguoc_theo_NL!$B$5:$B$304,0)),""))</f>
        <v/>
      </c>
      <c r="I176" s="39" t="str">
        <f t="shared" si="11"/>
        <v/>
      </c>
      <c r="J176" s="46" t="str">
        <f t="shared" si="12"/>
        <v/>
      </c>
      <c r="K176" s="46" t="str">
        <f t="shared" si="13"/>
        <v/>
      </c>
      <c r="L176" s="46" t="str">
        <f t="shared" si="14"/>
        <v/>
      </c>
      <c r="M176" s="35" t="str">
        <f>IF(B176="","",IF(E176="KXDDM","KXDDM – không ĐM",IF(E176&lt;&gt;"","Không KT ("&amp;E176&amp;")",IF(OR(K176="",L176=""),"Xem xét",IF(MAX(ABS(K176),ABS(L176))&lt;=ThongTin!$C$12,"OK","Xem xét")))))</f>
        <v/>
      </c>
    </row>
    <row r="177" spans="1:13" x14ac:dyDescent="0.25">
      <c r="A177" s="35" t="str">
        <f t="shared" si="10"/>
        <v/>
      </c>
      <c r="B177" s="35" t="str">
        <f>IF(BOM!A177="","",BOM!A177)</f>
        <v/>
      </c>
      <c r="C177" s="35" t="str">
        <f>IF(B177="","",BOM!B177)</f>
        <v/>
      </c>
      <c r="D177" s="35" t="str">
        <f>IF(B177="","",KT_DMTT_ChiTiet!E177)</f>
        <v/>
      </c>
      <c r="E177" s="36" t="str">
        <f>IF(B177="","",BOM!G177&amp;"")</f>
        <v/>
      </c>
      <c r="F177" s="39" t="str">
        <f>IF(B177="","",BOM!E177)</f>
        <v/>
      </c>
      <c r="G177" s="39" t="str">
        <f>IF(OR(B177="",E177="KXDDM"),"",BOM!F177)</f>
        <v/>
      </c>
      <c r="H177" s="39" t="str">
        <f>IF(OR(B177="",E177&lt;&gt;""),"",IFERROR(INDEX(KT_nguoc_theo_NL!$J$5:$J$304,MATCH(C177,KT_nguoc_theo_NL!$B$5:$B$304,0))/INDEX(KT_nguoc_theo_NL!$K$5:$K$304,MATCH(C177,KT_nguoc_theo_NL!$B$5:$B$304,0)),""))</f>
        <v/>
      </c>
      <c r="I177" s="39" t="str">
        <f t="shared" si="11"/>
        <v/>
      </c>
      <c r="J177" s="46" t="str">
        <f t="shared" si="12"/>
        <v/>
      </c>
      <c r="K177" s="46" t="str">
        <f t="shared" si="13"/>
        <v/>
      </c>
      <c r="L177" s="46" t="str">
        <f t="shared" si="14"/>
        <v/>
      </c>
      <c r="M177" s="35" t="str">
        <f>IF(B177="","",IF(E177="KXDDM","KXDDM – không ĐM",IF(E177&lt;&gt;"","Không KT ("&amp;E177&amp;")",IF(OR(K177="",L177=""),"Xem xét",IF(MAX(ABS(K177),ABS(L177))&lt;=ThongTin!$C$12,"OK","Xem xét")))))</f>
        <v/>
      </c>
    </row>
    <row r="178" spans="1:13" x14ac:dyDescent="0.25">
      <c r="A178" s="35" t="str">
        <f t="shared" si="10"/>
        <v/>
      </c>
      <c r="B178" s="35" t="str">
        <f>IF(BOM!A178="","",BOM!A178)</f>
        <v/>
      </c>
      <c r="C178" s="35" t="str">
        <f>IF(B178="","",BOM!B178)</f>
        <v/>
      </c>
      <c r="D178" s="35" t="str">
        <f>IF(B178="","",KT_DMTT_ChiTiet!E178)</f>
        <v/>
      </c>
      <c r="E178" s="36" t="str">
        <f>IF(B178="","",BOM!G178&amp;"")</f>
        <v/>
      </c>
      <c r="F178" s="39" t="str">
        <f>IF(B178="","",BOM!E178)</f>
        <v/>
      </c>
      <c r="G178" s="39" t="str">
        <f>IF(OR(B178="",E178="KXDDM"),"",BOM!F178)</f>
        <v/>
      </c>
      <c r="H178" s="39" t="str">
        <f>IF(OR(B178="",E178&lt;&gt;""),"",IFERROR(INDEX(KT_nguoc_theo_NL!$J$5:$J$304,MATCH(C178,KT_nguoc_theo_NL!$B$5:$B$304,0))/INDEX(KT_nguoc_theo_NL!$K$5:$K$304,MATCH(C178,KT_nguoc_theo_NL!$B$5:$B$304,0)),""))</f>
        <v/>
      </c>
      <c r="I178" s="39" t="str">
        <f t="shared" si="11"/>
        <v/>
      </c>
      <c r="J178" s="46" t="str">
        <f t="shared" si="12"/>
        <v/>
      </c>
      <c r="K178" s="46" t="str">
        <f t="shared" si="13"/>
        <v/>
      </c>
      <c r="L178" s="46" t="str">
        <f t="shared" si="14"/>
        <v/>
      </c>
      <c r="M178" s="35" t="str">
        <f>IF(B178="","",IF(E178="KXDDM","KXDDM – không ĐM",IF(E178&lt;&gt;"","Không KT ("&amp;E178&amp;")",IF(OR(K178="",L178=""),"Xem xét",IF(MAX(ABS(K178),ABS(L178))&lt;=ThongTin!$C$12,"OK","Xem xét")))))</f>
        <v/>
      </c>
    </row>
    <row r="179" spans="1:13" x14ac:dyDescent="0.25">
      <c r="A179" s="35" t="str">
        <f t="shared" si="10"/>
        <v/>
      </c>
      <c r="B179" s="35" t="str">
        <f>IF(BOM!A179="","",BOM!A179)</f>
        <v/>
      </c>
      <c r="C179" s="35" t="str">
        <f>IF(B179="","",BOM!B179)</f>
        <v/>
      </c>
      <c r="D179" s="35" t="str">
        <f>IF(B179="","",KT_DMTT_ChiTiet!E179)</f>
        <v/>
      </c>
      <c r="E179" s="36" t="str">
        <f>IF(B179="","",BOM!G179&amp;"")</f>
        <v/>
      </c>
      <c r="F179" s="39" t="str">
        <f>IF(B179="","",BOM!E179)</f>
        <v/>
      </c>
      <c r="G179" s="39" t="str">
        <f>IF(OR(B179="",E179="KXDDM"),"",BOM!F179)</f>
        <v/>
      </c>
      <c r="H179" s="39" t="str">
        <f>IF(OR(B179="",E179&lt;&gt;""),"",IFERROR(INDEX(KT_nguoc_theo_NL!$J$5:$J$304,MATCH(C179,KT_nguoc_theo_NL!$B$5:$B$304,0))/INDEX(KT_nguoc_theo_NL!$K$5:$K$304,MATCH(C179,KT_nguoc_theo_NL!$B$5:$B$304,0)),""))</f>
        <v/>
      </c>
      <c r="I179" s="39" t="str">
        <f t="shared" si="11"/>
        <v/>
      </c>
      <c r="J179" s="46" t="str">
        <f t="shared" si="12"/>
        <v/>
      </c>
      <c r="K179" s="46" t="str">
        <f t="shared" si="13"/>
        <v/>
      </c>
      <c r="L179" s="46" t="str">
        <f t="shared" si="14"/>
        <v/>
      </c>
      <c r="M179" s="35" t="str">
        <f>IF(B179="","",IF(E179="KXDDM","KXDDM – không ĐM",IF(E179&lt;&gt;"","Không KT ("&amp;E179&amp;")",IF(OR(K179="",L179=""),"Xem xét",IF(MAX(ABS(K179),ABS(L179))&lt;=ThongTin!$C$12,"OK","Xem xét")))))</f>
        <v/>
      </c>
    </row>
    <row r="180" spans="1:13" x14ac:dyDescent="0.25">
      <c r="A180" s="35" t="str">
        <f t="shared" si="10"/>
        <v/>
      </c>
      <c r="B180" s="35" t="str">
        <f>IF(BOM!A180="","",BOM!A180)</f>
        <v/>
      </c>
      <c r="C180" s="35" t="str">
        <f>IF(B180="","",BOM!B180)</f>
        <v/>
      </c>
      <c r="D180" s="35" t="str">
        <f>IF(B180="","",KT_DMTT_ChiTiet!E180)</f>
        <v/>
      </c>
      <c r="E180" s="36" t="str">
        <f>IF(B180="","",BOM!G180&amp;"")</f>
        <v/>
      </c>
      <c r="F180" s="39" t="str">
        <f>IF(B180="","",BOM!E180)</f>
        <v/>
      </c>
      <c r="G180" s="39" t="str">
        <f>IF(OR(B180="",E180="KXDDM"),"",BOM!F180)</f>
        <v/>
      </c>
      <c r="H180" s="39" t="str">
        <f>IF(OR(B180="",E180&lt;&gt;""),"",IFERROR(INDEX(KT_nguoc_theo_NL!$J$5:$J$304,MATCH(C180,KT_nguoc_theo_NL!$B$5:$B$304,0))/INDEX(KT_nguoc_theo_NL!$K$5:$K$304,MATCH(C180,KT_nguoc_theo_NL!$B$5:$B$304,0)),""))</f>
        <v/>
      </c>
      <c r="I180" s="39" t="str">
        <f t="shared" si="11"/>
        <v/>
      </c>
      <c r="J180" s="46" t="str">
        <f t="shared" si="12"/>
        <v/>
      </c>
      <c r="K180" s="46" t="str">
        <f t="shared" si="13"/>
        <v/>
      </c>
      <c r="L180" s="46" t="str">
        <f t="shared" si="14"/>
        <v/>
      </c>
      <c r="M180" s="35" t="str">
        <f>IF(B180="","",IF(E180="KXDDM","KXDDM – không ĐM",IF(E180&lt;&gt;"","Không KT ("&amp;E180&amp;")",IF(OR(K180="",L180=""),"Xem xét",IF(MAX(ABS(K180),ABS(L180))&lt;=ThongTin!$C$12,"OK","Xem xét")))))</f>
        <v/>
      </c>
    </row>
    <row r="181" spans="1:13" x14ac:dyDescent="0.25">
      <c r="A181" s="35" t="str">
        <f t="shared" si="10"/>
        <v/>
      </c>
      <c r="B181" s="35" t="str">
        <f>IF(BOM!A181="","",BOM!A181)</f>
        <v/>
      </c>
      <c r="C181" s="35" t="str">
        <f>IF(B181="","",BOM!B181)</f>
        <v/>
      </c>
      <c r="D181" s="35" t="str">
        <f>IF(B181="","",KT_DMTT_ChiTiet!E181)</f>
        <v/>
      </c>
      <c r="E181" s="36" t="str">
        <f>IF(B181="","",BOM!G181&amp;"")</f>
        <v/>
      </c>
      <c r="F181" s="39" t="str">
        <f>IF(B181="","",BOM!E181)</f>
        <v/>
      </c>
      <c r="G181" s="39" t="str">
        <f>IF(OR(B181="",E181="KXDDM"),"",BOM!F181)</f>
        <v/>
      </c>
      <c r="H181" s="39" t="str">
        <f>IF(OR(B181="",E181&lt;&gt;""),"",IFERROR(INDEX(KT_nguoc_theo_NL!$J$5:$J$304,MATCH(C181,KT_nguoc_theo_NL!$B$5:$B$304,0))/INDEX(KT_nguoc_theo_NL!$K$5:$K$304,MATCH(C181,KT_nguoc_theo_NL!$B$5:$B$304,0)),""))</f>
        <v/>
      </c>
      <c r="I181" s="39" t="str">
        <f t="shared" si="11"/>
        <v/>
      </c>
      <c r="J181" s="46" t="str">
        <f t="shared" si="12"/>
        <v/>
      </c>
      <c r="K181" s="46" t="str">
        <f t="shared" si="13"/>
        <v/>
      </c>
      <c r="L181" s="46" t="str">
        <f t="shared" si="14"/>
        <v/>
      </c>
      <c r="M181" s="35" t="str">
        <f>IF(B181="","",IF(E181="KXDDM","KXDDM – không ĐM",IF(E181&lt;&gt;"","Không KT ("&amp;E181&amp;")",IF(OR(K181="",L181=""),"Xem xét",IF(MAX(ABS(K181),ABS(L181))&lt;=ThongTin!$C$12,"OK","Xem xét")))))</f>
        <v/>
      </c>
    </row>
    <row r="182" spans="1:13" x14ac:dyDescent="0.25">
      <c r="A182" s="35" t="str">
        <f t="shared" si="10"/>
        <v/>
      </c>
      <c r="B182" s="35" t="str">
        <f>IF(BOM!A182="","",BOM!A182)</f>
        <v/>
      </c>
      <c r="C182" s="35" t="str">
        <f>IF(B182="","",BOM!B182)</f>
        <v/>
      </c>
      <c r="D182" s="35" t="str">
        <f>IF(B182="","",KT_DMTT_ChiTiet!E182)</f>
        <v/>
      </c>
      <c r="E182" s="36" t="str">
        <f>IF(B182="","",BOM!G182&amp;"")</f>
        <v/>
      </c>
      <c r="F182" s="39" t="str">
        <f>IF(B182="","",BOM!E182)</f>
        <v/>
      </c>
      <c r="G182" s="39" t="str">
        <f>IF(OR(B182="",E182="KXDDM"),"",BOM!F182)</f>
        <v/>
      </c>
      <c r="H182" s="39" t="str">
        <f>IF(OR(B182="",E182&lt;&gt;""),"",IFERROR(INDEX(KT_nguoc_theo_NL!$J$5:$J$304,MATCH(C182,KT_nguoc_theo_NL!$B$5:$B$304,0))/INDEX(KT_nguoc_theo_NL!$K$5:$K$304,MATCH(C182,KT_nguoc_theo_NL!$B$5:$B$304,0)),""))</f>
        <v/>
      </c>
      <c r="I182" s="39" t="str">
        <f t="shared" si="11"/>
        <v/>
      </c>
      <c r="J182" s="46" t="str">
        <f t="shared" si="12"/>
        <v/>
      </c>
      <c r="K182" s="46" t="str">
        <f t="shared" si="13"/>
        <v/>
      </c>
      <c r="L182" s="46" t="str">
        <f t="shared" si="14"/>
        <v/>
      </c>
      <c r="M182" s="35" t="str">
        <f>IF(B182="","",IF(E182="KXDDM","KXDDM – không ĐM",IF(E182&lt;&gt;"","Không KT ("&amp;E182&amp;")",IF(OR(K182="",L182=""),"Xem xét",IF(MAX(ABS(K182),ABS(L182))&lt;=ThongTin!$C$12,"OK","Xem xét")))))</f>
        <v/>
      </c>
    </row>
    <row r="183" spans="1:13" x14ac:dyDescent="0.25">
      <c r="A183" s="35" t="str">
        <f t="shared" si="10"/>
        <v/>
      </c>
      <c r="B183" s="35" t="str">
        <f>IF(BOM!A183="","",BOM!A183)</f>
        <v/>
      </c>
      <c r="C183" s="35" t="str">
        <f>IF(B183="","",BOM!B183)</f>
        <v/>
      </c>
      <c r="D183" s="35" t="str">
        <f>IF(B183="","",KT_DMTT_ChiTiet!E183)</f>
        <v/>
      </c>
      <c r="E183" s="36" t="str">
        <f>IF(B183="","",BOM!G183&amp;"")</f>
        <v/>
      </c>
      <c r="F183" s="39" t="str">
        <f>IF(B183="","",BOM!E183)</f>
        <v/>
      </c>
      <c r="G183" s="39" t="str">
        <f>IF(OR(B183="",E183="KXDDM"),"",BOM!F183)</f>
        <v/>
      </c>
      <c r="H183" s="39" t="str">
        <f>IF(OR(B183="",E183&lt;&gt;""),"",IFERROR(INDEX(KT_nguoc_theo_NL!$J$5:$J$304,MATCH(C183,KT_nguoc_theo_NL!$B$5:$B$304,0))/INDEX(KT_nguoc_theo_NL!$K$5:$K$304,MATCH(C183,KT_nguoc_theo_NL!$B$5:$B$304,0)),""))</f>
        <v/>
      </c>
      <c r="I183" s="39" t="str">
        <f t="shared" si="11"/>
        <v/>
      </c>
      <c r="J183" s="46" t="str">
        <f t="shared" si="12"/>
        <v/>
      </c>
      <c r="K183" s="46" t="str">
        <f t="shared" si="13"/>
        <v/>
      </c>
      <c r="L183" s="46" t="str">
        <f t="shared" si="14"/>
        <v/>
      </c>
      <c r="M183" s="35" t="str">
        <f>IF(B183="","",IF(E183="KXDDM","KXDDM – không ĐM",IF(E183&lt;&gt;"","Không KT ("&amp;E183&amp;")",IF(OR(K183="",L183=""),"Xem xét",IF(MAX(ABS(K183),ABS(L183))&lt;=ThongTin!$C$12,"OK","Xem xét")))))</f>
        <v/>
      </c>
    </row>
    <row r="184" spans="1:13" x14ac:dyDescent="0.25">
      <c r="A184" s="35" t="str">
        <f t="shared" si="10"/>
        <v/>
      </c>
      <c r="B184" s="35" t="str">
        <f>IF(BOM!A184="","",BOM!A184)</f>
        <v/>
      </c>
      <c r="C184" s="35" t="str">
        <f>IF(B184="","",BOM!B184)</f>
        <v/>
      </c>
      <c r="D184" s="35" t="str">
        <f>IF(B184="","",KT_DMTT_ChiTiet!E184)</f>
        <v/>
      </c>
      <c r="E184" s="36" t="str">
        <f>IF(B184="","",BOM!G184&amp;"")</f>
        <v/>
      </c>
      <c r="F184" s="39" t="str">
        <f>IF(B184="","",BOM!E184)</f>
        <v/>
      </c>
      <c r="G184" s="39" t="str">
        <f>IF(OR(B184="",E184="KXDDM"),"",BOM!F184)</f>
        <v/>
      </c>
      <c r="H184" s="39" t="str">
        <f>IF(OR(B184="",E184&lt;&gt;""),"",IFERROR(INDEX(KT_nguoc_theo_NL!$J$5:$J$304,MATCH(C184,KT_nguoc_theo_NL!$B$5:$B$304,0))/INDEX(KT_nguoc_theo_NL!$K$5:$K$304,MATCH(C184,KT_nguoc_theo_NL!$B$5:$B$304,0)),""))</f>
        <v/>
      </c>
      <c r="I184" s="39" t="str">
        <f t="shared" si="11"/>
        <v/>
      </c>
      <c r="J184" s="46" t="str">
        <f t="shared" si="12"/>
        <v/>
      </c>
      <c r="K184" s="46" t="str">
        <f t="shared" si="13"/>
        <v/>
      </c>
      <c r="L184" s="46" t="str">
        <f t="shared" si="14"/>
        <v/>
      </c>
      <c r="M184" s="35" t="str">
        <f>IF(B184="","",IF(E184="KXDDM","KXDDM – không ĐM",IF(E184&lt;&gt;"","Không KT ("&amp;E184&amp;")",IF(OR(K184="",L184=""),"Xem xét",IF(MAX(ABS(K184),ABS(L184))&lt;=ThongTin!$C$12,"OK","Xem xét")))))</f>
        <v/>
      </c>
    </row>
    <row r="185" spans="1:13" x14ac:dyDescent="0.25">
      <c r="A185" s="35" t="str">
        <f t="shared" si="10"/>
        <v/>
      </c>
      <c r="B185" s="35" t="str">
        <f>IF(BOM!A185="","",BOM!A185)</f>
        <v/>
      </c>
      <c r="C185" s="35" t="str">
        <f>IF(B185="","",BOM!B185)</f>
        <v/>
      </c>
      <c r="D185" s="35" t="str">
        <f>IF(B185="","",KT_DMTT_ChiTiet!E185)</f>
        <v/>
      </c>
      <c r="E185" s="36" t="str">
        <f>IF(B185="","",BOM!G185&amp;"")</f>
        <v/>
      </c>
      <c r="F185" s="39" t="str">
        <f>IF(B185="","",BOM!E185)</f>
        <v/>
      </c>
      <c r="G185" s="39" t="str">
        <f>IF(OR(B185="",E185="KXDDM"),"",BOM!F185)</f>
        <v/>
      </c>
      <c r="H185" s="39" t="str">
        <f>IF(OR(B185="",E185&lt;&gt;""),"",IFERROR(INDEX(KT_nguoc_theo_NL!$J$5:$J$304,MATCH(C185,KT_nguoc_theo_NL!$B$5:$B$304,0))/INDEX(KT_nguoc_theo_NL!$K$5:$K$304,MATCH(C185,KT_nguoc_theo_NL!$B$5:$B$304,0)),""))</f>
        <v/>
      </c>
      <c r="I185" s="39" t="str">
        <f t="shared" si="11"/>
        <v/>
      </c>
      <c r="J185" s="46" t="str">
        <f t="shared" si="12"/>
        <v/>
      </c>
      <c r="K185" s="46" t="str">
        <f t="shared" si="13"/>
        <v/>
      </c>
      <c r="L185" s="46" t="str">
        <f t="shared" si="14"/>
        <v/>
      </c>
      <c r="M185" s="35" t="str">
        <f>IF(B185="","",IF(E185="KXDDM","KXDDM – không ĐM",IF(E185&lt;&gt;"","Không KT ("&amp;E185&amp;")",IF(OR(K185="",L185=""),"Xem xét",IF(MAX(ABS(K185),ABS(L185))&lt;=ThongTin!$C$12,"OK","Xem xét")))))</f>
        <v/>
      </c>
    </row>
    <row r="186" spans="1:13" x14ac:dyDescent="0.25">
      <c r="A186" s="35" t="str">
        <f t="shared" si="10"/>
        <v/>
      </c>
      <c r="B186" s="35" t="str">
        <f>IF(BOM!A186="","",BOM!A186)</f>
        <v/>
      </c>
      <c r="C186" s="35" t="str">
        <f>IF(B186="","",BOM!B186)</f>
        <v/>
      </c>
      <c r="D186" s="35" t="str">
        <f>IF(B186="","",KT_DMTT_ChiTiet!E186)</f>
        <v/>
      </c>
      <c r="E186" s="36" t="str">
        <f>IF(B186="","",BOM!G186&amp;"")</f>
        <v/>
      </c>
      <c r="F186" s="39" t="str">
        <f>IF(B186="","",BOM!E186)</f>
        <v/>
      </c>
      <c r="G186" s="39" t="str">
        <f>IF(OR(B186="",E186="KXDDM"),"",BOM!F186)</f>
        <v/>
      </c>
      <c r="H186" s="39" t="str">
        <f>IF(OR(B186="",E186&lt;&gt;""),"",IFERROR(INDEX(KT_nguoc_theo_NL!$J$5:$J$304,MATCH(C186,KT_nguoc_theo_NL!$B$5:$B$304,0))/INDEX(KT_nguoc_theo_NL!$K$5:$K$304,MATCH(C186,KT_nguoc_theo_NL!$B$5:$B$304,0)),""))</f>
        <v/>
      </c>
      <c r="I186" s="39" t="str">
        <f t="shared" si="11"/>
        <v/>
      </c>
      <c r="J186" s="46" t="str">
        <f t="shared" si="12"/>
        <v/>
      </c>
      <c r="K186" s="46" t="str">
        <f t="shared" si="13"/>
        <v/>
      </c>
      <c r="L186" s="46" t="str">
        <f t="shared" si="14"/>
        <v/>
      </c>
      <c r="M186" s="35" t="str">
        <f>IF(B186="","",IF(E186="KXDDM","KXDDM – không ĐM",IF(E186&lt;&gt;"","Không KT ("&amp;E186&amp;")",IF(OR(K186="",L186=""),"Xem xét",IF(MAX(ABS(K186),ABS(L186))&lt;=ThongTin!$C$12,"OK","Xem xét")))))</f>
        <v/>
      </c>
    </row>
    <row r="187" spans="1:13" x14ac:dyDescent="0.25">
      <c r="A187" s="35" t="str">
        <f t="shared" si="10"/>
        <v/>
      </c>
      <c r="B187" s="35" t="str">
        <f>IF(BOM!A187="","",BOM!A187)</f>
        <v/>
      </c>
      <c r="C187" s="35" t="str">
        <f>IF(B187="","",BOM!B187)</f>
        <v/>
      </c>
      <c r="D187" s="35" t="str">
        <f>IF(B187="","",KT_DMTT_ChiTiet!E187)</f>
        <v/>
      </c>
      <c r="E187" s="36" t="str">
        <f>IF(B187="","",BOM!G187&amp;"")</f>
        <v/>
      </c>
      <c r="F187" s="39" t="str">
        <f>IF(B187="","",BOM!E187)</f>
        <v/>
      </c>
      <c r="G187" s="39" t="str">
        <f>IF(OR(B187="",E187="KXDDM"),"",BOM!F187)</f>
        <v/>
      </c>
      <c r="H187" s="39" t="str">
        <f>IF(OR(B187="",E187&lt;&gt;""),"",IFERROR(INDEX(KT_nguoc_theo_NL!$J$5:$J$304,MATCH(C187,KT_nguoc_theo_NL!$B$5:$B$304,0))/INDEX(KT_nguoc_theo_NL!$K$5:$K$304,MATCH(C187,KT_nguoc_theo_NL!$B$5:$B$304,0)),""))</f>
        <v/>
      </c>
      <c r="I187" s="39" t="str">
        <f t="shared" si="11"/>
        <v/>
      </c>
      <c r="J187" s="46" t="str">
        <f t="shared" si="12"/>
        <v/>
      </c>
      <c r="K187" s="46" t="str">
        <f t="shared" si="13"/>
        <v/>
      </c>
      <c r="L187" s="46" t="str">
        <f t="shared" si="14"/>
        <v/>
      </c>
      <c r="M187" s="35" t="str">
        <f>IF(B187="","",IF(E187="KXDDM","KXDDM – không ĐM",IF(E187&lt;&gt;"","Không KT ("&amp;E187&amp;")",IF(OR(K187="",L187=""),"Xem xét",IF(MAX(ABS(K187),ABS(L187))&lt;=ThongTin!$C$12,"OK","Xem xét")))))</f>
        <v/>
      </c>
    </row>
    <row r="188" spans="1:13" x14ac:dyDescent="0.25">
      <c r="A188" s="35" t="str">
        <f t="shared" si="10"/>
        <v/>
      </c>
      <c r="B188" s="35" t="str">
        <f>IF(BOM!A188="","",BOM!A188)</f>
        <v/>
      </c>
      <c r="C188" s="35" t="str">
        <f>IF(B188="","",BOM!B188)</f>
        <v/>
      </c>
      <c r="D188" s="35" t="str">
        <f>IF(B188="","",KT_DMTT_ChiTiet!E188)</f>
        <v/>
      </c>
      <c r="E188" s="36" t="str">
        <f>IF(B188="","",BOM!G188&amp;"")</f>
        <v/>
      </c>
      <c r="F188" s="39" t="str">
        <f>IF(B188="","",BOM!E188)</f>
        <v/>
      </c>
      <c r="G188" s="39" t="str">
        <f>IF(OR(B188="",E188="KXDDM"),"",BOM!F188)</f>
        <v/>
      </c>
      <c r="H188" s="39" t="str">
        <f>IF(OR(B188="",E188&lt;&gt;""),"",IFERROR(INDEX(KT_nguoc_theo_NL!$J$5:$J$304,MATCH(C188,KT_nguoc_theo_NL!$B$5:$B$304,0))/INDEX(KT_nguoc_theo_NL!$K$5:$K$304,MATCH(C188,KT_nguoc_theo_NL!$B$5:$B$304,0)),""))</f>
        <v/>
      </c>
      <c r="I188" s="39" t="str">
        <f t="shared" si="11"/>
        <v/>
      </c>
      <c r="J188" s="46" t="str">
        <f t="shared" si="12"/>
        <v/>
      </c>
      <c r="K188" s="46" t="str">
        <f t="shared" si="13"/>
        <v/>
      </c>
      <c r="L188" s="46" t="str">
        <f t="shared" si="14"/>
        <v/>
      </c>
      <c r="M188" s="35" t="str">
        <f>IF(B188="","",IF(E188="KXDDM","KXDDM – không ĐM",IF(E188&lt;&gt;"","Không KT ("&amp;E188&amp;")",IF(OR(K188="",L188=""),"Xem xét",IF(MAX(ABS(K188),ABS(L188))&lt;=ThongTin!$C$12,"OK","Xem xét")))))</f>
        <v/>
      </c>
    </row>
    <row r="189" spans="1:13" x14ac:dyDescent="0.25">
      <c r="A189" s="35" t="str">
        <f t="shared" si="10"/>
        <v/>
      </c>
      <c r="B189" s="35" t="str">
        <f>IF(BOM!A189="","",BOM!A189)</f>
        <v/>
      </c>
      <c r="C189" s="35" t="str">
        <f>IF(B189="","",BOM!B189)</f>
        <v/>
      </c>
      <c r="D189" s="35" t="str">
        <f>IF(B189="","",KT_DMTT_ChiTiet!E189)</f>
        <v/>
      </c>
      <c r="E189" s="36" t="str">
        <f>IF(B189="","",BOM!G189&amp;"")</f>
        <v/>
      </c>
      <c r="F189" s="39" t="str">
        <f>IF(B189="","",BOM!E189)</f>
        <v/>
      </c>
      <c r="G189" s="39" t="str">
        <f>IF(OR(B189="",E189="KXDDM"),"",BOM!F189)</f>
        <v/>
      </c>
      <c r="H189" s="39" t="str">
        <f>IF(OR(B189="",E189&lt;&gt;""),"",IFERROR(INDEX(KT_nguoc_theo_NL!$J$5:$J$304,MATCH(C189,KT_nguoc_theo_NL!$B$5:$B$304,0))/INDEX(KT_nguoc_theo_NL!$K$5:$K$304,MATCH(C189,KT_nguoc_theo_NL!$B$5:$B$304,0)),""))</f>
        <v/>
      </c>
      <c r="I189" s="39" t="str">
        <f t="shared" si="11"/>
        <v/>
      </c>
      <c r="J189" s="46" t="str">
        <f t="shared" si="12"/>
        <v/>
      </c>
      <c r="K189" s="46" t="str">
        <f t="shared" si="13"/>
        <v/>
      </c>
      <c r="L189" s="46" t="str">
        <f t="shared" si="14"/>
        <v/>
      </c>
      <c r="M189" s="35" t="str">
        <f>IF(B189="","",IF(E189="KXDDM","KXDDM – không ĐM",IF(E189&lt;&gt;"","Không KT ("&amp;E189&amp;")",IF(OR(K189="",L189=""),"Xem xét",IF(MAX(ABS(K189),ABS(L189))&lt;=ThongTin!$C$12,"OK","Xem xét")))))</f>
        <v/>
      </c>
    </row>
    <row r="190" spans="1:13" x14ac:dyDescent="0.25">
      <c r="A190" s="35" t="str">
        <f t="shared" si="10"/>
        <v/>
      </c>
      <c r="B190" s="35" t="str">
        <f>IF(BOM!A190="","",BOM!A190)</f>
        <v/>
      </c>
      <c r="C190" s="35" t="str">
        <f>IF(B190="","",BOM!B190)</f>
        <v/>
      </c>
      <c r="D190" s="35" t="str">
        <f>IF(B190="","",KT_DMTT_ChiTiet!E190)</f>
        <v/>
      </c>
      <c r="E190" s="36" t="str">
        <f>IF(B190="","",BOM!G190&amp;"")</f>
        <v/>
      </c>
      <c r="F190" s="39" t="str">
        <f>IF(B190="","",BOM!E190)</f>
        <v/>
      </c>
      <c r="G190" s="39" t="str">
        <f>IF(OR(B190="",E190="KXDDM"),"",BOM!F190)</f>
        <v/>
      </c>
      <c r="H190" s="39" t="str">
        <f>IF(OR(B190="",E190&lt;&gt;""),"",IFERROR(INDEX(KT_nguoc_theo_NL!$J$5:$J$304,MATCH(C190,KT_nguoc_theo_NL!$B$5:$B$304,0))/INDEX(KT_nguoc_theo_NL!$K$5:$K$304,MATCH(C190,KT_nguoc_theo_NL!$B$5:$B$304,0)),""))</f>
        <v/>
      </c>
      <c r="I190" s="39" t="str">
        <f t="shared" si="11"/>
        <v/>
      </c>
      <c r="J190" s="46" t="str">
        <f t="shared" si="12"/>
        <v/>
      </c>
      <c r="K190" s="46" t="str">
        <f t="shared" si="13"/>
        <v/>
      </c>
      <c r="L190" s="46" t="str">
        <f t="shared" si="14"/>
        <v/>
      </c>
      <c r="M190" s="35" t="str">
        <f>IF(B190="","",IF(E190="KXDDM","KXDDM – không ĐM",IF(E190&lt;&gt;"","Không KT ("&amp;E190&amp;")",IF(OR(K190="",L190=""),"Xem xét",IF(MAX(ABS(K190),ABS(L190))&lt;=ThongTin!$C$12,"OK","Xem xét")))))</f>
        <v/>
      </c>
    </row>
    <row r="191" spans="1:13" x14ac:dyDescent="0.25">
      <c r="A191" s="35" t="str">
        <f t="shared" si="10"/>
        <v/>
      </c>
      <c r="B191" s="35" t="str">
        <f>IF(BOM!A191="","",BOM!A191)</f>
        <v/>
      </c>
      <c r="C191" s="35" t="str">
        <f>IF(B191="","",BOM!B191)</f>
        <v/>
      </c>
      <c r="D191" s="35" t="str">
        <f>IF(B191="","",KT_DMTT_ChiTiet!E191)</f>
        <v/>
      </c>
      <c r="E191" s="36" t="str">
        <f>IF(B191="","",BOM!G191&amp;"")</f>
        <v/>
      </c>
      <c r="F191" s="39" t="str">
        <f>IF(B191="","",BOM!E191)</f>
        <v/>
      </c>
      <c r="G191" s="39" t="str">
        <f>IF(OR(B191="",E191="KXDDM"),"",BOM!F191)</f>
        <v/>
      </c>
      <c r="H191" s="39" t="str">
        <f>IF(OR(B191="",E191&lt;&gt;""),"",IFERROR(INDEX(KT_nguoc_theo_NL!$J$5:$J$304,MATCH(C191,KT_nguoc_theo_NL!$B$5:$B$304,0))/INDEX(KT_nguoc_theo_NL!$K$5:$K$304,MATCH(C191,KT_nguoc_theo_NL!$B$5:$B$304,0)),""))</f>
        <v/>
      </c>
      <c r="I191" s="39" t="str">
        <f t="shared" si="11"/>
        <v/>
      </c>
      <c r="J191" s="46" t="str">
        <f t="shared" si="12"/>
        <v/>
      </c>
      <c r="K191" s="46" t="str">
        <f t="shared" si="13"/>
        <v/>
      </c>
      <c r="L191" s="46" t="str">
        <f t="shared" si="14"/>
        <v/>
      </c>
      <c r="M191" s="35" t="str">
        <f>IF(B191="","",IF(E191="KXDDM","KXDDM – không ĐM",IF(E191&lt;&gt;"","Không KT ("&amp;E191&amp;")",IF(OR(K191="",L191=""),"Xem xét",IF(MAX(ABS(K191),ABS(L191))&lt;=ThongTin!$C$12,"OK","Xem xét")))))</f>
        <v/>
      </c>
    </row>
    <row r="192" spans="1:13" x14ac:dyDescent="0.25">
      <c r="A192" s="35" t="str">
        <f t="shared" si="10"/>
        <v/>
      </c>
      <c r="B192" s="35" t="str">
        <f>IF(BOM!A192="","",BOM!A192)</f>
        <v/>
      </c>
      <c r="C192" s="35" t="str">
        <f>IF(B192="","",BOM!B192)</f>
        <v/>
      </c>
      <c r="D192" s="35" t="str">
        <f>IF(B192="","",KT_DMTT_ChiTiet!E192)</f>
        <v/>
      </c>
      <c r="E192" s="36" t="str">
        <f>IF(B192="","",BOM!G192&amp;"")</f>
        <v/>
      </c>
      <c r="F192" s="39" t="str">
        <f>IF(B192="","",BOM!E192)</f>
        <v/>
      </c>
      <c r="G192" s="39" t="str">
        <f>IF(OR(B192="",E192="KXDDM"),"",BOM!F192)</f>
        <v/>
      </c>
      <c r="H192" s="39" t="str">
        <f>IF(OR(B192="",E192&lt;&gt;""),"",IFERROR(INDEX(KT_nguoc_theo_NL!$J$5:$J$304,MATCH(C192,KT_nguoc_theo_NL!$B$5:$B$304,0))/INDEX(KT_nguoc_theo_NL!$K$5:$K$304,MATCH(C192,KT_nguoc_theo_NL!$B$5:$B$304,0)),""))</f>
        <v/>
      </c>
      <c r="I192" s="39" t="str">
        <f t="shared" si="11"/>
        <v/>
      </c>
      <c r="J192" s="46" t="str">
        <f t="shared" si="12"/>
        <v/>
      </c>
      <c r="K192" s="46" t="str">
        <f t="shared" si="13"/>
        <v/>
      </c>
      <c r="L192" s="46" t="str">
        <f t="shared" si="14"/>
        <v/>
      </c>
      <c r="M192" s="35" t="str">
        <f>IF(B192="","",IF(E192="KXDDM","KXDDM – không ĐM",IF(E192&lt;&gt;"","Không KT ("&amp;E192&amp;")",IF(OR(K192="",L192=""),"Xem xét",IF(MAX(ABS(K192),ABS(L192))&lt;=ThongTin!$C$12,"OK","Xem xét")))))</f>
        <v/>
      </c>
    </row>
    <row r="193" spans="1:13" x14ac:dyDescent="0.25">
      <c r="A193" s="35" t="str">
        <f t="shared" si="10"/>
        <v/>
      </c>
      <c r="B193" s="35" t="str">
        <f>IF(BOM!A193="","",BOM!A193)</f>
        <v/>
      </c>
      <c r="C193" s="35" t="str">
        <f>IF(B193="","",BOM!B193)</f>
        <v/>
      </c>
      <c r="D193" s="35" t="str">
        <f>IF(B193="","",KT_DMTT_ChiTiet!E193)</f>
        <v/>
      </c>
      <c r="E193" s="36" t="str">
        <f>IF(B193="","",BOM!G193&amp;"")</f>
        <v/>
      </c>
      <c r="F193" s="39" t="str">
        <f>IF(B193="","",BOM!E193)</f>
        <v/>
      </c>
      <c r="G193" s="39" t="str">
        <f>IF(OR(B193="",E193="KXDDM"),"",BOM!F193)</f>
        <v/>
      </c>
      <c r="H193" s="39" t="str">
        <f>IF(OR(B193="",E193&lt;&gt;""),"",IFERROR(INDEX(KT_nguoc_theo_NL!$J$5:$J$304,MATCH(C193,KT_nguoc_theo_NL!$B$5:$B$304,0))/INDEX(KT_nguoc_theo_NL!$K$5:$K$304,MATCH(C193,KT_nguoc_theo_NL!$B$5:$B$304,0)),""))</f>
        <v/>
      </c>
      <c r="I193" s="39" t="str">
        <f t="shared" si="11"/>
        <v/>
      </c>
      <c r="J193" s="46" t="str">
        <f t="shared" si="12"/>
        <v/>
      </c>
      <c r="K193" s="46" t="str">
        <f t="shared" si="13"/>
        <v/>
      </c>
      <c r="L193" s="46" t="str">
        <f t="shared" si="14"/>
        <v/>
      </c>
      <c r="M193" s="35" t="str">
        <f>IF(B193="","",IF(E193="KXDDM","KXDDM – không ĐM",IF(E193&lt;&gt;"","Không KT ("&amp;E193&amp;")",IF(OR(K193="",L193=""),"Xem xét",IF(MAX(ABS(K193),ABS(L193))&lt;=ThongTin!$C$12,"OK","Xem xét")))))</f>
        <v/>
      </c>
    </row>
    <row r="194" spans="1:13" x14ac:dyDescent="0.25">
      <c r="A194" s="35" t="str">
        <f t="shared" si="10"/>
        <v/>
      </c>
      <c r="B194" s="35" t="str">
        <f>IF(BOM!A194="","",BOM!A194)</f>
        <v/>
      </c>
      <c r="C194" s="35" t="str">
        <f>IF(B194="","",BOM!B194)</f>
        <v/>
      </c>
      <c r="D194" s="35" t="str">
        <f>IF(B194="","",KT_DMTT_ChiTiet!E194)</f>
        <v/>
      </c>
      <c r="E194" s="36" t="str">
        <f>IF(B194="","",BOM!G194&amp;"")</f>
        <v/>
      </c>
      <c r="F194" s="39" t="str">
        <f>IF(B194="","",BOM!E194)</f>
        <v/>
      </c>
      <c r="G194" s="39" t="str">
        <f>IF(OR(B194="",E194="KXDDM"),"",BOM!F194)</f>
        <v/>
      </c>
      <c r="H194" s="39" t="str">
        <f>IF(OR(B194="",E194&lt;&gt;""),"",IFERROR(INDEX(KT_nguoc_theo_NL!$J$5:$J$304,MATCH(C194,KT_nguoc_theo_NL!$B$5:$B$304,0))/INDEX(KT_nguoc_theo_NL!$K$5:$K$304,MATCH(C194,KT_nguoc_theo_NL!$B$5:$B$304,0)),""))</f>
        <v/>
      </c>
      <c r="I194" s="39" t="str">
        <f t="shared" si="11"/>
        <v/>
      </c>
      <c r="J194" s="46" t="str">
        <f t="shared" si="12"/>
        <v/>
      </c>
      <c r="K194" s="46" t="str">
        <f t="shared" si="13"/>
        <v/>
      </c>
      <c r="L194" s="46" t="str">
        <f t="shared" si="14"/>
        <v/>
      </c>
      <c r="M194" s="35" t="str">
        <f>IF(B194="","",IF(E194="KXDDM","KXDDM – không ĐM",IF(E194&lt;&gt;"","Không KT ("&amp;E194&amp;")",IF(OR(K194="",L194=""),"Xem xét",IF(MAX(ABS(K194),ABS(L194))&lt;=ThongTin!$C$12,"OK","Xem xét")))))</f>
        <v/>
      </c>
    </row>
    <row r="195" spans="1:13" x14ac:dyDescent="0.25">
      <c r="A195" s="35" t="str">
        <f t="shared" si="10"/>
        <v/>
      </c>
      <c r="B195" s="35" t="str">
        <f>IF(BOM!A195="","",BOM!A195)</f>
        <v/>
      </c>
      <c r="C195" s="35" t="str">
        <f>IF(B195="","",BOM!B195)</f>
        <v/>
      </c>
      <c r="D195" s="35" t="str">
        <f>IF(B195="","",KT_DMTT_ChiTiet!E195)</f>
        <v/>
      </c>
      <c r="E195" s="36" t="str">
        <f>IF(B195="","",BOM!G195&amp;"")</f>
        <v/>
      </c>
      <c r="F195" s="39" t="str">
        <f>IF(B195="","",BOM!E195)</f>
        <v/>
      </c>
      <c r="G195" s="39" t="str">
        <f>IF(OR(B195="",E195="KXDDM"),"",BOM!F195)</f>
        <v/>
      </c>
      <c r="H195" s="39" t="str">
        <f>IF(OR(B195="",E195&lt;&gt;""),"",IFERROR(INDEX(KT_nguoc_theo_NL!$J$5:$J$304,MATCH(C195,KT_nguoc_theo_NL!$B$5:$B$304,0))/INDEX(KT_nguoc_theo_NL!$K$5:$K$304,MATCH(C195,KT_nguoc_theo_NL!$B$5:$B$304,0)),""))</f>
        <v/>
      </c>
      <c r="I195" s="39" t="str">
        <f t="shared" si="11"/>
        <v/>
      </c>
      <c r="J195" s="46" t="str">
        <f t="shared" si="12"/>
        <v/>
      </c>
      <c r="K195" s="46" t="str">
        <f t="shared" si="13"/>
        <v/>
      </c>
      <c r="L195" s="46" t="str">
        <f t="shared" si="14"/>
        <v/>
      </c>
      <c r="M195" s="35" t="str">
        <f>IF(B195="","",IF(E195="KXDDM","KXDDM – không ĐM",IF(E195&lt;&gt;"","Không KT ("&amp;E195&amp;")",IF(OR(K195="",L195=""),"Xem xét",IF(MAX(ABS(K195),ABS(L195))&lt;=ThongTin!$C$12,"OK","Xem xét")))))</f>
        <v/>
      </c>
    </row>
    <row r="196" spans="1:13" x14ac:dyDescent="0.25">
      <c r="A196" s="35" t="str">
        <f t="shared" si="10"/>
        <v/>
      </c>
      <c r="B196" s="35" t="str">
        <f>IF(BOM!A196="","",BOM!A196)</f>
        <v/>
      </c>
      <c r="C196" s="35" t="str">
        <f>IF(B196="","",BOM!B196)</f>
        <v/>
      </c>
      <c r="D196" s="35" t="str">
        <f>IF(B196="","",KT_DMTT_ChiTiet!E196)</f>
        <v/>
      </c>
      <c r="E196" s="36" t="str">
        <f>IF(B196="","",BOM!G196&amp;"")</f>
        <v/>
      </c>
      <c r="F196" s="39" t="str">
        <f>IF(B196="","",BOM!E196)</f>
        <v/>
      </c>
      <c r="G196" s="39" t="str">
        <f>IF(OR(B196="",E196="KXDDM"),"",BOM!F196)</f>
        <v/>
      </c>
      <c r="H196" s="39" t="str">
        <f>IF(OR(B196="",E196&lt;&gt;""),"",IFERROR(INDEX(KT_nguoc_theo_NL!$J$5:$J$304,MATCH(C196,KT_nguoc_theo_NL!$B$5:$B$304,0))/INDEX(KT_nguoc_theo_NL!$K$5:$K$304,MATCH(C196,KT_nguoc_theo_NL!$B$5:$B$304,0)),""))</f>
        <v/>
      </c>
      <c r="I196" s="39" t="str">
        <f t="shared" si="11"/>
        <v/>
      </c>
      <c r="J196" s="46" t="str">
        <f t="shared" si="12"/>
        <v/>
      </c>
      <c r="K196" s="46" t="str">
        <f t="shared" si="13"/>
        <v/>
      </c>
      <c r="L196" s="46" t="str">
        <f t="shared" si="14"/>
        <v/>
      </c>
      <c r="M196" s="35" t="str">
        <f>IF(B196="","",IF(E196="KXDDM","KXDDM – không ĐM",IF(E196&lt;&gt;"","Không KT ("&amp;E196&amp;")",IF(OR(K196="",L196=""),"Xem xét",IF(MAX(ABS(K196),ABS(L196))&lt;=ThongTin!$C$12,"OK","Xem xét")))))</f>
        <v/>
      </c>
    </row>
    <row r="197" spans="1:13" x14ac:dyDescent="0.25">
      <c r="A197" s="35" t="str">
        <f t="shared" ref="A197:A260" si="15">IF(B197="","",ROW()-4)</f>
        <v/>
      </c>
      <c r="B197" s="35" t="str">
        <f>IF(BOM!A197="","",BOM!A197)</f>
        <v/>
      </c>
      <c r="C197" s="35" t="str">
        <f>IF(B197="","",BOM!B197)</f>
        <v/>
      </c>
      <c r="D197" s="35" t="str">
        <f>IF(B197="","",KT_DMTT_ChiTiet!E197)</f>
        <v/>
      </c>
      <c r="E197" s="36" t="str">
        <f>IF(B197="","",BOM!G197&amp;"")</f>
        <v/>
      </c>
      <c r="F197" s="39" t="str">
        <f>IF(B197="","",BOM!E197)</f>
        <v/>
      </c>
      <c r="G197" s="39" t="str">
        <f>IF(OR(B197="",E197="KXDDM"),"",BOM!F197)</f>
        <v/>
      </c>
      <c r="H197" s="39" t="str">
        <f>IF(OR(B197="",E197&lt;&gt;""),"",IFERROR(INDEX(KT_nguoc_theo_NL!$J$5:$J$304,MATCH(C197,KT_nguoc_theo_NL!$B$5:$B$304,0))/INDEX(KT_nguoc_theo_NL!$K$5:$K$304,MATCH(C197,KT_nguoc_theo_NL!$B$5:$B$304,0)),""))</f>
        <v/>
      </c>
      <c r="I197" s="39" t="str">
        <f t="shared" ref="I197:I260" si="16">IF(OR(H197="",G197=""),"",G197*H197)</f>
        <v/>
      </c>
      <c r="J197" s="46" t="str">
        <f t="shared" ref="J197:J260" si="17">IF(OR(I197="",I197=0),"",(G197-I197)/I197)</f>
        <v/>
      </c>
      <c r="K197" s="46" t="str">
        <f t="shared" ref="K197:K260" si="18">IF(OR(G197="",F197="",F197=0),"",(G197-F197)/F197)</f>
        <v/>
      </c>
      <c r="L197" s="46" t="str">
        <f t="shared" ref="L197:L260" si="19">IF(OR(I197="",F197="",F197=0),"",(I197-F197)/F197)</f>
        <v/>
      </c>
      <c r="M197" s="35" t="str">
        <f>IF(B197="","",IF(E197="KXDDM","KXDDM – không ĐM",IF(E197&lt;&gt;"","Không KT ("&amp;E197&amp;")",IF(OR(K197="",L197=""),"Xem xét",IF(MAX(ABS(K197),ABS(L197))&lt;=ThongTin!$C$12,"OK","Xem xét")))))</f>
        <v/>
      </c>
    </row>
    <row r="198" spans="1:13" x14ac:dyDescent="0.25">
      <c r="A198" s="35" t="str">
        <f t="shared" si="15"/>
        <v/>
      </c>
      <c r="B198" s="35" t="str">
        <f>IF(BOM!A198="","",BOM!A198)</f>
        <v/>
      </c>
      <c r="C198" s="35" t="str">
        <f>IF(B198="","",BOM!B198)</f>
        <v/>
      </c>
      <c r="D198" s="35" t="str">
        <f>IF(B198="","",KT_DMTT_ChiTiet!E198)</f>
        <v/>
      </c>
      <c r="E198" s="36" t="str">
        <f>IF(B198="","",BOM!G198&amp;"")</f>
        <v/>
      </c>
      <c r="F198" s="39" t="str">
        <f>IF(B198="","",BOM!E198)</f>
        <v/>
      </c>
      <c r="G198" s="39" t="str">
        <f>IF(OR(B198="",E198="KXDDM"),"",BOM!F198)</f>
        <v/>
      </c>
      <c r="H198" s="39" t="str">
        <f>IF(OR(B198="",E198&lt;&gt;""),"",IFERROR(INDEX(KT_nguoc_theo_NL!$J$5:$J$304,MATCH(C198,KT_nguoc_theo_NL!$B$5:$B$304,0))/INDEX(KT_nguoc_theo_NL!$K$5:$K$304,MATCH(C198,KT_nguoc_theo_NL!$B$5:$B$304,0)),""))</f>
        <v/>
      </c>
      <c r="I198" s="39" t="str">
        <f t="shared" si="16"/>
        <v/>
      </c>
      <c r="J198" s="46" t="str">
        <f t="shared" si="17"/>
        <v/>
      </c>
      <c r="K198" s="46" t="str">
        <f t="shared" si="18"/>
        <v/>
      </c>
      <c r="L198" s="46" t="str">
        <f t="shared" si="19"/>
        <v/>
      </c>
      <c r="M198" s="35" t="str">
        <f>IF(B198="","",IF(E198="KXDDM","KXDDM – không ĐM",IF(E198&lt;&gt;"","Không KT ("&amp;E198&amp;")",IF(OR(K198="",L198=""),"Xem xét",IF(MAX(ABS(K198),ABS(L198))&lt;=ThongTin!$C$12,"OK","Xem xét")))))</f>
        <v/>
      </c>
    </row>
    <row r="199" spans="1:13" x14ac:dyDescent="0.25">
      <c r="A199" s="35" t="str">
        <f t="shared" si="15"/>
        <v/>
      </c>
      <c r="B199" s="35" t="str">
        <f>IF(BOM!A199="","",BOM!A199)</f>
        <v/>
      </c>
      <c r="C199" s="35" t="str">
        <f>IF(B199="","",BOM!B199)</f>
        <v/>
      </c>
      <c r="D199" s="35" t="str">
        <f>IF(B199="","",KT_DMTT_ChiTiet!E199)</f>
        <v/>
      </c>
      <c r="E199" s="36" t="str">
        <f>IF(B199="","",BOM!G199&amp;"")</f>
        <v/>
      </c>
      <c r="F199" s="39" t="str">
        <f>IF(B199="","",BOM!E199)</f>
        <v/>
      </c>
      <c r="G199" s="39" t="str">
        <f>IF(OR(B199="",E199="KXDDM"),"",BOM!F199)</f>
        <v/>
      </c>
      <c r="H199" s="39" t="str">
        <f>IF(OR(B199="",E199&lt;&gt;""),"",IFERROR(INDEX(KT_nguoc_theo_NL!$J$5:$J$304,MATCH(C199,KT_nguoc_theo_NL!$B$5:$B$304,0))/INDEX(KT_nguoc_theo_NL!$K$5:$K$304,MATCH(C199,KT_nguoc_theo_NL!$B$5:$B$304,0)),""))</f>
        <v/>
      </c>
      <c r="I199" s="39" t="str">
        <f t="shared" si="16"/>
        <v/>
      </c>
      <c r="J199" s="46" t="str">
        <f t="shared" si="17"/>
        <v/>
      </c>
      <c r="K199" s="46" t="str">
        <f t="shared" si="18"/>
        <v/>
      </c>
      <c r="L199" s="46" t="str">
        <f t="shared" si="19"/>
        <v/>
      </c>
      <c r="M199" s="35" t="str">
        <f>IF(B199="","",IF(E199="KXDDM","KXDDM – không ĐM",IF(E199&lt;&gt;"","Không KT ("&amp;E199&amp;")",IF(OR(K199="",L199=""),"Xem xét",IF(MAX(ABS(K199),ABS(L199))&lt;=ThongTin!$C$12,"OK","Xem xét")))))</f>
        <v/>
      </c>
    </row>
    <row r="200" spans="1:13" x14ac:dyDescent="0.25">
      <c r="A200" s="35" t="str">
        <f t="shared" si="15"/>
        <v/>
      </c>
      <c r="B200" s="35" t="str">
        <f>IF(BOM!A200="","",BOM!A200)</f>
        <v/>
      </c>
      <c r="C200" s="35" t="str">
        <f>IF(B200="","",BOM!B200)</f>
        <v/>
      </c>
      <c r="D200" s="35" t="str">
        <f>IF(B200="","",KT_DMTT_ChiTiet!E200)</f>
        <v/>
      </c>
      <c r="E200" s="36" t="str">
        <f>IF(B200="","",BOM!G200&amp;"")</f>
        <v/>
      </c>
      <c r="F200" s="39" t="str">
        <f>IF(B200="","",BOM!E200)</f>
        <v/>
      </c>
      <c r="G200" s="39" t="str">
        <f>IF(OR(B200="",E200="KXDDM"),"",BOM!F200)</f>
        <v/>
      </c>
      <c r="H200" s="39" t="str">
        <f>IF(OR(B200="",E200&lt;&gt;""),"",IFERROR(INDEX(KT_nguoc_theo_NL!$J$5:$J$304,MATCH(C200,KT_nguoc_theo_NL!$B$5:$B$304,0))/INDEX(KT_nguoc_theo_NL!$K$5:$K$304,MATCH(C200,KT_nguoc_theo_NL!$B$5:$B$304,0)),""))</f>
        <v/>
      </c>
      <c r="I200" s="39" t="str">
        <f t="shared" si="16"/>
        <v/>
      </c>
      <c r="J200" s="46" t="str">
        <f t="shared" si="17"/>
        <v/>
      </c>
      <c r="K200" s="46" t="str">
        <f t="shared" si="18"/>
        <v/>
      </c>
      <c r="L200" s="46" t="str">
        <f t="shared" si="19"/>
        <v/>
      </c>
      <c r="M200" s="35" t="str">
        <f>IF(B200="","",IF(E200="KXDDM","KXDDM – không ĐM",IF(E200&lt;&gt;"","Không KT ("&amp;E200&amp;")",IF(OR(K200="",L200=""),"Xem xét",IF(MAX(ABS(K200),ABS(L200))&lt;=ThongTin!$C$12,"OK","Xem xét")))))</f>
        <v/>
      </c>
    </row>
    <row r="201" spans="1:13" x14ac:dyDescent="0.25">
      <c r="A201" s="35" t="str">
        <f t="shared" si="15"/>
        <v/>
      </c>
      <c r="B201" s="35" t="str">
        <f>IF(BOM!A201="","",BOM!A201)</f>
        <v/>
      </c>
      <c r="C201" s="35" t="str">
        <f>IF(B201="","",BOM!B201)</f>
        <v/>
      </c>
      <c r="D201" s="35" t="str">
        <f>IF(B201="","",KT_DMTT_ChiTiet!E201)</f>
        <v/>
      </c>
      <c r="E201" s="36" t="str">
        <f>IF(B201="","",BOM!G201&amp;"")</f>
        <v/>
      </c>
      <c r="F201" s="39" t="str">
        <f>IF(B201="","",BOM!E201)</f>
        <v/>
      </c>
      <c r="G201" s="39" t="str">
        <f>IF(OR(B201="",E201="KXDDM"),"",BOM!F201)</f>
        <v/>
      </c>
      <c r="H201" s="39" t="str">
        <f>IF(OR(B201="",E201&lt;&gt;""),"",IFERROR(INDEX(KT_nguoc_theo_NL!$J$5:$J$304,MATCH(C201,KT_nguoc_theo_NL!$B$5:$B$304,0))/INDEX(KT_nguoc_theo_NL!$K$5:$K$304,MATCH(C201,KT_nguoc_theo_NL!$B$5:$B$304,0)),""))</f>
        <v/>
      </c>
      <c r="I201" s="39" t="str">
        <f t="shared" si="16"/>
        <v/>
      </c>
      <c r="J201" s="46" t="str">
        <f t="shared" si="17"/>
        <v/>
      </c>
      <c r="K201" s="46" t="str">
        <f t="shared" si="18"/>
        <v/>
      </c>
      <c r="L201" s="46" t="str">
        <f t="shared" si="19"/>
        <v/>
      </c>
      <c r="M201" s="35" t="str">
        <f>IF(B201="","",IF(E201="KXDDM","KXDDM – không ĐM",IF(E201&lt;&gt;"","Không KT ("&amp;E201&amp;")",IF(OR(K201="",L201=""),"Xem xét",IF(MAX(ABS(K201),ABS(L201))&lt;=ThongTin!$C$12,"OK","Xem xét")))))</f>
        <v/>
      </c>
    </row>
    <row r="202" spans="1:13" x14ac:dyDescent="0.25">
      <c r="A202" s="35" t="str">
        <f t="shared" si="15"/>
        <v/>
      </c>
      <c r="B202" s="35" t="str">
        <f>IF(BOM!A202="","",BOM!A202)</f>
        <v/>
      </c>
      <c r="C202" s="35" t="str">
        <f>IF(B202="","",BOM!B202)</f>
        <v/>
      </c>
      <c r="D202" s="35" t="str">
        <f>IF(B202="","",KT_DMTT_ChiTiet!E202)</f>
        <v/>
      </c>
      <c r="E202" s="36" t="str">
        <f>IF(B202="","",BOM!G202&amp;"")</f>
        <v/>
      </c>
      <c r="F202" s="39" t="str">
        <f>IF(B202="","",BOM!E202)</f>
        <v/>
      </c>
      <c r="G202" s="39" t="str">
        <f>IF(OR(B202="",E202="KXDDM"),"",BOM!F202)</f>
        <v/>
      </c>
      <c r="H202" s="39" t="str">
        <f>IF(OR(B202="",E202&lt;&gt;""),"",IFERROR(INDEX(KT_nguoc_theo_NL!$J$5:$J$304,MATCH(C202,KT_nguoc_theo_NL!$B$5:$B$304,0))/INDEX(KT_nguoc_theo_NL!$K$5:$K$304,MATCH(C202,KT_nguoc_theo_NL!$B$5:$B$304,0)),""))</f>
        <v/>
      </c>
      <c r="I202" s="39" t="str">
        <f t="shared" si="16"/>
        <v/>
      </c>
      <c r="J202" s="46" t="str">
        <f t="shared" si="17"/>
        <v/>
      </c>
      <c r="K202" s="46" t="str">
        <f t="shared" si="18"/>
        <v/>
      </c>
      <c r="L202" s="46" t="str">
        <f t="shared" si="19"/>
        <v/>
      </c>
      <c r="M202" s="35" t="str">
        <f>IF(B202="","",IF(E202="KXDDM","KXDDM – không ĐM",IF(E202&lt;&gt;"","Không KT ("&amp;E202&amp;")",IF(OR(K202="",L202=""),"Xem xét",IF(MAX(ABS(K202),ABS(L202))&lt;=ThongTin!$C$12,"OK","Xem xét")))))</f>
        <v/>
      </c>
    </row>
    <row r="203" spans="1:13" x14ac:dyDescent="0.25">
      <c r="A203" s="35" t="str">
        <f t="shared" si="15"/>
        <v/>
      </c>
      <c r="B203" s="35" t="str">
        <f>IF(BOM!A203="","",BOM!A203)</f>
        <v/>
      </c>
      <c r="C203" s="35" t="str">
        <f>IF(B203="","",BOM!B203)</f>
        <v/>
      </c>
      <c r="D203" s="35" t="str">
        <f>IF(B203="","",KT_DMTT_ChiTiet!E203)</f>
        <v/>
      </c>
      <c r="E203" s="36" t="str">
        <f>IF(B203="","",BOM!G203&amp;"")</f>
        <v/>
      </c>
      <c r="F203" s="39" t="str">
        <f>IF(B203="","",BOM!E203)</f>
        <v/>
      </c>
      <c r="G203" s="39" t="str">
        <f>IF(OR(B203="",E203="KXDDM"),"",BOM!F203)</f>
        <v/>
      </c>
      <c r="H203" s="39" t="str">
        <f>IF(OR(B203="",E203&lt;&gt;""),"",IFERROR(INDEX(KT_nguoc_theo_NL!$J$5:$J$304,MATCH(C203,KT_nguoc_theo_NL!$B$5:$B$304,0))/INDEX(KT_nguoc_theo_NL!$K$5:$K$304,MATCH(C203,KT_nguoc_theo_NL!$B$5:$B$304,0)),""))</f>
        <v/>
      </c>
      <c r="I203" s="39" t="str">
        <f t="shared" si="16"/>
        <v/>
      </c>
      <c r="J203" s="46" t="str">
        <f t="shared" si="17"/>
        <v/>
      </c>
      <c r="K203" s="46" t="str">
        <f t="shared" si="18"/>
        <v/>
      </c>
      <c r="L203" s="46" t="str">
        <f t="shared" si="19"/>
        <v/>
      </c>
      <c r="M203" s="35" t="str">
        <f>IF(B203="","",IF(E203="KXDDM","KXDDM – không ĐM",IF(E203&lt;&gt;"","Không KT ("&amp;E203&amp;")",IF(OR(K203="",L203=""),"Xem xét",IF(MAX(ABS(K203),ABS(L203))&lt;=ThongTin!$C$12,"OK","Xem xét")))))</f>
        <v/>
      </c>
    </row>
    <row r="204" spans="1:13" x14ac:dyDescent="0.25">
      <c r="A204" s="35" t="str">
        <f t="shared" si="15"/>
        <v/>
      </c>
      <c r="B204" s="35" t="str">
        <f>IF(BOM!A204="","",BOM!A204)</f>
        <v/>
      </c>
      <c r="C204" s="35" t="str">
        <f>IF(B204="","",BOM!B204)</f>
        <v/>
      </c>
      <c r="D204" s="35" t="str">
        <f>IF(B204="","",KT_DMTT_ChiTiet!E204)</f>
        <v/>
      </c>
      <c r="E204" s="36" t="str">
        <f>IF(B204="","",BOM!G204&amp;"")</f>
        <v/>
      </c>
      <c r="F204" s="39" t="str">
        <f>IF(B204="","",BOM!E204)</f>
        <v/>
      </c>
      <c r="G204" s="39" t="str">
        <f>IF(OR(B204="",E204="KXDDM"),"",BOM!F204)</f>
        <v/>
      </c>
      <c r="H204" s="39" t="str">
        <f>IF(OR(B204="",E204&lt;&gt;""),"",IFERROR(INDEX(KT_nguoc_theo_NL!$J$5:$J$304,MATCH(C204,KT_nguoc_theo_NL!$B$5:$B$304,0))/INDEX(KT_nguoc_theo_NL!$K$5:$K$304,MATCH(C204,KT_nguoc_theo_NL!$B$5:$B$304,0)),""))</f>
        <v/>
      </c>
      <c r="I204" s="39" t="str">
        <f t="shared" si="16"/>
        <v/>
      </c>
      <c r="J204" s="46" t="str">
        <f t="shared" si="17"/>
        <v/>
      </c>
      <c r="K204" s="46" t="str">
        <f t="shared" si="18"/>
        <v/>
      </c>
      <c r="L204" s="46" t="str">
        <f t="shared" si="19"/>
        <v/>
      </c>
      <c r="M204" s="35" t="str">
        <f>IF(B204="","",IF(E204="KXDDM","KXDDM – không ĐM",IF(E204&lt;&gt;"","Không KT ("&amp;E204&amp;")",IF(OR(K204="",L204=""),"Xem xét",IF(MAX(ABS(K204),ABS(L204))&lt;=ThongTin!$C$12,"OK","Xem xét")))))</f>
        <v/>
      </c>
    </row>
    <row r="205" spans="1:13" x14ac:dyDescent="0.25">
      <c r="A205" s="35" t="str">
        <f t="shared" si="15"/>
        <v/>
      </c>
      <c r="B205" s="35" t="str">
        <f>IF(BOM!A205="","",BOM!A205)</f>
        <v/>
      </c>
      <c r="C205" s="35" t="str">
        <f>IF(B205="","",BOM!B205)</f>
        <v/>
      </c>
      <c r="D205" s="35" t="str">
        <f>IF(B205="","",KT_DMTT_ChiTiet!E205)</f>
        <v/>
      </c>
      <c r="E205" s="36" t="str">
        <f>IF(B205="","",BOM!G205&amp;"")</f>
        <v/>
      </c>
      <c r="F205" s="39" t="str">
        <f>IF(B205="","",BOM!E205)</f>
        <v/>
      </c>
      <c r="G205" s="39" t="str">
        <f>IF(OR(B205="",E205="KXDDM"),"",BOM!F205)</f>
        <v/>
      </c>
      <c r="H205" s="39" t="str">
        <f>IF(OR(B205="",E205&lt;&gt;""),"",IFERROR(INDEX(KT_nguoc_theo_NL!$J$5:$J$304,MATCH(C205,KT_nguoc_theo_NL!$B$5:$B$304,0))/INDEX(KT_nguoc_theo_NL!$K$5:$K$304,MATCH(C205,KT_nguoc_theo_NL!$B$5:$B$304,0)),""))</f>
        <v/>
      </c>
      <c r="I205" s="39" t="str">
        <f t="shared" si="16"/>
        <v/>
      </c>
      <c r="J205" s="46" t="str">
        <f t="shared" si="17"/>
        <v/>
      </c>
      <c r="K205" s="46" t="str">
        <f t="shared" si="18"/>
        <v/>
      </c>
      <c r="L205" s="46" t="str">
        <f t="shared" si="19"/>
        <v/>
      </c>
      <c r="M205" s="35" t="str">
        <f>IF(B205="","",IF(E205="KXDDM","KXDDM – không ĐM",IF(E205&lt;&gt;"","Không KT ("&amp;E205&amp;")",IF(OR(K205="",L205=""),"Xem xét",IF(MAX(ABS(K205),ABS(L205))&lt;=ThongTin!$C$12,"OK","Xem xét")))))</f>
        <v/>
      </c>
    </row>
    <row r="206" spans="1:13" x14ac:dyDescent="0.25">
      <c r="A206" s="35" t="str">
        <f t="shared" si="15"/>
        <v/>
      </c>
      <c r="B206" s="35" t="str">
        <f>IF(BOM!A206="","",BOM!A206)</f>
        <v/>
      </c>
      <c r="C206" s="35" t="str">
        <f>IF(B206="","",BOM!B206)</f>
        <v/>
      </c>
      <c r="D206" s="35" t="str">
        <f>IF(B206="","",KT_DMTT_ChiTiet!E206)</f>
        <v/>
      </c>
      <c r="E206" s="36" t="str">
        <f>IF(B206="","",BOM!G206&amp;"")</f>
        <v/>
      </c>
      <c r="F206" s="39" t="str">
        <f>IF(B206="","",BOM!E206)</f>
        <v/>
      </c>
      <c r="G206" s="39" t="str">
        <f>IF(OR(B206="",E206="KXDDM"),"",BOM!F206)</f>
        <v/>
      </c>
      <c r="H206" s="39" t="str">
        <f>IF(OR(B206="",E206&lt;&gt;""),"",IFERROR(INDEX(KT_nguoc_theo_NL!$J$5:$J$304,MATCH(C206,KT_nguoc_theo_NL!$B$5:$B$304,0))/INDEX(KT_nguoc_theo_NL!$K$5:$K$304,MATCH(C206,KT_nguoc_theo_NL!$B$5:$B$304,0)),""))</f>
        <v/>
      </c>
      <c r="I206" s="39" t="str">
        <f t="shared" si="16"/>
        <v/>
      </c>
      <c r="J206" s="46" t="str">
        <f t="shared" si="17"/>
        <v/>
      </c>
      <c r="K206" s="46" t="str">
        <f t="shared" si="18"/>
        <v/>
      </c>
      <c r="L206" s="46" t="str">
        <f t="shared" si="19"/>
        <v/>
      </c>
      <c r="M206" s="35" t="str">
        <f>IF(B206="","",IF(E206="KXDDM","KXDDM – không ĐM",IF(E206&lt;&gt;"","Không KT ("&amp;E206&amp;")",IF(OR(K206="",L206=""),"Xem xét",IF(MAX(ABS(K206),ABS(L206))&lt;=ThongTin!$C$12,"OK","Xem xét")))))</f>
        <v/>
      </c>
    </row>
    <row r="207" spans="1:13" x14ac:dyDescent="0.25">
      <c r="A207" s="35" t="str">
        <f t="shared" si="15"/>
        <v/>
      </c>
      <c r="B207" s="35" t="str">
        <f>IF(BOM!A207="","",BOM!A207)</f>
        <v/>
      </c>
      <c r="C207" s="35" t="str">
        <f>IF(B207="","",BOM!B207)</f>
        <v/>
      </c>
      <c r="D207" s="35" t="str">
        <f>IF(B207="","",KT_DMTT_ChiTiet!E207)</f>
        <v/>
      </c>
      <c r="E207" s="36" t="str">
        <f>IF(B207="","",BOM!G207&amp;"")</f>
        <v/>
      </c>
      <c r="F207" s="39" t="str">
        <f>IF(B207="","",BOM!E207)</f>
        <v/>
      </c>
      <c r="G207" s="39" t="str">
        <f>IF(OR(B207="",E207="KXDDM"),"",BOM!F207)</f>
        <v/>
      </c>
      <c r="H207" s="39" t="str">
        <f>IF(OR(B207="",E207&lt;&gt;""),"",IFERROR(INDEX(KT_nguoc_theo_NL!$J$5:$J$304,MATCH(C207,KT_nguoc_theo_NL!$B$5:$B$304,0))/INDEX(KT_nguoc_theo_NL!$K$5:$K$304,MATCH(C207,KT_nguoc_theo_NL!$B$5:$B$304,0)),""))</f>
        <v/>
      </c>
      <c r="I207" s="39" t="str">
        <f t="shared" si="16"/>
        <v/>
      </c>
      <c r="J207" s="46" t="str">
        <f t="shared" si="17"/>
        <v/>
      </c>
      <c r="K207" s="46" t="str">
        <f t="shared" si="18"/>
        <v/>
      </c>
      <c r="L207" s="46" t="str">
        <f t="shared" si="19"/>
        <v/>
      </c>
      <c r="M207" s="35" t="str">
        <f>IF(B207="","",IF(E207="KXDDM","KXDDM – không ĐM",IF(E207&lt;&gt;"","Không KT ("&amp;E207&amp;")",IF(OR(K207="",L207=""),"Xem xét",IF(MAX(ABS(K207),ABS(L207))&lt;=ThongTin!$C$12,"OK","Xem xét")))))</f>
        <v/>
      </c>
    </row>
    <row r="208" spans="1:13" x14ac:dyDescent="0.25">
      <c r="A208" s="35" t="str">
        <f t="shared" si="15"/>
        <v/>
      </c>
      <c r="B208" s="35" t="str">
        <f>IF(BOM!A208="","",BOM!A208)</f>
        <v/>
      </c>
      <c r="C208" s="35" t="str">
        <f>IF(B208="","",BOM!B208)</f>
        <v/>
      </c>
      <c r="D208" s="35" t="str">
        <f>IF(B208="","",KT_DMTT_ChiTiet!E208)</f>
        <v/>
      </c>
      <c r="E208" s="36" t="str">
        <f>IF(B208="","",BOM!G208&amp;"")</f>
        <v/>
      </c>
      <c r="F208" s="39" t="str">
        <f>IF(B208="","",BOM!E208)</f>
        <v/>
      </c>
      <c r="G208" s="39" t="str">
        <f>IF(OR(B208="",E208="KXDDM"),"",BOM!F208)</f>
        <v/>
      </c>
      <c r="H208" s="39" t="str">
        <f>IF(OR(B208="",E208&lt;&gt;""),"",IFERROR(INDEX(KT_nguoc_theo_NL!$J$5:$J$304,MATCH(C208,KT_nguoc_theo_NL!$B$5:$B$304,0))/INDEX(KT_nguoc_theo_NL!$K$5:$K$304,MATCH(C208,KT_nguoc_theo_NL!$B$5:$B$304,0)),""))</f>
        <v/>
      </c>
      <c r="I208" s="39" t="str">
        <f t="shared" si="16"/>
        <v/>
      </c>
      <c r="J208" s="46" t="str">
        <f t="shared" si="17"/>
        <v/>
      </c>
      <c r="K208" s="46" t="str">
        <f t="shared" si="18"/>
        <v/>
      </c>
      <c r="L208" s="46" t="str">
        <f t="shared" si="19"/>
        <v/>
      </c>
      <c r="M208" s="35" t="str">
        <f>IF(B208="","",IF(E208="KXDDM","KXDDM – không ĐM",IF(E208&lt;&gt;"","Không KT ("&amp;E208&amp;")",IF(OR(K208="",L208=""),"Xem xét",IF(MAX(ABS(K208),ABS(L208))&lt;=ThongTin!$C$12,"OK","Xem xét")))))</f>
        <v/>
      </c>
    </row>
    <row r="209" spans="1:13" x14ac:dyDescent="0.25">
      <c r="A209" s="35" t="str">
        <f t="shared" si="15"/>
        <v/>
      </c>
      <c r="B209" s="35" t="str">
        <f>IF(BOM!A209="","",BOM!A209)</f>
        <v/>
      </c>
      <c r="C209" s="35" t="str">
        <f>IF(B209="","",BOM!B209)</f>
        <v/>
      </c>
      <c r="D209" s="35" t="str">
        <f>IF(B209="","",KT_DMTT_ChiTiet!E209)</f>
        <v/>
      </c>
      <c r="E209" s="36" t="str">
        <f>IF(B209="","",BOM!G209&amp;"")</f>
        <v/>
      </c>
      <c r="F209" s="39" t="str">
        <f>IF(B209="","",BOM!E209)</f>
        <v/>
      </c>
      <c r="G209" s="39" t="str">
        <f>IF(OR(B209="",E209="KXDDM"),"",BOM!F209)</f>
        <v/>
      </c>
      <c r="H209" s="39" t="str">
        <f>IF(OR(B209="",E209&lt;&gt;""),"",IFERROR(INDEX(KT_nguoc_theo_NL!$J$5:$J$304,MATCH(C209,KT_nguoc_theo_NL!$B$5:$B$304,0))/INDEX(KT_nguoc_theo_NL!$K$5:$K$304,MATCH(C209,KT_nguoc_theo_NL!$B$5:$B$304,0)),""))</f>
        <v/>
      </c>
      <c r="I209" s="39" t="str">
        <f t="shared" si="16"/>
        <v/>
      </c>
      <c r="J209" s="46" t="str">
        <f t="shared" si="17"/>
        <v/>
      </c>
      <c r="K209" s="46" t="str">
        <f t="shared" si="18"/>
        <v/>
      </c>
      <c r="L209" s="46" t="str">
        <f t="shared" si="19"/>
        <v/>
      </c>
      <c r="M209" s="35" t="str">
        <f>IF(B209="","",IF(E209="KXDDM","KXDDM – không ĐM",IF(E209&lt;&gt;"","Không KT ("&amp;E209&amp;")",IF(OR(K209="",L209=""),"Xem xét",IF(MAX(ABS(K209),ABS(L209))&lt;=ThongTin!$C$12,"OK","Xem xét")))))</f>
        <v/>
      </c>
    </row>
    <row r="210" spans="1:13" x14ac:dyDescent="0.25">
      <c r="A210" s="35" t="str">
        <f t="shared" si="15"/>
        <v/>
      </c>
      <c r="B210" s="35" t="str">
        <f>IF(BOM!A210="","",BOM!A210)</f>
        <v/>
      </c>
      <c r="C210" s="35" t="str">
        <f>IF(B210="","",BOM!B210)</f>
        <v/>
      </c>
      <c r="D210" s="35" t="str">
        <f>IF(B210="","",KT_DMTT_ChiTiet!E210)</f>
        <v/>
      </c>
      <c r="E210" s="36" t="str">
        <f>IF(B210="","",BOM!G210&amp;"")</f>
        <v/>
      </c>
      <c r="F210" s="39" t="str">
        <f>IF(B210="","",BOM!E210)</f>
        <v/>
      </c>
      <c r="G210" s="39" t="str">
        <f>IF(OR(B210="",E210="KXDDM"),"",BOM!F210)</f>
        <v/>
      </c>
      <c r="H210" s="39" t="str">
        <f>IF(OR(B210="",E210&lt;&gt;""),"",IFERROR(INDEX(KT_nguoc_theo_NL!$J$5:$J$304,MATCH(C210,KT_nguoc_theo_NL!$B$5:$B$304,0))/INDEX(KT_nguoc_theo_NL!$K$5:$K$304,MATCH(C210,KT_nguoc_theo_NL!$B$5:$B$304,0)),""))</f>
        <v/>
      </c>
      <c r="I210" s="39" t="str">
        <f t="shared" si="16"/>
        <v/>
      </c>
      <c r="J210" s="46" t="str">
        <f t="shared" si="17"/>
        <v/>
      </c>
      <c r="K210" s="46" t="str">
        <f t="shared" si="18"/>
        <v/>
      </c>
      <c r="L210" s="46" t="str">
        <f t="shared" si="19"/>
        <v/>
      </c>
      <c r="M210" s="35" t="str">
        <f>IF(B210="","",IF(E210="KXDDM","KXDDM – không ĐM",IF(E210&lt;&gt;"","Không KT ("&amp;E210&amp;")",IF(OR(K210="",L210=""),"Xem xét",IF(MAX(ABS(K210),ABS(L210))&lt;=ThongTin!$C$12,"OK","Xem xét")))))</f>
        <v/>
      </c>
    </row>
    <row r="211" spans="1:13" x14ac:dyDescent="0.25">
      <c r="A211" s="35" t="str">
        <f t="shared" si="15"/>
        <v/>
      </c>
      <c r="B211" s="35" t="str">
        <f>IF(BOM!A211="","",BOM!A211)</f>
        <v/>
      </c>
      <c r="C211" s="35" t="str">
        <f>IF(B211="","",BOM!B211)</f>
        <v/>
      </c>
      <c r="D211" s="35" t="str">
        <f>IF(B211="","",KT_DMTT_ChiTiet!E211)</f>
        <v/>
      </c>
      <c r="E211" s="36" t="str">
        <f>IF(B211="","",BOM!G211&amp;"")</f>
        <v/>
      </c>
      <c r="F211" s="39" t="str">
        <f>IF(B211="","",BOM!E211)</f>
        <v/>
      </c>
      <c r="G211" s="39" t="str">
        <f>IF(OR(B211="",E211="KXDDM"),"",BOM!F211)</f>
        <v/>
      </c>
      <c r="H211" s="39" t="str">
        <f>IF(OR(B211="",E211&lt;&gt;""),"",IFERROR(INDEX(KT_nguoc_theo_NL!$J$5:$J$304,MATCH(C211,KT_nguoc_theo_NL!$B$5:$B$304,0))/INDEX(KT_nguoc_theo_NL!$K$5:$K$304,MATCH(C211,KT_nguoc_theo_NL!$B$5:$B$304,0)),""))</f>
        <v/>
      </c>
      <c r="I211" s="39" t="str">
        <f t="shared" si="16"/>
        <v/>
      </c>
      <c r="J211" s="46" t="str">
        <f t="shared" si="17"/>
        <v/>
      </c>
      <c r="K211" s="46" t="str">
        <f t="shared" si="18"/>
        <v/>
      </c>
      <c r="L211" s="46" t="str">
        <f t="shared" si="19"/>
        <v/>
      </c>
      <c r="M211" s="35" t="str">
        <f>IF(B211="","",IF(E211="KXDDM","KXDDM – không ĐM",IF(E211&lt;&gt;"","Không KT ("&amp;E211&amp;")",IF(OR(K211="",L211=""),"Xem xét",IF(MAX(ABS(K211),ABS(L211))&lt;=ThongTin!$C$12,"OK","Xem xét")))))</f>
        <v/>
      </c>
    </row>
    <row r="212" spans="1:13" x14ac:dyDescent="0.25">
      <c r="A212" s="35" t="str">
        <f t="shared" si="15"/>
        <v/>
      </c>
      <c r="B212" s="35" t="str">
        <f>IF(BOM!A212="","",BOM!A212)</f>
        <v/>
      </c>
      <c r="C212" s="35" t="str">
        <f>IF(B212="","",BOM!B212)</f>
        <v/>
      </c>
      <c r="D212" s="35" t="str">
        <f>IF(B212="","",KT_DMTT_ChiTiet!E212)</f>
        <v/>
      </c>
      <c r="E212" s="36" t="str">
        <f>IF(B212="","",BOM!G212&amp;"")</f>
        <v/>
      </c>
      <c r="F212" s="39" t="str">
        <f>IF(B212="","",BOM!E212)</f>
        <v/>
      </c>
      <c r="G212" s="39" t="str">
        <f>IF(OR(B212="",E212="KXDDM"),"",BOM!F212)</f>
        <v/>
      </c>
      <c r="H212" s="39" t="str">
        <f>IF(OR(B212="",E212&lt;&gt;""),"",IFERROR(INDEX(KT_nguoc_theo_NL!$J$5:$J$304,MATCH(C212,KT_nguoc_theo_NL!$B$5:$B$304,0))/INDEX(KT_nguoc_theo_NL!$K$5:$K$304,MATCH(C212,KT_nguoc_theo_NL!$B$5:$B$304,0)),""))</f>
        <v/>
      </c>
      <c r="I212" s="39" t="str">
        <f t="shared" si="16"/>
        <v/>
      </c>
      <c r="J212" s="46" t="str">
        <f t="shared" si="17"/>
        <v/>
      </c>
      <c r="K212" s="46" t="str">
        <f t="shared" si="18"/>
        <v/>
      </c>
      <c r="L212" s="46" t="str">
        <f t="shared" si="19"/>
        <v/>
      </c>
      <c r="M212" s="35" t="str">
        <f>IF(B212="","",IF(E212="KXDDM","KXDDM – không ĐM",IF(E212&lt;&gt;"","Không KT ("&amp;E212&amp;")",IF(OR(K212="",L212=""),"Xem xét",IF(MAX(ABS(K212),ABS(L212))&lt;=ThongTin!$C$12,"OK","Xem xét")))))</f>
        <v/>
      </c>
    </row>
    <row r="213" spans="1:13" x14ac:dyDescent="0.25">
      <c r="A213" s="35" t="str">
        <f t="shared" si="15"/>
        <v/>
      </c>
      <c r="B213" s="35" t="str">
        <f>IF(BOM!A213="","",BOM!A213)</f>
        <v/>
      </c>
      <c r="C213" s="35" t="str">
        <f>IF(B213="","",BOM!B213)</f>
        <v/>
      </c>
      <c r="D213" s="35" t="str">
        <f>IF(B213="","",KT_DMTT_ChiTiet!E213)</f>
        <v/>
      </c>
      <c r="E213" s="36" t="str">
        <f>IF(B213="","",BOM!G213&amp;"")</f>
        <v/>
      </c>
      <c r="F213" s="39" t="str">
        <f>IF(B213="","",BOM!E213)</f>
        <v/>
      </c>
      <c r="G213" s="39" t="str">
        <f>IF(OR(B213="",E213="KXDDM"),"",BOM!F213)</f>
        <v/>
      </c>
      <c r="H213" s="39" t="str">
        <f>IF(OR(B213="",E213&lt;&gt;""),"",IFERROR(INDEX(KT_nguoc_theo_NL!$J$5:$J$304,MATCH(C213,KT_nguoc_theo_NL!$B$5:$B$304,0))/INDEX(KT_nguoc_theo_NL!$K$5:$K$304,MATCH(C213,KT_nguoc_theo_NL!$B$5:$B$304,0)),""))</f>
        <v/>
      </c>
      <c r="I213" s="39" t="str">
        <f t="shared" si="16"/>
        <v/>
      </c>
      <c r="J213" s="46" t="str">
        <f t="shared" si="17"/>
        <v/>
      </c>
      <c r="K213" s="46" t="str">
        <f t="shared" si="18"/>
        <v/>
      </c>
      <c r="L213" s="46" t="str">
        <f t="shared" si="19"/>
        <v/>
      </c>
      <c r="M213" s="35" t="str">
        <f>IF(B213="","",IF(E213="KXDDM","KXDDM – không ĐM",IF(E213&lt;&gt;"","Không KT ("&amp;E213&amp;")",IF(OR(K213="",L213=""),"Xem xét",IF(MAX(ABS(K213),ABS(L213))&lt;=ThongTin!$C$12,"OK","Xem xét")))))</f>
        <v/>
      </c>
    </row>
    <row r="214" spans="1:13" x14ac:dyDescent="0.25">
      <c r="A214" s="35" t="str">
        <f t="shared" si="15"/>
        <v/>
      </c>
      <c r="B214" s="35" t="str">
        <f>IF(BOM!A214="","",BOM!A214)</f>
        <v/>
      </c>
      <c r="C214" s="35" t="str">
        <f>IF(B214="","",BOM!B214)</f>
        <v/>
      </c>
      <c r="D214" s="35" t="str">
        <f>IF(B214="","",KT_DMTT_ChiTiet!E214)</f>
        <v/>
      </c>
      <c r="E214" s="36" t="str">
        <f>IF(B214="","",BOM!G214&amp;"")</f>
        <v/>
      </c>
      <c r="F214" s="39" t="str">
        <f>IF(B214="","",BOM!E214)</f>
        <v/>
      </c>
      <c r="G214" s="39" t="str">
        <f>IF(OR(B214="",E214="KXDDM"),"",BOM!F214)</f>
        <v/>
      </c>
      <c r="H214" s="39" t="str">
        <f>IF(OR(B214="",E214&lt;&gt;""),"",IFERROR(INDEX(KT_nguoc_theo_NL!$J$5:$J$304,MATCH(C214,KT_nguoc_theo_NL!$B$5:$B$304,0))/INDEX(KT_nguoc_theo_NL!$K$5:$K$304,MATCH(C214,KT_nguoc_theo_NL!$B$5:$B$304,0)),""))</f>
        <v/>
      </c>
      <c r="I214" s="39" t="str">
        <f t="shared" si="16"/>
        <v/>
      </c>
      <c r="J214" s="46" t="str">
        <f t="shared" si="17"/>
        <v/>
      </c>
      <c r="K214" s="46" t="str">
        <f t="shared" si="18"/>
        <v/>
      </c>
      <c r="L214" s="46" t="str">
        <f t="shared" si="19"/>
        <v/>
      </c>
      <c r="M214" s="35" t="str">
        <f>IF(B214="","",IF(E214="KXDDM","KXDDM – không ĐM",IF(E214&lt;&gt;"","Không KT ("&amp;E214&amp;")",IF(OR(K214="",L214=""),"Xem xét",IF(MAX(ABS(K214),ABS(L214))&lt;=ThongTin!$C$12,"OK","Xem xét")))))</f>
        <v/>
      </c>
    </row>
    <row r="215" spans="1:13" x14ac:dyDescent="0.25">
      <c r="A215" s="35" t="str">
        <f t="shared" si="15"/>
        <v/>
      </c>
      <c r="B215" s="35" t="str">
        <f>IF(BOM!A215="","",BOM!A215)</f>
        <v/>
      </c>
      <c r="C215" s="35" t="str">
        <f>IF(B215="","",BOM!B215)</f>
        <v/>
      </c>
      <c r="D215" s="35" t="str">
        <f>IF(B215="","",KT_DMTT_ChiTiet!E215)</f>
        <v/>
      </c>
      <c r="E215" s="36" t="str">
        <f>IF(B215="","",BOM!G215&amp;"")</f>
        <v/>
      </c>
      <c r="F215" s="39" t="str">
        <f>IF(B215="","",BOM!E215)</f>
        <v/>
      </c>
      <c r="G215" s="39" t="str">
        <f>IF(OR(B215="",E215="KXDDM"),"",BOM!F215)</f>
        <v/>
      </c>
      <c r="H215" s="39" t="str">
        <f>IF(OR(B215="",E215&lt;&gt;""),"",IFERROR(INDEX(KT_nguoc_theo_NL!$J$5:$J$304,MATCH(C215,KT_nguoc_theo_NL!$B$5:$B$304,0))/INDEX(KT_nguoc_theo_NL!$K$5:$K$304,MATCH(C215,KT_nguoc_theo_NL!$B$5:$B$304,0)),""))</f>
        <v/>
      </c>
      <c r="I215" s="39" t="str">
        <f t="shared" si="16"/>
        <v/>
      </c>
      <c r="J215" s="46" t="str">
        <f t="shared" si="17"/>
        <v/>
      </c>
      <c r="K215" s="46" t="str">
        <f t="shared" si="18"/>
        <v/>
      </c>
      <c r="L215" s="46" t="str">
        <f t="shared" si="19"/>
        <v/>
      </c>
      <c r="M215" s="35" t="str">
        <f>IF(B215="","",IF(E215="KXDDM","KXDDM – không ĐM",IF(E215&lt;&gt;"","Không KT ("&amp;E215&amp;")",IF(OR(K215="",L215=""),"Xem xét",IF(MAX(ABS(K215),ABS(L215))&lt;=ThongTin!$C$12,"OK","Xem xét")))))</f>
        <v/>
      </c>
    </row>
    <row r="216" spans="1:13" x14ac:dyDescent="0.25">
      <c r="A216" s="35" t="str">
        <f t="shared" si="15"/>
        <v/>
      </c>
      <c r="B216" s="35" t="str">
        <f>IF(BOM!A216="","",BOM!A216)</f>
        <v/>
      </c>
      <c r="C216" s="35" t="str">
        <f>IF(B216="","",BOM!B216)</f>
        <v/>
      </c>
      <c r="D216" s="35" t="str">
        <f>IF(B216="","",KT_DMTT_ChiTiet!E216)</f>
        <v/>
      </c>
      <c r="E216" s="36" t="str">
        <f>IF(B216="","",BOM!G216&amp;"")</f>
        <v/>
      </c>
      <c r="F216" s="39" t="str">
        <f>IF(B216="","",BOM!E216)</f>
        <v/>
      </c>
      <c r="G216" s="39" t="str">
        <f>IF(OR(B216="",E216="KXDDM"),"",BOM!F216)</f>
        <v/>
      </c>
      <c r="H216" s="39" t="str">
        <f>IF(OR(B216="",E216&lt;&gt;""),"",IFERROR(INDEX(KT_nguoc_theo_NL!$J$5:$J$304,MATCH(C216,KT_nguoc_theo_NL!$B$5:$B$304,0))/INDEX(KT_nguoc_theo_NL!$K$5:$K$304,MATCH(C216,KT_nguoc_theo_NL!$B$5:$B$304,0)),""))</f>
        <v/>
      </c>
      <c r="I216" s="39" t="str">
        <f t="shared" si="16"/>
        <v/>
      </c>
      <c r="J216" s="46" t="str">
        <f t="shared" si="17"/>
        <v/>
      </c>
      <c r="K216" s="46" t="str">
        <f t="shared" si="18"/>
        <v/>
      </c>
      <c r="L216" s="46" t="str">
        <f t="shared" si="19"/>
        <v/>
      </c>
      <c r="M216" s="35" t="str">
        <f>IF(B216="","",IF(E216="KXDDM","KXDDM – không ĐM",IF(E216&lt;&gt;"","Không KT ("&amp;E216&amp;")",IF(OR(K216="",L216=""),"Xem xét",IF(MAX(ABS(K216),ABS(L216))&lt;=ThongTin!$C$12,"OK","Xem xét")))))</f>
        <v/>
      </c>
    </row>
    <row r="217" spans="1:13" x14ac:dyDescent="0.25">
      <c r="A217" s="35" t="str">
        <f t="shared" si="15"/>
        <v/>
      </c>
      <c r="B217" s="35" t="str">
        <f>IF(BOM!A217="","",BOM!A217)</f>
        <v/>
      </c>
      <c r="C217" s="35" t="str">
        <f>IF(B217="","",BOM!B217)</f>
        <v/>
      </c>
      <c r="D217" s="35" t="str">
        <f>IF(B217="","",KT_DMTT_ChiTiet!E217)</f>
        <v/>
      </c>
      <c r="E217" s="36" t="str">
        <f>IF(B217="","",BOM!G217&amp;"")</f>
        <v/>
      </c>
      <c r="F217" s="39" t="str">
        <f>IF(B217="","",BOM!E217)</f>
        <v/>
      </c>
      <c r="G217" s="39" t="str">
        <f>IF(OR(B217="",E217="KXDDM"),"",BOM!F217)</f>
        <v/>
      </c>
      <c r="H217" s="39" t="str">
        <f>IF(OR(B217="",E217&lt;&gt;""),"",IFERROR(INDEX(KT_nguoc_theo_NL!$J$5:$J$304,MATCH(C217,KT_nguoc_theo_NL!$B$5:$B$304,0))/INDEX(KT_nguoc_theo_NL!$K$5:$K$304,MATCH(C217,KT_nguoc_theo_NL!$B$5:$B$304,0)),""))</f>
        <v/>
      </c>
      <c r="I217" s="39" t="str">
        <f t="shared" si="16"/>
        <v/>
      </c>
      <c r="J217" s="46" t="str">
        <f t="shared" si="17"/>
        <v/>
      </c>
      <c r="K217" s="46" t="str">
        <f t="shared" si="18"/>
        <v/>
      </c>
      <c r="L217" s="46" t="str">
        <f t="shared" si="19"/>
        <v/>
      </c>
      <c r="M217" s="35" t="str">
        <f>IF(B217="","",IF(E217="KXDDM","KXDDM – không ĐM",IF(E217&lt;&gt;"","Không KT ("&amp;E217&amp;")",IF(OR(K217="",L217=""),"Xem xét",IF(MAX(ABS(K217),ABS(L217))&lt;=ThongTin!$C$12,"OK","Xem xét")))))</f>
        <v/>
      </c>
    </row>
    <row r="218" spans="1:13" x14ac:dyDescent="0.25">
      <c r="A218" s="35" t="str">
        <f t="shared" si="15"/>
        <v/>
      </c>
      <c r="B218" s="35" t="str">
        <f>IF(BOM!A218="","",BOM!A218)</f>
        <v/>
      </c>
      <c r="C218" s="35" t="str">
        <f>IF(B218="","",BOM!B218)</f>
        <v/>
      </c>
      <c r="D218" s="35" t="str">
        <f>IF(B218="","",KT_DMTT_ChiTiet!E218)</f>
        <v/>
      </c>
      <c r="E218" s="36" t="str">
        <f>IF(B218="","",BOM!G218&amp;"")</f>
        <v/>
      </c>
      <c r="F218" s="39" t="str">
        <f>IF(B218="","",BOM!E218)</f>
        <v/>
      </c>
      <c r="G218" s="39" t="str">
        <f>IF(OR(B218="",E218="KXDDM"),"",BOM!F218)</f>
        <v/>
      </c>
      <c r="H218" s="39" t="str">
        <f>IF(OR(B218="",E218&lt;&gt;""),"",IFERROR(INDEX(KT_nguoc_theo_NL!$J$5:$J$304,MATCH(C218,KT_nguoc_theo_NL!$B$5:$B$304,0))/INDEX(KT_nguoc_theo_NL!$K$5:$K$304,MATCH(C218,KT_nguoc_theo_NL!$B$5:$B$304,0)),""))</f>
        <v/>
      </c>
      <c r="I218" s="39" t="str">
        <f t="shared" si="16"/>
        <v/>
      </c>
      <c r="J218" s="46" t="str">
        <f t="shared" si="17"/>
        <v/>
      </c>
      <c r="K218" s="46" t="str">
        <f t="shared" si="18"/>
        <v/>
      </c>
      <c r="L218" s="46" t="str">
        <f t="shared" si="19"/>
        <v/>
      </c>
      <c r="M218" s="35" t="str">
        <f>IF(B218="","",IF(E218="KXDDM","KXDDM – không ĐM",IF(E218&lt;&gt;"","Không KT ("&amp;E218&amp;")",IF(OR(K218="",L218=""),"Xem xét",IF(MAX(ABS(K218),ABS(L218))&lt;=ThongTin!$C$12,"OK","Xem xét")))))</f>
        <v/>
      </c>
    </row>
    <row r="219" spans="1:13" x14ac:dyDescent="0.25">
      <c r="A219" s="35" t="str">
        <f t="shared" si="15"/>
        <v/>
      </c>
      <c r="B219" s="35" t="str">
        <f>IF(BOM!A219="","",BOM!A219)</f>
        <v/>
      </c>
      <c r="C219" s="35" t="str">
        <f>IF(B219="","",BOM!B219)</f>
        <v/>
      </c>
      <c r="D219" s="35" t="str">
        <f>IF(B219="","",KT_DMTT_ChiTiet!E219)</f>
        <v/>
      </c>
      <c r="E219" s="36" t="str">
        <f>IF(B219="","",BOM!G219&amp;"")</f>
        <v/>
      </c>
      <c r="F219" s="39" t="str">
        <f>IF(B219="","",BOM!E219)</f>
        <v/>
      </c>
      <c r="G219" s="39" t="str">
        <f>IF(OR(B219="",E219="KXDDM"),"",BOM!F219)</f>
        <v/>
      </c>
      <c r="H219" s="39" t="str">
        <f>IF(OR(B219="",E219&lt;&gt;""),"",IFERROR(INDEX(KT_nguoc_theo_NL!$J$5:$J$304,MATCH(C219,KT_nguoc_theo_NL!$B$5:$B$304,0))/INDEX(KT_nguoc_theo_NL!$K$5:$K$304,MATCH(C219,KT_nguoc_theo_NL!$B$5:$B$304,0)),""))</f>
        <v/>
      </c>
      <c r="I219" s="39" t="str">
        <f t="shared" si="16"/>
        <v/>
      </c>
      <c r="J219" s="46" t="str">
        <f t="shared" si="17"/>
        <v/>
      </c>
      <c r="K219" s="46" t="str">
        <f t="shared" si="18"/>
        <v/>
      </c>
      <c r="L219" s="46" t="str">
        <f t="shared" si="19"/>
        <v/>
      </c>
      <c r="M219" s="35" t="str">
        <f>IF(B219="","",IF(E219="KXDDM","KXDDM – không ĐM",IF(E219&lt;&gt;"","Không KT ("&amp;E219&amp;")",IF(OR(K219="",L219=""),"Xem xét",IF(MAX(ABS(K219),ABS(L219))&lt;=ThongTin!$C$12,"OK","Xem xét")))))</f>
        <v/>
      </c>
    </row>
    <row r="220" spans="1:13" x14ac:dyDescent="0.25">
      <c r="A220" s="35" t="str">
        <f t="shared" si="15"/>
        <v/>
      </c>
      <c r="B220" s="35" t="str">
        <f>IF(BOM!A220="","",BOM!A220)</f>
        <v/>
      </c>
      <c r="C220" s="35" t="str">
        <f>IF(B220="","",BOM!B220)</f>
        <v/>
      </c>
      <c r="D220" s="35" t="str">
        <f>IF(B220="","",KT_DMTT_ChiTiet!E220)</f>
        <v/>
      </c>
      <c r="E220" s="36" t="str">
        <f>IF(B220="","",BOM!G220&amp;"")</f>
        <v/>
      </c>
      <c r="F220" s="39" t="str">
        <f>IF(B220="","",BOM!E220)</f>
        <v/>
      </c>
      <c r="G220" s="39" t="str">
        <f>IF(OR(B220="",E220="KXDDM"),"",BOM!F220)</f>
        <v/>
      </c>
      <c r="H220" s="39" t="str">
        <f>IF(OR(B220="",E220&lt;&gt;""),"",IFERROR(INDEX(KT_nguoc_theo_NL!$J$5:$J$304,MATCH(C220,KT_nguoc_theo_NL!$B$5:$B$304,0))/INDEX(KT_nguoc_theo_NL!$K$5:$K$304,MATCH(C220,KT_nguoc_theo_NL!$B$5:$B$304,0)),""))</f>
        <v/>
      </c>
      <c r="I220" s="39" t="str">
        <f t="shared" si="16"/>
        <v/>
      </c>
      <c r="J220" s="46" t="str">
        <f t="shared" si="17"/>
        <v/>
      </c>
      <c r="K220" s="46" t="str">
        <f t="shared" si="18"/>
        <v/>
      </c>
      <c r="L220" s="46" t="str">
        <f t="shared" si="19"/>
        <v/>
      </c>
      <c r="M220" s="35" t="str">
        <f>IF(B220="","",IF(E220="KXDDM","KXDDM – không ĐM",IF(E220&lt;&gt;"","Không KT ("&amp;E220&amp;")",IF(OR(K220="",L220=""),"Xem xét",IF(MAX(ABS(K220),ABS(L220))&lt;=ThongTin!$C$12,"OK","Xem xét")))))</f>
        <v/>
      </c>
    </row>
    <row r="221" spans="1:13" x14ac:dyDescent="0.25">
      <c r="A221" s="35" t="str">
        <f t="shared" si="15"/>
        <v/>
      </c>
      <c r="B221" s="35" t="str">
        <f>IF(BOM!A221="","",BOM!A221)</f>
        <v/>
      </c>
      <c r="C221" s="35" t="str">
        <f>IF(B221="","",BOM!B221)</f>
        <v/>
      </c>
      <c r="D221" s="35" t="str">
        <f>IF(B221="","",KT_DMTT_ChiTiet!E221)</f>
        <v/>
      </c>
      <c r="E221" s="36" t="str">
        <f>IF(B221="","",BOM!G221&amp;"")</f>
        <v/>
      </c>
      <c r="F221" s="39" t="str">
        <f>IF(B221="","",BOM!E221)</f>
        <v/>
      </c>
      <c r="G221" s="39" t="str">
        <f>IF(OR(B221="",E221="KXDDM"),"",BOM!F221)</f>
        <v/>
      </c>
      <c r="H221" s="39" t="str">
        <f>IF(OR(B221="",E221&lt;&gt;""),"",IFERROR(INDEX(KT_nguoc_theo_NL!$J$5:$J$304,MATCH(C221,KT_nguoc_theo_NL!$B$5:$B$304,0))/INDEX(KT_nguoc_theo_NL!$K$5:$K$304,MATCH(C221,KT_nguoc_theo_NL!$B$5:$B$304,0)),""))</f>
        <v/>
      </c>
      <c r="I221" s="39" t="str">
        <f t="shared" si="16"/>
        <v/>
      </c>
      <c r="J221" s="46" t="str">
        <f t="shared" si="17"/>
        <v/>
      </c>
      <c r="K221" s="46" t="str">
        <f t="shared" si="18"/>
        <v/>
      </c>
      <c r="L221" s="46" t="str">
        <f t="shared" si="19"/>
        <v/>
      </c>
      <c r="M221" s="35" t="str">
        <f>IF(B221="","",IF(E221="KXDDM","KXDDM – không ĐM",IF(E221&lt;&gt;"","Không KT ("&amp;E221&amp;")",IF(OR(K221="",L221=""),"Xem xét",IF(MAX(ABS(K221),ABS(L221))&lt;=ThongTin!$C$12,"OK","Xem xét")))))</f>
        <v/>
      </c>
    </row>
    <row r="222" spans="1:13" x14ac:dyDescent="0.25">
      <c r="A222" s="35" t="str">
        <f t="shared" si="15"/>
        <v/>
      </c>
      <c r="B222" s="35" t="str">
        <f>IF(BOM!A222="","",BOM!A222)</f>
        <v/>
      </c>
      <c r="C222" s="35" t="str">
        <f>IF(B222="","",BOM!B222)</f>
        <v/>
      </c>
      <c r="D222" s="35" t="str">
        <f>IF(B222="","",KT_DMTT_ChiTiet!E222)</f>
        <v/>
      </c>
      <c r="E222" s="36" t="str">
        <f>IF(B222="","",BOM!G222&amp;"")</f>
        <v/>
      </c>
      <c r="F222" s="39" t="str">
        <f>IF(B222="","",BOM!E222)</f>
        <v/>
      </c>
      <c r="G222" s="39" t="str">
        <f>IF(OR(B222="",E222="KXDDM"),"",BOM!F222)</f>
        <v/>
      </c>
      <c r="H222" s="39" t="str">
        <f>IF(OR(B222="",E222&lt;&gt;""),"",IFERROR(INDEX(KT_nguoc_theo_NL!$J$5:$J$304,MATCH(C222,KT_nguoc_theo_NL!$B$5:$B$304,0))/INDEX(KT_nguoc_theo_NL!$K$5:$K$304,MATCH(C222,KT_nguoc_theo_NL!$B$5:$B$304,0)),""))</f>
        <v/>
      </c>
      <c r="I222" s="39" t="str">
        <f t="shared" si="16"/>
        <v/>
      </c>
      <c r="J222" s="46" t="str">
        <f t="shared" si="17"/>
        <v/>
      </c>
      <c r="K222" s="46" t="str">
        <f t="shared" si="18"/>
        <v/>
      </c>
      <c r="L222" s="46" t="str">
        <f t="shared" si="19"/>
        <v/>
      </c>
      <c r="M222" s="35" t="str">
        <f>IF(B222="","",IF(E222="KXDDM","KXDDM – không ĐM",IF(E222&lt;&gt;"","Không KT ("&amp;E222&amp;")",IF(OR(K222="",L222=""),"Xem xét",IF(MAX(ABS(K222),ABS(L222))&lt;=ThongTin!$C$12,"OK","Xem xét")))))</f>
        <v/>
      </c>
    </row>
    <row r="223" spans="1:13" x14ac:dyDescent="0.25">
      <c r="A223" s="35" t="str">
        <f t="shared" si="15"/>
        <v/>
      </c>
      <c r="B223" s="35" t="str">
        <f>IF(BOM!A223="","",BOM!A223)</f>
        <v/>
      </c>
      <c r="C223" s="35" t="str">
        <f>IF(B223="","",BOM!B223)</f>
        <v/>
      </c>
      <c r="D223" s="35" t="str">
        <f>IF(B223="","",KT_DMTT_ChiTiet!E223)</f>
        <v/>
      </c>
      <c r="E223" s="36" t="str">
        <f>IF(B223="","",BOM!G223&amp;"")</f>
        <v/>
      </c>
      <c r="F223" s="39" t="str">
        <f>IF(B223="","",BOM!E223)</f>
        <v/>
      </c>
      <c r="G223" s="39" t="str">
        <f>IF(OR(B223="",E223="KXDDM"),"",BOM!F223)</f>
        <v/>
      </c>
      <c r="H223" s="39" t="str">
        <f>IF(OR(B223="",E223&lt;&gt;""),"",IFERROR(INDEX(KT_nguoc_theo_NL!$J$5:$J$304,MATCH(C223,KT_nguoc_theo_NL!$B$5:$B$304,0))/INDEX(KT_nguoc_theo_NL!$K$5:$K$304,MATCH(C223,KT_nguoc_theo_NL!$B$5:$B$304,0)),""))</f>
        <v/>
      </c>
      <c r="I223" s="39" t="str">
        <f t="shared" si="16"/>
        <v/>
      </c>
      <c r="J223" s="46" t="str">
        <f t="shared" si="17"/>
        <v/>
      </c>
      <c r="K223" s="46" t="str">
        <f t="shared" si="18"/>
        <v/>
      </c>
      <c r="L223" s="46" t="str">
        <f t="shared" si="19"/>
        <v/>
      </c>
      <c r="M223" s="35" t="str">
        <f>IF(B223="","",IF(E223="KXDDM","KXDDM – không ĐM",IF(E223&lt;&gt;"","Không KT ("&amp;E223&amp;")",IF(OR(K223="",L223=""),"Xem xét",IF(MAX(ABS(K223),ABS(L223))&lt;=ThongTin!$C$12,"OK","Xem xét")))))</f>
        <v/>
      </c>
    </row>
    <row r="224" spans="1:13" x14ac:dyDescent="0.25">
      <c r="A224" s="35" t="str">
        <f t="shared" si="15"/>
        <v/>
      </c>
      <c r="B224" s="35" t="str">
        <f>IF(BOM!A224="","",BOM!A224)</f>
        <v/>
      </c>
      <c r="C224" s="35" t="str">
        <f>IF(B224="","",BOM!B224)</f>
        <v/>
      </c>
      <c r="D224" s="35" t="str">
        <f>IF(B224="","",KT_DMTT_ChiTiet!E224)</f>
        <v/>
      </c>
      <c r="E224" s="36" t="str">
        <f>IF(B224="","",BOM!G224&amp;"")</f>
        <v/>
      </c>
      <c r="F224" s="39" t="str">
        <f>IF(B224="","",BOM!E224)</f>
        <v/>
      </c>
      <c r="G224" s="39" t="str">
        <f>IF(OR(B224="",E224="KXDDM"),"",BOM!F224)</f>
        <v/>
      </c>
      <c r="H224" s="39" t="str">
        <f>IF(OR(B224="",E224&lt;&gt;""),"",IFERROR(INDEX(KT_nguoc_theo_NL!$J$5:$J$304,MATCH(C224,KT_nguoc_theo_NL!$B$5:$B$304,0))/INDEX(KT_nguoc_theo_NL!$K$5:$K$304,MATCH(C224,KT_nguoc_theo_NL!$B$5:$B$304,0)),""))</f>
        <v/>
      </c>
      <c r="I224" s="39" t="str">
        <f t="shared" si="16"/>
        <v/>
      </c>
      <c r="J224" s="46" t="str">
        <f t="shared" si="17"/>
        <v/>
      </c>
      <c r="K224" s="46" t="str">
        <f t="shared" si="18"/>
        <v/>
      </c>
      <c r="L224" s="46" t="str">
        <f t="shared" si="19"/>
        <v/>
      </c>
      <c r="M224" s="35" t="str">
        <f>IF(B224="","",IF(E224="KXDDM","KXDDM – không ĐM",IF(E224&lt;&gt;"","Không KT ("&amp;E224&amp;")",IF(OR(K224="",L224=""),"Xem xét",IF(MAX(ABS(K224),ABS(L224))&lt;=ThongTin!$C$12,"OK","Xem xét")))))</f>
        <v/>
      </c>
    </row>
    <row r="225" spans="1:13" x14ac:dyDescent="0.25">
      <c r="A225" s="35" t="str">
        <f t="shared" si="15"/>
        <v/>
      </c>
      <c r="B225" s="35" t="str">
        <f>IF(BOM!A225="","",BOM!A225)</f>
        <v/>
      </c>
      <c r="C225" s="35" t="str">
        <f>IF(B225="","",BOM!B225)</f>
        <v/>
      </c>
      <c r="D225" s="35" t="str">
        <f>IF(B225="","",KT_DMTT_ChiTiet!E225)</f>
        <v/>
      </c>
      <c r="E225" s="36" t="str">
        <f>IF(B225="","",BOM!G225&amp;"")</f>
        <v/>
      </c>
      <c r="F225" s="39" t="str">
        <f>IF(B225="","",BOM!E225)</f>
        <v/>
      </c>
      <c r="G225" s="39" t="str">
        <f>IF(OR(B225="",E225="KXDDM"),"",BOM!F225)</f>
        <v/>
      </c>
      <c r="H225" s="39" t="str">
        <f>IF(OR(B225="",E225&lt;&gt;""),"",IFERROR(INDEX(KT_nguoc_theo_NL!$J$5:$J$304,MATCH(C225,KT_nguoc_theo_NL!$B$5:$B$304,0))/INDEX(KT_nguoc_theo_NL!$K$5:$K$304,MATCH(C225,KT_nguoc_theo_NL!$B$5:$B$304,0)),""))</f>
        <v/>
      </c>
      <c r="I225" s="39" t="str">
        <f t="shared" si="16"/>
        <v/>
      </c>
      <c r="J225" s="46" t="str">
        <f t="shared" si="17"/>
        <v/>
      </c>
      <c r="K225" s="46" t="str">
        <f t="shared" si="18"/>
        <v/>
      </c>
      <c r="L225" s="46" t="str">
        <f t="shared" si="19"/>
        <v/>
      </c>
      <c r="M225" s="35" t="str">
        <f>IF(B225="","",IF(E225="KXDDM","KXDDM – không ĐM",IF(E225&lt;&gt;"","Không KT ("&amp;E225&amp;")",IF(OR(K225="",L225=""),"Xem xét",IF(MAX(ABS(K225),ABS(L225))&lt;=ThongTin!$C$12,"OK","Xem xét")))))</f>
        <v/>
      </c>
    </row>
    <row r="226" spans="1:13" x14ac:dyDescent="0.25">
      <c r="A226" s="35" t="str">
        <f t="shared" si="15"/>
        <v/>
      </c>
      <c r="B226" s="35" t="str">
        <f>IF(BOM!A226="","",BOM!A226)</f>
        <v/>
      </c>
      <c r="C226" s="35" t="str">
        <f>IF(B226="","",BOM!B226)</f>
        <v/>
      </c>
      <c r="D226" s="35" t="str">
        <f>IF(B226="","",KT_DMTT_ChiTiet!E226)</f>
        <v/>
      </c>
      <c r="E226" s="36" t="str">
        <f>IF(B226="","",BOM!G226&amp;"")</f>
        <v/>
      </c>
      <c r="F226" s="39" t="str">
        <f>IF(B226="","",BOM!E226)</f>
        <v/>
      </c>
      <c r="G226" s="39" t="str">
        <f>IF(OR(B226="",E226="KXDDM"),"",BOM!F226)</f>
        <v/>
      </c>
      <c r="H226" s="39" t="str">
        <f>IF(OR(B226="",E226&lt;&gt;""),"",IFERROR(INDEX(KT_nguoc_theo_NL!$J$5:$J$304,MATCH(C226,KT_nguoc_theo_NL!$B$5:$B$304,0))/INDEX(KT_nguoc_theo_NL!$K$5:$K$304,MATCH(C226,KT_nguoc_theo_NL!$B$5:$B$304,0)),""))</f>
        <v/>
      </c>
      <c r="I226" s="39" t="str">
        <f t="shared" si="16"/>
        <v/>
      </c>
      <c r="J226" s="46" t="str">
        <f t="shared" si="17"/>
        <v/>
      </c>
      <c r="K226" s="46" t="str">
        <f t="shared" si="18"/>
        <v/>
      </c>
      <c r="L226" s="46" t="str">
        <f t="shared" si="19"/>
        <v/>
      </c>
      <c r="M226" s="35" t="str">
        <f>IF(B226="","",IF(E226="KXDDM","KXDDM – không ĐM",IF(E226&lt;&gt;"","Không KT ("&amp;E226&amp;")",IF(OR(K226="",L226=""),"Xem xét",IF(MAX(ABS(K226),ABS(L226))&lt;=ThongTin!$C$12,"OK","Xem xét")))))</f>
        <v/>
      </c>
    </row>
    <row r="227" spans="1:13" x14ac:dyDescent="0.25">
      <c r="A227" s="35" t="str">
        <f t="shared" si="15"/>
        <v/>
      </c>
      <c r="B227" s="35" t="str">
        <f>IF(BOM!A227="","",BOM!A227)</f>
        <v/>
      </c>
      <c r="C227" s="35" t="str">
        <f>IF(B227="","",BOM!B227)</f>
        <v/>
      </c>
      <c r="D227" s="35" t="str">
        <f>IF(B227="","",KT_DMTT_ChiTiet!E227)</f>
        <v/>
      </c>
      <c r="E227" s="36" t="str">
        <f>IF(B227="","",BOM!G227&amp;"")</f>
        <v/>
      </c>
      <c r="F227" s="39" t="str">
        <f>IF(B227="","",BOM!E227)</f>
        <v/>
      </c>
      <c r="G227" s="39" t="str">
        <f>IF(OR(B227="",E227="KXDDM"),"",BOM!F227)</f>
        <v/>
      </c>
      <c r="H227" s="39" t="str">
        <f>IF(OR(B227="",E227&lt;&gt;""),"",IFERROR(INDEX(KT_nguoc_theo_NL!$J$5:$J$304,MATCH(C227,KT_nguoc_theo_NL!$B$5:$B$304,0))/INDEX(KT_nguoc_theo_NL!$K$5:$K$304,MATCH(C227,KT_nguoc_theo_NL!$B$5:$B$304,0)),""))</f>
        <v/>
      </c>
      <c r="I227" s="39" t="str">
        <f t="shared" si="16"/>
        <v/>
      </c>
      <c r="J227" s="46" t="str">
        <f t="shared" si="17"/>
        <v/>
      </c>
      <c r="K227" s="46" t="str">
        <f t="shared" si="18"/>
        <v/>
      </c>
      <c r="L227" s="46" t="str">
        <f t="shared" si="19"/>
        <v/>
      </c>
      <c r="M227" s="35" t="str">
        <f>IF(B227="","",IF(E227="KXDDM","KXDDM – không ĐM",IF(E227&lt;&gt;"","Không KT ("&amp;E227&amp;")",IF(OR(K227="",L227=""),"Xem xét",IF(MAX(ABS(K227),ABS(L227))&lt;=ThongTin!$C$12,"OK","Xem xét")))))</f>
        <v/>
      </c>
    </row>
    <row r="228" spans="1:13" x14ac:dyDescent="0.25">
      <c r="A228" s="35" t="str">
        <f t="shared" si="15"/>
        <v/>
      </c>
      <c r="B228" s="35" t="str">
        <f>IF(BOM!A228="","",BOM!A228)</f>
        <v/>
      </c>
      <c r="C228" s="35" t="str">
        <f>IF(B228="","",BOM!B228)</f>
        <v/>
      </c>
      <c r="D228" s="35" t="str">
        <f>IF(B228="","",KT_DMTT_ChiTiet!E228)</f>
        <v/>
      </c>
      <c r="E228" s="36" t="str">
        <f>IF(B228="","",BOM!G228&amp;"")</f>
        <v/>
      </c>
      <c r="F228" s="39" t="str">
        <f>IF(B228="","",BOM!E228)</f>
        <v/>
      </c>
      <c r="G228" s="39" t="str">
        <f>IF(OR(B228="",E228="KXDDM"),"",BOM!F228)</f>
        <v/>
      </c>
      <c r="H228" s="39" t="str">
        <f>IF(OR(B228="",E228&lt;&gt;""),"",IFERROR(INDEX(KT_nguoc_theo_NL!$J$5:$J$304,MATCH(C228,KT_nguoc_theo_NL!$B$5:$B$304,0))/INDEX(KT_nguoc_theo_NL!$K$5:$K$304,MATCH(C228,KT_nguoc_theo_NL!$B$5:$B$304,0)),""))</f>
        <v/>
      </c>
      <c r="I228" s="39" t="str">
        <f t="shared" si="16"/>
        <v/>
      </c>
      <c r="J228" s="46" t="str">
        <f t="shared" si="17"/>
        <v/>
      </c>
      <c r="K228" s="46" t="str">
        <f t="shared" si="18"/>
        <v/>
      </c>
      <c r="L228" s="46" t="str">
        <f t="shared" si="19"/>
        <v/>
      </c>
      <c r="M228" s="35" t="str">
        <f>IF(B228="","",IF(E228="KXDDM","KXDDM – không ĐM",IF(E228&lt;&gt;"","Không KT ("&amp;E228&amp;")",IF(OR(K228="",L228=""),"Xem xét",IF(MAX(ABS(K228),ABS(L228))&lt;=ThongTin!$C$12,"OK","Xem xét")))))</f>
        <v/>
      </c>
    </row>
    <row r="229" spans="1:13" x14ac:dyDescent="0.25">
      <c r="A229" s="35" t="str">
        <f t="shared" si="15"/>
        <v/>
      </c>
      <c r="B229" s="35" t="str">
        <f>IF(BOM!A229="","",BOM!A229)</f>
        <v/>
      </c>
      <c r="C229" s="35" t="str">
        <f>IF(B229="","",BOM!B229)</f>
        <v/>
      </c>
      <c r="D229" s="35" t="str">
        <f>IF(B229="","",KT_DMTT_ChiTiet!E229)</f>
        <v/>
      </c>
      <c r="E229" s="36" t="str">
        <f>IF(B229="","",BOM!G229&amp;"")</f>
        <v/>
      </c>
      <c r="F229" s="39" t="str">
        <f>IF(B229="","",BOM!E229)</f>
        <v/>
      </c>
      <c r="G229" s="39" t="str">
        <f>IF(OR(B229="",E229="KXDDM"),"",BOM!F229)</f>
        <v/>
      </c>
      <c r="H229" s="39" t="str">
        <f>IF(OR(B229="",E229&lt;&gt;""),"",IFERROR(INDEX(KT_nguoc_theo_NL!$J$5:$J$304,MATCH(C229,KT_nguoc_theo_NL!$B$5:$B$304,0))/INDEX(KT_nguoc_theo_NL!$K$5:$K$304,MATCH(C229,KT_nguoc_theo_NL!$B$5:$B$304,0)),""))</f>
        <v/>
      </c>
      <c r="I229" s="39" t="str">
        <f t="shared" si="16"/>
        <v/>
      </c>
      <c r="J229" s="46" t="str">
        <f t="shared" si="17"/>
        <v/>
      </c>
      <c r="K229" s="46" t="str">
        <f t="shared" si="18"/>
        <v/>
      </c>
      <c r="L229" s="46" t="str">
        <f t="shared" si="19"/>
        <v/>
      </c>
      <c r="M229" s="35" t="str">
        <f>IF(B229="","",IF(E229="KXDDM","KXDDM – không ĐM",IF(E229&lt;&gt;"","Không KT ("&amp;E229&amp;")",IF(OR(K229="",L229=""),"Xem xét",IF(MAX(ABS(K229),ABS(L229))&lt;=ThongTin!$C$12,"OK","Xem xét")))))</f>
        <v/>
      </c>
    </row>
    <row r="230" spans="1:13" x14ac:dyDescent="0.25">
      <c r="A230" s="35" t="str">
        <f t="shared" si="15"/>
        <v/>
      </c>
      <c r="B230" s="35" t="str">
        <f>IF(BOM!A230="","",BOM!A230)</f>
        <v/>
      </c>
      <c r="C230" s="35" t="str">
        <f>IF(B230="","",BOM!B230)</f>
        <v/>
      </c>
      <c r="D230" s="35" t="str">
        <f>IF(B230="","",KT_DMTT_ChiTiet!E230)</f>
        <v/>
      </c>
      <c r="E230" s="36" t="str">
        <f>IF(B230="","",BOM!G230&amp;"")</f>
        <v/>
      </c>
      <c r="F230" s="39" t="str">
        <f>IF(B230="","",BOM!E230)</f>
        <v/>
      </c>
      <c r="G230" s="39" t="str">
        <f>IF(OR(B230="",E230="KXDDM"),"",BOM!F230)</f>
        <v/>
      </c>
      <c r="H230" s="39" t="str">
        <f>IF(OR(B230="",E230&lt;&gt;""),"",IFERROR(INDEX(KT_nguoc_theo_NL!$J$5:$J$304,MATCH(C230,KT_nguoc_theo_NL!$B$5:$B$304,0))/INDEX(KT_nguoc_theo_NL!$K$5:$K$304,MATCH(C230,KT_nguoc_theo_NL!$B$5:$B$304,0)),""))</f>
        <v/>
      </c>
      <c r="I230" s="39" t="str">
        <f t="shared" si="16"/>
        <v/>
      </c>
      <c r="J230" s="46" t="str">
        <f t="shared" si="17"/>
        <v/>
      </c>
      <c r="K230" s="46" t="str">
        <f t="shared" si="18"/>
        <v/>
      </c>
      <c r="L230" s="46" t="str">
        <f t="shared" si="19"/>
        <v/>
      </c>
      <c r="M230" s="35" t="str">
        <f>IF(B230="","",IF(E230="KXDDM","KXDDM – không ĐM",IF(E230&lt;&gt;"","Không KT ("&amp;E230&amp;")",IF(OR(K230="",L230=""),"Xem xét",IF(MAX(ABS(K230),ABS(L230))&lt;=ThongTin!$C$12,"OK","Xem xét")))))</f>
        <v/>
      </c>
    </row>
    <row r="231" spans="1:13" x14ac:dyDescent="0.25">
      <c r="A231" s="35" t="str">
        <f t="shared" si="15"/>
        <v/>
      </c>
      <c r="B231" s="35" t="str">
        <f>IF(BOM!A231="","",BOM!A231)</f>
        <v/>
      </c>
      <c r="C231" s="35" t="str">
        <f>IF(B231="","",BOM!B231)</f>
        <v/>
      </c>
      <c r="D231" s="35" t="str">
        <f>IF(B231="","",KT_DMTT_ChiTiet!E231)</f>
        <v/>
      </c>
      <c r="E231" s="36" t="str">
        <f>IF(B231="","",BOM!G231&amp;"")</f>
        <v/>
      </c>
      <c r="F231" s="39" t="str">
        <f>IF(B231="","",BOM!E231)</f>
        <v/>
      </c>
      <c r="G231" s="39" t="str">
        <f>IF(OR(B231="",E231="KXDDM"),"",BOM!F231)</f>
        <v/>
      </c>
      <c r="H231" s="39" t="str">
        <f>IF(OR(B231="",E231&lt;&gt;""),"",IFERROR(INDEX(KT_nguoc_theo_NL!$J$5:$J$304,MATCH(C231,KT_nguoc_theo_NL!$B$5:$B$304,0))/INDEX(KT_nguoc_theo_NL!$K$5:$K$304,MATCH(C231,KT_nguoc_theo_NL!$B$5:$B$304,0)),""))</f>
        <v/>
      </c>
      <c r="I231" s="39" t="str">
        <f t="shared" si="16"/>
        <v/>
      </c>
      <c r="J231" s="46" t="str">
        <f t="shared" si="17"/>
        <v/>
      </c>
      <c r="K231" s="46" t="str">
        <f t="shared" si="18"/>
        <v/>
      </c>
      <c r="L231" s="46" t="str">
        <f t="shared" si="19"/>
        <v/>
      </c>
      <c r="M231" s="35" t="str">
        <f>IF(B231="","",IF(E231="KXDDM","KXDDM – không ĐM",IF(E231&lt;&gt;"","Không KT ("&amp;E231&amp;")",IF(OR(K231="",L231=""),"Xem xét",IF(MAX(ABS(K231),ABS(L231))&lt;=ThongTin!$C$12,"OK","Xem xét")))))</f>
        <v/>
      </c>
    </row>
    <row r="232" spans="1:13" x14ac:dyDescent="0.25">
      <c r="A232" s="35" t="str">
        <f t="shared" si="15"/>
        <v/>
      </c>
      <c r="B232" s="35" t="str">
        <f>IF(BOM!A232="","",BOM!A232)</f>
        <v/>
      </c>
      <c r="C232" s="35" t="str">
        <f>IF(B232="","",BOM!B232)</f>
        <v/>
      </c>
      <c r="D232" s="35" t="str">
        <f>IF(B232="","",KT_DMTT_ChiTiet!E232)</f>
        <v/>
      </c>
      <c r="E232" s="36" t="str">
        <f>IF(B232="","",BOM!G232&amp;"")</f>
        <v/>
      </c>
      <c r="F232" s="39" t="str">
        <f>IF(B232="","",BOM!E232)</f>
        <v/>
      </c>
      <c r="G232" s="39" t="str">
        <f>IF(OR(B232="",E232="KXDDM"),"",BOM!F232)</f>
        <v/>
      </c>
      <c r="H232" s="39" t="str">
        <f>IF(OR(B232="",E232&lt;&gt;""),"",IFERROR(INDEX(KT_nguoc_theo_NL!$J$5:$J$304,MATCH(C232,KT_nguoc_theo_NL!$B$5:$B$304,0))/INDEX(KT_nguoc_theo_NL!$K$5:$K$304,MATCH(C232,KT_nguoc_theo_NL!$B$5:$B$304,0)),""))</f>
        <v/>
      </c>
      <c r="I232" s="39" t="str">
        <f t="shared" si="16"/>
        <v/>
      </c>
      <c r="J232" s="46" t="str">
        <f t="shared" si="17"/>
        <v/>
      </c>
      <c r="K232" s="46" t="str">
        <f t="shared" si="18"/>
        <v/>
      </c>
      <c r="L232" s="46" t="str">
        <f t="shared" si="19"/>
        <v/>
      </c>
      <c r="M232" s="35" t="str">
        <f>IF(B232="","",IF(E232="KXDDM","KXDDM – không ĐM",IF(E232&lt;&gt;"","Không KT ("&amp;E232&amp;")",IF(OR(K232="",L232=""),"Xem xét",IF(MAX(ABS(K232),ABS(L232))&lt;=ThongTin!$C$12,"OK","Xem xét")))))</f>
        <v/>
      </c>
    </row>
    <row r="233" spans="1:13" x14ac:dyDescent="0.25">
      <c r="A233" s="35" t="str">
        <f t="shared" si="15"/>
        <v/>
      </c>
      <c r="B233" s="35" t="str">
        <f>IF(BOM!A233="","",BOM!A233)</f>
        <v/>
      </c>
      <c r="C233" s="35" t="str">
        <f>IF(B233="","",BOM!B233)</f>
        <v/>
      </c>
      <c r="D233" s="35" t="str">
        <f>IF(B233="","",KT_DMTT_ChiTiet!E233)</f>
        <v/>
      </c>
      <c r="E233" s="36" t="str">
        <f>IF(B233="","",BOM!G233&amp;"")</f>
        <v/>
      </c>
      <c r="F233" s="39" t="str">
        <f>IF(B233="","",BOM!E233)</f>
        <v/>
      </c>
      <c r="G233" s="39" t="str">
        <f>IF(OR(B233="",E233="KXDDM"),"",BOM!F233)</f>
        <v/>
      </c>
      <c r="H233" s="39" t="str">
        <f>IF(OR(B233="",E233&lt;&gt;""),"",IFERROR(INDEX(KT_nguoc_theo_NL!$J$5:$J$304,MATCH(C233,KT_nguoc_theo_NL!$B$5:$B$304,0))/INDEX(KT_nguoc_theo_NL!$K$5:$K$304,MATCH(C233,KT_nguoc_theo_NL!$B$5:$B$304,0)),""))</f>
        <v/>
      </c>
      <c r="I233" s="39" t="str">
        <f t="shared" si="16"/>
        <v/>
      </c>
      <c r="J233" s="46" t="str">
        <f t="shared" si="17"/>
        <v/>
      </c>
      <c r="K233" s="46" t="str">
        <f t="shared" si="18"/>
        <v/>
      </c>
      <c r="L233" s="46" t="str">
        <f t="shared" si="19"/>
        <v/>
      </c>
      <c r="M233" s="35" t="str">
        <f>IF(B233="","",IF(E233="KXDDM","KXDDM – không ĐM",IF(E233&lt;&gt;"","Không KT ("&amp;E233&amp;")",IF(OR(K233="",L233=""),"Xem xét",IF(MAX(ABS(K233),ABS(L233))&lt;=ThongTin!$C$12,"OK","Xem xét")))))</f>
        <v/>
      </c>
    </row>
    <row r="234" spans="1:13" x14ac:dyDescent="0.25">
      <c r="A234" s="35" t="str">
        <f t="shared" si="15"/>
        <v/>
      </c>
      <c r="B234" s="35" t="str">
        <f>IF(BOM!A234="","",BOM!A234)</f>
        <v/>
      </c>
      <c r="C234" s="35" t="str">
        <f>IF(B234="","",BOM!B234)</f>
        <v/>
      </c>
      <c r="D234" s="35" t="str">
        <f>IF(B234="","",KT_DMTT_ChiTiet!E234)</f>
        <v/>
      </c>
      <c r="E234" s="36" t="str">
        <f>IF(B234="","",BOM!G234&amp;"")</f>
        <v/>
      </c>
      <c r="F234" s="39" t="str">
        <f>IF(B234="","",BOM!E234)</f>
        <v/>
      </c>
      <c r="G234" s="39" t="str">
        <f>IF(OR(B234="",E234="KXDDM"),"",BOM!F234)</f>
        <v/>
      </c>
      <c r="H234" s="39" t="str">
        <f>IF(OR(B234="",E234&lt;&gt;""),"",IFERROR(INDEX(KT_nguoc_theo_NL!$J$5:$J$304,MATCH(C234,KT_nguoc_theo_NL!$B$5:$B$304,0))/INDEX(KT_nguoc_theo_NL!$K$5:$K$304,MATCH(C234,KT_nguoc_theo_NL!$B$5:$B$304,0)),""))</f>
        <v/>
      </c>
      <c r="I234" s="39" t="str">
        <f t="shared" si="16"/>
        <v/>
      </c>
      <c r="J234" s="46" t="str">
        <f t="shared" si="17"/>
        <v/>
      </c>
      <c r="K234" s="46" t="str">
        <f t="shared" si="18"/>
        <v/>
      </c>
      <c r="L234" s="46" t="str">
        <f t="shared" si="19"/>
        <v/>
      </c>
      <c r="M234" s="35" t="str">
        <f>IF(B234="","",IF(E234="KXDDM","KXDDM – không ĐM",IF(E234&lt;&gt;"","Không KT ("&amp;E234&amp;")",IF(OR(K234="",L234=""),"Xem xét",IF(MAX(ABS(K234),ABS(L234))&lt;=ThongTin!$C$12,"OK","Xem xét")))))</f>
        <v/>
      </c>
    </row>
    <row r="235" spans="1:13" x14ac:dyDescent="0.25">
      <c r="A235" s="35" t="str">
        <f t="shared" si="15"/>
        <v/>
      </c>
      <c r="B235" s="35" t="str">
        <f>IF(BOM!A235="","",BOM!A235)</f>
        <v/>
      </c>
      <c r="C235" s="35" t="str">
        <f>IF(B235="","",BOM!B235)</f>
        <v/>
      </c>
      <c r="D235" s="35" t="str">
        <f>IF(B235="","",KT_DMTT_ChiTiet!E235)</f>
        <v/>
      </c>
      <c r="E235" s="36" t="str">
        <f>IF(B235="","",BOM!G235&amp;"")</f>
        <v/>
      </c>
      <c r="F235" s="39" t="str">
        <f>IF(B235="","",BOM!E235)</f>
        <v/>
      </c>
      <c r="G235" s="39" t="str">
        <f>IF(OR(B235="",E235="KXDDM"),"",BOM!F235)</f>
        <v/>
      </c>
      <c r="H235" s="39" t="str">
        <f>IF(OR(B235="",E235&lt;&gt;""),"",IFERROR(INDEX(KT_nguoc_theo_NL!$J$5:$J$304,MATCH(C235,KT_nguoc_theo_NL!$B$5:$B$304,0))/INDEX(KT_nguoc_theo_NL!$K$5:$K$304,MATCH(C235,KT_nguoc_theo_NL!$B$5:$B$304,0)),""))</f>
        <v/>
      </c>
      <c r="I235" s="39" t="str">
        <f t="shared" si="16"/>
        <v/>
      </c>
      <c r="J235" s="46" t="str">
        <f t="shared" si="17"/>
        <v/>
      </c>
      <c r="K235" s="46" t="str">
        <f t="shared" si="18"/>
        <v/>
      </c>
      <c r="L235" s="46" t="str">
        <f t="shared" si="19"/>
        <v/>
      </c>
      <c r="M235" s="35" t="str">
        <f>IF(B235="","",IF(E235="KXDDM","KXDDM – không ĐM",IF(E235&lt;&gt;"","Không KT ("&amp;E235&amp;")",IF(OR(K235="",L235=""),"Xem xét",IF(MAX(ABS(K235),ABS(L235))&lt;=ThongTin!$C$12,"OK","Xem xét")))))</f>
        <v/>
      </c>
    </row>
    <row r="236" spans="1:13" x14ac:dyDescent="0.25">
      <c r="A236" s="35" t="str">
        <f t="shared" si="15"/>
        <v/>
      </c>
      <c r="B236" s="35" t="str">
        <f>IF(BOM!A236="","",BOM!A236)</f>
        <v/>
      </c>
      <c r="C236" s="35" t="str">
        <f>IF(B236="","",BOM!B236)</f>
        <v/>
      </c>
      <c r="D236" s="35" t="str">
        <f>IF(B236="","",KT_DMTT_ChiTiet!E236)</f>
        <v/>
      </c>
      <c r="E236" s="36" t="str">
        <f>IF(B236="","",BOM!G236&amp;"")</f>
        <v/>
      </c>
      <c r="F236" s="39" t="str">
        <f>IF(B236="","",BOM!E236)</f>
        <v/>
      </c>
      <c r="G236" s="39" t="str">
        <f>IF(OR(B236="",E236="KXDDM"),"",BOM!F236)</f>
        <v/>
      </c>
      <c r="H236" s="39" t="str">
        <f>IF(OR(B236="",E236&lt;&gt;""),"",IFERROR(INDEX(KT_nguoc_theo_NL!$J$5:$J$304,MATCH(C236,KT_nguoc_theo_NL!$B$5:$B$304,0))/INDEX(KT_nguoc_theo_NL!$K$5:$K$304,MATCH(C236,KT_nguoc_theo_NL!$B$5:$B$304,0)),""))</f>
        <v/>
      </c>
      <c r="I236" s="39" t="str">
        <f t="shared" si="16"/>
        <v/>
      </c>
      <c r="J236" s="46" t="str">
        <f t="shared" si="17"/>
        <v/>
      </c>
      <c r="K236" s="46" t="str">
        <f t="shared" si="18"/>
        <v/>
      </c>
      <c r="L236" s="46" t="str">
        <f t="shared" si="19"/>
        <v/>
      </c>
      <c r="M236" s="35" t="str">
        <f>IF(B236="","",IF(E236="KXDDM","KXDDM – không ĐM",IF(E236&lt;&gt;"","Không KT ("&amp;E236&amp;")",IF(OR(K236="",L236=""),"Xem xét",IF(MAX(ABS(K236),ABS(L236))&lt;=ThongTin!$C$12,"OK","Xem xét")))))</f>
        <v/>
      </c>
    </row>
    <row r="237" spans="1:13" x14ac:dyDescent="0.25">
      <c r="A237" s="35" t="str">
        <f t="shared" si="15"/>
        <v/>
      </c>
      <c r="B237" s="35" t="str">
        <f>IF(BOM!A237="","",BOM!A237)</f>
        <v/>
      </c>
      <c r="C237" s="35" t="str">
        <f>IF(B237="","",BOM!B237)</f>
        <v/>
      </c>
      <c r="D237" s="35" t="str">
        <f>IF(B237="","",KT_DMTT_ChiTiet!E237)</f>
        <v/>
      </c>
      <c r="E237" s="36" t="str">
        <f>IF(B237="","",BOM!G237&amp;"")</f>
        <v/>
      </c>
      <c r="F237" s="39" t="str">
        <f>IF(B237="","",BOM!E237)</f>
        <v/>
      </c>
      <c r="G237" s="39" t="str">
        <f>IF(OR(B237="",E237="KXDDM"),"",BOM!F237)</f>
        <v/>
      </c>
      <c r="H237" s="39" t="str">
        <f>IF(OR(B237="",E237&lt;&gt;""),"",IFERROR(INDEX(KT_nguoc_theo_NL!$J$5:$J$304,MATCH(C237,KT_nguoc_theo_NL!$B$5:$B$304,0))/INDEX(KT_nguoc_theo_NL!$K$5:$K$304,MATCH(C237,KT_nguoc_theo_NL!$B$5:$B$304,0)),""))</f>
        <v/>
      </c>
      <c r="I237" s="39" t="str">
        <f t="shared" si="16"/>
        <v/>
      </c>
      <c r="J237" s="46" t="str">
        <f t="shared" si="17"/>
        <v/>
      </c>
      <c r="K237" s="46" t="str">
        <f t="shared" si="18"/>
        <v/>
      </c>
      <c r="L237" s="46" t="str">
        <f t="shared" si="19"/>
        <v/>
      </c>
      <c r="M237" s="35" t="str">
        <f>IF(B237="","",IF(E237="KXDDM","KXDDM – không ĐM",IF(E237&lt;&gt;"","Không KT ("&amp;E237&amp;")",IF(OR(K237="",L237=""),"Xem xét",IF(MAX(ABS(K237),ABS(L237))&lt;=ThongTin!$C$12,"OK","Xem xét")))))</f>
        <v/>
      </c>
    </row>
    <row r="238" spans="1:13" x14ac:dyDescent="0.25">
      <c r="A238" s="35" t="str">
        <f t="shared" si="15"/>
        <v/>
      </c>
      <c r="B238" s="35" t="str">
        <f>IF(BOM!A238="","",BOM!A238)</f>
        <v/>
      </c>
      <c r="C238" s="35" t="str">
        <f>IF(B238="","",BOM!B238)</f>
        <v/>
      </c>
      <c r="D238" s="35" t="str">
        <f>IF(B238="","",KT_DMTT_ChiTiet!E238)</f>
        <v/>
      </c>
      <c r="E238" s="36" t="str">
        <f>IF(B238="","",BOM!G238&amp;"")</f>
        <v/>
      </c>
      <c r="F238" s="39" t="str">
        <f>IF(B238="","",BOM!E238)</f>
        <v/>
      </c>
      <c r="G238" s="39" t="str">
        <f>IF(OR(B238="",E238="KXDDM"),"",BOM!F238)</f>
        <v/>
      </c>
      <c r="H238" s="39" t="str">
        <f>IF(OR(B238="",E238&lt;&gt;""),"",IFERROR(INDEX(KT_nguoc_theo_NL!$J$5:$J$304,MATCH(C238,KT_nguoc_theo_NL!$B$5:$B$304,0))/INDEX(KT_nguoc_theo_NL!$K$5:$K$304,MATCH(C238,KT_nguoc_theo_NL!$B$5:$B$304,0)),""))</f>
        <v/>
      </c>
      <c r="I238" s="39" t="str">
        <f t="shared" si="16"/>
        <v/>
      </c>
      <c r="J238" s="46" t="str">
        <f t="shared" si="17"/>
        <v/>
      </c>
      <c r="K238" s="46" t="str">
        <f t="shared" si="18"/>
        <v/>
      </c>
      <c r="L238" s="46" t="str">
        <f t="shared" si="19"/>
        <v/>
      </c>
      <c r="M238" s="35" t="str">
        <f>IF(B238="","",IF(E238="KXDDM","KXDDM – không ĐM",IF(E238&lt;&gt;"","Không KT ("&amp;E238&amp;")",IF(OR(K238="",L238=""),"Xem xét",IF(MAX(ABS(K238),ABS(L238))&lt;=ThongTin!$C$12,"OK","Xem xét")))))</f>
        <v/>
      </c>
    </row>
    <row r="239" spans="1:13" x14ac:dyDescent="0.25">
      <c r="A239" s="35" t="str">
        <f t="shared" si="15"/>
        <v/>
      </c>
      <c r="B239" s="35" t="str">
        <f>IF(BOM!A239="","",BOM!A239)</f>
        <v/>
      </c>
      <c r="C239" s="35" t="str">
        <f>IF(B239="","",BOM!B239)</f>
        <v/>
      </c>
      <c r="D239" s="35" t="str">
        <f>IF(B239="","",KT_DMTT_ChiTiet!E239)</f>
        <v/>
      </c>
      <c r="E239" s="36" t="str">
        <f>IF(B239="","",BOM!G239&amp;"")</f>
        <v/>
      </c>
      <c r="F239" s="39" t="str">
        <f>IF(B239="","",BOM!E239)</f>
        <v/>
      </c>
      <c r="G239" s="39" t="str">
        <f>IF(OR(B239="",E239="KXDDM"),"",BOM!F239)</f>
        <v/>
      </c>
      <c r="H239" s="39" t="str">
        <f>IF(OR(B239="",E239&lt;&gt;""),"",IFERROR(INDEX(KT_nguoc_theo_NL!$J$5:$J$304,MATCH(C239,KT_nguoc_theo_NL!$B$5:$B$304,0))/INDEX(KT_nguoc_theo_NL!$K$5:$K$304,MATCH(C239,KT_nguoc_theo_NL!$B$5:$B$304,0)),""))</f>
        <v/>
      </c>
      <c r="I239" s="39" t="str">
        <f t="shared" si="16"/>
        <v/>
      </c>
      <c r="J239" s="46" t="str">
        <f t="shared" si="17"/>
        <v/>
      </c>
      <c r="K239" s="46" t="str">
        <f t="shared" si="18"/>
        <v/>
      </c>
      <c r="L239" s="46" t="str">
        <f t="shared" si="19"/>
        <v/>
      </c>
      <c r="M239" s="35" t="str">
        <f>IF(B239="","",IF(E239="KXDDM","KXDDM – không ĐM",IF(E239&lt;&gt;"","Không KT ("&amp;E239&amp;")",IF(OR(K239="",L239=""),"Xem xét",IF(MAX(ABS(K239),ABS(L239))&lt;=ThongTin!$C$12,"OK","Xem xét")))))</f>
        <v/>
      </c>
    </row>
    <row r="240" spans="1:13" x14ac:dyDescent="0.25">
      <c r="A240" s="35" t="str">
        <f t="shared" si="15"/>
        <v/>
      </c>
      <c r="B240" s="35" t="str">
        <f>IF(BOM!A240="","",BOM!A240)</f>
        <v/>
      </c>
      <c r="C240" s="35" t="str">
        <f>IF(B240="","",BOM!B240)</f>
        <v/>
      </c>
      <c r="D240" s="35" t="str">
        <f>IF(B240="","",KT_DMTT_ChiTiet!E240)</f>
        <v/>
      </c>
      <c r="E240" s="36" t="str">
        <f>IF(B240="","",BOM!G240&amp;"")</f>
        <v/>
      </c>
      <c r="F240" s="39" t="str">
        <f>IF(B240="","",BOM!E240)</f>
        <v/>
      </c>
      <c r="G240" s="39" t="str">
        <f>IF(OR(B240="",E240="KXDDM"),"",BOM!F240)</f>
        <v/>
      </c>
      <c r="H240" s="39" t="str">
        <f>IF(OR(B240="",E240&lt;&gt;""),"",IFERROR(INDEX(KT_nguoc_theo_NL!$J$5:$J$304,MATCH(C240,KT_nguoc_theo_NL!$B$5:$B$304,0))/INDEX(KT_nguoc_theo_NL!$K$5:$K$304,MATCH(C240,KT_nguoc_theo_NL!$B$5:$B$304,0)),""))</f>
        <v/>
      </c>
      <c r="I240" s="39" t="str">
        <f t="shared" si="16"/>
        <v/>
      </c>
      <c r="J240" s="46" t="str">
        <f t="shared" si="17"/>
        <v/>
      </c>
      <c r="K240" s="46" t="str">
        <f t="shared" si="18"/>
        <v/>
      </c>
      <c r="L240" s="46" t="str">
        <f t="shared" si="19"/>
        <v/>
      </c>
      <c r="M240" s="35" t="str">
        <f>IF(B240="","",IF(E240="KXDDM","KXDDM – không ĐM",IF(E240&lt;&gt;"","Không KT ("&amp;E240&amp;")",IF(OR(K240="",L240=""),"Xem xét",IF(MAX(ABS(K240),ABS(L240))&lt;=ThongTin!$C$12,"OK","Xem xét")))))</f>
        <v/>
      </c>
    </row>
    <row r="241" spans="1:13" x14ac:dyDescent="0.25">
      <c r="A241" s="35" t="str">
        <f t="shared" si="15"/>
        <v/>
      </c>
      <c r="B241" s="35" t="str">
        <f>IF(BOM!A241="","",BOM!A241)</f>
        <v/>
      </c>
      <c r="C241" s="35" t="str">
        <f>IF(B241="","",BOM!B241)</f>
        <v/>
      </c>
      <c r="D241" s="35" t="str">
        <f>IF(B241="","",KT_DMTT_ChiTiet!E241)</f>
        <v/>
      </c>
      <c r="E241" s="36" t="str">
        <f>IF(B241="","",BOM!G241&amp;"")</f>
        <v/>
      </c>
      <c r="F241" s="39" t="str">
        <f>IF(B241="","",BOM!E241)</f>
        <v/>
      </c>
      <c r="G241" s="39" t="str">
        <f>IF(OR(B241="",E241="KXDDM"),"",BOM!F241)</f>
        <v/>
      </c>
      <c r="H241" s="39" t="str">
        <f>IF(OR(B241="",E241&lt;&gt;""),"",IFERROR(INDEX(KT_nguoc_theo_NL!$J$5:$J$304,MATCH(C241,KT_nguoc_theo_NL!$B$5:$B$304,0))/INDEX(KT_nguoc_theo_NL!$K$5:$K$304,MATCH(C241,KT_nguoc_theo_NL!$B$5:$B$304,0)),""))</f>
        <v/>
      </c>
      <c r="I241" s="39" t="str">
        <f t="shared" si="16"/>
        <v/>
      </c>
      <c r="J241" s="46" t="str">
        <f t="shared" si="17"/>
        <v/>
      </c>
      <c r="K241" s="46" t="str">
        <f t="shared" si="18"/>
        <v/>
      </c>
      <c r="L241" s="46" t="str">
        <f t="shared" si="19"/>
        <v/>
      </c>
      <c r="M241" s="35" t="str">
        <f>IF(B241="","",IF(E241="KXDDM","KXDDM – không ĐM",IF(E241&lt;&gt;"","Không KT ("&amp;E241&amp;")",IF(OR(K241="",L241=""),"Xem xét",IF(MAX(ABS(K241),ABS(L241))&lt;=ThongTin!$C$12,"OK","Xem xét")))))</f>
        <v/>
      </c>
    </row>
    <row r="242" spans="1:13" x14ac:dyDescent="0.25">
      <c r="A242" s="35" t="str">
        <f t="shared" si="15"/>
        <v/>
      </c>
      <c r="B242" s="35" t="str">
        <f>IF(BOM!A242="","",BOM!A242)</f>
        <v/>
      </c>
      <c r="C242" s="35" t="str">
        <f>IF(B242="","",BOM!B242)</f>
        <v/>
      </c>
      <c r="D242" s="35" t="str">
        <f>IF(B242="","",KT_DMTT_ChiTiet!E242)</f>
        <v/>
      </c>
      <c r="E242" s="36" t="str">
        <f>IF(B242="","",BOM!G242&amp;"")</f>
        <v/>
      </c>
      <c r="F242" s="39" t="str">
        <f>IF(B242="","",BOM!E242)</f>
        <v/>
      </c>
      <c r="G242" s="39" t="str">
        <f>IF(OR(B242="",E242="KXDDM"),"",BOM!F242)</f>
        <v/>
      </c>
      <c r="H242" s="39" t="str">
        <f>IF(OR(B242="",E242&lt;&gt;""),"",IFERROR(INDEX(KT_nguoc_theo_NL!$J$5:$J$304,MATCH(C242,KT_nguoc_theo_NL!$B$5:$B$304,0))/INDEX(KT_nguoc_theo_NL!$K$5:$K$304,MATCH(C242,KT_nguoc_theo_NL!$B$5:$B$304,0)),""))</f>
        <v/>
      </c>
      <c r="I242" s="39" t="str">
        <f t="shared" si="16"/>
        <v/>
      </c>
      <c r="J242" s="46" t="str">
        <f t="shared" si="17"/>
        <v/>
      </c>
      <c r="K242" s="46" t="str">
        <f t="shared" si="18"/>
        <v/>
      </c>
      <c r="L242" s="46" t="str">
        <f t="shared" si="19"/>
        <v/>
      </c>
      <c r="M242" s="35" t="str">
        <f>IF(B242="","",IF(E242="KXDDM","KXDDM – không ĐM",IF(E242&lt;&gt;"","Không KT ("&amp;E242&amp;")",IF(OR(K242="",L242=""),"Xem xét",IF(MAX(ABS(K242),ABS(L242))&lt;=ThongTin!$C$12,"OK","Xem xét")))))</f>
        <v/>
      </c>
    </row>
    <row r="243" spans="1:13" x14ac:dyDescent="0.25">
      <c r="A243" s="35" t="str">
        <f t="shared" si="15"/>
        <v/>
      </c>
      <c r="B243" s="35" t="str">
        <f>IF(BOM!A243="","",BOM!A243)</f>
        <v/>
      </c>
      <c r="C243" s="35" t="str">
        <f>IF(B243="","",BOM!B243)</f>
        <v/>
      </c>
      <c r="D243" s="35" t="str">
        <f>IF(B243="","",KT_DMTT_ChiTiet!E243)</f>
        <v/>
      </c>
      <c r="E243" s="36" t="str">
        <f>IF(B243="","",BOM!G243&amp;"")</f>
        <v/>
      </c>
      <c r="F243" s="39" t="str">
        <f>IF(B243="","",BOM!E243)</f>
        <v/>
      </c>
      <c r="G243" s="39" t="str">
        <f>IF(OR(B243="",E243="KXDDM"),"",BOM!F243)</f>
        <v/>
      </c>
      <c r="H243" s="39" t="str">
        <f>IF(OR(B243="",E243&lt;&gt;""),"",IFERROR(INDEX(KT_nguoc_theo_NL!$J$5:$J$304,MATCH(C243,KT_nguoc_theo_NL!$B$5:$B$304,0))/INDEX(KT_nguoc_theo_NL!$K$5:$K$304,MATCH(C243,KT_nguoc_theo_NL!$B$5:$B$304,0)),""))</f>
        <v/>
      </c>
      <c r="I243" s="39" t="str">
        <f t="shared" si="16"/>
        <v/>
      </c>
      <c r="J243" s="46" t="str">
        <f t="shared" si="17"/>
        <v/>
      </c>
      <c r="K243" s="46" t="str">
        <f t="shared" si="18"/>
        <v/>
      </c>
      <c r="L243" s="46" t="str">
        <f t="shared" si="19"/>
        <v/>
      </c>
      <c r="M243" s="35" t="str">
        <f>IF(B243="","",IF(E243="KXDDM","KXDDM – không ĐM",IF(E243&lt;&gt;"","Không KT ("&amp;E243&amp;")",IF(OR(K243="",L243=""),"Xem xét",IF(MAX(ABS(K243),ABS(L243))&lt;=ThongTin!$C$12,"OK","Xem xét")))))</f>
        <v/>
      </c>
    </row>
    <row r="244" spans="1:13" x14ac:dyDescent="0.25">
      <c r="A244" s="35" t="str">
        <f t="shared" si="15"/>
        <v/>
      </c>
      <c r="B244" s="35" t="str">
        <f>IF(BOM!A244="","",BOM!A244)</f>
        <v/>
      </c>
      <c r="C244" s="35" t="str">
        <f>IF(B244="","",BOM!B244)</f>
        <v/>
      </c>
      <c r="D244" s="35" t="str">
        <f>IF(B244="","",KT_DMTT_ChiTiet!E244)</f>
        <v/>
      </c>
      <c r="E244" s="36" t="str">
        <f>IF(B244="","",BOM!G244&amp;"")</f>
        <v/>
      </c>
      <c r="F244" s="39" t="str">
        <f>IF(B244="","",BOM!E244)</f>
        <v/>
      </c>
      <c r="G244" s="39" t="str">
        <f>IF(OR(B244="",E244="KXDDM"),"",BOM!F244)</f>
        <v/>
      </c>
      <c r="H244" s="39" t="str">
        <f>IF(OR(B244="",E244&lt;&gt;""),"",IFERROR(INDEX(KT_nguoc_theo_NL!$J$5:$J$304,MATCH(C244,KT_nguoc_theo_NL!$B$5:$B$304,0))/INDEX(KT_nguoc_theo_NL!$K$5:$K$304,MATCH(C244,KT_nguoc_theo_NL!$B$5:$B$304,0)),""))</f>
        <v/>
      </c>
      <c r="I244" s="39" t="str">
        <f t="shared" si="16"/>
        <v/>
      </c>
      <c r="J244" s="46" t="str">
        <f t="shared" si="17"/>
        <v/>
      </c>
      <c r="K244" s="46" t="str">
        <f t="shared" si="18"/>
        <v/>
      </c>
      <c r="L244" s="46" t="str">
        <f t="shared" si="19"/>
        <v/>
      </c>
      <c r="M244" s="35" t="str">
        <f>IF(B244="","",IF(E244="KXDDM","KXDDM – không ĐM",IF(E244&lt;&gt;"","Không KT ("&amp;E244&amp;")",IF(OR(K244="",L244=""),"Xem xét",IF(MAX(ABS(K244),ABS(L244))&lt;=ThongTin!$C$12,"OK","Xem xét")))))</f>
        <v/>
      </c>
    </row>
    <row r="245" spans="1:13" x14ac:dyDescent="0.25">
      <c r="A245" s="35" t="str">
        <f t="shared" si="15"/>
        <v/>
      </c>
      <c r="B245" s="35" t="str">
        <f>IF(BOM!A245="","",BOM!A245)</f>
        <v/>
      </c>
      <c r="C245" s="35" t="str">
        <f>IF(B245="","",BOM!B245)</f>
        <v/>
      </c>
      <c r="D245" s="35" t="str">
        <f>IF(B245="","",KT_DMTT_ChiTiet!E245)</f>
        <v/>
      </c>
      <c r="E245" s="36" t="str">
        <f>IF(B245="","",BOM!G245&amp;"")</f>
        <v/>
      </c>
      <c r="F245" s="39" t="str">
        <f>IF(B245="","",BOM!E245)</f>
        <v/>
      </c>
      <c r="G245" s="39" t="str">
        <f>IF(OR(B245="",E245="KXDDM"),"",BOM!F245)</f>
        <v/>
      </c>
      <c r="H245" s="39" t="str">
        <f>IF(OR(B245="",E245&lt;&gt;""),"",IFERROR(INDEX(KT_nguoc_theo_NL!$J$5:$J$304,MATCH(C245,KT_nguoc_theo_NL!$B$5:$B$304,0))/INDEX(KT_nguoc_theo_NL!$K$5:$K$304,MATCH(C245,KT_nguoc_theo_NL!$B$5:$B$304,0)),""))</f>
        <v/>
      </c>
      <c r="I245" s="39" t="str">
        <f t="shared" si="16"/>
        <v/>
      </c>
      <c r="J245" s="46" t="str">
        <f t="shared" si="17"/>
        <v/>
      </c>
      <c r="K245" s="46" t="str">
        <f t="shared" si="18"/>
        <v/>
      </c>
      <c r="L245" s="46" t="str">
        <f t="shared" si="19"/>
        <v/>
      </c>
      <c r="M245" s="35" t="str">
        <f>IF(B245="","",IF(E245="KXDDM","KXDDM – không ĐM",IF(E245&lt;&gt;"","Không KT ("&amp;E245&amp;")",IF(OR(K245="",L245=""),"Xem xét",IF(MAX(ABS(K245),ABS(L245))&lt;=ThongTin!$C$12,"OK","Xem xét")))))</f>
        <v/>
      </c>
    </row>
    <row r="246" spans="1:13" x14ac:dyDescent="0.25">
      <c r="A246" s="35" t="str">
        <f t="shared" si="15"/>
        <v/>
      </c>
      <c r="B246" s="35" t="str">
        <f>IF(BOM!A246="","",BOM!A246)</f>
        <v/>
      </c>
      <c r="C246" s="35" t="str">
        <f>IF(B246="","",BOM!B246)</f>
        <v/>
      </c>
      <c r="D246" s="35" t="str">
        <f>IF(B246="","",KT_DMTT_ChiTiet!E246)</f>
        <v/>
      </c>
      <c r="E246" s="36" t="str">
        <f>IF(B246="","",BOM!G246&amp;"")</f>
        <v/>
      </c>
      <c r="F246" s="39" t="str">
        <f>IF(B246="","",BOM!E246)</f>
        <v/>
      </c>
      <c r="G246" s="39" t="str">
        <f>IF(OR(B246="",E246="KXDDM"),"",BOM!F246)</f>
        <v/>
      </c>
      <c r="H246" s="39" t="str">
        <f>IF(OR(B246="",E246&lt;&gt;""),"",IFERROR(INDEX(KT_nguoc_theo_NL!$J$5:$J$304,MATCH(C246,KT_nguoc_theo_NL!$B$5:$B$304,0))/INDEX(KT_nguoc_theo_NL!$K$5:$K$304,MATCH(C246,KT_nguoc_theo_NL!$B$5:$B$304,0)),""))</f>
        <v/>
      </c>
      <c r="I246" s="39" t="str">
        <f t="shared" si="16"/>
        <v/>
      </c>
      <c r="J246" s="46" t="str">
        <f t="shared" si="17"/>
        <v/>
      </c>
      <c r="K246" s="46" t="str">
        <f t="shared" si="18"/>
        <v/>
      </c>
      <c r="L246" s="46" t="str">
        <f t="shared" si="19"/>
        <v/>
      </c>
      <c r="M246" s="35" t="str">
        <f>IF(B246="","",IF(E246="KXDDM","KXDDM – không ĐM",IF(E246&lt;&gt;"","Không KT ("&amp;E246&amp;")",IF(OR(K246="",L246=""),"Xem xét",IF(MAX(ABS(K246),ABS(L246))&lt;=ThongTin!$C$12,"OK","Xem xét")))))</f>
        <v/>
      </c>
    </row>
    <row r="247" spans="1:13" x14ac:dyDescent="0.25">
      <c r="A247" s="35" t="str">
        <f t="shared" si="15"/>
        <v/>
      </c>
      <c r="B247" s="35" t="str">
        <f>IF(BOM!A247="","",BOM!A247)</f>
        <v/>
      </c>
      <c r="C247" s="35" t="str">
        <f>IF(B247="","",BOM!B247)</f>
        <v/>
      </c>
      <c r="D247" s="35" t="str">
        <f>IF(B247="","",KT_DMTT_ChiTiet!E247)</f>
        <v/>
      </c>
      <c r="E247" s="36" t="str">
        <f>IF(B247="","",BOM!G247&amp;"")</f>
        <v/>
      </c>
      <c r="F247" s="39" t="str">
        <f>IF(B247="","",BOM!E247)</f>
        <v/>
      </c>
      <c r="G247" s="39" t="str">
        <f>IF(OR(B247="",E247="KXDDM"),"",BOM!F247)</f>
        <v/>
      </c>
      <c r="H247" s="39" t="str">
        <f>IF(OR(B247="",E247&lt;&gt;""),"",IFERROR(INDEX(KT_nguoc_theo_NL!$J$5:$J$304,MATCH(C247,KT_nguoc_theo_NL!$B$5:$B$304,0))/INDEX(KT_nguoc_theo_NL!$K$5:$K$304,MATCH(C247,KT_nguoc_theo_NL!$B$5:$B$304,0)),""))</f>
        <v/>
      </c>
      <c r="I247" s="39" t="str">
        <f t="shared" si="16"/>
        <v/>
      </c>
      <c r="J247" s="46" t="str">
        <f t="shared" si="17"/>
        <v/>
      </c>
      <c r="K247" s="46" t="str">
        <f t="shared" si="18"/>
        <v/>
      </c>
      <c r="L247" s="46" t="str">
        <f t="shared" si="19"/>
        <v/>
      </c>
      <c r="M247" s="35" t="str">
        <f>IF(B247="","",IF(E247="KXDDM","KXDDM – không ĐM",IF(E247&lt;&gt;"","Không KT ("&amp;E247&amp;")",IF(OR(K247="",L247=""),"Xem xét",IF(MAX(ABS(K247),ABS(L247))&lt;=ThongTin!$C$12,"OK","Xem xét")))))</f>
        <v/>
      </c>
    </row>
    <row r="248" spans="1:13" x14ac:dyDescent="0.25">
      <c r="A248" s="35" t="str">
        <f t="shared" si="15"/>
        <v/>
      </c>
      <c r="B248" s="35" t="str">
        <f>IF(BOM!A248="","",BOM!A248)</f>
        <v/>
      </c>
      <c r="C248" s="35" t="str">
        <f>IF(B248="","",BOM!B248)</f>
        <v/>
      </c>
      <c r="D248" s="35" t="str">
        <f>IF(B248="","",KT_DMTT_ChiTiet!E248)</f>
        <v/>
      </c>
      <c r="E248" s="36" t="str">
        <f>IF(B248="","",BOM!G248&amp;"")</f>
        <v/>
      </c>
      <c r="F248" s="39" t="str">
        <f>IF(B248="","",BOM!E248)</f>
        <v/>
      </c>
      <c r="G248" s="39" t="str">
        <f>IF(OR(B248="",E248="KXDDM"),"",BOM!F248)</f>
        <v/>
      </c>
      <c r="H248" s="39" t="str">
        <f>IF(OR(B248="",E248&lt;&gt;""),"",IFERROR(INDEX(KT_nguoc_theo_NL!$J$5:$J$304,MATCH(C248,KT_nguoc_theo_NL!$B$5:$B$304,0))/INDEX(KT_nguoc_theo_NL!$K$5:$K$304,MATCH(C248,KT_nguoc_theo_NL!$B$5:$B$304,0)),""))</f>
        <v/>
      </c>
      <c r="I248" s="39" t="str">
        <f t="shared" si="16"/>
        <v/>
      </c>
      <c r="J248" s="46" t="str">
        <f t="shared" si="17"/>
        <v/>
      </c>
      <c r="K248" s="46" t="str">
        <f t="shared" si="18"/>
        <v/>
      </c>
      <c r="L248" s="46" t="str">
        <f t="shared" si="19"/>
        <v/>
      </c>
      <c r="M248" s="35" t="str">
        <f>IF(B248="","",IF(E248="KXDDM","KXDDM – không ĐM",IF(E248&lt;&gt;"","Không KT ("&amp;E248&amp;")",IF(OR(K248="",L248=""),"Xem xét",IF(MAX(ABS(K248),ABS(L248))&lt;=ThongTin!$C$12,"OK","Xem xét")))))</f>
        <v/>
      </c>
    </row>
    <row r="249" spans="1:13" x14ac:dyDescent="0.25">
      <c r="A249" s="35" t="str">
        <f t="shared" si="15"/>
        <v/>
      </c>
      <c r="B249" s="35" t="str">
        <f>IF(BOM!A249="","",BOM!A249)</f>
        <v/>
      </c>
      <c r="C249" s="35" t="str">
        <f>IF(B249="","",BOM!B249)</f>
        <v/>
      </c>
      <c r="D249" s="35" t="str">
        <f>IF(B249="","",KT_DMTT_ChiTiet!E249)</f>
        <v/>
      </c>
      <c r="E249" s="36" t="str">
        <f>IF(B249="","",BOM!G249&amp;"")</f>
        <v/>
      </c>
      <c r="F249" s="39" t="str">
        <f>IF(B249="","",BOM!E249)</f>
        <v/>
      </c>
      <c r="G249" s="39" t="str">
        <f>IF(OR(B249="",E249="KXDDM"),"",BOM!F249)</f>
        <v/>
      </c>
      <c r="H249" s="39" t="str">
        <f>IF(OR(B249="",E249&lt;&gt;""),"",IFERROR(INDEX(KT_nguoc_theo_NL!$J$5:$J$304,MATCH(C249,KT_nguoc_theo_NL!$B$5:$B$304,0))/INDEX(KT_nguoc_theo_NL!$K$5:$K$304,MATCH(C249,KT_nguoc_theo_NL!$B$5:$B$304,0)),""))</f>
        <v/>
      </c>
      <c r="I249" s="39" t="str">
        <f t="shared" si="16"/>
        <v/>
      </c>
      <c r="J249" s="46" t="str">
        <f t="shared" si="17"/>
        <v/>
      </c>
      <c r="K249" s="46" t="str">
        <f t="shared" si="18"/>
        <v/>
      </c>
      <c r="L249" s="46" t="str">
        <f t="shared" si="19"/>
        <v/>
      </c>
      <c r="M249" s="35" t="str">
        <f>IF(B249="","",IF(E249="KXDDM","KXDDM – không ĐM",IF(E249&lt;&gt;"","Không KT ("&amp;E249&amp;")",IF(OR(K249="",L249=""),"Xem xét",IF(MAX(ABS(K249),ABS(L249))&lt;=ThongTin!$C$12,"OK","Xem xét")))))</f>
        <v/>
      </c>
    </row>
    <row r="250" spans="1:13" x14ac:dyDescent="0.25">
      <c r="A250" s="35" t="str">
        <f t="shared" si="15"/>
        <v/>
      </c>
      <c r="B250" s="35" t="str">
        <f>IF(BOM!A250="","",BOM!A250)</f>
        <v/>
      </c>
      <c r="C250" s="35" t="str">
        <f>IF(B250="","",BOM!B250)</f>
        <v/>
      </c>
      <c r="D250" s="35" t="str">
        <f>IF(B250="","",KT_DMTT_ChiTiet!E250)</f>
        <v/>
      </c>
      <c r="E250" s="36" t="str">
        <f>IF(B250="","",BOM!G250&amp;"")</f>
        <v/>
      </c>
      <c r="F250" s="39" t="str">
        <f>IF(B250="","",BOM!E250)</f>
        <v/>
      </c>
      <c r="G250" s="39" t="str">
        <f>IF(OR(B250="",E250="KXDDM"),"",BOM!F250)</f>
        <v/>
      </c>
      <c r="H250" s="39" t="str">
        <f>IF(OR(B250="",E250&lt;&gt;""),"",IFERROR(INDEX(KT_nguoc_theo_NL!$J$5:$J$304,MATCH(C250,KT_nguoc_theo_NL!$B$5:$B$304,0))/INDEX(KT_nguoc_theo_NL!$K$5:$K$304,MATCH(C250,KT_nguoc_theo_NL!$B$5:$B$304,0)),""))</f>
        <v/>
      </c>
      <c r="I250" s="39" t="str">
        <f t="shared" si="16"/>
        <v/>
      </c>
      <c r="J250" s="46" t="str">
        <f t="shared" si="17"/>
        <v/>
      </c>
      <c r="K250" s="46" t="str">
        <f t="shared" si="18"/>
        <v/>
      </c>
      <c r="L250" s="46" t="str">
        <f t="shared" si="19"/>
        <v/>
      </c>
      <c r="M250" s="35" t="str">
        <f>IF(B250="","",IF(E250="KXDDM","KXDDM – không ĐM",IF(E250&lt;&gt;"","Không KT ("&amp;E250&amp;")",IF(OR(K250="",L250=""),"Xem xét",IF(MAX(ABS(K250),ABS(L250))&lt;=ThongTin!$C$12,"OK","Xem xét")))))</f>
        <v/>
      </c>
    </row>
    <row r="251" spans="1:13" x14ac:dyDescent="0.25">
      <c r="A251" s="35" t="str">
        <f t="shared" si="15"/>
        <v/>
      </c>
      <c r="B251" s="35" t="str">
        <f>IF(BOM!A251="","",BOM!A251)</f>
        <v/>
      </c>
      <c r="C251" s="35" t="str">
        <f>IF(B251="","",BOM!B251)</f>
        <v/>
      </c>
      <c r="D251" s="35" t="str">
        <f>IF(B251="","",KT_DMTT_ChiTiet!E251)</f>
        <v/>
      </c>
      <c r="E251" s="36" t="str">
        <f>IF(B251="","",BOM!G251&amp;"")</f>
        <v/>
      </c>
      <c r="F251" s="39" t="str">
        <f>IF(B251="","",BOM!E251)</f>
        <v/>
      </c>
      <c r="G251" s="39" t="str">
        <f>IF(OR(B251="",E251="KXDDM"),"",BOM!F251)</f>
        <v/>
      </c>
      <c r="H251" s="39" t="str">
        <f>IF(OR(B251="",E251&lt;&gt;""),"",IFERROR(INDEX(KT_nguoc_theo_NL!$J$5:$J$304,MATCH(C251,KT_nguoc_theo_NL!$B$5:$B$304,0))/INDEX(KT_nguoc_theo_NL!$K$5:$K$304,MATCH(C251,KT_nguoc_theo_NL!$B$5:$B$304,0)),""))</f>
        <v/>
      </c>
      <c r="I251" s="39" t="str">
        <f t="shared" si="16"/>
        <v/>
      </c>
      <c r="J251" s="46" t="str">
        <f t="shared" si="17"/>
        <v/>
      </c>
      <c r="K251" s="46" t="str">
        <f t="shared" si="18"/>
        <v/>
      </c>
      <c r="L251" s="46" t="str">
        <f t="shared" si="19"/>
        <v/>
      </c>
      <c r="M251" s="35" t="str">
        <f>IF(B251="","",IF(E251="KXDDM","KXDDM – không ĐM",IF(E251&lt;&gt;"","Không KT ("&amp;E251&amp;")",IF(OR(K251="",L251=""),"Xem xét",IF(MAX(ABS(K251),ABS(L251))&lt;=ThongTin!$C$12,"OK","Xem xét")))))</f>
        <v/>
      </c>
    </row>
    <row r="252" spans="1:13" x14ac:dyDescent="0.25">
      <c r="A252" s="35" t="str">
        <f t="shared" si="15"/>
        <v/>
      </c>
      <c r="B252" s="35" t="str">
        <f>IF(BOM!A252="","",BOM!A252)</f>
        <v/>
      </c>
      <c r="C252" s="35" t="str">
        <f>IF(B252="","",BOM!B252)</f>
        <v/>
      </c>
      <c r="D252" s="35" t="str">
        <f>IF(B252="","",KT_DMTT_ChiTiet!E252)</f>
        <v/>
      </c>
      <c r="E252" s="36" t="str">
        <f>IF(B252="","",BOM!G252&amp;"")</f>
        <v/>
      </c>
      <c r="F252" s="39" t="str">
        <f>IF(B252="","",BOM!E252)</f>
        <v/>
      </c>
      <c r="G252" s="39" t="str">
        <f>IF(OR(B252="",E252="KXDDM"),"",BOM!F252)</f>
        <v/>
      </c>
      <c r="H252" s="39" t="str">
        <f>IF(OR(B252="",E252&lt;&gt;""),"",IFERROR(INDEX(KT_nguoc_theo_NL!$J$5:$J$304,MATCH(C252,KT_nguoc_theo_NL!$B$5:$B$304,0))/INDEX(KT_nguoc_theo_NL!$K$5:$K$304,MATCH(C252,KT_nguoc_theo_NL!$B$5:$B$304,0)),""))</f>
        <v/>
      </c>
      <c r="I252" s="39" t="str">
        <f t="shared" si="16"/>
        <v/>
      </c>
      <c r="J252" s="46" t="str">
        <f t="shared" si="17"/>
        <v/>
      </c>
      <c r="K252" s="46" t="str">
        <f t="shared" si="18"/>
        <v/>
      </c>
      <c r="L252" s="46" t="str">
        <f t="shared" si="19"/>
        <v/>
      </c>
      <c r="M252" s="35" t="str">
        <f>IF(B252="","",IF(E252="KXDDM","KXDDM – không ĐM",IF(E252&lt;&gt;"","Không KT ("&amp;E252&amp;")",IF(OR(K252="",L252=""),"Xem xét",IF(MAX(ABS(K252),ABS(L252))&lt;=ThongTin!$C$12,"OK","Xem xét")))))</f>
        <v/>
      </c>
    </row>
    <row r="253" spans="1:13" x14ac:dyDescent="0.25">
      <c r="A253" s="35" t="str">
        <f t="shared" si="15"/>
        <v/>
      </c>
      <c r="B253" s="35" t="str">
        <f>IF(BOM!A253="","",BOM!A253)</f>
        <v/>
      </c>
      <c r="C253" s="35" t="str">
        <f>IF(B253="","",BOM!B253)</f>
        <v/>
      </c>
      <c r="D253" s="35" t="str">
        <f>IF(B253="","",KT_DMTT_ChiTiet!E253)</f>
        <v/>
      </c>
      <c r="E253" s="36" t="str">
        <f>IF(B253="","",BOM!G253&amp;"")</f>
        <v/>
      </c>
      <c r="F253" s="39" t="str">
        <f>IF(B253="","",BOM!E253)</f>
        <v/>
      </c>
      <c r="G253" s="39" t="str">
        <f>IF(OR(B253="",E253="KXDDM"),"",BOM!F253)</f>
        <v/>
      </c>
      <c r="H253" s="39" t="str">
        <f>IF(OR(B253="",E253&lt;&gt;""),"",IFERROR(INDEX(KT_nguoc_theo_NL!$J$5:$J$304,MATCH(C253,KT_nguoc_theo_NL!$B$5:$B$304,0))/INDEX(KT_nguoc_theo_NL!$K$5:$K$304,MATCH(C253,KT_nguoc_theo_NL!$B$5:$B$304,0)),""))</f>
        <v/>
      </c>
      <c r="I253" s="39" t="str">
        <f t="shared" si="16"/>
        <v/>
      </c>
      <c r="J253" s="46" t="str">
        <f t="shared" si="17"/>
        <v/>
      </c>
      <c r="K253" s="46" t="str">
        <f t="shared" si="18"/>
        <v/>
      </c>
      <c r="L253" s="46" t="str">
        <f t="shared" si="19"/>
        <v/>
      </c>
      <c r="M253" s="35" t="str">
        <f>IF(B253="","",IF(E253="KXDDM","KXDDM – không ĐM",IF(E253&lt;&gt;"","Không KT ("&amp;E253&amp;")",IF(OR(K253="",L253=""),"Xem xét",IF(MAX(ABS(K253),ABS(L253))&lt;=ThongTin!$C$12,"OK","Xem xét")))))</f>
        <v/>
      </c>
    </row>
    <row r="254" spans="1:13" x14ac:dyDescent="0.25">
      <c r="A254" s="35" t="str">
        <f t="shared" si="15"/>
        <v/>
      </c>
      <c r="B254" s="35" t="str">
        <f>IF(BOM!A254="","",BOM!A254)</f>
        <v/>
      </c>
      <c r="C254" s="35" t="str">
        <f>IF(B254="","",BOM!B254)</f>
        <v/>
      </c>
      <c r="D254" s="35" t="str">
        <f>IF(B254="","",KT_DMTT_ChiTiet!E254)</f>
        <v/>
      </c>
      <c r="E254" s="36" t="str">
        <f>IF(B254="","",BOM!G254&amp;"")</f>
        <v/>
      </c>
      <c r="F254" s="39" t="str">
        <f>IF(B254="","",BOM!E254)</f>
        <v/>
      </c>
      <c r="G254" s="39" t="str">
        <f>IF(OR(B254="",E254="KXDDM"),"",BOM!F254)</f>
        <v/>
      </c>
      <c r="H254" s="39" t="str">
        <f>IF(OR(B254="",E254&lt;&gt;""),"",IFERROR(INDEX(KT_nguoc_theo_NL!$J$5:$J$304,MATCH(C254,KT_nguoc_theo_NL!$B$5:$B$304,0))/INDEX(KT_nguoc_theo_NL!$K$5:$K$304,MATCH(C254,KT_nguoc_theo_NL!$B$5:$B$304,0)),""))</f>
        <v/>
      </c>
      <c r="I254" s="39" t="str">
        <f t="shared" si="16"/>
        <v/>
      </c>
      <c r="J254" s="46" t="str">
        <f t="shared" si="17"/>
        <v/>
      </c>
      <c r="K254" s="46" t="str">
        <f t="shared" si="18"/>
        <v/>
      </c>
      <c r="L254" s="46" t="str">
        <f t="shared" si="19"/>
        <v/>
      </c>
      <c r="M254" s="35" t="str">
        <f>IF(B254="","",IF(E254="KXDDM","KXDDM – không ĐM",IF(E254&lt;&gt;"","Không KT ("&amp;E254&amp;")",IF(OR(K254="",L254=""),"Xem xét",IF(MAX(ABS(K254),ABS(L254))&lt;=ThongTin!$C$12,"OK","Xem xét")))))</f>
        <v/>
      </c>
    </row>
    <row r="255" spans="1:13" x14ac:dyDescent="0.25">
      <c r="A255" s="35" t="str">
        <f t="shared" si="15"/>
        <v/>
      </c>
      <c r="B255" s="35" t="str">
        <f>IF(BOM!A255="","",BOM!A255)</f>
        <v/>
      </c>
      <c r="C255" s="35" t="str">
        <f>IF(B255="","",BOM!B255)</f>
        <v/>
      </c>
      <c r="D255" s="35" t="str">
        <f>IF(B255="","",KT_DMTT_ChiTiet!E255)</f>
        <v/>
      </c>
      <c r="E255" s="36" t="str">
        <f>IF(B255="","",BOM!G255&amp;"")</f>
        <v/>
      </c>
      <c r="F255" s="39" t="str">
        <f>IF(B255="","",BOM!E255)</f>
        <v/>
      </c>
      <c r="G255" s="39" t="str">
        <f>IF(OR(B255="",E255="KXDDM"),"",BOM!F255)</f>
        <v/>
      </c>
      <c r="H255" s="39" t="str">
        <f>IF(OR(B255="",E255&lt;&gt;""),"",IFERROR(INDEX(KT_nguoc_theo_NL!$J$5:$J$304,MATCH(C255,KT_nguoc_theo_NL!$B$5:$B$304,0))/INDEX(KT_nguoc_theo_NL!$K$5:$K$304,MATCH(C255,KT_nguoc_theo_NL!$B$5:$B$304,0)),""))</f>
        <v/>
      </c>
      <c r="I255" s="39" t="str">
        <f t="shared" si="16"/>
        <v/>
      </c>
      <c r="J255" s="46" t="str">
        <f t="shared" si="17"/>
        <v/>
      </c>
      <c r="K255" s="46" t="str">
        <f t="shared" si="18"/>
        <v/>
      </c>
      <c r="L255" s="46" t="str">
        <f t="shared" si="19"/>
        <v/>
      </c>
      <c r="M255" s="35" t="str">
        <f>IF(B255="","",IF(E255="KXDDM","KXDDM – không ĐM",IF(E255&lt;&gt;"","Không KT ("&amp;E255&amp;")",IF(OR(K255="",L255=""),"Xem xét",IF(MAX(ABS(K255),ABS(L255))&lt;=ThongTin!$C$12,"OK","Xem xét")))))</f>
        <v/>
      </c>
    </row>
    <row r="256" spans="1:13" x14ac:dyDescent="0.25">
      <c r="A256" s="35" t="str">
        <f t="shared" si="15"/>
        <v/>
      </c>
      <c r="B256" s="35" t="str">
        <f>IF(BOM!A256="","",BOM!A256)</f>
        <v/>
      </c>
      <c r="C256" s="35" t="str">
        <f>IF(B256="","",BOM!B256)</f>
        <v/>
      </c>
      <c r="D256" s="35" t="str">
        <f>IF(B256="","",KT_DMTT_ChiTiet!E256)</f>
        <v/>
      </c>
      <c r="E256" s="36" t="str">
        <f>IF(B256="","",BOM!G256&amp;"")</f>
        <v/>
      </c>
      <c r="F256" s="39" t="str">
        <f>IF(B256="","",BOM!E256)</f>
        <v/>
      </c>
      <c r="G256" s="39" t="str">
        <f>IF(OR(B256="",E256="KXDDM"),"",BOM!F256)</f>
        <v/>
      </c>
      <c r="H256" s="39" t="str">
        <f>IF(OR(B256="",E256&lt;&gt;""),"",IFERROR(INDEX(KT_nguoc_theo_NL!$J$5:$J$304,MATCH(C256,KT_nguoc_theo_NL!$B$5:$B$304,0))/INDEX(KT_nguoc_theo_NL!$K$5:$K$304,MATCH(C256,KT_nguoc_theo_NL!$B$5:$B$304,0)),""))</f>
        <v/>
      </c>
      <c r="I256" s="39" t="str">
        <f t="shared" si="16"/>
        <v/>
      </c>
      <c r="J256" s="46" t="str">
        <f t="shared" si="17"/>
        <v/>
      </c>
      <c r="K256" s="46" t="str">
        <f t="shared" si="18"/>
        <v/>
      </c>
      <c r="L256" s="46" t="str">
        <f t="shared" si="19"/>
        <v/>
      </c>
      <c r="M256" s="35" t="str">
        <f>IF(B256="","",IF(E256="KXDDM","KXDDM – không ĐM",IF(E256&lt;&gt;"","Không KT ("&amp;E256&amp;")",IF(OR(K256="",L256=""),"Xem xét",IF(MAX(ABS(K256),ABS(L256))&lt;=ThongTin!$C$12,"OK","Xem xét")))))</f>
        <v/>
      </c>
    </row>
    <row r="257" spans="1:13" x14ac:dyDescent="0.25">
      <c r="A257" s="35" t="str">
        <f t="shared" si="15"/>
        <v/>
      </c>
      <c r="B257" s="35" t="str">
        <f>IF(BOM!A257="","",BOM!A257)</f>
        <v/>
      </c>
      <c r="C257" s="35" t="str">
        <f>IF(B257="","",BOM!B257)</f>
        <v/>
      </c>
      <c r="D257" s="35" t="str">
        <f>IF(B257="","",KT_DMTT_ChiTiet!E257)</f>
        <v/>
      </c>
      <c r="E257" s="36" t="str">
        <f>IF(B257="","",BOM!G257&amp;"")</f>
        <v/>
      </c>
      <c r="F257" s="39" t="str">
        <f>IF(B257="","",BOM!E257)</f>
        <v/>
      </c>
      <c r="G257" s="39" t="str">
        <f>IF(OR(B257="",E257="KXDDM"),"",BOM!F257)</f>
        <v/>
      </c>
      <c r="H257" s="39" t="str">
        <f>IF(OR(B257="",E257&lt;&gt;""),"",IFERROR(INDEX(KT_nguoc_theo_NL!$J$5:$J$304,MATCH(C257,KT_nguoc_theo_NL!$B$5:$B$304,0))/INDEX(KT_nguoc_theo_NL!$K$5:$K$304,MATCH(C257,KT_nguoc_theo_NL!$B$5:$B$304,0)),""))</f>
        <v/>
      </c>
      <c r="I257" s="39" t="str">
        <f t="shared" si="16"/>
        <v/>
      </c>
      <c r="J257" s="46" t="str">
        <f t="shared" si="17"/>
        <v/>
      </c>
      <c r="K257" s="46" t="str">
        <f t="shared" si="18"/>
        <v/>
      </c>
      <c r="L257" s="46" t="str">
        <f t="shared" si="19"/>
        <v/>
      </c>
      <c r="M257" s="35" t="str">
        <f>IF(B257="","",IF(E257="KXDDM","KXDDM – không ĐM",IF(E257&lt;&gt;"","Không KT ("&amp;E257&amp;")",IF(OR(K257="",L257=""),"Xem xét",IF(MAX(ABS(K257),ABS(L257))&lt;=ThongTin!$C$12,"OK","Xem xét")))))</f>
        <v/>
      </c>
    </row>
    <row r="258" spans="1:13" x14ac:dyDescent="0.25">
      <c r="A258" s="35" t="str">
        <f t="shared" si="15"/>
        <v/>
      </c>
      <c r="B258" s="35" t="str">
        <f>IF(BOM!A258="","",BOM!A258)</f>
        <v/>
      </c>
      <c r="C258" s="35" t="str">
        <f>IF(B258="","",BOM!B258)</f>
        <v/>
      </c>
      <c r="D258" s="35" t="str">
        <f>IF(B258="","",KT_DMTT_ChiTiet!E258)</f>
        <v/>
      </c>
      <c r="E258" s="36" t="str">
        <f>IF(B258="","",BOM!G258&amp;"")</f>
        <v/>
      </c>
      <c r="F258" s="39" t="str">
        <f>IF(B258="","",BOM!E258)</f>
        <v/>
      </c>
      <c r="G258" s="39" t="str">
        <f>IF(OR(B258="",E258="KXDDM"),"",BOM!F258)</f>
        <v/>
      </c>
      <c r="H258" s="39" t="str">
        <f>IF(OR(B258="",E258&lt;&gt;""),"",IFERROR(INDEX(KT_nguoc_theo_NL!$J$5:$J$304,MATCH(C258,KT_nguoc_theo_NL!$B$5:$B$304,0))/INDEX(KT_nguoc_theo_NL!$K$5:$K$304,MATCH(C258,KT_nguoc_theo_NL!$B$5:$B$304,0)),""))</f>
        <v/>
      </c>
      <c r="I258" s="39" t="str">
        <f t="shared" si="16"/>
        <v/>
      </c>
      <c r="J258" s="46" t="str">
        <f t="shared" si="17"/>
        <v/>
      </c>
      <c r="K258" s="46" t="str">
        <f t="shared" si="18"/>
        <v/>
      </c>
      <c r="L258" s="46" t="str">
        <f t="shared" si="19"/>
        <v/>
      </c>
      <c r="M258" s="35" t="str">
        <f>IF(B258="","",IF(E258="KXDDM","KXDDM – không ĐM",IF(E258&lt;&gt;"","Không KT ("&amp;E258&amp;")",IF(OR(K258="",L258=""),"Xem xét",IF(MAX(ABS(K258),ABS(L258))&lt;=ThongTin!$C$12,"OK","Xem xét")))))</f>
        <v/>
      </c>
    </row>
    <row r="259" spans="1:13" x14ac:dyDescent="0.25">
      <c r="A259" s="35" t="str">
        <f t="shared" si="15"/>
        <v/>
      </c>
      <c r="B259" s="35" t="str">
        <f>IF(BOM!A259="","",BOM!A259)</f>
        <v/>
      </c>
      <c r="C259" s="35" t="str">
        <f>IF(B259="","",BOM!B259)</f>
        <v/>
      </c>
      <c r="D259" s="35" t="str">
        <f>IF(B259="","",KT_DMTT_ChiTiet!E259)</f>
        <v/>
      </c>
      <c r="E259" s="36" t="str">
        <f>IF(B259="","",BOM!G259&amp;"")</f>
        <v/>
      </c>
      <c r="F259" s="39" t="str">
        <f>IF(B259="","",BOM!E259)</f>
        <v/>
      </c>
      <c r="G259" s="39" t="str">
        <f>IF(OR(B259="",E259="KXDDM"),"",BOM!F259)</f>
        <v/>
      </c>
      <c r="H259" s="39" t="str">
        <f>IF(OR(B259="",E259&lt;&gt;""),"",IFERROR(INDEX(KT_nguoc_theo_NL!$J$5:$J$304,MATCH(C259,KT_nguoc_theo_NL!$B$5:$B$304,0))/INDEX(KT_nguoc_theo_NL!$K$5:$K$304,MATCH(C259,KT_nguoc_theo_NL!$B$5:$B$304,0)),""))</f>
        <v/>
      </c>
      <c r="I259" s="39" t="str">
        <f t="shared" si="16"/>
        <v/>
      </c>
      <c r="J259" s="46" t="str">
        <f t="shared" si="17"/>
        <v/>
      </c>
      <c r="K259" s="46" t="str">
        <f t="shared" si="18"/>
        <v/>
      </c>
      <c r="L259" s="46" t="str">
        <f t="shared" si="19"/>
        <v/>
      </c>
      <c r="M259" s="35" t="str">
        <f>IF(B259="","",IF(E259="KXDDM","KXDDM – không ĐM",IF(E259&lt;&gt;"","Không KT ("&amp;E259&amp;")",IF(OR(K259="",L259=""),"Xem xét",IF(MAX(ABS(K259),ABS(L259))&lt;=ThongTin!$C$12,"OK","Xem xét")))))</f>
        <v/>
      </c>
    </row>
    <row r="260" spans="1:13" x14ac:dyDescent="0.25">
      <c r="A260" s="35" t="str">
        <f t="shared" si="15"/>
        <v/>
      </c>
      <c r="B260" s="35" t="str">
        <f>IF(BOM!A260="","",BOM!A260)</f>
        <v/>
      </c>
      <c r="C260" s="35" t="str">
        <f>IF(B260="","",BOM!B260)</f>
        <v/>
      </c>
      <c r="D260" s="35" t="str">
        <f>IF(B260="","",KT_DMTT_ChiTiet!E260)</f>
        <v/>
      </c>
      <c r="E260" s="36" t="str">
        <f>IF(B260="","",BOM!G260&amp;"")</f>
        <v/>
      </c>
      <c r="F260" s="39" t="str">
        <f>IF(B260="","",BOM!E260)</f>
        <v/>
      </c>
      <c r="G260" s="39" t="str">
        <f>IF(OR(B260="",E260="KXDDM"),"",BOM!F260)</f>
        <v/>
      </c>
      <c r="H260" s="39" t="str">
        <f>IF(OR(B260="",E260&lt;&gt;""),"",IFERROR(INDEX(KT_nguoc_theo_NL!$J$5:$J$304,MATCH(C260,KT_nguoc_theo_NL!$B$5:$B$304,0))/INDEX(KT_nguoc_theo_NL!$K$5:$K$304,MATCH(C260,KT_nguoc_theo_NL!$B$5:$B$304,0)),""))</f>
        <v/>
      </c>
      <c r="I260" s="39" t="str">
        <f t="shared" si="16"/>
        <v/>
      </c>
      <c r="J260" s="46" t="str">
        <f t="shared" si="17"/>
        <v/>
      </c>
      <c r="K260" s="46" t="str">
        <f t="shared" si="18"/>
        <v/>
      </c>
      <c r="L260" s="46" t="str">
        <f t="shared" si="19"/>
        <v/>
      </c>
      <c r="M260" s="35" t="str">
        <f>IF(B260="","",IF(E260="KXDDM","KXDDM – không ĐM",IF(E260&lt;&gt;"","Không KT ("&amp;E260&amp;")",IF(OR(K260="",L260=""),"Xem xét",IF(MAX(ABS(K260),ABS(L260))&lt;=ThongTin!$C$12,"OK","Xem xét")))))</f>
        <v/>
      </c>
    </row>
    <row r="261" spans="1:13" x14ac:dyDescent="0.25">
      <c r="A261" s="35" t="str">
        <f t="shared" ref="A261:A324" si="20">IF(B261="","",ROW()-4)</f>
        <v/>
      </c>
      <c r="B261" s="35" t="str">
        <f>IF(BOM!A261="","",BOM!A261)</f>
        <v/>
      </c>
      <c r="C261" s="35" t="str">
        <f>IF(B261="","",BOM!B261)</f>
        <v/>
      </c>
      <c r="D261" s="35" t="str">
        <f>IF(B261="","",KT_DMTT_ChiTiet!E261)</f>
        <v/>
      </c>
      <c r="E261" s="36" t="str">
        <f>IF(B261="","",BOM!G261&amp;"")</f>
        <v/>
      </c>
      <c r="F261" s="39" t="str">
        <f>IF(B261="","",BOM!E261)</f>
        <v/>
      </c>
      <c r="G261" s="39" t="str">
        <f>IF(OR(B261="",E261="KXDDM"),"",BOM!F261)</f>
        <v/>
      </c>
      <c r="H261" s="39" t="str">
        <f>IF(OR(B261="",E261&lt;&gt;""),"",IFERROR(INDEX(KT_nguoc_theo_NL!$J$5:$J$304,MATCH(C261,KT_nguoc_theo_NL!$B$5:$B$304,0))/INDEX(KT_nguoc_theo_NL!$K$5:$K$304,MATCH(C261,KT_nguoc_theo_NL!$B$5:$B$304,0)),""))</f>
        <v/>
      </c>
      <c r="I261" s="39" t="str">
        <f t="shared" ref="I261:I324" si="21">IF(OR(H261="",G261=""),"",G261*H261)</f>
        <v/>
      </c>
      <c r="J261" s="46" t="str">
        <f t="shared" ref="J261:J324" si="22">IF(OR(I261="",I261=0),"",(G261-I261)/I261)</f>
        <v/>
      </c>
      <c r="K261" s="46" t="str">
        <f t="shared" ref="K261:K324" si="23">IF(OR(G261="",F261="",F261=0),"",(G261-F261)/F261)</f>
        <v/>
      </c>
      <c r="L261" s="46" t="str">
        <f t="shared" ref="L261:L324" si="24">IF(OR(I261="",F261="",F261=0),"",(I261-F261)/F261)</f>
        <v/>
      </c>
      <c r="M261" s="35" t="str">
        <f>IF(B261="","",IF(E261="KXDDM","KXDDM – không ĐM",IF(E261&lt;&gt;"","Không KT ("&amp;E261&amp;")",IF(OR(K261="",L261=""),"Xem xét",IF(MAX(ABS(K261),ABS(L261))&lt;=ThongTin!$C$12,"OK","Xem xét")))))</f>
        <v/>
      </c>
    </row>
    <row r="262" spans="1:13" x14ac:dyDescent="0.25">
      <c r="A262" s="35" t="str">
        <f t="shared" si="20"/>
        <v/>
      </c>
      <c r="B262" s="35" t="str">
        <f>IF(BOM!A262="","",BOM!A262)</f>
        <v/>
      </c>
      <c r="C262" s="35" t="str">
        <f>IF(B262="","",BOM!B262)</f>
        <v/>
      </c>
      <c r="D262" s="35" t="str">
        <f>IF(B262="","",KT_DMTT_ChiTiet!E262)</f>
        <v/>
      </c>
      <c r="E262" s="36" t="str">
        <f>IF(B262="","",BOM!G262&amp;"")</f>
        <v/>
      </c>
      <c r="F262" s="39" t="str">
        <f>IF(B262="","",BOM!E262)</f>
        <v/>
      </c>
      <c r="G262" s="39" t="str">
        <f>IF(OR(B262="",E262="KXDDM"),"",BOM!F262)</f>
        <v/>
      </c>
      <c r="H262" s="39" t="str">
        <f>IF(OR(B262="",E262&lt;&gt;""),"",IFERROR(INDEX(KT_nguoc_theo_NL!$J$5:$J$304,MATCH(C262,KT_nguoc_theo_NL!$B$5:$B$304,0))/INDEX(KT_nguoc_theo_NL!$K$5:$K$304,MATCH(C262,KT_nguoc_theo_NL!$B$5:$B$304,0)),""))</f>
        <v/>
      </c>
      <c r="I262" s="39" t="str">
        <f t="shared" si="21"/>
        <v/>
      </c>
      <c r="J262" s="46" t="str">
        <f t="shared" si="22"/>
        <v/>
      </c>
      <c r="K262" s="46" t="str">
        <f t="shared" si="23"/>
        <v/>
      </c>
      <c r="L262" s="46" t="str">
        <f t="shared" si="24"/>
        <v/>
      </c>
      <c r="M262" s="35" t="str">
        <f>IF(B262="","",IF(E262="KXDDM","KXDDM – không ĐM",IF(E262&lt;&gt;"","Không KT ("&amp;E262&amp;")",IF(OR(K262="",L262=""),"Xem xét",IF(MAX(ABS(K262),ABS(L262))&lt;=ThongTin!$C$12,"OK","Xem xét")))))</f>
        <v/>
      </c>
    </row>
    <row r="263" spans="1:13" x14ac:dyDescent="0.25">
      <c r="A263" s="35" t="str">
        <f t="shared" si="20"/>
        <v/>
      </c>
      <c r="B263" s="35" t="str">
        <f>IF(BOM!A263="","",BOM!A263)</f>
        <v/>
      </c>
      <c r="C263" s="35" t="str">
        <f>IF(B263="","",BOM!B263)</f>
        <v/>
      </c>
      <c r="D263" s="35" t="str">
        <f>IF(B263="","",KT_DMTT_ChiTiet!E263)</f>
        <v/>
      </c>
      <c r="E263" s="36" t="str">
        <f>IF(B263="","",BOM!G263&amp;"")</f>
        <v/>
      </c>
      <c r="F263" s="39" t="str">
        <f>IF(B263="","",BOM!E263)</f>
        <v/>
      </c>
      <c r="G263" s="39" t="str">
        <f>IF(OR(B263="",E263="KXDDM"),"",BOM!F263)</f>
        <v/>
      </c>
      <c r="H263" s="39" t="str">
        <f>IF(OR(B263="",E263&lt;&gt;""),"",IFERROR(INDEX(KT_nguoc_theo_NL!$J$5:$J$304,MATCH(C263,KT_nguoc_theo_NL!$B$5:$B$304,0))/INDEX(KT_nguoc_theo_NL!$K$5:$K$304,MATCH(C263,KT_nguoc_theo_NL!$B$5:$B$304,0)),""))</f>
        <v/>
      </c>
      <c r="I263" s="39" t="str">
        <f t="shared" si="21"/>
        <v/>
      </c>
      <c r="J263" s="46" t="str">
        <f t="shared" si="22"/>
        <v/>
      </c>
      <c r="K263" s="46" t="str">
        <f t="shared" si="23"/>
        <v/>
      </c>
      <c r="L263" s="46" t="str">
        <f t="shared" si="24"/>
        <v/>
      </c>
      <c r="M263" s="35" t="str">
        <f>IF(B263="","",IF(E263="KXDDM","KXDDM – không ĐM",IF(E263&lt;&gt;"","Không KT ("&amp;E263&amp;")",IF(OR(K263="",L263=""),"Xem xét",IF(MAX(ABS(K263),ABS(L263))&lt;=ThongTin!$C$12,"OK","Xem xét")))))</f>
        <v/>
      </c>
    </row>
    <row r="264" spans="1:13" x14ac:dyDescent="0.25">
      <c r="A264" s="35" t="str">
        <f t="shared" si="20"/>
        <v/>
      </c>
      <c r="B264" s="35" t="str">
        <f>IF(BOM!A264="","",BOM!A264)</f>
        <v/>
      </c>
      <c r="C264" s="35" t="str">
        <f>IF(B264="","",BOM!B264)</f>
        <v/>
      </c>
      <c r="D264" s="35" t="str">
        <f>IF(B264="","",KT_DMTT_ChiTiet!E264)</f>
        <v/>
      </c>
      <c r="E264" s="36" t="str">
        <f>IF(B264="","",BOM!G264&amp;"")</f>
        <v/>
      </c>
      <c r="F264" s="39" t="str">
        <f>IF(B264="","",BOM!E264)</f>
        <v/>
      </c>
      <c r="G264" s="39" t="str">
        <f>IF(OR(B264="",E264="KXDDM"),"",BOM!F264)</f>
        <v/>
      </c>
      <c r="H264" s="39" t="str">
        <f>IF(OR(B264="",E264&lt;&gt;""),"",IFERROR(INDEX(KT_nguoc_theo_NL!$J$5:$J$304,MATCH(C264,KT_nguoc_theo_NL!$B$5:$B$304,0))/INDEX(KT_nguoc_theo_NL!$K$5:$K$304,MATCH(C264,KT_nguoc_theo_NL!$B$5:$B$304,0)),""))</f>
        <v/>
      </c>
      <c r="I264" s="39" t="str">
        <f t="shared" si="21"/>
        <v/>
      </c>
      <c r="J264" s="46" t="str">
        <f t="shared" si="22"/>
        <v/>
      </c>
      <c r="K264" s="46" t="str">
        <f t="shared" si="23"/>
        <v/>
      </c>
      <c r="L264" s="46" t="str">
        <f t="shared" si="24"/>
        <v/>
      </c>
      <c r="M264" s="35" t="str">
        <f>IF(B264="","",IF(E264="KXDDM","KXDDM – không ĐM",IF(E264&lt;&gt;"","Không KT ("&amp;E264&amp;")",IF(OR(K264="",L264=""),"Xem xét",IF(MAX(ABS(K264),ABS(L264))&lt;=ThongTin!$C$12,"OK","Xem xét")))))</f>
        <v/>
      </c>
    </row>
    <row r="265" spans="1:13" x14ac:dyDescent="0.25">
      <c r="A265" s="35" t="str">
        <f t="shared" si="20"/>
        <v/>
      </c>
      <c r="B265" s="35" t="str">
        <f>IF(BOM!A265="","",BOM!A265)</f>
        <v/>
      </c>
      <c r="C265" s="35" t="str">
        <f>IF(B265="","",BOM!B265)</f>
        <v/>
      </c>
      <c r="D265" s="35" t="str">
        <f>IF(B265="","",KT_DMTT_ChiTiet!E265)</f>
        <v/>
      </c>
      <c r="E265" s="36" t="str">
        <f>IF(B265="","",BOM!G265&amp;"")</f>
        <v/>
      </c>
      <c r="F265" s="39" t="str">
        <f>IF(B265="","",BOM!E265)</f>
        <v/>
      </c>
      <c r="G265" s="39" t="str">
        <f>IF(OR(B265="",E265="KXDDM"),"",BOM!F265)</f>
        <v/>
      </c>
      <c r="H265" s="39" t="str">
        <f>IF(OR(B265="",E265&lt;&gt;""),"",IFERROR(INDEX(KT_nguoc_theo_NL!$J$5:$J$304,MATCH(C265,KT_nguoc_theo_NL!$B$5:$B$304,0))/INDEX(KT_nguoc_theo_NL!$K$5:$K$304,MATCH(C265,KT_nguoc_theo_NL!$B$5:$B$304,0)),""))</f>
        <v/>
      </c>
      <c r="I265" s="39" t="str">
        <f t="shared" si="21"/>
        <v/>
      </c>
      <c r="J265" s="46" t="str">
        <f t="shared" si="22"/>
        <v/>
      </c>
      <c r="K265" s="46" t="str">
        <f t="shared" si="23"/>
        <v/>
      </c>
      <c r="L265" s="46" t="str">
        <f t="shared" si="24"/>
        <v/>
      </c>
      <c r="M265" s="35" t="str">
        <f>IF(B265="","",IF(E265="KXDDM","KXDDM – không ĐM",IF(E265&lt;&gt;"","Không KT ("&amp;E265&amp;")",IF(OR(K265="",L265=""),"Xem xét",IF(MAX(ABS(K265),ABS(L265))&lt;=ThongTin!$C$12,"OK","Xem xét")))))</f>
        <v/>
      </c>
    </row>
    <row r="266" spans="1:13" x14ac:dyDescent="0.25">
      <c r="A266" s="35" t="str">
        <f t="shared" si="20"/>
        <v/>
      </c>
      <c r="B266" s="35" t="str">
        <f>IF(BOM!A266="","",BOM!A266)</f>
        <v/>
      </c>
      <c r="C266" s="35" t="str">
        <f>IF(B266="","",BOM!B266)</f>
        <v/>
      </c>
      <c r="D266" s="35" t="str">
        <f>IF(B266="","",KT_DMTT_ChiTiet!E266)</f>
        <v/>
      </c>
      <c r="E266" s="36" t="str">
        <f>IF(B266="","",BOM!G266&amp;"")</f>
        <v/>
      </c>
      <c r="F266" s="39" t="str">
        <f>IF(B266="","",BOM!E266)</f>
        <v/>
      </c>
      <c r="G266" s="39" t="str">
        <f>IF(OR(B266="",E266="KXDDM"),"",BOM!F266)</f>
        <v/>
      </c>
      <c r="H266" s="39" t="str">
        <f>IF(OR(B266="",E266&lt;&gt;""),"",IFERROR(INDEX(KT_nguoc_theo_NL!$J$5:$J$304,MATCH(C266,KT_nguoc_theo_NL!$B$5:$B$304,0))/INDEX(KT_nguoc_theo_NL!$K$5:$K$304,MATCH(C266,KT_nguoc_theo_NL!$B$5:$B$304,0)),""))</f>
        <v/>
      </c>
      <c r="I266" s="39" t="str">
        <f t="shared" si="21"/>
        <v/>
      </c>
      <c r="J266" s="46" t="str">
        <f t="shared" si="22"/>
        <v/>
      </c>
      <c r="K266" s="46" t="str">
        <f t="shared" si="23"/>
        <v/>
      </c>
      <c r="L266" s="46" t="str">
        <f t="shared" si="24"/>
        <v/>
      </c>
      <c r="M266" s="35" t="str">
        <f>IF(B266="","",IF(E266="KXDDM","KXDDM – không ĐM",IF(E266&lt;&gt;"","Không KT ("&amp;E266&amp;")",IF(OR(K266="",L266=""),"Xem xét",IF(MAX(ABS(K266),ABS(L266))&lt;=ThongTin!$C$12,"OK","Xem xét")))))</f>
        <v/>
      </c>
    </row>
    <row r="267" spans="1:13" x14ac:dyDescent="0.25">
      <c r="A267" s="35" t="str">
        <f t="shared" si="20"/>
        <v/>
      </c>
      <c r="B267" s="35" t="str">
        <f>IF(BOM!A267="","",BOM!A267)</f>
        <v/>
      </c>
      <c r="C267" s="35" t="str">
        <f>IF(B267="","",BOM!B267)</f>
        <v/>
      </c>
      <c r="D267" s="35" t="str">
        <f>IF(B267="","",KT_DMTT_ChiTiet!E267)</f>
        <v/>
      </c>
      <c r="E267" s="36" t="str">
        <f>IF(B267="","",BOM!G267&amp;"")</f>
        <v/>
      </c>
      <c r="F267" s="39" t="str">
        <f>IF(B267="","",BOM!E267)</f>
        <v/>
      </c>
      <c r="G267" s="39" t="str">
        <f>IF(OR(B267="",E267="KXDDM"),"",BOM!F267)</f>
        <v/>
      </c>
      <c r="H267" s="39" t="str">
        <f>IF(OR(B267="",E267&lt;&gt;""),"",IFERROR(INDEX(KT_nguoc_theo_NL!$J$5:$J$304,MATCH(C267,KT_nguoc_theo_NL!$B$5:$B$304,0))/INDEX(KT_nguoc_theo_NL!$K$5:$K$304,MATCH(C267,KT_nguoc_theo_NL!$B$5:$B$304,0)),""))</f>
        <v/>
      </c>
      <c r="I267" s="39" t="str">
        <f t="shared" si="21"/>
        <v/>
      </c>
      <c r="J267" s="46" t="str">
        <f t="shared" si="22"/>
        <v/>
      </c>
      <c r="K267" s="46" t="str">
        <f t="shared" si="23"/>
        <v/>
      </c>
      <c r="L267" s="46" t="str">
        <f t="shared" si="24"/>
        <v/>
      </c>
      <c r="M267" s="35" t="str">
        <f>IF(B267="","",IF(E267="KXDDM","KXDDM – không ĐM",IF(E267&lt;&gt;"","Không KT ("&amp;E267&amp;")",IF(OR(K267="",L267=""),"Xem xét",IF(MAX(ABS(K267),ABS(L267))&lt;=ThongTin!$C$12,"OK","Xem xét")))))</f>
        <v/>
      </c>
    </row>
    <row r="268" spans="1:13" x14ac:dyDescent="0.25">
      <c r="A268" s="35" t="str">
        <f t="shared" si="20"/>
        <v/>
      </c>
      <c r="B268" s="35" t="str">
        <f>IF(BOM!A268="","",BOM!A268)</f>
        <v/>
      </c>
      <c r="C268" s="35" t="str">
        <f>IF(B268="","",BOM!B268)</f>
        <v/>
      </c>
      <c r="D268" s="35" t="str">
        <f>IF(B268="","",KT_DMTT_ChiTiet!E268)</f>
        <v/>
      </c>
      <c r="E268" s="36" t="str">
        <f>IF(B268="","",BOM!G268&amp;"")</f>
        <v/>
      </c>
      <c r="F268" s="39" t="str">
        <f>IF(B268="","",BOM!E268)</f>
        <v/>
      </c>
      <c r="G268" s="39" t="str">
        <f>IF(OR(B268="",E268="KXDDM"),"",BOM!F268)</f>
        <v/>
      </c>
      <c r="H268" s="39" t="str">
        <f>IF(OR(B268="",E268&lt;&gt;""),"",IFERROR(INDEX(KT_nguoc_theo_NL!$J$5:$J$304,MATCH(C268,KT_nguoc_theo_NL!$B$5:$B$304,0))/INDEX(KT_nguoc_theo_NL!$K$5:$K$304,MATCH(C268,KT_nguoc_theo_NL!$B$5:$B$304,0)),""))</f>
        <v/>
      </c>
      <c r="I268" s="39" t="str">
        <f t="shared" si="21"/>
        <v/>
      </c>
      <c r="J268" s="46" t="str">
        <f t="shared" si="22"/>
        <v/>
      </c>
      <c r="K268" s="46" t="str">
        <f t="shared" si="23"/>
        <v/>
      </c>
      <c r="L268" s="46" t="str">
        <f t="shared" si="24"/>
        <v/>
      </c>
      <c r="M268" s="35" t="str">
        <f>IF(B268="","",IF(E268="KXDDM","KXDDM – không ĐM",IF(E268&lt;&gt;"","Không KT ("&amp;E268&amp;")",IF(OR(K268="",L268=""),"Xem xét",IF(MAX(ABS(K268),ABS(L268))&lt;=ThongTin!$C$12,"OK","Xem xét")))))</f>
        <v/>
      </c>
    </row>
    <row r="269" spans="1:13" x14ac:dyDescent="0.25">
      <c r="A269" s="35" t="str">
        <f t="shared" si="20"/>
        <v/>
      </c>
      <c r="B269" s="35" t="str">
        <f>IF(BOM!A269="","",BOM!A269)</f>
        <v/>
      </c>
      <c r="C269" s="35" t="str">
        <f>IF(B269="","",BOM!B269)</f>
        <v/>
      </c>
      <c r="D269" s="35" t="str">
        <f>IF(B269="","",KT_DMTT_ChiTiet!E269)</f>
        <v/>
      </c>
      <c r="E269" s="36" t="str">
        <f>IF(B269="","",BOM!G269&amp;"")</f>
        <v/>
      </c>
      <c r="F269" s="39" t="str">
        <f>IF(B269="","",BOM!E269)</f>
        <v/>
      </c>
      <c r="G269" s="39" t="str">
        <f>IF(OR(B269="",E269="KXDDM"),"",BOM!F269)</f>
        <v/>
      </c>
      <c r="H269" s="39" t="str">
        <f>IF(OR(B269="",E269&lt;&gt;""),"",IFERROR(INDEX(KT_nguoc_theo_NL!$J$5:$J$304,MATCH(C269,KT_nguoc_theo_NL!$B$5:$B$304,0))/INDEX(KT_nguoc_theo_NL!$K$5:$K$304,MATCH(C269,KT_nguoc_theo_NL!$B$5:$B$304,0)),""))</f>
        <v/>
      </c>
      <c r="I269" s="39" t="str">
        <f t="shared" si="21"/>
        <v/>
      </c>
      <c r="J269" s="46" t="str">
        <f t="shared" si="22"/>
        <v/>
      </c>
      <c r="K269" s="46" t="str">
        <f t="shared" si="23"/>
        <v/>
      </c>
      <c r="L269" s="46" t="str">
        <f t="shared" si="24"/>
        <v/>
      </c>
      <c r="M269" s="35" t="str">
        <f>IF(B269="","",IF(E269="KXDDM","KXDDM – không ĐM",IF(E269&lt;&gt;"","Không KT ("&amp;E269&amp;")",IF(OR(K269="",L269=""),"Xem xét",IF(MAX(ABS(K269),ABS(L269))&lt;=ThongTin!$C$12,"OK","Xem xét")))))</f>
        <v/>
      </c>
    </row>
    <row r="270" spans="1:13" x14ac:dyDescent="0.25">
      <c r="A270" s="35" t="str">
        <f t="shared" si="20"/>
        <v/>
      </c>
      <c r="B270" s="35" t="str">
        <f>IF(BOM!A270="","",BOM!A270)</f>
        <v/>
      </c>
      <c r="C270" s="35" t="str">
        <f>IF(B270="","",BOM!B270)</f>
        <v/>
      </c>
      <c r="D270" s="35" t="str">
        <f>IF(B270="","",KT_DMTT_ChiTiet!E270)</f>
        <v/>
      </c>
      <c r="E270" s="36" t="str">
        <f>IF(B270="","",BOM!G270&amp;"")</f>
        <v/>
      </c>
      <c r="F270" s="39" t="str">
        <f>IF(B270="","",BOM!E270)</f>
        <v/>
      </c>
      <c r="G270" s="39" t="str">
        <f>IF(OR(B270="",E270="KXDDM"),"",BOM!F270)</f>
        <v/>
      </c>
      <c r="H270" s="39" t="str">
        <f>IF(OR(B270="",E270&lt;&gt;""),"",IFERROR(INDEX(KT_nguoc_theo_NL!$J$5:$J$304,MATCH(C270,KT_nguoc_theo_NL!$B$5:$B$304,0))/INDEX(KT_nguoc_theo_NL!$K$5:$K$304,MATCH(C270,KT_nguoc_theo_NL!$B$5:$B$304,0)),""))</f>
        <v/>
      </c>
      <c r="I270" s="39" t="str">
        <f t="shared" si="21"/>
        <v/>
      </c>
      <c r="J270" s="46" t="str">
        <f t="shared" si="22"/>
        <v/>
      </c>
      <c r="K270" s="46" t="str">
        <f t="shared" si="23"/>
        <v/>
      </c>
      <c r="L270" s="46" t="str">
        <f t="shared" si="24"/>
        <v/>
      </c>
      <c r="M270" s="35" t="str">
        <f>IF(B270="","",IF(E270="KXDDM","KXDDM – không ĐM",IF(E270&lt;&gt;"","Không KT ("&amp;E270&amp;")",IF(OR(K270="",L270=""),"Xem xét",IF(MAX(ABS(K270),ABS(L270))&lt;=ThongTin!$C$12,"OK","Xem xét")))))</f>
        <v/>
      </c>
    </row>
    <row r="271" spans="1:13" x14ac:dyDescent="0.25">
      <c r="A271" s="35" t="str">
        <f t="shared" si="20"/>
        <v/>
      </c>
      <c r="B271" s="35" t="str">
        <f>IF(BOM!A271="","",BOM!A271)</f>
        <v/>
      </c>
      <c r="C271" s="35" t="str">
        <f>IF(B271="","",BOM!B271)</f>
        <v/>
      </c>
      <c r="D271" s="35" t="str">
        <f>IF(B271="","",KT_DMTT_ChiTiet!E271)</f>
        <v/>
      </c>
      <c r="E271" s="36" t="str">
        <f>IF(B271="","",BOM!G271&amp;"")</f>
        <v/>
      </c>
      <c r="F271" s="39" t="str">
        <f>IF(B271="","",BOM!E271)</f>
        <v/>
      </c>
      <c r="G271" s="39" t="str">
        <f>IF(OR(B271="",E271="KXDDM"),"",BOM!F271)</f>
        <v/>
      </c>
      <c r="H271" s="39" t="str">
        <f>IF(OR(B271="",E271&lt;&gt;""),"",IFERROR(INDEX(KT_nguoc_theo_NL!$J$5:$J$304,MATCH(C271,KT_nguoc_theo_NL!$B$5:$B$304,0))/INDEX(KT_nguoc_theo_NL!$K$5:$K$304,MATCH(C271,KT_nguoc_theo_NL!$B$5:$B$304,0)),""))</f>
        <v/>
      </c>
      <c r="I271" s="39" t="str">
        <f t="shared" si="21"/>
        <v/>
      </c>
      <c r="J271" s="46" t="str">
        <f t="shared" si="22"/>
        <v/>
      </c>
      <c r="K271" s="46" t="str">
        <f t="shared" si="23"/>
        <v/>
      </c>
      <c r="L271" s="46" t="str">
        <f t="shared" si="24"/>
        <v/>
      </c>
      <c r="M271" s="35" t="str">
        <f>IF(B271="","",IF(E271="KXDDM","KXDDM – không ĐM",IF(E271&lt;&gt;"","Không KT ("&amp;E271&amp;")",IF(OR(K271="",L271=""),"Xem xét",IF(MAX(ABS(K271),ABS(L271))&lt;=ThongTin!$C$12,"OK","Xem xét")))))</f>
        <v/>
      </c>
    </row>
    <row r="272" spans="1:13" x14ac:dyDescent="0.25">
      <c r="A272" s="35" t="str">
        <f t="shared" si="20"/>
        <v/>
      </c>
      <c r="B272" s="35" t="str">
        <f>IF(BOM!A272="","",BOM!A272)</f>
        <v/>
      </c>
      <c r="C272" s="35" t="str">
        <f>IF(B272="","",BOM!B272)</f>
        <v/>
      </c>
      <c r="D272" s="35" t="str">
        <f>IF(B272="","",KT_DMTT_ChiTiet!E272)</f>
        <v/>
      </c>
      <c r="E272" s="36" t="str">
        <f>IF(B272="","",BOM!G272&amp;"")</f>
        <v/>
      </c>
      <c r="F272" s="39" t="str">
        <f>IF(B272="","",BOM!E272)</f>
        <v/>
      </c>
      <c r="G272" s="39" t="str">
        <f>IF(OR(B272="",E272="KXDDM"),"",BOM!F272)</f>
        <v/>
      </c>
      <c r="H272" s="39" t="str">
        <f>IF(OR(B272="",E272&lt;&gt;""),"",IFERROR(INDEX(KT_nguoc_theo_NL!$J$5:$J$304,MATCH(C272,KT_nguoc_theo_NL!$B$5:$B$304,0))/INDEX(KT_nguoc_theo_NL!$K$5:$K$304,MATCH(C272,KT_nguoc_theo_NL!$B$5:$B$304,0)),""))</f>
        <v/>
      </c>
      <c r="I272" s="39" t="str">
        <f t="shared" si="21"/>
        <v/>
      </c>
      <c r="J272" s="46" t="str">
        <f t="shared" si="22"/>
        <v/>
      </c>
      <c r="K272" s="46" t="str">
        <f t="shared" si="23"/>
        <v/>
      </c>
      <c r="L272" s="46" t="str">
        <f t="shared" si="24"/>
        <v/>
      </c>
      <c r="M272" s="35" t="str">
        <f>IF(B272="","",IF(E272="KXDDM","KXDDM – không ĐM",IF(E272&lt;&gt;"","Không KT ("&amp;E272&amp;")",IF(OR(K272="",L272=""),"Xem xét",IF(MAX(ABS(K272),ABS(L272))&lt;=ThongTin!$C$12,"OK","Xem xét")))))</f>
        <v/>
      </c>
    </row>
    <row r="273" spans="1:13" x14ac:dyDescent="0.25">
      <c r="A273" s="35" t="str">
        <f t="shared" si="20"/>
        <v/>
      </c>
      <c r="B273" s="35" t="str">
        <f>IF(BOM!A273="","",BOM!A273)</f>
        <v/>
      </c>
      <c r="C273" s="35" t="str">
        <f>IF(B273="","",BOM!B273)</f>
        <v/>
      </c>
      <c r="D273" s="35" t="str">
        <f>IF(B273="","",KT_DMTT_ChiTiet!E273)</f>
        <v/>
      </c>
      <c r="E273" s="36" t="str">
        <f>IF(B273="","",BOM!G273&amp;"")</f>
        <v/>
      </c>
      <c r="F273" s="39" t="str">
        <f>IF(B273="","",BOM!E273)</f>
        <v/>
      </c>
      <c r="G273" s="39" t="str">
        <f>IF(OR(B273="",E273="KXDDM"),"",BOM!F273)</f>
        <v/>
      </c>
      <c r="H273" s="39" t="str">
        <f>IF(OR(B273="",E273&lt;&gt;""),"",IFERROR(INDEX(KT_nguoc_theo_NL!$J$5:$J$304,MATCH(C273,KT_nguoc_theo_NL!$B$5:$B$304,0))/INDEX(KT_nguoc_theo_NL!$K$5:$K$304,MATCH(C273,KT_nguoc_theo_NL!$B$5:$B$304,0)),""))</f>
        <v/>
      </c>
      <c r="I273" s="39" t="str">
        <f t="shared" si="21"/>
        <v/>
      </c>
      <c r="J273" s="46" t="str">
        <f t="shared" si="22"/>
        <v/>
      </c>
      <c r="K273" s="46" t="str">
        <f t="shared" si="23"/>
        <v/>
      </c>
      <c r="L273" s="46" t="str">
        <f t="shared" si="24"/>
        <v/>
      </c>
      <c r="M273" s="35" t="str">
        <f>IF(B273="","",IF(E273="KXDDM","KXDDM – không ĐM",IF(E273&lt;&gt;"","Không KT ("&amp;E273&amp;")",IF(OR(K273="",L273=""),"Xem xét",IF(MAX(ABS(K273),ABS(L273))&lt;=ThongTin!$C$12,"OK","Xem xét")))))</f>
        <v/>
      </c>
    </row>
    <row r="274" spans="1:13" x14ac:dyDescent="0.25">
      <c r="A274" s="35" t="str">
        <f t="shared" si="20"/>
        <v/>
      </c>
      <c r="B274" s="35" t="str">
        <f>IF(BOM!A274="","",BOM!A274)</f>
        <v/>
      </c>
      <c r="C274" s="35" t="str">
        <f>IF(B274="","",BOM!B274)</f>
        <v/>
      </c>
      <c r="D274" s="35" t="str">
        <f>IF(B274="","",KT_DMTT_ChiTiet!E274)</f>
        <v/>
      </c>
      <c r="E274" s="36" t="str">
        <f>IF(B274="","",BOM!G274&amp;"")</f>
        <v/>
      </c>
      <c r="F274" s="39" t="str">
        <f>IF(B274="","",BOM!E274)</f>
        <v/>
      </c>
      <c r="G274" s="39" t="str">
        <f>IF(OR(B274="",E274="KXDDM"),"",BOM!F274)</f>
        <v/>
      </c>
      <c r="H274" s="39" t="str">
        <f>IF(OR(B274="",E274&lt;&gt;""),"",IFERROR(INDEX(KT_nguoc_theo_NL!$J$5:$J$304,MATCH(C274,KT_nguoc_theo_NL!$B$5:$B$304,0))/INDEX(KT_nguoc_theo_NL!$K$5:$K$304,MATCH(C274,KT_nguoc_theo_NL!$B$5:$B$304,0)),""))</f>
        <v/>
      </c>
      <c r="I274" s="39" t="str">
        <f t="shared" si="21"/>
        <v/>
      </c>
      <c r="J274" s="46" t="str">
        <f t="shared" si="22"/>
        <v/>
      </c>
      <c r="K274" s="46" t="str">
        <f t="shared" si="23"/>
        <v/>
      </c>
      <c r="L274" s="46" t="str">
        <f t="shared" si="24"/>
        <v/>
      </c>
      <c r="M274" s="35" t="str">
        <f>IF(B274="","",IF(E274="KXDDM","KXDDM – không ĐM",IF(E274&lt;&gt;"","Không KT ("&amp;E274&amp;")",IF(OR(K274="",L274=""),"Xem xét",IF(MAX(ABS(K274),ABS(L274))&lt;=ThongTin!$C$12,"OK","Xem xét")))))</f>
        <v/>
      </c>
    </row>
    <row r="275" spans="1:13" x14ac:dyDescent="0.25">
      <c r="A275" s="35" t="str">
        <f t="shared" si="20"/>
        <v/>
      </c>
      <c r="B275" s="35" t="str">
        <f>IF(BOM!A275="","",BOM!A275)</f>
        <v/>
      </c>
      <c r="C275" s="35" t="str">
        <f>IF(B275="","",BOM!B275)</f>
        <v/>
      </c>
      <c r="D275" s="35" t="str">
        <f>IF(B275="","",KT_DMTT_ChiTiet!E275)</f>
        <v/>
      </c>
      <c r="E275" s="36" t="str">
        <f>IF(B275="","",BOM!G275&amp;"")</f>
        <v/>
      </c>
      <c r="F275" s="39" t="str">
        <f>IF(B275="","",BOM!E275)</f>
        <v/>
      </c>
      <c r="G275" s="39" t="str">
        <f>IF(OR(B275="",E275="KXDDM"),"",BOM!F275)</f>
        <v/>
      </c>
      <c r="H275" s="39" t="str">
        <f>IF(OR(B275="",E275&lt;&gt;""),"",IFERROR(INDEX(KT_nguoc_theo_NL!$J$5:$J$304,MATCH(C275,KT_nguoc_theo_NL!$B$5:$B$304,0))/INDEX(KT_nguoc_theo_NL!$K$5:$K$304,MATCH(C275,KT_nguoc_theo_NL!$B$5:$B$304,0)),""))</f>
        <v/>
      </c>
      <c r="I275" s="39" t="str">
        <f t="shared" si="21"/>
        <v/>
      </c>
      <c r="J275" s="46" t="str">
        <f t="shared" si="22"/>
        <v/>
      </c>
      <c r="K275" s="46" t="str">
        <f t="shared" si="23"/>
        <v/>
      </c>
      <c r="L275" s="46" t="str">
        <f t="shared" si="24"/>
        <v/>
      </c>
      <c r="M275" s="35" t="str">
        <f>IF(B275="","",IF(E275="KXDDM","KXDDM – không ĐM",IF(E275&lt;&gt;"","Không KT ("&amp;E275&amp;")",IF(OR(K275="",L275=""),"Xem xét",IF(MAX(ABS(K275),ABS(L275))&lt;=ThongTin!$C$12,"OK","Xem xét")))))</f>
        <v/>
      </c>
    </row>
    <row r="276" spans="1:13" x14ac:dyDescent="0.25">
      <c r="A276" s="35" t="str">
        <f t="shared" si="20"/>
        <v/>
      </c>
      <c r="B276" s="35" t="str">
        <f>IF(BOM!A276="","",BOM!A276)</f>
        <v/>
      </c>
      <c r="C276" s="35" t="str">
        <f>IF(B276="","",BOM!B276)</f>
        <v/>
      </c>
      <c r="D276" s="35" t="str">
        <f>IF(B276="","",KT_DMTT_ChiTiet!E276)</f>
        <v/>
      </c>
      <c r="E276" s="36" t="str">
        <f>IF(B276="","",BOM!G276&amp;"")</f>
        <v/>
      </c>
      <c r="F276" s="39" t="str">
        <f>IF(B276="","",BOM!E276)</f>
        <v/>
      </c>
      <c r="G276" s="39" t="str">
        <f>IF(OR(B276="",E276="KXDDM"),"",BOM!F276)</f>
        <v/>
      </c>
      <c r="H276" s="39" t="str">
        <f>IF(OR(B276="",E276&lt;&gt;""),"",IFERROR(INDEX(KT_nguoc_theo_NL!$J$5:$J$304,MATCH(C276,KT_nguoc_theo_NL!$B$5:$B$304,0))/INDEX(KT_nguoc_theo_NL!$K$5:$K$304,MATCH(C276,KT_nguoc_theo_NL!$B$5:$B$304,0)),""))</f>
        <v/>
      </c>
      <c r="I276" s="39" t="str">
        <f t="shared" si="21"/>
        <v/>
      </c>
      <c r="J276" s="46" t="str">
        <f t="shared" si="22"/>
        <v/>
      </c>
      <c r="K276" s="46" t="str">
        <f t="shared" si="23"/>
        <v/>
      </c>
      <c r="L276" s="46" t="str">
        <f t="shared" si="24"/>
        <v/>
      </c>
      <c r="M276" s="35" t="str">
        <f>IF(B276="","",IF(E276="KXDDM","KXDDM – không ĐM",IF(E276&lt;&gt;"","Không KT ("&amp;E276&amp;")",IF(OR(K276="",L276=""),"Xem xét",IF(MAX(ABS(K276),ABS(L276))&lt;=ThongTin!$C$12,"OK","Xem xét")))))</f>
        <v/>
      </c>
    </row>
    <row r="277" spans="1:13" x14ac:dyDescent="0.25">
      <c r="A277" s="35" t="str">
        <f t="shared" si="20"/>
        <v/>
      </c>
      <c r="B277" s="35" t="str">
        <f>IF(BOM!A277="","",BOM!A277)</f>
        <v/>
      </c>
      <c r="C277" s="35" t="str">
        <f>IF(B277="","",BOM!B277)</f>
        <v/>
      </c>
      <c r="D277" s="35" t="str">
        <f>IF(B277="","",KT_DMTT_ChiTiet!E277)</f>
        <v/>
      </c>
      <c r="E277" s="36" t="str">
        <f>IF(B277="","",BOM!G277&amp;"")</f>
        <v/>
      </c>
      <c r="F277" s="39" t="str">
        <f>IF(B277="","",BOM!E277)</f>
        <v/>
      </c>
      <c r="G277" s="39" t="str">
        <f>IF(OR(B277="",E277="KXDDM"),"",BOM!F277)</f>
        <v/>
      </c>
      <c r="H277" s="39" t="str">
        <f>IF(OR(B277="",E277&lt;&gt;""),"",IFERROR(INDEX(KT_nguoc_theo_NL!$J$5:$J$304,MATCH(C277,KT_nguoc_theo_NL!$B$5:$B$304,0))/INDEX(KT_nguoc_theo_NL!$K$5:$K$304,MATCH(C277,KT_nguoc_theo_NL!$B$5:$B$304,0)),""))</f>
        <v/>
      </c>
      <c r="I277" s="39" t="str">
        <f t="shared" si="21"/>
        <v/>
      </c>
      <c r="J277" s="46" t="str">
        <f t="shared" si="22"/>
        <v/>
      </c>
      <c r="K277" s="46" t="str">
        <f t="shared" si="23"/>
        <v/>
      </c>
      <c r="L277" s="46" t="str">
        <f t="shared" si="24"/>
        <v/>
      </c>
      <c r="M277" s="35" t="str">
        <f>IF(B277="","",IF(E277="KXDDM","KXDDM – không ĐM",IF(E277&lt;&gt;"","Không KT ("&amp;E277&amp;")",IF(OR(K277="",L277=""),"Xem xét",IF(MAX(ABS(K277),ABS(L277))&lt;=ThongTin!$C$12,"OK","Xem xét")))))</f>
        <v/>
      </c>
    </row>
    <row r="278" spans="1:13" x14ac:dyDescent="0.25">
      <c r="A278" s="35" t="str">
        <f t="shared" si="20"/>
        <v/>
      </c>
      <c r="B278" s="35" t="str">
        <f>IF(BOM!A278="","",BOM!A278)</f>
        <v/>
      </c>
      <c r="C278" s="35" t="str">
        <f>IF(B278="","",BOM!B278)</f>
        <v/>
      </c>
      <c r="D278" s="35" t="str">
        <f>IF(B278="","",KT_DMTT_ChiTiet!E278)</f>
        <v/>
      </c>
      <c r="E278" s="36" t="str">
        <f>IF(B278="","",BOM!G278&amp;"")</f>
        <v/>
      </c>
      <c r="F278" s="39" t="str">
        <f>IF(B278="","",BOM!E278)</f>
        <v/>
      </c>
      <c r="G278" s="39" t="str">
        <f>IF(OR(B278="",E278="KXDDM"),"",BOM!F278)</f>
        <v/>
      </c>
      <c r="H278" s="39" t="str">
        <f>IF(OR(B278="",E278&lt;&gt;""),"",IFERROR(INDEX(KT_nguoc_theo_NL!$J$5:$J$304,MATCH(C278,KT_nguoc_theo_NL!$B$5:$B$304,0))/INDEX(KT_nguoc_theo_NL!$K$5:$K$304,MATCH(C278,KT_nguoc_theo_NL!$B$5:$B$304,0)),""))</f>
        <v/>
      </c>
      <c r="I278" s="39" t="str">
        <f t="shared" si="21"/>
        <v/>
      </c>
      <c r="J278" s="46" t="str">
        <f t="shared" si="22"/>
        <v/>
      </c>
      <c r="K278" s="46" t="str">
        <f t="shared" si="23"/>
        <v/>
      </c>
      <c r="L278" s="46" t="str">
        <f t="shared" si="24"/>
        <v/>
      </c>
      <c r="M278" s="35" t="str">
        <f>IF(B278="","",IF(E278="KXDDM","KXDDM – không ĐM",IF(E278&lt;&gt;"","Không KT ("&amp;E278&amp;")",IF(OR(K278="",L278=""),"Xem xét",IF(MAX(ABS(K278),ABS(L278))&lt;=ThongTin!$C$12,"OK","Xem xét")))))</f>
        <v/>
      </c>
    </row>
    <row r="279" spans="1:13" x14ac:dyDescent="0.25">
      <c r="A279" s="35" t="str">
        <f t="shared" si="20"/>
        <v/>
      </c>
      <c r="B279" s="35" t="str">
        <f>IF(BOM!A279="","",BOM!A279)</f>
        <v/>
      </c>
      <c r="C279" s="35" t="str">
        <f>IF(B279="","",BOM!B279)</f>
        <v/>
      </c>
      <c r="D279" s="35" t="str">
        <f>IF(B279="","",KT_DMTT_ChiTiet!E279)</f>
        <v/>
      </c>
      <c r="E279" s="36" t="str">
        <f>IF(B279="","",BOM!G279&amp;"")</f>
        <v/>
      </c>
      <c r="F279" s="39" t="str">
        <f>IF(B279="","",BOM!E279)</f>
        <v/>
      </c>
      <c r="G279" s="39" t="str">
        <f>IF(OR(B279="",E279="KXDDM"),"",BOM!F279)</f>
        <v/>
      </c>
      <c r="H279" s="39" t="str">
        <f>IF(OR(B279="",E279&lt;&gt;""),"",IFERROR(INDEX(KT_nguoc_theo_NL!$J$5:$J$304,MATCH(C279,KT_nguoc_theo_NL!$B$5:$B$304,0))/INDEX(KT_nguoc_theo_NL!$K$5:$K$304,MATCH(C279,KT_nguoc_theo_NL!$B$5:$B$304,0)),""))</f>
        <v/>
      </c>
      <c r="I279" s="39" t="str">
        <f t="shared" si="21"/>
        <v/>
      </c>
      <c r="J279" s="46" t="str">
        <f t="shared" si="22"/>
        <v/>
      </c>
      <c r="K279" s="46" t="str">
        <f t="shared" si="23"/>
        <v/>
      </c>
      <c r="L279" s="46" t="str">
        <f t="shared" si="24"/>
        <v/>
      </c>
      <c r="M279" s="35" t="str">
        <f>IF(B279="","",IF(E279="KXDDM","KXDDM – không ĐM",IF(E279&lt;&gt;"","Không KT ("&amp;E279&amp;")",IF(OR(K279="",L279=""),"Xem xét",IF(MAX(ABS(K279),ABS(L279))&lt;=ThongTin!$C$12,"OK","Xem xét")))))</f>
        <v/>
      </c>
    </row>
    <row r="280" spans="1:13" x14ac:dyDescent="0.25">
      <c r="A280" s="35" t="str">
        <f t="shared" si="20"/>
        <v/>
      </c>
      <c r="B280" s="35" t="str">
        <f>IF(BOM!A280="","",BOM!A280)</f>
        <v/>
      </c>
      <c r="C280" s="35" t="str">
        <f>IF(B280="","",BOM!B280)</f>
        <v/>
      </c>
      <c r="D280" s="35" t="str">
        <f>IF(B280="","",KT_DMTT_ChiTiet!E280)</f>
        <v/>
      </c>
      <c r="E280" s="36" t="str">
        <f>IF(B280="","",BOM!G280&amp;"")</f>
        <v/>
      </c>
      <c r="F280" s="39" t="str">
        <f>IF(B280="","",BOM!E280)</f>
        <v/>
      </c>
      <c r="G280" s="39" t="str">
        <f>IF(OR(B280="",E280="KXDDM"),"",BOM!F280)</f>
        <v/>
      </c>
      <c r="H280" s="39" t="str">
        <f>IF(OR(B280="",E280&lt;&gt;""),"",IFERROR(INDEX(KT_nguoc_theo_NL!$J$5:$J$304,MATCH(C280,KT_nguoc_theo_NL!$B$5:$B$304,0))/INDEX(KT_nguoc_theo_NL!$K$5:$K$304,MATCH(C280,KT_nguoc_theo_NL!$B$5:$B$304,0)),""))</f>
        <v/>
      </c>
      <c r="I280" s="39" t="str">
        <f t="shared" si="21"/>
        <v/>
      </c>
      <c r="J280" s="46" t="str">
        <f t="shared" si="22"/>
        <v/>
      </c>
      <c r="K280" s="46" t="str">
        <f t="shared" si="23"/>
        <v/>
      </c>
      <c r="L280" s="46" t="str">
        <f t="shared" si="24"/>
        <v/>
      </c>
      <c r="M280" s="35" t="str">
        <f>IF(B280="","",IF(E280="KXDDM","KXDDM – không ĐM",IF(E280&lt;&gt;"","Không KT ("&amp;E280&amp;")",IF(OR(K280="",L280=""),"Xem xét",IF(MAX(ABS(K280),ABS(L280))&lt;=ThongTin!$C$12,"OK","Xem xét")))))</f>
        <v/>
      </c>
    </row>
    <row r="281" spans="1:13" x14ac:dyDescent="0.25">
      <c r="A281" s="35" t="str">
        <f t="shared" si="20"/>
        <v/>
      </c>
      <c r="B281" s="35" t="str">
        <f>IF(BOM!A281="","",BOM!A281)</f>
        <v/>
      </c>
      <c r="C281" s="35" t="str">
        <f>IF(B281="","",BOM!B281)</f>
        <v/>
      </c>
      <c r="D281" s="35" t="str">
        <f>IF(B281="","",KT_DMTT_ChiTiet!E281)</f>
        <v/>
      </c>
      <c r="E281" s="36" t="str">
        <f>IF(B281="","",BOM!G281&amp;"")</f>
        <v/>
      </c>
      <c r="F281" s="39" t="str">
        <f>IF(B281="","",BOM!E281)</f>
        <v/>
      </c>
      <c r="G281" s="39" t="str">
        <f>IF(OR(B281="",E281="KXDDM"),"",BOM!F281)</f>
        <v/>
      </c>
      <c r="H281" s="39" t="str">
        <f>IF(OR(B281="",E281&lt;&gt;""),"",IFERROR(INDEX(KT_nguoc_theo_NL!$J$5:$J$304,MATCH(C281,KT_nguoc_theo_NL!$B$5:$B$304,0))/INDEX(KT_nguoc_theo_NL!$K$5:$K$304,MATCH(C281,KT_nguoc_theo_NL!$B$5:$B$304,0)),""))</f>
        <v/>
      </c>
      <c r="I281" s="39" t="str">
        <f t="shared" si="21"/>
        <v/>
      </c>
      <c r="J281" s="46" t="str">
        <f t="shared" si="22"/>
        <v/>
      </c>
      <c r="K281" s="46" t="str">
        <f t="shared" si="23"/>
        <v/>
      </c>
      <c r="L281" s="46" t="str">
        <f t="shared" si="24"/>
        <v/>
      </c>
      <c r="M281" s="35" t="str">
        <f>IF(B281="","",IF(E281="KXDDM","KXDDM – không ĐM",IF(E281&lt;&gt;"","Không KT ("&amp;E281&amp;")",IF(OR(K281="",L281=""),"Xem xét",IF(MAX(ABS(K281),ABS(L281))&lt;=ThongTin!$C$12,"OK","Xem xét")))))</f>
        <v/>
      </c>
    </row>
    <row r="282" spans="1:13" x14ac:dyDescent="0.25">
      <c r="A282" s="35" t="str">
        <f t="shared" si="20"/>
        <v/>
      </c>
      <c r="B282" s="35" t="str">
        <f>IF(BOM!A282="","",BOM!A282)</f>
        <v/>
      </c>
      <c r="C282" s="35" t="str">
        <f>IF(B282="","",BOM!B282)</f>
        <v/>
      </c>
      <c r="D282" s="35" t="str">
        <f>IF(B282="","",KT_DMTT_ChiTiet!E282)</f>
        <v/>
      </c>
      <c r="E282" s="36" t="str">
        <f>IF(B282="","",BOM!G282&amp;"")</f>
        <v/>
      </c>
      <c r="F282" s="39" t="str">
        <f>IF(B282="","",BOM!E282)</f>
        <v/>
      </c>
      <c r="G282" s="39" t="str">
        <f>IF(OR(B282="",E282="KXDDM"),"",BOM!F282)</f>
        <v/>
      </c>
      <c r="H282" s="39" t="str">
        <f>IF(OR(B282="",E282&lt;&gt;""),"",IFERROR(INDEX(KT_nguoc_theo_NL!$J$5:$J$304,MATCH(C282,KT_nguoc_theo_NL!$B$5:$B$304,0))/INDEX(KT_nguoc_theo_NL!$K$5:$K$304,MATCH(C282,KT_nguoc_theo_NL!$B$5:$B$304,0)),""))</f>
        <v/>
      </c>
      <c r="I282" s="39" t="str">
        <f t="shared" si="21"/>
        <v/>
      </c>
      <c r="J282" s="46" t="str">
        <f t="shared" si="22"/>
        <v/>
      </c>
      <c r="K282" s="46" t="str">
        <f t="shared" si="23"/>
        <v/>
      </c>
      <c r="L282" s="46" t="str">
        <f t="shared" si="24"/>
        <v/>
      </c>
      <c r="M282" s="35" t="str">
        <f>IF(B282="","",IF(E282="KXDDM","KXDDM – không ĐM",IF(E282&lt;&gt;"","Không KT ("&amp;E282&amp;")",IF(OR(K282="",L282=""),"Xem xét",IF(MAX(ABS(K282),ABS(L282))&lt;=ThongTin!$C$12,"OK","Xem xét")))))</f>
        <v/>
      </c>
    </row>
    <row r="283" spans="1:13" x14ac:dyDescent="0.25">
      <c r="A283" s="35" t="str">
        <f t="shared" si="20"/>
        <v/>
      </c>
      <c r="B283" s="35" t="str">
        <f>IF(BOM!A283="","",BOM!A283)</f>
        <v/>
      </c>
      <c r="C283" s="35" t="str">
        <f>IF(B283="","",BOM!B283)</f>
        <v/>
      </c>
      <c r="D283" s="35" t="str">
        <f>IF(B283="","",KT_DMTT_ChiTiet!E283)</f>
        <v/>
      </c>
      <c r="E283" s="36" t="str">
        <f>IF(B283="","",BOM!G283&amp;"")</f>
        <v/>
      </c>
      <c r="F283" s="39" t="str">
        <f>IF(B283="","",BOM!E283)</f>
        <v/>
      </c>
      <c r="G283" s="39" t="str">
        <f>IF(OR(B283="",E283="KXDDM"),"",BOM!F283)</f>
        <v/>
      </c>
      <c r="H283" s="39" t="str">
        <f>IF(OR(B283="",E283&lt;&gt;""),"",IFERROR(INDEX(KT_nguoc_theo_NL!$J$5:$J$304,MATCH(C283,KT_nguoc_theo_NL!$B$5:$B$304,0))/INDEX(KT_nguoc_theo_NL!$K$5:$K$304,MATCH(C283,KT_nguoc_theo_NL!$B$5:$B$304,0)),""))</f>
        <v/>
      </c>
      <c r="I283" s="39" t="str">
        <f t="shared" si="21"/>
        <v/>
      </c>
      <c r="J283" s="46" t="str">
        <f t="shared" si="22"/>
        <v/>
      </c>
      <c r="K283" s="46" t="str">
        <f t="shared" si="23"/>
        <v/>
      </c>
      <c r="L283" s="46" t="str">
        <f t="shared" si="24"/>
        <v/>
      </c>
      <c r="M283" s="35" t="str">
        <f>IF(B283="","",IF(E283="KXDDM","KXDDM – không ĐM",IF(E283&lt;&gt;"","Không KT ("&amp;E283&amp;")",IF(OR(K283="",L283=""),"Xem xét",IF(MAX(ABS(K283),ABS(L283))&lt;=ThongTin!$C$12,"OK","Xem xét")))))</f>
        <v/>
      </c>
    </row>
    <row r="284" spans="1:13" x14ac:dyDescent="0.25">
      <c r="A284" s="35" t="str">
        <f t="shared" si="20"/>
        <v/>
      </c>
      <c r="B284" s="35" t="str">
        <f>IF(BOM!A284="","",BOM!A284)</f>
        <v/>
      </c>
      <c r="C284" s="35" t="str">
        <f>IF(B284="","",BOM!B284)</f>
        <v/>
      </c>
      <c r="D284" s="35" t="str">
        <f>IF(B284="","",KT_DMTT_ChiTiet!E284)</f>
        <v/>
      </c>
      <c r="E284" s="36" t="str">
        <f>IF(B284="","",BOM!G284&amp;"")</f>
        <v/>
      </c>
      <c r="F284" s="39" t="str">
        <f>IF(B284="","",BOM!E284)</f>
        <v/>
      </c>
      <c r="G284" s="39" t="str">
        <f>IF(OR(B284="",E284="KXDDM"),"",BOM!F284)</f>
        <v/>
      </c>
      <c r="H284" s="39" t="str">
        <f>IF(OR(B284="",E284&lt;&gt;""),"",IFERROR(INDEX(KT_nguoc_theo_NL!$J$5:$J$304,MATCH(C284,KT_nguoc_theo_NL!$B$5:$B$304,0))/INDEX(KT_nguoc_theo_NL!$K$5:$K$304,MATCH(C284,KT_nguoc_theo_NL!$B$5:$B$304,0)),""))</f>
        <v/>
      </c>
      <c r="I284" s="39" t="str">
        <f t="shared" si="21"/>
        <v/>
      </c>
      <c r="J284" s="46" t="str">
        <f t="shared" si="22"/>
        <v/>
      </c>
      <c r="K284" s="46" t="str">
        <f t="shared" si="23"/>
        <v/>
      </c>
      <c r="L284" s="46" t="str">
        <f t="shared" si="24"/>
        <v/>
      </c>
      <c r="M284" s="35" t="str">
        <f>IF(B284="","",IF(E284="KXDDM","KXDDM – không ĐM",IF(E284&lt;&gt;"","Không KT ("&amp;E284&amp;")",IF(OR(K284="",L284=""),"Xem xét",IF(MAX(ABS(K284),ABS(L284))&lt;=ThongTin!$C$12,"OK","Xem xét")))))</f>
        <v/>
      </c>
    </row>
    <row r="285" spans="1:13" x14ac:dyDescent="0.25">
      <c r="A285" s="35" t="str">
        <f t="shared" si="20"/>
        <v/>
      </c>
      <c r="B285" s="35" t="str">
        <f>IF(BOM!A285="","",BOM!A285)</f>
        <v/>
      </c>
      <c r="C285" s="35" t="str">
        <f>IF(B285="","",BOM!B285)</f>
        <v/>
      </c>
      <c r="D285" s="35" t="str">
        <f>IF(B285="","",KT_DMTT_ChiTiet!E285)</f>
        <v/>
      </c>
      <c r="E285" s="36" t="str">
        <f>IF(B285="","",BOM!G285&amp;"")</f>
        <v/>
      </c>
      <c r="F285" s="39" t="str">
        <f>IF(B285="","",BOM!E285)</f>
        <v/>
      </c>
      <c r="G285" s="39" t="str">
        <f>IF(OR(B285="",E285="KXDDM"),"",BOM!F285)</f>
        <v/>
      </c>
      <c r="H285" s="39" t="str">
        <f>IF(OR(B285="",E285&lt;&gt;""),"",IFERROR(INDEX(KT_nguoc_theo_NL!$J$5:$J$304,MATCH(C285,KT_nguoc_theo_NL!$B$5:$B$304,0))/INDEX(KT_nguoc_theo_NL!$K$5:$K$304,MATCH(C285,KT_nguoc_theo_NL!$B$5:$B$304,0)),""))</f>
        <v/>
      </c>
      <c r="I285" s="39" t="str">
        <f t="shared" si="21"/>
        <v/>
      </c>
      <c r="J285" s="46" t="str">
        <f t="shared" si="22"/>
        <v/>
      </c>
      <c r="K285" s="46" t="str">
        <f t="shared" si="23"/>
        <v/>
      </c>
      <c r="L285" s="46" t="str">
        <f t="shared" si="24"/>
        <v/>
      </c>
      <c r="M285" s="35" t="str">
        <f>IF(B285="","",IF(E285="KXDDM","KXDDM – không ĐM",IF(E285&lt;&gt;"","Không KT ("&amp;E285&amp;")",IF(OR(K285="",L285=""),"Xem xét",IF(MAX(ABS(K285),ABS(L285))&lt;=ThongTin!$C$12,"OK","Xem xét")))))</f>
        <v/>
      </c>
    </row>
    <row r="286" spans="1:13" x14ac:dyDescent="0.25">
      <c r="A286" s="35" t="str">
        <f t="shared" si="20"/>
        <v/>
      </c>
      <c r="B286" s="35" t="str">
        <f>IF(BOM!A286="","",BOM!A286)</f>
        <v/>
      </c>
      <c r="C286" s="35" t="str">
        <f>IF(B286="","",BOM!B286)</f>
        <v/>
      </c>
      <c r="D286" s="35" t="str">
        <f>IF(B286="","",KT_DMTT_ChiTiet!E286)</f>
        <v/>
      </c>
      <c r="E286" s="36" t="str">
        <f>IF(B286="","",BOM!G286&amp;"")</f>
        <v/>
      </c>
      <c r="F286" s="39" t="str">
        <f>IF(B286="","",BOM!E286)</f>
        <v/>
      </c>
      <c r="G286" s="39" t="str">
        <f>IF(OR(B286="",E286="KXDDM"),"",BOM!F286)</f>
        <v/>
      </c>
      <c r="H286" s="39" t="str">
        <f>IF(OR(B286="",E286&lt;&gt;""),"",IFERROR(INDEX(KT_nguoc_theo_NL!$J$5:$J$304,MATCH(C286,KT_nguoc_theo_NL!$B$5:$B$304,0))/INDEX(KT_nguoc_theo_NL!$K$5:$K$304,MATCH(C286,KT_nguoc_theo_NL!$B$5:$B$304,0)),""))</f>
        <v/>
      </c>
      <c r="I286" s="39" t="str">
        <f t="shared" si="21"/>
        <v/>
      </c>
      <c r="J286" s="46" t="str">
        <f t="shared" si="22"/>
        <v/>
      </c>
      <c r="K286" s="46" t="str">
        <f t="shared" si="23"/>
        <v/>
      </c>
      <c r="L286" s="46" t="str">
        <f t="shared" si="24"/>
        <v/>
      </c>
      <c r="M286" s="35" t="str">
        <f>IF(B286="","",IF(E286="KXDDM","KXDDM – không ĐM",IF(E286&lt;&gt;"","Không KT ("&amp;E286&amp;")",IF(OR(K286="",L286=""),"Xem xét",IF(MAX(ABS(K286),ABS(L286))&lt;=ThongTin!$C$12,"OK","Xem xét")))))</f>
        <v/>
      </c>
    </row>
    <row r="287" spans="1:13" x14ac:dyDescent="0.25">
      <c r="A287" s="35" t="str">
        <f t="shared" si="20"/>
        <v/>
      </c>
      <c r="B287" s="35" t="str">
        <f>IF(BOM!A287="","",BOM!A287)</f>
        <v/>
      </c>
      <c r="C287" s="35" t="str">
        <f>IF(B287="","",BOM!B287)</f>
        <v/>
      </c>
      <c r="D287" s="35" t="str">
        <f>IF(B287="","",KT_DMTT_ChiTiet!E287)</f>
        <v/>
      </c>
      <c r="E287" s="36" t="str">
        <f>IF(B287="","",BOM!G287&amp;"")</f>
        <v/>
      </c>
      <c r="F287" s="39" t="str">
        <f>IF(B287="","",BOM!E287)</f>
        <v/>
      </c>
      <c r="G287" s="39" t="str">
        <f>IF(OR(B287="",E287="KXDDM"),"",BOM!F287)</f>
        <v/>
      </c>
      <c r="H287" s="39" t="str">
        <f>IF(OR(B287="",E287&lt;&gt;""),"",IFERROR(INDEX(KT_nguoc_theo_NL!$J$5:$J$304,MATCH(C287,KT_nguoc_theo_NL!$B$5:$B$304,0))/INDEX(KT_nguoc_theo_NL!$K$5:$K$304,MATCH(C287,KT_nguoc_theo_NL!$B$5:$B$304,0)),""))</f>
        <v/>
      </c>
      <c r="I287" s="39" t="str">
        <f t="shared" si="21"/>
        <v/>
      </c>
      <c r="J287" s="46" t="str">
        <f t="shared" si="22"/>
        <v/>
      </c>
      <c r="K287" s="46" t="str">
        <f t="shared" si="23"/>
        <v/>
      </c>
      <c r="L287" s="46" t="str">
        <f t="shared" si="24"/>
        <v/>
      </c>
      <c r="M287" s="35" t="str">
        <f>IF(B287="","",IF(E287="KXDDM","KXDDM – không ĐM",IF(E287&lt;&gt;"","Không KT ("&amp;E287&amp;")",IF(OR(K287="",L287=""),"Xem xét",IF(MAX(ABS(K287),ABS(L287))&lt;=ThongTin!$C$12,"OK","Xem xét")))))</f>
        <v/>
      </c>
    </row>
    <row r="288" spans="1:13" x14ac:dyDescent="0.25">
      <c r="A288" s="35" t="str">
        <f t="shared" si="20"/>
        <v/>
      </c>
      <c r="B288" s="35" t="str">
        <f>IF(BOM!A288="","",BOM!A288)</f>
        <v/>
      </c>
      <c r="C288" s="35" t="str">
        <f>IF(B288="","",BOM!B288)</f>
        <v/>
      </c>
      <c r="D288" s="35" t="str">
        <f>IF(B288="","",KT_DMTT_ChiTiet!E288)</f>
        <v/>
      </c>
      <c r="E288" s="36" t="str">
        <f>IF(B288="","",BOM!G288&amp;"")</f>
        <v/>
      </c>
      <c r="F288" s="39" t="str">
        <f>IF(B288="","",BOM!E288)</f>
        <v/>
      </c>
      <c r="G288" s="39" t="str">
        <f>IF(OR(B288="",E288="KXDDM"),"",BOM!F288)</f>
        <v/>
      </c>
      <c r="H288" s="39" t="str">
        <f>IF(OR(B288="",E288&lt;&gt;""),"",IFERROR(INDEX(KT_nguoc_theo_NL!$J$5:$J$304,MATCH(C288,KT_nguoc_theo_NL!$B$5:$B$304,0))/INDEX(KT_nguoc_theo_NL!$K$5:$K$304,MATCH(C288,KT_nguoc_theo_NL!$B$5:$B$304,0)),""))</f>
        <v/>
      </c>
      <c r="I288" s="39" t="str">
        <f t="shared" si="21"/>
        <v/>
      </c>
      <c r="J288" s="46" t="str">
        <f t="shared" si="22"/>
        <v/>
      </c>
      <c r="K288" s="46" t="str">
        <f t="shared" si="23"/>
        <v/>
      </c>
      <c r="L288" s="46" t="str">
        <f t="shared" si="24"/>
        <v/>
      </c>
      <c r="M288" s="35" t="str">
        <f>IF(B288="","",IF(E288="KXDDM","KXDDM – không ĐM",IF(E288&lt;&gt;"","Không KT ("&amp;E288&amp;")",IF(OR(K288="",L288=""),"Xem xét",IF(MAX(ABS(K288),ABS(L288))&lt;=ThongTin!$C$12,"OK","Xem xét")))))</f>
        <v/>
      </c>
    </row>
    <row r="289" spans="1:13" x14ac:dyDescent="0.25">
      <c r="A289" s="35" t="str">
        <f t="shared" si="20"/>
        <v/>
      </c>
      <c r="B289" s="35" t="str">
        <f>IF(BOM!A289="","",BOM!A289)</f>
        <v/>
      </c>
      <c r="C289" s="35" t="str">
        <f>IF(B289="","",BOM!B289)</f>
        <v/>
      </c>
      <c r="D289" s="35" t="str">
        <f>IF(B289="","",KT_DMTT_ChiTiet!E289)</f>
        <v/>
      </c>
      <c r="E289" s="36" t="str">
        <f>IF(B289="","",BOM!G289&amp;"")</f>
        <v/>
      </c>
      <c r="F289" s="39" t="str">
        <f>IF(B289="","",BOM!E289)</f>
        <v/>
      </c>
      <c r="G289" s="39" t="str">
        <f>IF(OR(B289="",E289="KXDDM"),"",BOM!F289)</f>
        <v/>
      </c>
      <c r="H289" s="39" t="str">
        <f>IF(OR(B289="",E289&lt;&gt;""),"",IFERROR(INDEX(KT_nguoc_theo_NL!$J$5:$J$304,MATCH(C289,KT_nguoc_theo_NL!$B$5:$B$304,0))/INDEX(KT_nguoc_theo_NL!$K$5:$K$304,MATCH(C289,KT_nguoc_theo_NL!$B$5:$B$304,0)),""))</f>
        <v/>
      </c>
      <c r="I289" s="39" t="str">
        <f t="shared" si="21"/>
        <v/>
      </c>
      <c r="J289" s="46" t="str">
        <f t="shared" si="22"/>
        <v/>
      </c>
      <c r="K289" s="46" t="str">
        <f t="shared" si="23"/>
        <v/>
      </c>
      <c r="L289" s="46" t="str">
        <f t="shared" si="24"/>
        <v/>
      </c>
      <c r="M289" s="35" t="str">
        <f>IF(B289="","",IF(E289="KXDDM","KXDDM – không ĐM",IF(E289&lt;&gt;"","Không KT ("&amp;E289&amp;")",IF(OR(K289="",L289=""),"Xem xét",IF(MAX(ABS(K289),ABS(L289))&lt;=ThongTin!$C$12,"OK","Xem xét")))))</f>
        <v/>
      </c>
    </row>
    <row r="290" spans="1:13" x14ac:dyDescent="0.25">
      <c r="A290" s="35" t="str">
        <f t="shared" si="20"/>
        <v/>
      </c>
      <c r="B290" s="35" t="str">
        <f>IF(BOM!A290="","",BOM!A290)</f>
        <v/>
      </c>
      <c r="C290" s="35" t="str">
        <f>IF(B290="","",BOM!B290)</f>
        <v/>
      </c>
      <c r="D290" s="35" t="str">
        <f>IF(B290="","",KT_DMTT_ChiTiet!E290)</f>
        <v/>
      </c>
      <c r="E290" s="36" t="str">
        <f>IF(B290="","",BOM!G290&amp;"")</f>
        <v/>
      </c>
      <c r="F290" s="39" t="str">
        <f>IF(B290="","",BOM!E290)</f>
        <v/>
      </c>
      <c r="G290" s="39" t="str">
        <f>IF(OR(B290="",E290="KXDDM"),"",BOM!F290)</f>
        <v/>
      </c>
      <c r="H290" s="39" t="str">
        <f>IF(OR(B290="",E290&lt;&gt;""),"",IFERROR(INDEX(KT_nguoc_theo_NL!$J$5:$J$304,MATCH(C290,KT_nguoc_theo_NL!$B$5:$B$304,0))/INDEX(KT_nguoc_theo_NL!$K$5:$K$304,MATCH(C290,KT_nguoc_theo_NL!$B$5:$B$304,0)),""))</f>
        <v/>
      </c>
      <c r="I290" s="39" t="str">
        <f t="shared" si="21"/>
        <v/>
      </c>
      <c r="J290" s="46" t="str">
        <f t="shared" si="22"/>
        <v/>
      </c>
      <c r="K290" s="46" t="str">
        <f t="shared" si="23"/>
        <v/>
      </c>
      <c r="L290" s="46" t="str">
        <f t="shared" si="24"/>
        <v/>
      </c>
      <c r="M290" s="35" t="str">
        <f>IF(B290="","",IF(E290="KXDDM","KXDDM – không ĐM",IF(E290&lt;&gt;"","Không KT ("&amp;E290&amp;")",IF(OR(K290="",L290=""),"Xem xét",IF(MAX(ABS(K290),ABS(L290))&lt;=ThongTin!$C$12,"OK","Xem xét")))))</f>
        <v/>
      </c>
    </row>
    <row r="291" spans="1:13" x14ac:dyDescent="0.25">
      <c r="A291" s="35" t="str">
        <f t="shared" si="20"/>
        <v/>
      </c>
      <c r="B291" s="35" t="str">
        <f>IF(BOM!A291="","",BOM!A291)</f>
        <v/>
      </c>
      <c r="C291" s="35" t="str">
        <f>IF(B291="","",BOM!B291)</f>
        <v/>
      </c>
      <c r="D291" s="35" t="str">
        <f>IF(B291="","",KT_DMTT_ChiTiet!E291)</f>
        <v/>
      </c>
      <c r="E291" s="36" t="str">
        <f>IF(B291="","",BOM!G291&amp;"")</f>
        <v/>
      </c>
      <c r="F291" s="39" t="str">
        <f>IF(B291="","",BOM!E291)</f>
        <v/>
      </c>
      <c r="G291" s="39" t="str">
        <f>IF(OR(B291="",E291="KXDDM"),"",BOM!F291)</f>
        <v/>
      </c>
      <c r="H291" s="39" t="str">
        <f>IF(OR(B291="",E291&lt;&gt;""),"",IFERROR(INDEX(KT_nguoc_theo_NL!$J$5:$J$304,MATCH(C291,KT_nguoc_theo_NL!$B$5:$B$304,0))/INDEX(KT_nguoc_theo_NL!$K$5:$K$304,MATCH(C291,KT_nguoc_theo_NL!$B$5:$B$304,0)),""))</f>
        <v/>
      </c>
      <c r="I291" s="39" t="str">
        <f t="shared" si="21"/>
        <v/>
      </c>
      <c r="J291" s="46" t="str">
        <f t="shared" si="22"/>
        <v/>
      </c>
      <c r="K291" s="46" t="str">
        <f t="shared" si="23"/>
        <v/>
      </c>
      <c r="L291" s="46" t="str">
        <f t="shared" si="24"/>
        <v/>
      </c>
      <c r="M291" s="35" t="str">
        <f>IF(B291="","",IF(E291="KXDDM","KXDDM – không ĐM",IF(E291&lt;&gt;"","Không KT ("&amp;E291&amp;")",IF(OR(K291="",L291=""),"Xem xét",IF(MAX(ABS(K291),ABS(L291))&lt;=ThongTin!$C$12,"OK","Xem xét")))))</f>
        <v/>
      </c>
    </row>
    <row r="292" spans="1:13" x14ac:dyDescent="0.25">
      <c r="A292" s="35" t="str">
        <f t="shared" si="20"/>
        <v/>
      </c>
      <c r="B292" s="35" t="str">
        <f>IF(BOM!A292="","",BOM!A292)</f>
        <v/>
      </c>
      <c r="C292" s="35" t="str">
        <f>IF(B292="","",BOM!B292)</f>
        <v/>
      </c>
      <c r="D292" s="35" t="str">
        <f>IF(B292="","",KT_DMTT_ChiTiet!E292)</f>
        <v/>
      </c>
      <c r="E292" s="36" t="str">
        <f>IF(B292="","",BOM!G292&amp;"")</f>
        <v/>
      </c>
      <c r="F292" s="39" t="str">
        <f>IF(B292="","",BOM!E292)</f>
        <v/>
      </c>
      <c r="G292" s="39" t="str">
        <f>IF(OR(B292="",E292="KXDDM"),"",BOM!F292)</f>
        <v/>
      </c>
      <c r="H292" s="39" t="str">
        <f>IF(OR(B292="",E292&lt;&gt;""),"",IFERROR(INDEX(KT_nguoc_theo_NL!$J$5:$J$304,MATCH(C292,KT_nguoc_theo_NL!$B$5:$B$304,0))/INDEX(KT_nguoc_theo_NL!$K$5:$K$304,MATCH(C292,KT_nguoc_theo_NL!$B$5:$B$304,0)),""))</f>
        <v/>
      </c>
      <c r="I292" s="39" t="str">
        <f t="shared" si="21"/>
        <v/>
      </c>
      <c r="J292" s="46" t="str">
        <f t="shared" si="22"/>
        <v/>
      </c>
      <c r="K292" s="46" t="str">
        <f t="shared" si="23"/>
        <v/>
      </c>
      <c r="L292" s="46" t="str">
        <f t="shared" si="24"/>
        <v/>
      </c>
      <c r="M292" s="35" t="str">
        <f>IF(B292="","",IF(E292="KXDDM","KXDDM – không ĐM",IF(E292&lt;&gt;"","Không KT ("&amp;E292&amp;")",IF(OR(K292="",L292=""),"Xem xét",IF(MAX(ABS(K292),ABS(L292))&lt;=ThongTin!$C$12,"OK","Xem xét")))))</f>
        <v/>
      </c>
    </row>
    <row r="293" spans="1:13" x14ac:dyDescent="0.25">
      <c r="A293" s="35" t="str">
        <f t="shared" si="20"/>
        <v/>
      </c>
      <c r="B293" s="35" t="str">
        <f>IF(BOM!A293="","",BOM!A293)</f>
        <v/>
      </c>
      <c r="C293" s="35" t="str">
        <f>IF(B293="","",BOM!B293)</f>
        <v/>
      </c>
      <c r="D293" s="35" t="str">
        <f>IF(B293="","",KT_DMTT_ChiTiet!E293)</f>
        <v/>
      </c>
      <c r="E293" s="36" t="str">
        <f>IF(B293="","",BOM!G293&amp;"")</f>
        <v/>
      </c>
      <c r="F293" s="39" t="str">
        <f>IF(B293="","",BOM!E293)</f>
        <v/>
      </c>
      <c r="G293" s="39" t="str">
        <f>IF(OR(B293="",E293="KXDDM"),"",BOM!F293)</f>
        <v/>
      </c>
      <c r="H293" s="39" t="str">
        <f>IF(OR(B293="",E293&lt;&gt;""),"",IFERROR(INDEX(KT_nguoc_theo_NL!$J$5:$J$304,MATCH(C293,KT_nguoc_theo_NL!$B$5:$B$304,0))/INDEX(KT_nguoc_theo_NL!$K$5:$K$304,MATCH(C293,KT_nguoc_theo_NL!$B$5:$B$304,0)),""))</f>
        <v/>
      </c>
      <c r="I293" s="39" t="str">
        <f t="shared" si="21"/>
        <v/>
      </c>
      <c r="J293" s="46" t="str">
        <f t="shared" si="22"/>
        <v/>
      </c>
      <c r="K293" s="46" t="str">
        <f t="shared" si="23"/>
        <v/>
      </c>
      <c r="L293" s="46" t="str">
        <f t="shared" si="24"/>
        <v/>
      </c>
      <c r="M293" s="35" t="str">
        <f>IF(B293="","",IF(E293="KXDDM","KXDDM – không ĐM",IF(E293&lt;&gt;"","Không KT ("&amp;E293&amp;")",IF(OR(K293="",L293=""),"Xem xét",IF(MAX(ABS(K293),ABS(L293))&lt;=ThongTin!$C$12,"OK","Xem xét")))))</f>
        <v/>
      </c>
    </row>
    <row r="294" spans="1:13" x14ac:dyDescent="0.25">
      <c r="A294" s="35" t="str">
        <f t="shared" si="20"/>
        <v/>
      </c>
      <c r="B294" s="35" t="str">
        <f>IF(BOM!A294="","",BOM!A294)</f>
        <v/>
      </c>
      <c r="C294" s="35" t="str">
        <f>IF(B294="","",BOM!B294)</f>
        <v/>
      </c>
      <c r="D294" s="35" t="str">
        <f>IF(B294="","",KT_DMTT_ChiTiet!E294)</f>
        <v/>
      </c>
      <c r="E294" s="36" t="str">
        <f>IF(B294="","",BOM!G294&amp;"")</f>
        <v/>
      </c>
      <c r="F294" s="39" t="str">
        <f>IF(B294="","",BOM!E294)</f>
        <v/>
      </c>
      <c r="G294" s="39" t="str">
        <f>IF(OR(B294="",E294="KXDDM"),"",BOM!F294)</f>
        <v/>
      </c>
      <c r="H294" s="39" t="str">
        <f>IF(OR(B294="",E294&lt;&gt;""),"",IFERROR(INDEX(KT_nguoc_theo_NL!$J$5:$J$304,MATCH(C294,KT_nguoc_theo_NL!$B$5:$B$304,0))/INDEX(KT_nguoc_theo_NL!$K$5:$K$304,MATCH(C294,KT_nguoc_theo_NL!$B$5:$B$304,0)),""))</f>
        <v/>
      </c>
      <c r="I294" s="39" t="str">
        <f t="shared" si="21"/>
        <v/>
      </c>
      <c r="J294" s="46" t="str">
        <f t="shared" si="22"/>
        <v/>
      </c>
      <c r="K294" s="46" t="str">
        <f t="shared" si="23"/>
        <v/>
      </c>
      <c r="L294" s="46" t="str">
        <f t="shared" si="24"/>
        <v/>
      </c>
      <c r="M294" s="35" t="str">
        <f>IF(B294="","",IF(E294="KXDDM","KXDDM – không ĐM",IF(E294&lt;&gt;"","Không KT ("&amp;E294&amp;")",IF(OR(K294="",L294=""),"Xem xét",IF(MAX(ABS(K294),ABS(L294))&lt;=ThongTin!$C$12,"OK","Xem xét")))))</f>
        <v/>
      </c>
    </row>
    <row r="295" spans="1:13" x14ac:dyDescent="0.25">
      <c r="A295" s="35" t="str">
        <f t="shared" si="20"/>
        <v/>
      </c>
      <c r="B295" s="35" t="str">
        <f>IF(BOM!A295="","",BOM!A295)</f>
        <v/>
      </c>
      <c r="C295" s="35" t="str">
        <f>IF(B295="","",BOM!B295)</f>
        <v/>
      </c>
      <c r="D295" s="35" t="str">
        <f>IF(B295="","",KT_DMTT_ChiTiet!E295)</f>
        <v/>
      </c>
      <c r="E295" s="36" t="str">
        <f>IF(B295="","",BOM!G295&amp;"")</f>
        <v/>
      </c>
      <c r="F295" s="39" t="str">
        <f>IF(B295="","",BOM!E295)</f>
        <v/>
      </c>
      <c r="G295" s="39" t="str">
        <f>IF(OR(B295="",E295="KXDDM"),"",BOM!F295)</f>
        <v/>
      </c>
      <c r="H295" s="39" t="str">
        <f>IF(OR(B295="",E295&lt;&gt;""),"",IFERROR(INDEX(KT_nguoc_theo_NL!$J$5:$J$304,MATCH(C295,KT_nguoc_theo_NL!$B$5:$B$304,0))/INDEX(KT_nguoc_theo_NL!$K$5:$K$304,MATCH(C295,KT_nguoc_theo_NL!$B$5:$B$304,0)),""))</f>
        <v/>
      </c>
      <c r="I295" s="39" t="str">
        <f t="shared" si="21"/>
        <v/>
      </c>
      <c r="J295" s="46" t="str">
        <f t="shared" si="22"/>
        <v/>
      </c>
      <c r="K295" s="46" t="str">
        <f t="shared" si="23"/>
        <v/>
      </c>
      <c r="L295" s="46" t="str">
        <f t="shared" si="24"/>
        <v/>
      </c>
      <c r="M295" s="35" t="str">
        <f>IF(B295="","",IF(E295="KXDDM","KXDDM – không ĐM",IF(E295&lt;&gt;"","Không KT ("&amp;E295&amp;")",IF(OR(K295="",L295=""),"Xem xét",IF(MAX(ABS(K295),ABS(L295))&lt;=ThongTin!$C$12,"OK","Xem xét")))))</f>
        <v/>
      </c>
    </row>
    <row r="296" spans="1:13" x14ac:dyDescent="0.25">
      <c r="A296" s="35" t="str">
        <f t="shared" si="20"/>
        <v/>
      </c>
      <c r="B296" s="35" t="str">
        <f>IF(BOM!A296="","",BOM!A296)</f>
        <v/>
      </c>
      <c r="C296" s="35" t="str">
        <f>IF(B296="","",BOM!B296)</f>
        <v/>
      </c>
      <c r="D296" s="35" t="str">
        <f>IF(B296="","",KT_DMTT_ChiTiet!E296)</f>
        <v/>
      </c>
      <c r="E296" s="36" t="str">
        <f>IF(B296="","",BOM!G296&amp;"")</f>
        <v/>
      </c>
      <c r="F296" s="39" t="str">
        <f>IF(B296="","",BOM!E296)</f>
        <v/>
      </c>
      <c r="G296" s="39" t="str">
        <f>IF(OR(B296="",E296="KXDDM"),"",BOM!F296)</f>
        <v/>
      </c>
      <c r="H296" s="39" t="str">
        <f>IF(OR(B296="",E296&lt;&gt;""),"",IFERROR(INDEX(KT_nguoc_theo_NL!$J$5:$J$304,MATCH(C296,KT_nguoc_theo_NL!$B$5:$B$304,0))/INDEX(KT_nguoc_theo_NL!$K$5:$K$304,MATCH(C296,KT_nguoc_theo_NL!$B$5:$B$304,0)),""))</f>
        <v/>
      </c>
      <c r="I296" s="39" t="str">
        <f t="shared" si="21"/>
        <v/>
      </c>
      <c r="J296" s="46" t="str">
        <f t="shared" si="22"/>
        <v/>
      </c>
      <c r="K296" s="46" t="str">
        <f t="shared" si="23"/>
        <v/>
      </c>
      <c r="L296" s="46" t="str">
        <f t="shared" si="24"/>
        <v/>
      </c>
      <c r="M296" s="35" t="str">
        <f>IF(B296="","",IF(E296="KXDDM","KXDDM – không ĐM",IF(E296&lt;&gt;"","Không KT ("&amp;E296&amp;")",IF(OR(K296="",L296=""),"Xem xét",IF(MAX(ABS(K296),ABS(L296))&lt;=ThongTin!$C$12,"OK","Xem xét")))))</f>
        <v/>
      </c>
    </row>
    <row r="297" spans="1:13" x14ac:dyDescent="0.25">
      <c r="A297" s="35" t="str">
        <f t="shared" si="20"/>
        <v/>
      </c>
      <c r="B297" s="35" t="str">
        <f>IF(BOM!A297="","",BOM!A297)</f>
        <v/>
      </c>
      <c r="C297" s="35" t="str">
        <f>IF(B297="","",BOM!B297)</f>
        <v/>
      </c>
      <c r="D297" s="35" t="str">
        <f>IF(B297="","",KT_DMTT_ChiTiet!E297)</f>
        <v/>
      </c>
      <c r="E297" s="36" t="str">
        <f>IF(B297="","",BOM!G297&amp;"")</f>
        <v/>
      </c>
      <c r="F297" s="39" t="str">
        <f>IF(B297="","",BOM!E297)</f>
        <v/>
      </c>
      <c r="G297" s="39" t="str">
        <f>IF(OR(B297="",E297="KXDDM"),"",BOM!F297)</f>
        <v/>
      </c>
      <c r="H297" s="39" t="str">
        <f>IF(OR(B297="",E297&lt;&gt;""),"",IFERROR(INDEX(KT_nguoc_theo_NL!$J$5:$J$304,MATCH(C297,KT_nguoc_theo_NL!$B$5:$B$304,0))/INDEX(KT_nguoc_theo_NL!$K$5:$K$304,MATCH(C297,KT_nguoc_theo_NL!$B$5:$B$304,0)),""))</f>
        <v/>
      </c>
      <c r="I297" s="39" t="str">
        <f t="shared" si="21"/>
        <v/>
      </c>
      <c r="J297" s="46" t="str">
        <f t="shared" si="22"/>
        <v/>
      </c>
      <c r="K297" s="46" t="str">
        <f t="shared" si="23"/>
        <v/>
      </c>
      <c r="L297" s="46" t="str">
        <f t="shared" si="24"/>
        <v/>
      </c>
      <c r="M297" s="35" t="str">
        <f>IF(B297="","",IF(E297="KXDDM","KXDDM – không ĐM",IF(E297&lt;&gt;"","Không KT ("&amp;E297&amp;")",IF(OR(K297="",L297=""),"Xem xét",IF(MAX(ABS(K297),ABS(L297))&lt;=ThongTin!$C$12,"OK","Xem xét")))))</f>
        <v/>
      </c>
    </row>
    <row r="298" spans="1:13" x14ac:dyDescent="0.25">
      <c r="A298" s="35" t="str">
        <f t="shared" si="20"/>
        <v/>
      </c>
      <c r="B298" s="35" t="str">
        <f>IF(BOM!A298="","",BOM!A298)</f>
        <v/>
      </c>
      <c r="C298" s="35" t="str">
        <f>IF(B298="","",BOM!B298)</f>
        <v/>
      </c>
      <c r="D298" s="35" t="str">
        <f>IF(B298="","",KT_DMTT_ChiTiet!E298)</f>
        <v/>
      </c>
      <c r="E298" s="36" t="str">
        <f>IF(B298="","",BOM!G298&amp;"")</f>
        <v/>
      </c>
      <c r="F298" s="39" t="str">
        <f>IF(B298="","",BOM!E298)</f>
        <v/>
      </c>
      <c r="G298" s="39" t="str">
        <f>IF(OR(B298="",E298="KXDDM"),"",BOM!F298)</f>
        <v/>
      </c>
      <c r="H298" s="39" t="str">
        <f>IF(OR(B298="",E298&lt;&gt;""),"",IFERROR(INDEX(KT_nguoc_theo_NL!$J$5:$J$304,MATCH(C298,KT_nguoc_theo_NL!$B$5:$B$304,0))/INDEX(KT_nguoc_theo_NL!$K$5:$K$304,MATCH(C298,KT_nguoc_theo_NL!$B$5:$B$304,0)),""))</f>
        <v/>
      </c>
      <c r="I298" s="39" t="str">
        <f t="shared" si="21"/>
        <v/>
      </c>
      <c r="J298" s="46" t="str">
        <f t="shared" si="22"/>
        <v/>
      </c>
      <c r="K298" s="46" t="str">
        <f t="shared" si="23"/>
        <v/>
      </c>
      <c r="L298" s="46" t="str">
        <f t="shared" si="24"/>
        <v/>
      </c>
      <c r="M298" s="35" t="str">
        <f>IF(B298="","",IF(E298="KXDDM","KXDDM – không ĐM",IF(E298&lt;&gt;"","Không KT ("&amp;E298&amp;")",IF(OR(K298="",L298=""),"Xem xét",IF(MAX(ABS(K298),ABS(L298))&lt;=ThongTin!$C$12,"OK","Xem xét")))))</f>
        <v/>
      </c>
    </row>
    <row r="299" spans="1:13" x14ac:dyDescent="0.25">
      <c r="A299" s="35" t="str">
        <f t="shared" si="20"/>
        <v/>
      </c>
      <c r="B299" s="35" t="str">
        <f>IF(BOM!A299="","",BOM!A299)</f>
        <v/>
      </c>
      <c r="C299" s="35" t="str">
        <f>IF(B299="","",BOM!B299)</f>
        <v/>
      </c>
      <c r="D299" s="35" t="str">
        <f>IF(B299="","",KT_DMTT_ChiTiet!E299)</f>
        <v/>
      </c>
      <c r="E299" s="36" t="str">
        <f>IF(B299="","",BOM!G299&amp;"")</f>
        <v/>
      </c>
      <c r="F299" s="39" t="str">
        <f>IF(B299="","",BOM!E299)</f>
        <v/>
      </c>
      <c r="G299" s="39" t="str">
        <f>IF(OR(B299="",E299="KXDDM"),"",BOM!F299)</f>
        <v/>
      </c>
      <c r="H299" s="39" t="str">
        <f>IF(OR(B299="",E299&lt;&gt;""),"",IFERROR(INDEX(KT_nguoc_theo_NL!$J$5:$J$304,MATCH(C299,KT_nguoc_theo_NL!$B$5:$B$304,0))/INDEX(KT_nguoc_theo_NL!$K$5:$K$304,MATCH(C299,KT_nguoc_theo_NL!$B$5:$B$304,0)),""))</f>
        <v/>
      </c>
      <c r="I299" s="39" t="str">
        <f t="shared" si="21"/>
        <v/>
      </c>
      <c r="J299" s="46" t="str">
        <f t="shared" si="22"/>
        <v/>
      </c>
      <c r="K299" s="46" t="str">
        <f t="shared" si="23"/>
        <v/>
      </c>
      <c r="L299" s="46" t="str">
        <f t="shared" si="24"/>
        <v/>
      </c>
      <c r="M299" s="35" t="str">
        <f>IF(B299="","",IF(E299="KXDDM","KXDDM – không ĐM",IF(E299&lt;&gt;"","Không KT ("&amp;E299&amp;")",IF(OR(K299="",L299=""),"Xem xét",IF(MAX(ABS(K299),ABS(L299))&lt;=ThongTin!$C$12,"OK","Xem xét")))))</f>
        <v/>
      </c>
    </row>
    <row r="300" spans="1:13" x14ac:dyDescent="0.25">
      <c r="A300" s="35" t="str">
        <f t="shared" si="20"/>
        <v/>
      </c>
      <c r="B300" s="35" t="str">
        <f>IF(BOM!A300="","",BOM!A300)</f>
        <v/>
      </c>
      <c r="C300" s="35" t="str">
        <f>IF(B300="","",BOM!B300)</f>
        <v/>
      </c>
      <c r="D300" s="35" t="str">
        <f>IF(B300="","",KT_DMTT_ChiTiet!E300)</f>
        <v/>
      </c>
      <c r="E300" s="36" t="str">
        <f>IF(B300="","",BOM!G300&amp;"")</f>
        <v/>
      </c>
      <c r="F300" s="39" t="str">
        <f>IF(B300="","",BOM!E300)</f>
        <v/>
      </c>
      <c r="G300" s="39" t="str">
        <f>IF(OR(B300="",E300="KXDDM"),"",BOM!F300)</f>
        <v/>
      </c>
      <c r="H300" s="39" t="str">
        <f>IF(OR(B300="",E300&lt;&gt;""),"",IFERROR(INDEX(KT_nguoc_theo_NL!$J$5:$J$304,MATCH(C300,KT_nguoc_theo_NL!$B$5:$B$304,0))/INDEX(KT_nguoc_theo_NL!$K$5:$K$304,MATCH(C300,KT_nguoc_theo_NL!$B$5:$B$304,0)),""))</f>
        <v/>
      </c>
      <c r="I300" s="39" t="str">
        <f t="shared" si="21"/>
        <v/>
      </c>
      <c r="J300" s="46" t="str">
        <f t="shared" si="22"/>
        <v/>
      </c>
      <c r="K300" s="46" t="str">
        <f t="shared" si="23"/>
        <v/>
      </c>
      <c r="L300" s="46" t="str">
        <f t="shared" si="24"/>
        <v/>
      </c>
      <c r="M300" s="35" t="str">
        <f>IF(B300="","",IF(E300="KXDDM","KXDDM – không ĐM",IF(E300&lt;&gt;"","Không KT ("&amp;E300&amp;")",IF(OR(K300="",L300=""),"Xem xét",IF(MAX(ABS(K300),ABS(L300))&lt;=ThongTin!$C$12,"OK","Xem xét")))))</f>
        <v/>
      </c>
    </row>
    <row r="301" spans="1:13" x14ac:dyDescent="0.25">
      <c r="A301" s="35" t="str">
        <f t="shared" si="20"/>
        <v/>
      </c>
      <c r="B301" s="35" t="str">
        <f>IF(BOM!A301="","",BOM!A301)</f>
        <v/>
      </c>
      <c r="C301" s="35" t="str">
        <f>IF(B301="","",BOM!B301)</f>
        <v/>
      </c>
      <c r="D301" s="35" t="str">
        <f>IF(B301="","",KT_DMTT_ChiTiet!E301)</f>
        <v/>
      </c>
      <c r="E301" s="36" t="str">
        <f>IF(B301="","",BOM!G301&amp;"")</f>
        <v/>
      </c>
      <c r="F301" s="39" t="str">
        <f>IF(B301="","",BOM!E301)</f>
        <v/>
      </c>
      <c r="G301" s="39" t="str">
        <f>IF(OR(B301="",E301="KXDDM"),"",BOM!F301)</f>
        <v/>
      </c>
      <c r="H301" s="39" t="str">
        <f>IF(OR(B301="",E301&lt;&gt;""),"",IFERROR(INDEX(KT_nguoc_theo_NL!$J$5:$J$304,MATCH(C301,KT_nguoc_theo_NL!$B$5:$B$304,0))/INDEX(KT_nguoc_theo_NL!$K$5:$K$304,MATCH(C301,KT_nguoc_theo_NL!$B$5:$B$304,0)),""))</f>
        <v/>
      </c>
      <c r="I301" s="39" t="str">
        <f t="shared" si="21"/>
        <v/>
      </c>
      <c r="J301" s="46" t="str">
        <f t="shared" si="22"/>
        <v/>
      </c>
      <c r="K301" s="46" t="str">
        <f t="shared" si="23"/>
        <v/>
      </c>
      <c r="L301" s="46" t="str">
        <f t="shared" si="24"/>
        <v/>
      </c>
      <c r="M301" s="35" t="str">
        <f>IF(B301="","",IF(E301="KXDDM","KXDDM – không ĐM",IF(E301&lt;&gt;"","Không KT ("&amp;E301&amp;")",IF(OR(K301="",L301=""),"Xem xét",IF(MAX(ABS(K301),ABS(L301))&lt;=ThongTin!$C$12,"OK","Xem xét")))))</f>
        <v/>
      </c>
    </row>
    <row r="302" spans="1:13" x14ac:dyDescent="0.25">
      <c r="A302" s="35" t="str">
        <f t="shared" si="20"/>
        <v/>
      </c>
      <c r="B302" s="35" t="str">
        <f>IF(BOM!A302="","",BOM!A302)</f>
        <v/>
      </c>
      <c r="C302" s="35" t="str">
        <f>IF(B302="","",BOM!B302)</f>
        <v/>
      </c>
      <c r="D302" s="35" t="str">
        <f>IF(B302="","",KT_DMTT_ChiTiet!E302)</f>
        <v/>
      </c>
      <c r="E302" s="36" t="str">
        <f>IF(B302="","",BOM!G302&amp;"")</f>
        <v/>
      </c>
      <c r="F302" s="39" t="str">
        <f>IF(B302="","",BOM!E302)</f>
        <v/>
      </c>
      <c r="G302" s="39" t="str">
        <f>IF(OR(B302="",E302="KXDDM"),"",BOM!F302)</f>
        <v/>
      </c>
      <c r="H302" s="39" t="str">
        <f>IF(OR(B302="",E302&lt;&gt;""),"",IFERROR(INDEX(KT_nguoc_theo_NL!$J$5:$J$304,MATCH(C302,KT_nguoc_theo_NL!$B$5:$B$304,0))/INDEX(KT_nguoc_theo_NL!$K$5:$K$304,MATCH(C302,KT_nguoc_theo_NL!$B$5:$B$304,0)),""))</f>
        <v/>
      </c>
      <c r="I302" s="39" t="str">
        <f t="shared" si="21"/>
        <v/>
      </c>
      <c r="J302" s="46" t="str">
        <f t="shared" si="22"/>
        <v/>
      </c>
      <c r="K302" s="46" t="str">
        <f t="shared" si="23"/>
        <v/>
      </c>
      <c r="L302" s="46" t="str">
        <f t="shared" si="24"/>
        <v/>
      </c>
      <c r="M302" s="35" t="str">
        <f>IF(B302="","",IF(E302="KXDDM","KXDDM – không ĐM",IF(E302&lt;&gt;"","Không KT ("&amp;E302&amp;")",IF(OR(K302="",L302=""),"Xem xét",IF(MAX(ABS(K302),ABS(L302))&lt;=ThongTin!$C$12,"OK","Xem xét")))))</f>
        <v/>
      </c>
    </row>
    <row r="303" spans="1:13" x14ac:dyDescent="0.25">
      <c r="A303" s="35" t="str">
        <f t="shared" si="20"/>
        <v/>
      </c>
      <c r="B303" s="35" t="str">
        <f>IF(BOM!A303="","",BOM!A303)</f>
        <v/>
      </c>
      <c r="C303" s="35" t="str">
        <f>IF(B303="","",BOM!B303)</f>
        <v/>
      </c>
      <c r="D303" s="35" t="str">
        <f>IF(B303="","",KT_DMTT_ChiTiet!E303)</f>
        <v/>
      </c>
      <c r="E303" s="36" t="str">
        <f>IF(B303="","",BOM!G303&amp;"")</f>
        <v/>
      </c>
      <c r="F303" s="39" t="str">
        <f>IF(B303="","",BOM!E303)</f>
        <v/>
      </c>
      <c r="G303" s="39" t="str">
        <f>IF(OR(B303="",E303="KXDDM"),"",BOM!F303)</f>
        <v/>
      </c>
      <c r="H303" s="39" t="str">
        <f>IF(OR(B303="",E303&lt;&gt;""),"",IFERROR(INDEX(KT_nguoc_theo_NL!$J$5:$J$304,MATCH(C303,KT_nguoc_theo_NL!$B$5:$B$304,0))/INDEX(KT_nguoc_theo_NL!$K$5:$K$304,MATCH(C303,KT_nguoc_theo_NL!$B$5:$B$304,0)),""))</f>
        <v/>
      </c>
      <c r="I303" s="39" t="str">
        <f t="shared" si="21"/>
        <v/>
      </c>
      <c r="J303" s="46" t="str">
        <f t="shared" si="22"/>
        <v/>
      </c>
      <c r="K303" s="46" t="str">
        <f t="shared" si="23"/>
        <v/>
      </c>
      <c r="L303" s="46" t="str">
        <f t="shared" si="24"/>
        <v/>
      </c>
      <c r="M303" s="35" t="str">
        <f>IF(B303="","",IF(E303="KXDDM","KXDDM – không ĐM",IF(E303&lt;&gt;"","Không KT ("&amp;E303&amp;")",IF(OR(K303="",L303=""),"Xem xét",IF(MAX(ABS(K303),ABS(L303))&lt;=ThongTin!$C$12,"OK","Xem xét")))))</f>
        <v/>
      </c>
    </row>
    <row r="304" spans="1:13" x14ac:dyDescent="0.25">
      <c r="A304" s="35" t="str">
        <f t="shared" si="20"/>
        <v/>
      </c>
      <c r="B304" s="35" t="str">
        <f>IF(BOM!A304="","",BOM!A304)</f>
        <v/>
      </c>
      <c r="C304" s="35" t="str">
        <f>IF(B304="","",BOM!B304)</f>
        <v/>
      </c>
      <c r="D304" s="35" t="str">
        <f>IF(B304="","",KT_DMTT_ChiTiet!E304)</f>
        <v/>
      </c>
      <c r="E304" s="36" t="str">
        <f>IF(B304="","",BOM!G304&amp;"")</f>
        <v/>
      </c>
      <c r="F304" s="39" t="str">
        <f>IF(B304="","",BOM!E304)</f>
        <v/>
      </c>
      <c r="G304" s="39" t="str">
        <f>IF(OR(B304="",E304="KXDDM"),"",BOM!F304)</f>
        <v/>
      </c>
      <c r="H304" s="39" t="str">
        <f>IF(OR(B304="",E304&lt;&gt;""),"",IFERROR(INDEX(KT_nguoc_theo_NL!$J$5:$J$304,MATCH(C304,KT_nguoc_theo_NL!$B$5:$B$304,0))/INDEX(KT_nguoc_theo_NL!$K$5:$K$304,MATCH(C304,KT_nguoc_theo_NL!$B$5:$B$304,0)),""))</f>
        <v/>
      </c>
      <c r="I304" s="39" t="str">
        <f t="shared" si="21"/>
        <v/>
      </c>
      <c r="J304" s="46" t="str">
        <f t="shared" si="22"/>
        <v/>
      </c>
      <c r="K304" s="46" t="str">
        <f t="shared" si="23"/>
        <v/>
      </c>
      <c r="L304" s="46" t="str">
        <f t="shared" si="24"/>
        <v/>
      </c>
      <c r="M304" s="35" t="str">
        <f>IF(B304="","",IF(E304="KXDDM","KXDDM – không ĐM",IF(E304&lt;&gt;"","Không KT ("&amp;E304&amp;")",IF(OR(K304="",L304=""),"Xem xét",IF(MAX(ABS(K304),ABS(L304))&lt;=ThongTin!$C$12,"OK","Xem xét")))))</f>
        <v/>
      </c>
    </row>
    <row r="305" spans="1:13" x14ac:dyDescent="0.25">
      <c r="A305" s="35" t="str">
        <f t="shared" si="20"/>
        <v/>
      </c>
      <c r="B305" s="35" t="str">
        <f>IF(BOM!A305="","",BOM!A305)</f>
        <v/>
      </c>
      <c r="C305" s="35" t="str">
        <f>IF(B305="","",BOM!B305)</f>
        <v/>
      </c>
      <c r="D305" s="35" t="str">
        <f>IF(B305="","",KT_DMTT_ChiTiet!E305)</f>
        <v/>
      </c>
      <c r="E305" s="36" t="str">
        <f>IF(B305="","",BOM!G305&amp;"")</f>
        <v/>
      </c>
      <c r="F305" s="39" t="str">
        <f>IF(B305="","",BOM!E305)</f>
        <v/>
      </c>
      <c r="G305" s="39" t="str">
        <f>IF(OR(B305="",E305="KXDDM"),"",BOM!F305)</f>
        <v/>
      </c>
      <c r="H305" s="39" t="str">
        <f>IF(OR(B305="",E305&lt;&gt;""),"",IFERROR(INDEX(KT_nguoc_theo_NL!$J$5:$J$304,MATCH(C305,KT_nguoc_theo_NL!$B$5:$B$304,0))/INDEX(KT_nguoc_theo_NL!$K$5:$K$304,MATCH(C305,KT_nguoc_theo_NL!$B$5:$B$304,0)),""))</f>
        <v/>
      </c>
      <c r="I305" s="39" t="str">
        <f t="shared" si="21"/>
        <v/>
      </c>
      <c r="J305" s="46" t="str">
        <f t="shared" si="22"/>
        <v/>
      </c>
      <c r="K305" s="46" t="str">
        <f t="shared" si="23"/>
        <v/>
      </c>
      <c r="L305" s="46" t="str">
        <f t="shared" si="24"/>
        <v/>
      </c>
      <c r="M305" s="35" t="str">
        <f>IF(B305="","",IF(E305="KXDDM","KXDDM – không ĐM",IF(E305&lt;&gt;"","Không KT ("&amp;E305&amp;")",IF(OR(K305="",L305=""),"Xem xét",IF(MAX(ABS(K305),ABS(L305))&lt;=ThongTin!$C$12,"OK","Xem xét")))))</f>
        <v/>
      </c>
    </row>
    <row r="306" spans="1:13" x14ac:dyDescent="0.25">
      <c r="A306" s="35" t="str">
        <f t="shared" si="20"/>
        <v/>
      </c>
      <c r="B306" s="35" t="str">
        <f>IF(BOM!A306="","",BOM!A306)</f>
        <v/>
      </c>
      <c r="C306" s="35" t="str">
        <f>IF(B306="","",BOM!B306)</f>
        <v/>
      </c>
      <c r="D306" s="35" t="str">
        <f>IF(B306="","",KT_DMTT_ChiTiet!E306)</f>
        <v/>
      </c>
      <c r="E306" s="36" t="str">
        <f>IF(B306="","",BOM!G306&amp;"")</f>
        <v/>
      </c>
      <c r="F306" s="39" t="str">
        <f>IF(B306="","",BOM!E306)</f>
        <v/>
      </c>
      <c r="G306" s="39" t="str">
        <f>IF(OR(B306="",E306="KXDDM"),"",BOM!F306)</f>
        <v/>
      </c>
      <c r="H306" s="39" t="str">
        <f>IF(OR(B306="",E306&lt;&gt;""),"",IFERROR(INDEX(KT_nguoc_theo_NL!$J$5:$J$304,MATCH(C306,KT_nguoc_theo_NL!$B$5:$B$304,0))/INDEX(KT_nguoc_theo_NL!$K$5:$K$304,MATCH(C306,KT_nguoc_theo_NL!$B$5:$B$304,0)),""))</f>
        <v/>
      </c>
      <c r="I306" s="39" t="str">
        <f t="shared" si="21"/>
        <v/>
      </c>
      <c r="J306" s="46" t="str">
        <f t="shared" si="22"/>
        <v/>
      </c>
      <c r="K306" s="46" t="str">
        <f t="shared" si="23"/>
        <v/>
      </c>
      <c r="L306" s="46" t="str">
        <f t="shared" si="24"/>
        <v/>
      </c>
      <c r="M306" s="35" t="str">
        <f>IF(B306="","",IF(E306="KXDDM","KXDDM – không ĐM",IF(E306&lt;&gt;"","Không KT ("&amp;E306&amp;")",IF(OR(K306="",L306=""),"Xem xét",IF(MAX(ABS(K306),ABS(L306))&lt;=ThongTin!$C$12,"OK","Xem xét")))))</f>
        <v/>
      </c>
    </row>
    <row r="307" spans="1:13" x14ac:dyDescent="0.25">
      <c r="A307" s="35" t="str">
        <f t="shared" si="20"/>
        <v/>
      </c>
      <c r="B307" s="35" t="str">
        <f>IF(BOM!A307="","",BOM!A307)</f>
        <v/>
      </c>
      <c r="C307" s="35" t="str">
        <f>IF(B307="","",BOM!B307)</f>
        <v/>
      </c>
      <c r="D307" s="35" t="str">
        <f>IF(B307="","",KT_DMTT_ChiTiet!E307)</f>
        <v/>
      </c>
      <c r="E307" s="36" t="str">
        <f>IF(B307="","",BOM!G307&amp;"")</f>
        <v/>
      </c>
      <c r="F307" s="39" t="str">
        <f>IF(B307="","",BOM!E307)</f>
        <v/>
      </c>
      <c r="G307" s="39" t="str">
        <f>IF(OR(B307="",E307="KXDDM"),"",BOM!F307)</f>
        <v/>
      </c>
      <c r="H307" s="39" t="str">
        <f>IF(OR(B307="",E307&lt;&gt;""),"",IFERROR(INDEX(KT_nguoc_theo_NL!$J$5:$J$304,MATCH(C307,KT_nguoc_theo_NL!$B$5:$B$304,0))/INDEX(KT_nguoc_theo_NL!$K$5:$K$304,MATCH(C307,KT_nguoc_theo_NL!$B$5:$B$304,0)),""))</f>
        <v/>
      </c>
      <c r="I307" s="39" t="str">
        <f t="shared" si="21"/>
        <v/>
      </c>
      <c r="J307" s="46" t="str">
        <f t="shared" si="22"/>
        <v/>
      </c>
      <c r="K307" s="46" t="str">
        <f t="shared" si="23"/>
        <v/>
      </c>
      <c r="L307" s="46" t="str">
        <f t="shared" si="24"/>
        <v/>
      </c>
      <c r="M307" s="35" t="str">
        <f>IF(B307="","",IF(E307="KXDDM","KXDDM – không ĐM",IF(E307&lt;&gt;"","Không KT ("&amp;E307&amp;")",IF(OR(K307="",L307=""),"Xem xét",IF(MAX(ABS(K307),ABS(L307))&lt;=ThongTin!$C$12,"OK","Xem xét")))))</f>
        <v/>
      </c>
    </row>
    <row r="308" spans="1:13" x14ac:dyDescent="0.25">
      <c r="A308" s="35" t="str">
        <f t="shared" si="20"/>
        <v/>
      </c>
      <c r="B308" s="35" t="str">
        <f>IF(BOM!A308="","",BOM!A308)</f>
        <v/>
      </c>
      <c r="C308" s="35" t="str">
        <f>IF(B308="","",BOM!B308)</f>
        <v/>
      </c>
      <c r="D308" s="35" t="str">
        <f>IF(B308="","",KT_DMTT_ChiTiet!E308)</f>
        <v/>
      </c>
      <c r="E308" s="36" t="str">
        <f>IF(B308="","",BOM!G308&amp;"")</f>
        <v/>
      </c>
      <c r="F308" s="39" t="str">
        <f>IF(B308="","",BOM!E308)</f>
        <v/>
      </c>
      <c r="G308" s="39" t="str">
        <f>IF(OR(B308="",E308="KXDDM"),"",BOM!F308)</f>
        <v/>
      </c>
      <c r="H308" s="39" t="str">
        <f>IF(OR(B308="",E308&lt;&gt;""),"",IFERROR(INDEX(KT_nguoc_theo_NL!$J$5:$J$304,MATCH(C308,KT_nguoc_theo_NL!$B$5:$B$304,0))/INDEX(KT_nguoc_theo_NL!$K$5:$K$304,MATCH(C308,KT_nguoc_theo_NL!$B$5:$B$304,0)),""))</f>
        <v/>
      </c>
      <c r="I308" s="39" t="str">
        <f t="shared" si="21"/>
        <v/>
      </c>
      <c r="J308" s="46" t="str">
        <f t="shared" si="22"/>
        <v/>
      </c>
      <c r="K308" s="46" t="str">
        <f t="shared" si="23"/>
        <v/>
      </c>
      <c r="L308" s="46" t="str">
        <f t="shared" si="24"/>
        <v/>
      </c>
      <c r="M308" s="35" t="str">
        <f>IF(B308="","",IF(E308="KXDDM","KXDDM – không ĐM",IF(E308&lt;&gt;"","Không KT ("&amp;E308&amp;")",IF(OR(K308="",L308=""),"Xem xét",IF(MAX(ABS(K308),ABS(L308))&lt;=ThongTin!$C$12,"OK","Xem xét")))))</f>
        <v/>
      </c>
    </row>
    <row r="309" spans="1:13" x14ac:dyDescent="0.25">
      <c r="A309" s="35" t="str">
        <f t="shared" si="20"/>
        <v/>
      </c>
      <c r="B309" s="35" t="str">
        <f>IF(BOM!A309="","",BOM!A309)</f>
        <v/>
      </c>
      <c r="C309" s="35" t="str">
        <f>IF(B309="","",BOM!B309)</f>
        <v/>
      </c>
      <c r="D309" s="35" t="str">
        <f>IF(B309="","",KT_DMTT_ChiTiet!E309)</f>
        <v/>
      </c>
      <c r="E309" s="36" t="str">
        <f>IF(B309="","",BOM!G309&amp;"")</f>
        <v/>
      </c>
      <c r="F309" s="39" t="str">
        <f>IF(B309="","",BOM!E309)</f>
        <v/>
      </c>
      <c r="G309" s="39" t="str">
        <f>IF(OR(B309="",E309="KXDDM"),"",BOM!F309)</f>
        <v/>
      </c>
      <c r="H309" s="39" t="str">
        <f>IF(OR(B309="",E309&lt;&gt;""),"",IFERROR(INDEX(KT_nguoc_theo_NL!$J$5:$J$304,MATCH(C309,KT_nguoc_theo_NL!$B$5:$B$304,0))/INDEX(KT_nguoc_theo_NL!$K$5:$K$304,MATCH(C309,KT_nguoc_theo_NL!$B$5:$B$304,0)),""))</f>
        <v/>
      </c>
      <c r="I309" s="39" t="str">
        <f t="shared" si="21"/>
        <v/>
      </c>
      <c r="J309" s="46" t="str">
        <f t="shared" si="22"/>
        <v/>
      </c>
      <c r="K309" s="46" t="str">
        <f t="shared" si="23"/>
        <v/>
      </c>
      <c r="L309" s="46" t="str">
        <f t="shared" si="24"/>
        <v/>
      </c>
      <c r="M309" s="35" t="str">
        <f>IF(B309="","",IF(E309="KXDDM","KXDDM – không ĐM",IF(E309&lt;&gt;"","Không KT ("&amp;E309&amp;")",IF(OR(K309="",L309=""),"Xem xét",IF(MAX(ABS(K309),ABS(L309))&lt;=ThongTin!$C$12,"OK","Xem xét")))))</f>
        <v/>
      </c>
    </row>
    <row r="310" spans="1:13" x14ac:dyDescent="0.25">
      <c r="A310" s="35" t="str">
        <f t="shared" si="20"/>
        <v/>
      </c>
      <c r="B310" s="35" t="str">
        <f>IF(BOM!A310="","",BOM!A310)</f>
        <v/>
      </c>
      <c r="C310" s="35" t="str">
        <f>IF(B310="","",BOM!B310)</f>
        <v/>
      </c>
      <c r="D310" s="35" t="str">
        <f>IF(B310="","",KT_DMTT_ChiTiet!E310)</f>
        <v/>
      </c>
      <c r="E310" s="36" t="str">
        <f>IF(B310="","",BOM!G310&amp;"")</f>
        <v/>
      </c>
      <c r="F310" s="39" t="str">
        <f>IF(B310="","",BOM!E310)</f>
        <v/>
      </c>
      <c r="G310" s="39" t="str">
        <f>IF(OR(B310="",E310="KXDDM"),"",BOM!F310)</f>
        <v/>
      </c>
      <c r="H310" s="39" t="str">
        <f>IF(OR(B310="",E310&lt;&gt;""),"",IFERROR(INDEX(KT_nguoc_theo_NL!$J$5:$J$304,MATCH(C310,KT_nguoc_theo_NL!$B$5:$B$304,0))/INDEX(KT_nguoc_theo_NL!$K$5:$K$304,MATCH(C310,KT_nguoc_theo_NL!$B$5:$B$304,0)),""))</f>
        <v/>
      </c>
      <c r="I310" s="39" t="str">
        <f t="shared" si="21"/>
        <v/>
      </c>
      <c r="J310" s="46" t="str">
        <f t="shared" si="22"/>
        <v/>
      </c>
      <c r="K310" s="46" t="str">
        <f t="shared" si="23"/>
        <v/>
      </c>
      <c r="L310" s="46" t="str">
        <f t="shared" si="24"/>
        <v/>
      </c>
      <c r="M310" s="35" t="str">
        <f>IF(B310="","",IF(E310="KXDDM","KXDDM – không ĐM",IF(E310&lt;&gt;"","Không KT ("&amp;E310&amp;")",IF(OR(K310="",L310=""),"Xem xét",IF(MAX(ABS(K310),ABS(L310))&lt;=ThongTin!$C$12,"OK","Xem xét")))))</f>
        <v/>
      </c>
    </row>
    <row r="311" spans="1:13" x14ac:dyDescent="0.25">
      <c r="A311" s="35" t="str">
        <f t="shared" si="20"/>
        <v/>
      </c>
      <c r="B311" s="35" t="str">
        <f>IF(BOM!A311="","",BOM!A311)</f>
        <v/>
      </c>
      <c r="C311" s="35" t="str">
        <f>IF(B311="","",BOM!B311)</f>
        <v/>
      </c>
      <c r="D311" s="35" t="str">
        <f>IF(B311="","",KT_DMTT_ChiTiet!E311)</f>
        <v/>
      </c>
      <c r="E311" s="36" t="str">
        <f>IF(B311="","",BOM!G311&amp;"")</f>
        <v/>
      </c>
      <c r="F311" s="39" t="str">
        <f>IF(B311="","",BOM!E311)</f>
        <v/>
      </c>
      <c r="G311" s="39" t="str">
        <f>IF(OR(B311="",E311="KXDDM"),"",BOM!F311)</f>
        <v/>
      </c>
      <c r="H311" s="39" t="str">
        <f>IF(OR(B311="",E311&lt;&gt;""),"",IFERROR(INDEX(KT_nguoc_theo_NL!$J$5:$J$304,MATCH(C311,KT_nguoc_theo_NL!$B$5:$B$304,0))/INDEX(KT_nguoc_theo_NL!$K$5:$K$304,MATCH(C311,KT_nguoc_theo_NL!$B$5:$B$304,0)),""))</f>
        <v/>
      </c>
      <c r="I311" s="39" t="str">
        <f t="shared" si="21"/>
        <v/>
      </c>
      <c r="J311" s="46" t="str">
        <f t="shared" si="22"/>
        <v/>
      </c>
      <c r="K311" s="46" t="str">
        <f t="shared" si="23"/>
        <v/>
      </c>
      <c r="L311" s="46" t="str">
        <f t="shared" si="24"/>
        <v/>
      </c>
      <c r="M311" s="35" t="str">
        <f>IF(B311="","",IF(E311="KXDDM","KXDDM – không ĐM",IF(E311&lt;&gt;"","Không KT ("&amp;E311&amp;")",IF(OR(K311="",L311=""),"Xem xét",IF(MAX(ABS(K311),ABS(L311))&lt;=ThongTin!$C$12,"OK","Xem xét")))))</f>
        <v/>
      </c>
    </row>
    <row r="312" spans="1:13" x14ac:dyDescent="0.25">
      <c r="A312" s="35" t="str">
        <f t="shared" si="20"/>
        <v/>
      </c>
      <c r="B312" s="35" t="str">
        <f>IF(BOM!A312="","",BOM!A312)</f>
        <v/>
      </c>
      <c r="C312" s="35" t="str">
        <f>IF(B312="","",BOM!B312)</f>
        <v/>
      </c>
      <c r="D312" s="35" t="str">
        <f>IF(B312="","",KT_DMTT_ChiTiet!E312)</f>
        <v/>
      </c>
      <c r="E312" s="36" t="str">
        <f>IF(B312="","",BOM!G312&amp;"")</f>
        <v/>
      </c>
      <c r="F312" s="39" t="str">
        <f>IF(B312="","",BOM!E312)</f>
        <v/>
      </c>
      <c r="G312" s="39" t="str">
        <f>IF(OR(B312="",E312="KXDDM"),"",BOM!F312)</f>
        <v/>
      </c>
      <c r="H312" s="39" t="str">
        <f>IF(OR(B312="",E312&lt;&gt;""),"",IFERROR(INDEX(KT_nguoc_theo_NL!$J$5:$J$304,MATCH(C312,KT_nguoc_theo_NL!$B$5:$B$304,0))/INDEX(KT_nguoc_theo_NL!$K$5:$K$304,MATCH(C312,KT_nguoc_theo_NL!$B$5:$B$304,0)),""))</f>
        <v/>
      </c>
      <c r="I312" s="39" t="str">
        <f t="shared" si="21"/>
        <v/>
      </c>
      <c r="J312" s="46" t="str">
        <f t="shared" si="22"/>
        <v/>
      </c>
      <c r="K312" s="46" t="str">
        <f t="shared" si="23"/>
        <v/>
      </c>
      <c r="L312" s="46" t="str">
        <f t="shared" si="24"/>
        <v/>
      </c>
      <c r="M312" s="35" t="str">
        <f>IF(B312="","",IF(E312="KXDDM","KXDDM – không ĐM",IF(E312&lt;&gt;"","Không KT ("&amp;E312&amp;")",IF(OR(K312="",L312=""),"Xem xét",IF(MAX(ABS(K312),ABS(L312))&lt;=ThongTin!$C$12,"OK","Xem xét")))))</f>
        <v/>
      </c>
    </row>
    <row r="313" spans="1:13" x14ac:dyDescent="0.25">
      <c r="A313" s="35" t="str">
        <f t="shared" si="20"/>
        <v/>
      </c>
      <c r="B313" s="35" t="str">
        <f>IF(BOM!A313="","",BOM!A313)</f>
        <v/>
      </c>
      <c r="C313" s="35" t="str">
        <f>IF(B313="","",BOM!B313)</f>
        <v/>
      </c>
      <c r="D313" s="35" t="str">
        <f>IF(B313="","",KT_DMTT_ChiTiet!E313)</f>
        <v/>
      </c>
      <c r="E313" s="36" t="str">
        <f>IF(B313="","",BOM!G313&amp;"")</f>
        <v/>
      </c>
      <c r="F313" s="39" t="str">
        <f>IF(B313="","",BOM!E313)</f>
        <v/>
      </c>
      <c r="G313" s="39" t="str">
        <f>IF(OR(B313="",E313="KXDDM"),"",BOM!F313)</f>
        <v/>
      </c>
      <c r="H313" s="39" t="str">
        <f>IF(OR(B313="",E313&lt;&gt;""),"",IFERROR(INDEX(KT_nguoc_theo_NL!$J$5:$J$304,MATCH(C313,KT_nguoc_theo_NL!$B$5:$B$304,0))/INDEX(KT_nguoc_theo_NL!$K$5:$K$304,MATCH(C313,KT_nguoc_theo_NL!$B$5:$B$304,0)),""))</f>
        <v/>
      </c>
      <c r="I313" s="39" t="str">
        <f t="shared" si="21"/>
        <v/>
      </c>
      <c r="J313" s="46" t="str">
        <f t="shared" si="22"/>
        <v/>
      </c>
      <c r="K313" s="46" t="str">
        <f t="shared" si="23"/>
        <v/>
      </c>
      <c r="L313" s="46" t="str">
        <f t="shared" si="24"/>
        <v/>
      </c>
      <c r="M313" s="35" t="str">
        <f>IF(B313="","",IF(E313="KXDDM","KXDDM – không ĐM",IF(E313&lt;&gt;"","Không KT ("&amp;E313&amp;")",IF(OR(K313="",L313=""),"Xem xét",IF(MAX(ABS(K313),ABS(L313))&lt;=ThongTin!$C$12,"OK","Xem xét")))))</f>
        <v/>
      </c>
    </row>
    <row r="314" spans="1:13" x14ac:dyDescent="0.25">
      <c r="A314" s="35" t="str">
        <f t="shared" si="20"/>
        <v/>
      </c>
      <c r="B314" s="35" t="str">
        <f>IF(BOM!A314="","",BOM!A314)</f>
        <v/>
      </c>
      <c r="C314" s="35" t="str">
        <f>IF(B314="","",BOM!B314)</f>
        <v/>
      </c>
      <c r="D314" s="35" t="str">
        <f>IF(B314="","",KT_DMTT_ChiTiet!E314)</f>
        <v/>
      </c>
      <c r="E314" s="36" t="str">
        <f>IF(B314="","",BOM!G314&amp;"")</f>
        <v/>
      </c>
      <c r="F314" s="39" t="str">
        <f>IF(B314="","",BOM!E314)</f>
        <v/>
      </c>
      <c r="G314" s="39" t="str">
        <f>IF(OR(B314="",E314="KXDDM"),"",BOM!F314)</f>
        <v/>
      </c>
      <c r="H314" s="39" t="str">
        <f>IF(OR(B314="",E314&lt;&gt;""),"",IFERROR(INDEX(KT_nguoc_theo_NL!$J$5:$J$304,MATCH(C314,KT_nguoc_theo_NL!$B$5:$B$304,0))/INDEX(KT_nguoc_theo_NL!$K$5:$K$304,MATCH(C314,KT_nguoc_theo_NL!$B$5:$B$304,0)),""))</f>
        <v/>
      </c>
      <c r="I314" s="39" t="str">
        <f t="shared" si="21"/>
        <v/>
      </c>
      <c r="J314" s="46" t="str">
        <f t="shared" si="22"/>
        <v/>
      </c>
      <c r="K314" s="46" t="str">
        <f t="shared" si="23"/>
        <v/>
      </c>
      <c r="L314" s="46" t="str">
        <f t="shared" si="24"/>
        <v/>
      </c>
      <c r="M314" s="35" t="str">
        <f>IF(B314="","",IF(E314="KXDDM","KXDDM – không ĐM",IF(E314&lt;&gt;"","Không KT ("&amp;E314&amp;")",IF(OR(K314="",L314=""),"Xem xét",IF(MAX(ABS(K314),ABS(L314))&lt;=ThongTin!$C$12,"OK","Xem xét")))))</f>
        <v/>
      </c>
    </row>
    <row r="315" spans="1:13" x14ac:dyDescent="0.25">
      <c r="A315" s="35" t="str">
        <f t="shared" si="20"/>
        <v/>
      </c>
      <c r="B315" s="35" t="str">
        <f>IF(BOM!A315="","",BOM!A315)</f>
        <v/>
      </c>
      <c r="C315" s="35" t="str">
        <f>IF(B315="","",BOM!B315)</f>
        <v/>
      </c>
      <c r="D315" s="35" t="str">
        <f>IF(B315="","",KT_DMTT_ChiTiet!E315)</f>
        <v/>
      </c>
      <c r="E315" s="36" t="str">
        <f>IF(B315="","",BOM!G315&amp;"")</f>
        <v/>
      </c>
      <c r="F315" s="39" t="str">
        <f>IF(B315="","",BOM!E315)</f>
        <v/>
      </c>
      <c r="G315" s="39" t="str">
        <f>IF(OR(B315="",E315="KXDDM"),"",BOM!F315)</f>
        <v/>
      </c>
      <c r="H315" s="39" t="str">
        <f>IF(OR(B315="",E315&lt;&gt;""),"",IFERROR(INDEX(KT_nguoc_theo_NL!$J$5:$J$304,MATCH(C315,KT_nguoc_theo_NL!$B$5:$B$304,0))/INDEX(KT_nguoc_theo_NL!$K$5:$K$304,MATCH(C315,KT_nguoc_theo_NL!$B$5:$B$304,0)),""))</f>
        <v/>
      </c>
      <c r="I315" s="39" t="str">
        <f t="shared" si="21"/>
        <v/>
      </c>
      <c r="J315" s="46" t="str">
        <f t="shared" si="22"/>
        <v/>
      </c>
      <c r="K315" s="46" t="str">
        <f t="shared" si="23"/>
        <v/>
      </c>
      <c r="L315" s="46" t="str">
        <f t="shared" si="24"/>
        <v/>
      </c>
      <c r="M315" s="35" t="str">
        <f>IF(B315="","",IF(E315="KXDDM","KXDDM – không ĐM",IF(E315&lt;&gt;"","Không KT ("&amp;E315&amp;")",IF(OR(K315="",L315=""),"Xem xét",IF(MAX(ABS(K315),ABS(L315))&lt;=ThongTin!$C$12,"OK","Xem xét")))))</f>
        <v/>
      </c>
    </row>
    <row r="316" spans="1:13" x14ac:dyDescent="0.25">
      <c r="A316" s="35" t="str">
        <f t="shared" si="20"/>
        <v/>
      </c>
      <c r="B316" s="35" t="str">
        <f>IF(BOM!A316="","",BOM!A316)</f>
        <v/>
      </c>
      <c r="C316" s="35" t="str">
        <f>IF(B316="","",BOM!B316)</f>
        <v/>
      </c>
      <c r="D316" s="35" t="str">
        <f>IF(B316="","",KT_DMTT_ChiTiet!E316)</f>
        <v/>
      </c>
      <c r="E316" s="36" t="str">
        <f>IF(B316="","",BOM!G316&amp;"")</f>
        <v/>
      </c>
      <c r="F316" s="39" t="str">
        <f>IF(B316="","",BOM!E316)</f>
        <v/>
      </c>
      <c r="G316" s="39" t="str">
        <f>IF(OR(B316="",E316="KXDDM"),"",BOM!F316)</f>
        <v/>
      </c>
      <c r="H316" s="39" t="str">
        <f>IF(OR(B316="",E316&lt;&gt;""),"",IFERROR(INDEX(KT_nguoc_theo_NL!$J$5:$J$304,MATCH(C316,KT_nguoc_theo_NL!$B$5:$B$304,0))/INDEX(KT_nguoc_theo_NL!$K$5:$K$304,MATCH(C316,KT_nguoc_theo_NL!$B$5:$B$304,0)),""))</f>
        <v/>
      </c>
      <c r="I316" s="39" t="str">
        <f t="shared" si="21"/>
        <v/>
      </c>
      <c r="J316" s="46" t="str">
        <f t="shared" si="22"/>
        <v/>
      </c>
      <c r="K316" s="46" t="str">
        <f t="shared" si="23"/>
        <v/>
      </c>
      <c r="L316" s="46" t="str">
        <f t="shared" si="24"/>
        <v/>
      </c>
      <c r="M316" s="35" t="str">
        <f>IF(B316="","",IF(E316="KXDDM","KXDDM – không ĐM",IF(E316&lt;&gt;"","Không KT ("&amp;E316&amp;")",IF(OR(K316="",L316=""),"Xem xét",IF(MAX(ABS(K316),ABS(L316))&lt;=ThongTin!$C$12,"OK","Xem xét")))))</f>
        <v/>
      </c>
    </row>
    <row r="317" spans="1:13" x14ac:dyDescent="0.25">
      <c r="A317" s="35" t="str">
        <f t="shared" si="20"/>
        <v/>
      </c>
      <c r="B317" s="35" t="str">
        <f>IF(BOM!A317="","",BOM!A317)</f>
        <v/>
      </c>
      <c r="C317" s="35" t="str">
        <f>IF(B317="","",BOM!B317)</f>
        <v/>
      </c>
      <c r="D317" s="35" t="str">
        <f>IF(B317="","",KT_DMTT_ChiTiet!E317)</f>
        <v/>
      </c>
      <c r="E317" s="36" t="str">
        <f>IF(B317="","",BOM!G317&amp;"")</f>
        <v/>
      </c>
      <c r="F317" s="39" t="str">
        <f>IF(B317="","",BOM!E317)</f>
        <v/>
      </c>
      <c r="G317" s="39" t="str">
        <f>IF(OR(B317="",E317="KXDDM"),"",BOM!F317)</f>
        <v/>
      </c>
      <c r="H317" s="39" t="str">
        <f>IF(OR(B317="",E317&lt;&gt;""),"",IFERROR(INDEX(KT_nguoc_theo_NL!$J$5:$J$304,MATCH(C317,KT_nguoc_theo_NL!$B$5:$B$304,0))/INDEX(KT_nguoc_theo_NL!$K$5:$K$304,MATCH(C317,KT_nguoc_theo_NL!$B$5:$B$304,0)),""))</f>
        <v/>
      </c>
      <c r="I317" s="39" t="str">
        <f t="shared" si="21"/>
        <v/>
      </c>
      <c r="J317" s="46" t="str">
        <f t="shared" si="22"/>
        <v/>
      </c>
      <c r="K317" s="46" t="str">
        <f t="shared" si="23"/>
        <v/>
      </c>
      <c r="L317" s="46" t="str">
        <f t="shared" si="24"/>
        <v/>
      </c>
      <c r="M317" s="35" t="str">
        <f>IF(B317="","",IF(E317="KXDDM","KXDDM – không ĐM",IF(E317&lt;&gt;"","Không KT ("&amp;E317&amp;")",IF(OR(K317="",L317=""),"Xem xét",IF(MAX(ABS(K317),ABS(L317))&lt;=ThongTin!$C$12,"OK","Xem xét")))))</f>
        <v/>
      </c>
    </row>
    <row r="318" spans="1:13" x14ac:dyDescent="0.25">
      <c r="A318" s="35" t="str">
        <f t="shared" si="20"/>
        <v/>
      </c>
      <c r="B318" s="35" t="str">
        <f>IF(BOM!A318="","",BOM!A318)</f>
        <v/>
      </c>
      <c r="C318" s="35" t="str">
        <f>IF(B318="","",BOM!B318)</f>
        <v/>
      </c>
      <c r="D318" s="35" t="str">
        <f>IF(B318="","",KT_DMTT_ChiTiet!E318)</f>
        <v/>
      </c>
      <c r="E318" s="36" t="str">
        <f>IF(B318="","",BOM!G318&amp;"")</f>
        <v/>
      </c>
      <c r="F318" s="39" t="str">
        <f>IF(B318="","",BOM!E318)</f>
        <v/>
      </c>
      <c r="G318" s="39" t="str">
        <f>IF(OR(B318="",E318="KXDDM"),"",BOM!F318)</f>
        <v/>
      </c>
      <c r="H318" s="39" t="str">
        <f>IF(OR(B318="",E318&lt;&gt;""),"",IFERROR(INDEX(KT_nguoc_theo_NL!$J$5:$J$304,MATCH(C318,KT_nguoc_theo_NL!$B$5:$B$304,0))/INDEX(KT_nguoc_theo_NL!$K$5:$K$304,MATCH(C318,KT_nguoc_theo_NL!$B$5:$B$304,0)),""))</f>
        <v/>
      </c>
      <c r="I318" s="39" t="str">
        <f t="shared" si="21"/>
        <v/>
      </c>
      <c r="J318" s="46" t="str">
        <f t="shared" si="22"/>
        <v/>
      </c>
      <c r="K318" s="46" t="str">
        <f t="shared" si="23"/>
        <v/>
      </c>
      <c r="L318" s="46" t="str">
        <f t="shared" si="24"/>
        <v/>
      </c>
      <c r="M318" s="35" t="str">
        <f>IF(B318="","",IF(E318="KXDDM","KXDDM – không ĐM",IF(E318&lt;&gt;"","Không KT ("&amp;E318&amp;")",IF(OR(K318="",L318=""),"Xem xét",IF(MAX(ABS(K318),ABS(L318))&lt;=ThongTin!$C$12,"OK","Xem xét")))))</f>
        <v/>
      </c>
    </row>
    <row r="319" spans="1:13" x14ac:dyDescent="0.25">
      <c r="A319" s="35" t="str">
        <f t="shared" si="20"/>
        <v/>
      </c>
      <c r="B319" s="35" t="str">
        <f>IF(BOM!A319="","",BOM!A319)</f>
        <v/>
      </c>
      <c r="C319" s="35" t="str">
        <f>IF(B319="","",BOM!B319)</f>
        <v/>
      </c>
      <c r="D319" s="35" t="str">
        <f>IF(B319="","",KT_DMTT_ChiTiet!E319)</f>
        <v/>
      </c>
      <c r="E319" s="36" t="str">
        <f>IF(B319="","",BOM!G319&amp;"")</f>
        <v/>
      </c>
      <c r="F319" s="39" t="str">
        <f>IF(B319="","",BOM!E319)</f>
        <v/>
      </c>
      <c r="G319" s="39" t="str">
        <f>IF(OR(B319="",E319="KXDDM"),"",BOM!F319)</f>
        <v/>
      </c>
      <c r="H319" s="39" t="str">
        <f>IF(OR(B319="",E319&lt;&gt;""),"",IFERROR(INDEX(KT_nguoc_theo_NL!$J$5:$J$304,MATCH(C319,KT_nguoc_theo_NL!$B$5:$B$304,0))/INDEX(KT_nguoc_theo_NL!$K$5:$K$304,MATCH(C319,KT_nguoc_theo_NL!$B$5:$B$304,0)),""))</f>
        <v/>
      </c>
      <c r="I319" s="39" t="str">
        <f t="shared" si="21"/>
        <v/>
      </c>
      <c r="J319" s="46" t="str">
        <f t="shared" si="22"/>
        <v/>
      </c>
      <c r="K319" s="46" t="str">
        <f t="shared" si="23"/>
        <v/>
      </c>
      <c r="L319" s="46" t="str">
        <f t="shared" si="24"/>
        <v/>
      </c>
      <c r="M319" s="35" t="str">
        <f>IF(B319="","",IF(E319="KXDDM","KXDDM – không ĐM",IF(E319&lt;&gt;"","Không KT ("&amp;E319&amp;")",IF(OR(K319="",L319=""),"Xem xét",IF(MAX(ABS(K319),ABS(L319))&lt;=ThongTin!$C$12,"OK","Xem xét")))))</f>
        <v/>
      </c>
    </row>
    <row r="320" spans="1:13" x14ac:dyDescent="0.25">
      <c r="A320" s="35" t="str">
        <f t="shared" si="20"/>
        <v/>
      </c>
      <c r="B320" s="35" t="str">
        <f>IF(BOM!A320="","",BOM!A320)</f>
        <v/>
      </c>
      <c r="C320" s="35" t="str">
        <f>IF(B320="","",BOM!B320)</f>
        <v/>
      </c>
      <c r="D320" s="35" t="str">
        <f>IF(B320="","",KT_DMTT_ChiTiet!E320)</f>
        <v/>
      </c>
      <c r="E320" s="36" t="str">
        <f>IF(B320="","",BOM!G320&amp;"")</f>
        <v/>
      </c>
      <c r="F320" s="39" t="str">
        <f>IF(B320="","",BOM!E320)</f>
        <v/>
      </c>
      <c r="G320" s="39" t="str">
        <f>IF(OR(B320="",E320="KXDDM"),"",BOM!F320)</f>
        <v/>
      </c>
      <c r="H320" s="39" t="str">
        <f>IF(OR(B320="",E320&lt;&gt;""),"",IFERROR(INDEX(KT_nguoc_theo_NL!$J$5:$J$304,MATCH(C320,KT_nguoc_theo_NL!$B$5:$B$304,0))/INDEX(KT_nguoc_theo_NL!$K$5:$K$304,MATCH(C320,KT_nguoc_theo_NL!$B$5:$B$304,0)),""))</f>
        <v/>
      </c>
      <c r="I320" s="39" t="str">
        <f t="shared" si="21"/>
        <v/>
      </c>
      <c r="J320" s="46" t="str">
        <f t="shared" si="22"/>
        <v/>
      </c>
      <c r="K320" s="46" t="str">
        <f t="shared" si="23"/>
        <v/>
      </c>
      <c r="L320" s="46" t="str">
        <f t="shared" si="24"/>
        <v/>
      </c>
      <c r="M320" s="35" t="str">
        <f>IF(B320="","",IF(E320="KXDDM","KXDDM – không ĐM",IF(E320&lt;&gt;"","Không KT ("&amp;E320&amp;")",IF(OR(K320="",L320=""),"Xem xét",IF(MAX(ABS(K320),ABS(L320))&lt;=ThongTin!$C$12,"OK","Xem xét")))))</f>
        <v/>
      </c>
    </row>
    <row r="321" spans="1:13" x14ac:dyDescent="0.25">
      <c r="A321" s="35" t="str">
        <f t="shared" si="20"/>
        <v/>
      </c>
      <c r="B321" s="35" t="str">
        <f>IF(BOM!A321="","",BOM!A321)</f>
        <v/>
      </c>
      <c r="C321" s="35" t="str">
        <f>IF(B321="","",BOM!B321)</f>
        <v/>
      </c>
      <c r="D321" s="35" t="str">
        <f>IF(B321="","",KT_DMTT_ChiTiet!E321)</f>
        <v/>
      </c>
      <c r="E321" s="36" t="str">
        <f>IF(B321="","",BOM!G321&amp;"")</f>
        <v/>
      </c>
      <c r="F321" s="39" t="str">
        <f>IF(B321="","",BOM!E321)</f>
        <v/>
      </c>
      <c r="G321" s="39" t="str">
        <f>IF(OR(B321="",E321="KXDDM"),"",BOM!F321)</f>
        <v/>
      </c>
      <c r="H321" s="39" t="str">
        <f>IF(OR(B321="",E321&lt;&gt;""),"",IFERROR(INDEX(KT_nguoc_theo_NL!$J$5:$J$304,MATCH(C321,KT_nguoc_theo_NL!$B$5:$B$304,0))/INDEX(KT_nguoc_theo_NL!$K$5:$K$304,MATCH(C321,KT_nguoc_theo_NL!$B$5:$B$304,0)),""))</f>
        <v/>
      </c>
      <c r="I321" s="39" t="str">
        <f t="shared" si="21"/>
        <v/>
      </c>
      <c r="J321" s="46" t="str">
        <f t="shared" si="22"/>
        <v/>
      </c>
      <c r="K321" s="46" t="str">
        <f t="shared" si="23"/>
        <v/>
      </c>
      <c r="L321" s="46" t="str">
        <f t="shared" si="24"/>
        <v/>
      </c>
      <c r="M321" s="35" t="str">
        <f>IF(B321="","",IF(E321="KXDDM","KXDDM – không ĐM",IF(E321&lt;&gt;"","Không KT ("&amp;E321&amp;")",IF(OR(K321="",L321=""),"Xem xét",IF(MAX(ABS(K321),ABS(L321))&lt;=ThongTin!$C$12,"OK","Xem xét")))))</f>
        <v/>
      </c>
    </row>
    <row r="322" spans="1:13" x14ac:dyDescent="0.25">
      <c r="A322" s="35" t="str">
        <f t="shared" si="20"/>
        <v/>
      </c>
      <c r="B322" s="35" t="str">
        <f>IF(BOM!A322="","",BOM!A322)</f>
        <v/>
      </c>
      <c r="C322" s="35" t="str">
        <f>IF(B322="","",BOM!B322)</f>
        <v/>
      </c>
      <c r="D322" s="35" t="str">
        <f>IF(B322="","",KT_DMTT_ChiTiet!E322)</f>
        <v/>
      </c>
      <c r="E322" s="36" t="str">
        <f>IF(B322="","",BOM!G322&amp;"")</f>
        <v/>
      </c>
      <c r="F322" s="39" t="str">
        <f>IF(B322="","",BOM!E322)</f>
        <v/>
      </c>
      <c r="G322" s="39" t="str">
        <f>IF(OR(B322="",E322="KXDDM"),"",BOM!F322)</f>
        <v/>
      </c>
      <c r="H322" s="39" t="str">
        <f>IF(OR(B322="",E322&lt;&gt;""),"",IFERROR(INDEX(KT_nguoc_theo_NL!$J$5:$J$304,MATCH(C322,KT_nguoc_theo_NL!$B$5:$B$304,0))/INDEX(KT_nguoc_theo_NL!$K$5:$K$304,MATCH(C322,KT_nguoc_theo_NL!$B$5:$B$304,0)),""))</f>
        <v/>
      </c>
      <c r="I322" s="39" t="str">
        <f t="shared" si="21"/>
        <v/>
      </c>
      <c r="J322" s="46" t="str">
        <f t="shared" si="22"/>
        <v/>
      </c>
      <c r="K322" s="46" t="str">
        <f t="shared" si="23"/>
        <v/>
      </c>
      <c r="L322" s="46" t="str">
        <f t="shared" si="24"/>
        <v/>
      </c>
      <c r="M322" s="35" t="str">
        <f>IF(B322="","",IF(E322="KXDDM","KXDDM – không ĐM",IF(E322&lt;&gt;"","Không KT ("&amp;E322&amp;")",IF(OR(K322="",L322=""),"Xem xét",IF(MAX(ABS(K322),ABS(L322))&lt;=ThongTin!$C$12,"OK","Xem xét")))))</f>
        <v/>
      </c>
    </row>
    <row r="323" spans="1:13" x14ac:dyDescent="0.25">
      <c r="A323" s="35" t="str">
        <f t="shared" si="20"/>
        <v/>
      </c>
      <c r="B323" s="35" t="str">
        <f>IF(BOM!A323="","",BOM!A323)</f>
        <v/>
      </c>
      <c r="C323" s="35" t="str">
        <f>IF(B323="","",BOM!B323)</f>
        <v/>
      </c>
      <c r="D323" s="35" t="str">
        <f>IF(B323="","",KT_DMTT_ChiTiet!E323)</f>
        <v/>
      </c>
      <c r="E323" s="36" t="str">
        <f>IF(B323="","",BOM!G323&amp;"")</f>
        <v/>
      </c>
      <c r="F323" s="39" t="str">
        <f>IF(B323="","",BOM!E323)</f>
        <v/>
      </c>
      <c r="G323" s="39" t="str">
        <f>IF(OR(B323="",E323="KXDDM"),"",BOM!F323)</f>
        <v/>
      </c>
      <c r="H323" s="39" t="str">
        <f>IF(OR(B323="",E323&lt;&gt;""),"",IFERROR(INDEX(KT_nguoc_theo_NL!$J$5:$J$304,MATCH(C323,KT_nguoc_theo_NL!$B$5:$B$304,0))/INDEX(KT_nguoc_theo_NL!$K$5:$K$304,MATCH(C323,KT_nguoc_theo_NL!$B$5:$B$304,0)),""))</f>
        <v/>
      </c>
      <c r="I323" s="39" t="str">
        <f t="shared" si="21"/>
        <v/>
      </c>
      <c r="J323" s="46" t="str">
        <f t="shared" si="22"/>
        <v/>
      </c>
      <c r="K323" s="46" t="str">
        <f t="shared" si="23"/>
        <v/>
      </c>
      <c r="L323" s="46" t="str">
        <f t="shared" si="24"/>
        <v/>
      </c>
      <c r="M323" s="35" t="str">
        <f>IF(B323="","",IF(E323="KXDDM","KXDDM – không ĐM",IF(E323&lt;&gt;"","Không KT ("&amp;E323&amp;")",IF(OR(K323="",L323=""),"Xem xét",IF(MAX(ABS(K323),ABS(L323))&lt;=ThongTin!$C$12,"OK","Xem xét")))))</f>
        <v/>
      </c>
    </row>
    <row r="324" spans="1:13" x14ac:dyDescent="0.25">
      <c r="A324" s="35" t="str">
        <f t="shared" si="20"/>
        <v/>
      </c>
      <c r="B324" s="35" t="str">
        <f>IF(BOM!A324="","",BOM!A324)</f>
        <v/>
      </c>
      <c r="C324" s="35" t="str">
        <f>IF(B324="","",BOM!B324)</f>
        <v/>
      </c>
      <c r="D324" s="35" t="str">
        <f>IF(B324="","",KT_DMTT_ChiTiet!E324)</f>
        <v/>
      </c>
      <c r="E324" s="36" t="str">
        <f>IF(B324="","",BOM!G324&amp;"")</f>
        <v/>
      </c>
      <c r="F324" s="39" t="str">
        <f>IF(B324="","",BOM!E324)</f>
        <v/>
      </c>
      <c r="G324" s="39" t="str">
        <f>IF(OR(B324="",E324="KXDDM"),"",BOM!F324)</f>
        <v/>
      </c>
      <c r="H324" s="39" t="str">
        <f>IF(OR(B324="",E324&lt;&gt;""),"",IFERROR(INDEX(KT_nguoc_theo_NL!$J$5:$J$304,MATCH(C324,KT_nguoc_theo_NL!$B$5:$B$304,0))/INDEX(KT_nguoc_theo_NL!$K$5:$K$304,MATCH(C324,KT_nguoc_theo_NL!$B$5:$B$304,0)),""))</f>
        <v/>
      </c>
      <c r="I324" s="39" t="str">
        <f t="shared" si="21"/>
        <v/>
      </c>
      <c r="J324" s="46" t="str">
        <f t="shared" si="22"/>
        <v/>
      </c>
      <c r="K324" s="46" t="str">
        <f t="shared" si="23"/>
        <v/>
      </c>
      <c r="L324" s="46" t="str">
        <f t="shared" si="24"/>
        <v/>
      </c>
      <c r="M324" s="35" t="str">
        <f>IF(B324="","",IF(E324="KXDDM","KXDDM – không ĐM",IF(E324&lt;&gt;"","Không KT ("&amp;E324&amp;")",IF(OR(K324="",L324=""),"Xem xét",IF(MAX(ABS(K324),ABS(L324))&lt;=ThongTin!$C$12,"OK","Xem xét")))))</f>
        <v/>
      </c>
    </row>
    <row r="325" spans="1:13" x14ac:dyDescent="0.25">
      <c r="A325" s="35" t="str">
        <f t="shared" ref="A325:A388" si="25">IF(B325="","",ROW()-4)</f>
        <v/>
      </c>
      <c r="B325" s="35" t="str">
        <f>IF(BOM!A325="","",BOM!A325)</f>
        <v/>
      </c>
      <c r="C325" s="35" t="str">
        <f>IF(B325="","",BOM!B325)</f>
        <v/>
      </c>
      <c r="D325" s="35" t="str">
        <f>IF(B325="","",KT_DMTT_ChiTiet!E325)</f>
        <v/>
      </c>
      <c r="E325" s="36" t="str">
        <f>IF(B325="","",BOM!G325&amp;"")</f>
        <v/>
      </c>
      <c r="F325" s="39" t="str">
        <f>IF(B325="","",BOM!E325)</f>
        <v/>
      </c>
      <c r="G325" s="39" t="str">
        <f>IF(OR(B325="",E325="KXDDM"),"",BOM!F325)</f>
        <v/>
      </c>
      <c r="H325" s="39" t="str">
        <f>IF(OR(B325="",E325&lt;&gt;""),"",IFERROR(INDEX(KT_nguoc_theo_NL!$J$5:$J$304,MATCH(C325,KT_nguoc_theo_NL!$B$5:$B$304,0))/INDEX(KT_nguoc_theo_NL!$K$5:$K$304,MATCH(C325,KT_nguoc_theo_NL!$B$5:$B$304,0)),""))</f>
        <v/>
      </c>
      <c r="I325" s="39" t="str">
        <f t="shared" ref="I325:I388" si="26">IF(OR(H325="",G325=""),"",G325*H325)</f>
        <v/>
      </c>
      <c r="J325" s="46" t="str">
        <f t="shared" ref="J325:J388" si="27">IF(OR(I325="",I325=0),"",(G325-I325)/I325)</f>
        <v/>
      </c>
      <c r="K325" s="46" t="str">
        <f t="shared" ref="K325:K388" si="28">IF(OR(G325="",F325="",F325=0),"",(G325-F325)/F325)</f>
        <v/>
      </c>
      <c r="L325" s="46" t="str">
        <f t="shared" ref="L325:L388" si="29">IF(OR(I325="",F325="",F325=0),"",(I325-F325)/F325)</f>
        <v/>
      </c>
      <c r="M325" s="35" t="str">
        <f>IF(B325="","",IF(E325="KXDDM","KXDDM – không ĐM",IF(E325&lt;&gt;"","Không KT ("&amp;E325&amp;")",IF(OR(K325="",L325=""),"Xem xét",IF(MAX(ABS(K325),ABS(L325))&lt;=ThongTin!$C$12,"OK","Xem xét")))))</f>
        <v/>
      </c>
    </row>
    <row r="326" spans="1:13" x14ac:dyDescent="0.25">
      <c r="A326" s="35" t="str">
        <f t="shared" si="25"/>
        <v/>
      </c>
      <c r="B326" s="35" t="str">
        <f>IF(BOM!A326="","",BOM!A326)</f>
        <v/>
      </c>
      <c r="C326" s="35" t="str">
        <f>IF(B326="","",BOM!B326)</f>
        <v/>
      </c>
      <c r="D326" s="35" t="str">
        <f>IF(B326="","",KT_DMTT_ChiTiet!E326)</f>
        <v/>
      </c>
      <c r="E326" s="36" t="str">
        <f>IF(B326="","",BOM!G326&amp;"")</f>
        <v/>
      </c>
      <c r="F326" s="39" t="str">
        <f>IF(B326="","",BOM!E326)</f>
        <v/>
      </c>
      <c r="G326" s="39" t="str">
        <f>IF(OR(B326="",E326="KXDDM"),"",BOM!F326)</f>
        <v/>
      </c>
      <c r="H326" s="39" t="str">
        <f>IF(OR(B326="",E326&lt;&gt;""),"",IFERROR(INDEX(KT_nguoc_theo_NL!$J$5:$J$304,MATCH(C326,KT_nguoc_theo_NL!$B$5:$B$304,0))/INDEX(KT_nguoc_theo_NL!$K$5:$K$304,MATCH(C326,KT_nguoc_theo_NL!$B$5:$B$304,0)),""))</f>
        <v/>
      </c>
      <c r="I326" s="39" t="str">
        <f t="shared" si="26"/>
        <v/>
      </c>
      <c r="J326" s="46" t="str">
        <f t="shared" si="27"/>
        <v/>
      </c>
      <c r="K326" s="46" t="str">
        <f t="shared" si="28"/>
        <v/>
      </c>
      <c r="L326" s="46" t="str">
        <f t="shared" si="29"/>
        <v/>
      </c>
      <c r="M326" s="35" t="str">
        <f>IF(B326="","",IF(E326="KXDDM","KXDDM – không ĐM",IF(E326&lt;&gt;"","Không KT ("&amp;E326&amp;")",IF(OR(K326="",L326=""),"Xem xét",IF(MAX(ABS(K326),ABS(L326))&lt;=ThongTin!$C$12,"OK","Xem xét")))))</f>
        <v/>
      </c>
    </row>
    <row r="327" spans="1:13" x14ac:dyDescent="0.25">
      <c r="A327" s="35" t="str">
        <f t="shared" si="25"/>
        <v/>
      </c>
      <c r="B327" s="35" t="str">
        <f>IF(BOM!A327="","",BOM!A327)</f>
        <v/>
      </c>
      <c r="C327" s="35" t="str">
        <f>IF(B327="","",BOM!B327)</f>
        <v/>
      </c>
      <c r="D327" s="35" t="str">
        <f>IF(B327="","",KT_DMTT_ChiTiet!E327)</f>
        <v/>
      </c>
      <c r="E327" s="36" t="str">
        <f>IF(B327="","",BOM!G327&amp;"")</f>
        <v/>
      </c>
      <c r="F327" s="39" t="str">
        <f>IF(B327="","",BOM!E327)</f>
        <v/>
      </c>
      <c r="G327" s="39" t="str">
        <f>IF(OR(B327="",E327="KXDDM"),"",BOM!F327)</f>
        <v/>
      </c>
      <c r="H327" s="39" t="str">
        <f>IF(OR(B327="",E327&lt;&gt;""),"",IFERROR(INDEX(KT_nguoc_theo_NL!$J$5:$J$304,MATCH(C327,KT_nguoc_theo_NL!$B$5:$B$304,0))/INDEX(KT_nguoc_theo_NL!$K$5:$K$304,MATCH(C327,KT_nguoc_theo_NL!$B$5:$B$304,0)),""))</f>
        <v/>
      </c>
      <c r="I327" s="39" t="str">
        <f t="shared" si="26"/>
        <v/>
      </c>
      <c r="J327" s="46" t="str">
        <f t="shared" si="27"/>
        <v/>
      </c>
      <c r="K327" s="46" t="str">
        <f t="shared" si="28"/>
        <v/>
      </c>
      <c r="L327" s="46" t="str">
        <f t="shared" si="29"/>
        <v/>
      </c>
      <c r="M327" s="35" t="str">
        <f>IF(B327="","",IF(E327="KXDDM","KXDDM – không ĐM",IF(E327&lt;&gt;"","Không KT ("&amp;E327&amp;")",IF(OR(K327="",L327=""),"Xem xét",IF(MAX(ABS(K327),ABS(L327))&lt;=ThongTin!$C$12,"OK","Xem xét")))))</f>
        <v/>
      </c>
    </row>
    <row r="328" spans="1:13" x14ac:dyDescent="0.25">
      <c r="A328" s="35" t="str">
        <f t="shared" si="25"/>
        <v/>
      </c>
      <c r="B328" s="35" t="str">
        <f>IF(BOM!A328="","",BOM!A328)</f>
        <v/>
      </c>
      <c r="C328" s="35" t="str">
        <f>IF(B328="","",BOM!B328)</f>
        <v/>
      </c>
      <c r="D328" s="35" t="str">
        <f>IF(B328="","",KT_DMTT_ChiTiet!E328)</f>
        <v/>
      </c>
      <c r="E328" s="36" t="str">
        <f>IF(B328="","",BOM!G328&amp;"")</f>
        <v/>
      </c>
      <c r="F328" s="39" t="str">
        <f>IF(B328="","",BOM!E328)</f>
        <v/>
      </c>
      <c r="G328" s="39" t="str">
        <f>IF(OR(B328="",E328="KXDDM"),"",BOM!F328)</f>
        <v/>
      </c>
      <c r="H328" s="39" t="str">
        <f>IF(OR(B328="",E328&lt;&gt;""),"",IFERROR(INDEX(KT_nguoc_theo_NL!$J$5:$J$304,MATCH(C328,KT_nguoc_theo_NL!$B$5:$B$304,0))/INDEX(KT_nguoc_theo_NL!$K$5:$K$304,MATCH(C328,KT_nguoc_theo_NL!$B$5:$B$304,0)),""))</f>
        <v/>
      </c>
      <c r="I328" s="39" t="str">
        <f t="shared" si="26"/>
        <v/>
      </c>
      <c r="J328" s="46" t="str">
        <f t="shared" si="27"/>
        <v/>
      </c>
      <c r="K328" s="46" t="str">
        <f t="shared" si="28"/>
        <v/>
      </c>
      <c r="L328" s="46" t="str">
        <f t="shared" si="29"/>
        <v/>
      </c>
      <c r="M328" s="35" t="str">
        <f>IF(B328="","",IF(E328="KXDDM","KXDDM – không ĐM",IF(E328&lt;&gt;"","Không KT ("&amp;E328&amp;")",IF(OR(K328="",L328=""),"Xem xét",IF(MAX(ABS(K328),ABS(L328))&lt;=ThongTin!$C$12,"OK","Xem xét")))))</f>
        <v/>
      </c>
    </row>
    <row r="329" spans="1:13" x14ac:dyDescent="0.25">
      <c r="A329" s="35" t="str">
        <f t="shared" si="25"/>
        <v/>
      </c>
      <c r="B329" s="35" t="str">
        <f>IF(BOM!A329="","",BOM!A329)</f>
        <v/>
      </c>
      <c r="C329" s="35" t="str">
        <f>IF(B329="","",BOM!B329)</f>
        <v/>
      </c>
      <c r="D329" s="35" t="str">
        <f>IF(B329="","",KT_DMTT_ChiTiet!E329)</f>
        <v/>
      </c>
      <c r="E329" s="36" t="str">
        <f>IF(B329="","",BOM!G329&amp;"")</f>
        <v/>
      </c>
      <c r="F329" s="39" t="str">
        <f>IF(B329="","",BOM!E329)</f>
        <v/>
      </c>
      <c r="G329" s="39" t="str">
        <f>IF(OR(B329="",E329="KXDDM"),"",BOM!F329)</f>
        <v/>
      </c>
      <c r="H329" s="39" t="str">
        <f>IF(OR(B329="",E329&lt;&gt;""),"",IFERROR(INDEX(KT_nguoc_theo_NL!$J$5:$J$304,MATCH(C329,KT_nguoc_theo_NL!$B$5:$B$304,0))/INDEX(KT_nguoc_theo_NL!$K$5:$K$304,MATCH(C329,KT_nguoc_theo_NL!$B$5:$B$304,0)),""))</f>
        <v/>
      </c>
      <c r="I329" s="39" t="str">
        <f t="shared" si="26"/>
        <v/>
      </c>
      <c r="J329" s="46" t="str">
        <f t="shared" si="27"/>
        <v/>
      </c>
      <c r="K329" s="46" t="str">
        <f t="shared" si="28"/>
        <v/>
      </c>
      <c r="L329" s="46" t="str">
        <f t="shared" si="29"/>
        <v/>
      </c>
      <c r="M329" s="35" t="str">
        <f>IF(B329="","",IF(E329="KXDDM","KXDDM – không ĐM",IF(E329&lt;&gt;"","Không KT ("&amp;E329&amp;")",IF(OR(K329="",L329=""),"Xem xét",IF(MAX(ABS(K329),ABS(L329))&lt;=ThongTin!$C$12,"OK","Xem xét")))))</f>
        <v/>
      </c>
    </row>
    <row r="330" spans="1:13" x14ac:dyDescent="0.25">
      <c r="A330" s="35" t="str">
        <f t="shared" si="25"/>
        <v/>
      </c>
      <c r="B330" s="35" t="str">
        <f>IF(BOM!A330="","",BOM!A330)</f>
        <v/>
      </c>
      <c r="C330" s="35" t="str">
        <f>IF(B330="","",BOM!B330)</f>
        <v/>
      </c>
      <c r="D330" s="35" t="str">
        <f>IF(B330="","",KT_DMTT_ChiTiet!E330)</f>
        <v/>
      </c>
      <c r="E330" s="36" t="str">
        <f>IF(B330="","",BOM!G330&amp;"")</f>
        <v/>
      </c>
      <c r="F330" s="39" t="str">
        <f>IF(B330="","",BOM!E330)</f>
        <v/>
      </c>
      <c r="G330" s="39" t="str">
        <f>IF(OR(B330="",E330="KXDDM"),"",BOM!F330)</f>
        <v/>
      </c>
      <c r="H330" s="39" t="str">
        <f>IF(OR(B330="",E330&lt;&gt;""),"",IFERROR(INDEX(KT_nguoc_theo_NL!$J$5:$J$304,MATCH(C330,KT_nguoc_theo_NL!$B$5:$B$304,0))/INDEX(KT_nguoc_theo_NL!$K$5:$K$304,MATCH(C330,KT_nguoc_theo_NL!$B$5:$B$304,0)),""))</f>
        <v/>
      </c>
      <c r="I330" s="39" t="str">
        <f t="shared" si="26"/>
        <v/>
      </c>
      <c r="J330" s="46" t="str">
        <f t="shared" si="27"/>
        <v/>
      </c>
      <c r="K330" s="46" t="str">
        <f t="shared" si="28"/>
        <v/>
      </c>
      <c r="L330" s="46" t="str">
        <f t="shared" si="29"/>
        <v/>
      </c>
      <c r="M330" s="35" t="str">
        <f>IF(B330="","",IF(E330="KXDDM","KXDDM – không ĐM",IF(E330&lt;&gt;"","Không KT ("&amp;E330&amp;")",IF(OR(K330="",L330=""),"Xem xét",IF(MAX(ABS(K330),ABS(L330))&lt;=ThongTin!$C$12,"OK","Xem xét")))))</f>
        <v/>
      </c>
    </row>
    <row r="331" spans="1:13" x14ac:dyDescent="0.25">
      <c r="A331" s="35" t="str">
        <f t="shared" si="25"/>
        <v/>
      </c>
      <c r="B331" s="35" t="str">
        <f>IF(BOM!A331="","",BOM!A331)</f>
        <v/>
      </c>
      <c r="C331" s="35" t="str">
        <f>IF(B331="","",BOM!B331)</f>
        <v/>
      </c>
      <c r="D331" s="35" t="str">
        <f>IF(B331="","",KT_DMTT_ChiTiet!E331)</f>
        <v/>
      </c>
      <c r="E331" s="36" t="str">
        <f>IF(B331="","",BOM!G331&amp;"")</f>
        <v/>
      </c>
      <c r="F331" s="39" t="str">
        <f>IF(B331="","",BOM!E331)</f>
        <v/>
      </c>
      <c r="G331" s="39" t="str">
        <f>IF(OR(B331="",E331="KXDDM"),"",BOM!F331)</f>
        <v/>
      </c>
      <c r="H331" s="39" t="str">
        <f>IF(OR(B331="",E331&lt;&gt;""),"",IFERROR(INDEX(KT_nguoc_theo_NL!$J$5:$J$304,MATCH(C331,KT_nguoc_theo_NL!$B$5:$B$304,0))/INDEX(KT_nguoc_theo_NL!$K$5:$K$304,MATCH(C331,KT_nguoc_theo_NL!$B$5:$B$304,0)),""))</f>
        <v/>
      </c>
      <c r="I331" s="39" t="str">
        <f t="shared" si="26"/>
        <v/>
      </c>
      <c r="J331" s="46" t="str">
        <f t="shared" si="27"/>
        <v/>
      </c>
      <c r="K331" s="46" t="str">
        <f t="shared" si="28"/>
        <v/>
      </c>
      <c r="L331" s="46" t="str">
        <f t="shared" si="29"/>
        <v/>
      </c>
      <c r="M331" s="35" t="str">
        <f>IF(B331="","",IF(E331="KXDDM","KXDDM – không ĐM",IF(E331&lt;&gt;"","Không KT ("&amp;E331&amp;")",IF(OR(K331="",L331=""),"Xem xét",IF(MAX(ABS(K331),ABS(L331))&lt;=ThongTin!$C$12,"OK","Xem xét")))))</f>
        <v/>
      </c>
    </row>
    <row r="332" spans="1:13" x14ac:dyDescent="0.25">
      <c r="A332" s="35" t="str">
        <f t="shared" si="25"/>
        <v/>
      </c>
      <c r="B332" s="35" t="str">
        <f>IF(BOM!A332="","",BOM!A332)</f>
        <v/>
      </c>
      <c r="C332" s="35" t="str">
        <f>IF(B332="","",BOM!B332)</f>
        <v/>
      </c>
      <c r="D332" s="35" t="str">
        <f>IF(B332="","",KT_DMTT_ChiTiet!E332)</f>
        <v/>
      </c>
      <c r="E332" s="36" t="str">
        <f>IF(B332="","",BOM!G332&amp;"")</f>
        <v/>
      </c>
      <c r="F332" s="39" t="str">
        <f>IF(B332="","",BOM!E332)</f>
        <v/>
      </c>
      <c r="G332" s="39" t="str">
        <f>IF(OR(B332="",E332="KXDDM"),"",BOM!F332)</f>
        <v/>
      </c>
      <c r="H332" s="39" t="str">
        <f>IF(OR(B332="",E332&lt;&gt;""),"",IFERROR(INDEX(KT_nguoc_theo_NL!$J$5:$J$304,MATCH(C332,KT_nguoc_theo_NL!$B$5:$B$304,0))/INDEX(KT_nguoc_theo_NL!$K$5:$K$304,MATCH(C332,KT_nguoc_theo_NL!$B$5:$B$304,0)),""))</f>
        <v/>
      </c>
      <c r="I332" s="39" t="str">
        <f t="shared" si="26"/>
        <v/>
      </c>
      <c r="J332" s="46" t="str">
        <f t="shared" si="27"/>
        <v/>
      </c>
      <c r="K332" s="46" t="str">
        <f t="shared" si="28"/>
        <v/>
      </c>
      <c r="L332" s="46" t="str">
        <f t="shared" si="29"/>
        <v/>
      </c>
      <c r="M332" s="35" t="str">
        <f>IF(B332="","",IF(E332="KXDDM","KXDDM – không ĐM",IF(E332&lt;&gt;"","Không KT ("&amp;E332&amp;")",IF(OR(K332="",L332=""),"Xem xét",IF(MAX(ABS(K332),ABS(L332))&lt;=ThongTin!$C$12,"OK","Xem xét")))))</f>
        <v/>
      </c>
    </row>
    <row r="333" spans="1:13" x14ac:dyDescent="0.25">
      <c r="A333" s="35" t="str">
        <f t="shared" si="25"/>
        <v/>
      </c>
      <c r="B333" s="35" t="str">
        <f>IF(BOM!A333="","",BOM!A333)</f>
        <v/>
      </c>
      <c r="C333" s="35" t="str">
        <f>IF(B333="","",BOM!B333)</f>
        <v/>
      </c>
      <c r="D333" s="35" t="str">
        <f>IF(B333="","",KT_DMTT_ChiTiet!E333)</f>
        <v/>
      </c>
      <c r="E333" s="36" t="str">
        <f>IF(B333="","",BOM!G333&amp;"")</f>
        <v/>
      </c>
      <c r="F333" s="39" t="str">
        <f>IF(B333="","",BOM!E333)</f>
        <v/>
      </c>
      <c r="G333" s="39" t="str">
        <f>IF(OR(B333="",E333="KXDDM"),"",BOM!F333)</f>
        <v/>
      </c>
      <c r="H333" s="39" t="str">
        <f>IF(OR(B333="",E333&lt;&gt;""),"",IFERROR(INDEX(KT_nguoc_theo_NL!$J$5:$J$304,MATCH(C333,KT_nguoc_theo_NL!$B$5:$B$304,0))/INDEX(KT_nguoc_theo_NL!$K$5:$K$304,MATCH(C333,KT_nguoc_theo_NL!$B$5:$B$304,0)),""))</f>
        <v/>
      </c>
      <c r="I333" s="39" t="str">
        <f t="shared" si="26"/>
        <v/>
      </c>
      <c r="J333" s="46" t="str">
        <f t="shared" si="27"/>
        <v/>
      </c>
      <c r="K333" s="46" t="str">
        <f t="shared" si="28"/>
        <v/>
      </c>
      <c r="L333" s="46" t="str">
        <f t="shared" si="29"/>
        <v/>
      </c>
      <c r="M333" s="35" t="str">
        <f>IF(B333="","",IF(E333="KXDDM","KXDDM – không ĐM",IF(E333&lt;&gt;"","Không KT ("&amp;E333&amp;")",IF(OR(K333="",L333=""),"Xem xét",IF(MAX(ABS(K333),ABS(L333))&lt;=ThongTin!$C$12,"OK","Xem xét")))))</f>
        <v/>
      </c>
    </row>
    <row r="334" spans="1:13" x14ac:dyDescent="0.25">
      <c r="A334" s="35" t="str">
        <f t="shared" si="25"/>
        <v/>
      </c>
      <c r="B334" s="35" t="str">
        <f>IF(BOM!A334="","",BOM!A334)</f>
        <v/>
      </c>
      <c r="C334" s="35" t="str">
        <f>IF(B334="","",BOM!B334)</f>
        <v/>
      </c>
      <c r="D334" s="35" t="str">
        <f>IF(B334="","",KT_DMTT_ChiTiet!E334)</f>
        <v/>
      </c>
      <c r="E334" s="36" t="str">
        <f>IF(B334="","",BOM!G334&amp;"")</f>
        <v/>
      </c>
      <c r="F334" s="39" t="str">
        <f>IF(B334="","",BOM!E334)</f>
        <v/>
      </c>
      <c r="G334" s="39" t="str">
        <f>IF(OR(B334="",E334="KXDDM"),"",BOM!F334)</f>
        <v/>
      </c>
      <c r="H334" s="39" t="str">
        <f>IF(OR(B334="",E334&lt;&gt;""),"",IFERROR(INDEX(KT_nguoc_theo_NL!$J$5:$J$304,MATCH(C334,KT_nguoc_theo_NL!$B$5:$B$304,0))/INDEX(KT_nguoc_theo_NL!$K$5:$K$304,MATCH(C334,KT_nguoc_theo_NL!$B$5:$B$304,0)),""))</f>
        <v/>
      </c>
      <c r="I334" s="39" t="str">
        <f t="shared" si="26"/>
        <v/>
      </c>
      <c r="J334" s="46" t="str">
        <f t="shared" si="27"/>
        <v/>
      </c>
      <c r="K334" s="46" t="str">
        <f t="shared" si="28"/>
        <v/>
      </c>
      <c r="L334" s="46" t="str">
        <f t="shared" si="29"/>
        <v/>
      </c>
      <c r="M334" s="35" t="str">
        <f>IF(B334="","",IF(E334="KXDDM","KXDDM – không ĐM",IF(E334&lt;&gt;"","Không KT ("&amp;E334&amp;")",IF(OR(K334="",L334=""),"Xem xét",IF(MAX(ABS(K334),ABS(L334))&lt;=ThongTin!$C$12,"OK","Xem xét")))))</f>
        <v/>
      </c>
    </row>
    <row r="335" spans="1:13" x14ac:dyDescent="0.25">
      <c r="A335" s="35" t="str">
        <f t="shared" si="25"/>
        <v/>
      </c>
      <c r="B335" s="35" t="str">
        <f>IF(BOM!A335="","",BOM!A335)</f>
        <v/>
      </c>
      <c r="C335" s="35" t="str">
        <f>IF(B335="","",BOM!B335)</f>
        <v/>
      </c>
      <c r="D335" s="35" t="str">
        <f>IF(B335="","",KT_DMTT_ChiTiet!E335)</f>
        <v/>
      </c>
      <c r="E335" s="36" t="str">
        <f>IF(B335="","",BOM!G335&amp;"")</f>
        <v/>
      </c>
      <c r="F335" s="39" t="str">
        <f>IF(B335="","",BOM!E335)</f>
        <v/>
      </c>
      <c r="G335" s="39" t="str">
        <f>IF(OR(B335="",E335="KXDDM"),"",BOM!F335)</f>
        <v/>
      </c>
      <c r="H335" s="39" t="str">
        <f>IF(OR(B335="",E335&lt;&gt;""),"",IFERROR(INDEX(KT_nguoc_theo_NL!$J$5:$J$304,MATCH(C335,KT_nguoc_theo_NL!$B$5:$B$304,0))/INDEX(KT_nguoc_theo_NL!$K$5:$K$304,MATCH(C335,KT_nguoc_theo_NL!$B$5:$B$304,0)),""))</f>
        <v/>
      </c>
      <c r="I335" s="39" t="str">
        <f t="shared" si="26"/>
        <v/>
      </c>
      <c r="J335" s="46" t="str">
        <f t="shared" si="27"/>
        <v/>
      </c>
      <c r="K335" s="46" t="str">
        <f t="shared" si="28"/>
        <v/>
      </c>
      <c r="L335" s="46" t="str">
        <f t="shared" si="29"/>
        <v/>
      </c>
      <c r="M335" s="35" t="str">
        <f>IF(B335="","",IF(E335="KXDDM","KXDDM – không ĐM",IF(E335&lt;&gt;"","Không KT ("&amp;E335&amp;")",IF(OR(K335="",L335=""),"Xem xét",IF(MAX(ABS(K335),ABS(L335))&lt;=ThongTin!$C$12,"OK","Xem xét")))))</f>
        <v/>
      </c>
    </row>
    <row r="336" spans="1:13" x14ac:dyDescent="0.25">
      <c r="A336" s="35" t="str">
        <f t="shared" si="25"/>
        <v/>
      </c>
      <c r="B336" s="35" t="str">
        <f>IF(BOM!A336="","",BOM!A336)</f>
        <v/>
      </c>
      <c r="C336" s="35" t="str">
        <f>IF(B336="","",BOM!B336)</f>
        <v/>
      </c>
      <c r="D336" s="35" t="str">
        <f>IF(B336="","",KT_DMTT_ChiTiet!E336)</f>
        <v/>
      </c>
      <c r="E336" s="36" t="str">
        <f>IF(B336="","",BOM!G336&amp;"")</f>
        <v/>
      </c>
      <c r="F336" s="39" t="str">
        <f>IF(B336="","",BOM!E336)</f>
        <v/>
      </c>
      <c r="G336" s="39" t="str">
        <f>IF(OR(B336="",E336="KXDDM"),"",BOM!F336)</f>
        <v/>
      </c>
      <c r="H336" s="39" t="str">
        <f>IF(OR(B336="",E336&lt;&gt;""),"",IFERROR(INDEX(KT_nguoc_theo_NL!$J$5:$J$304,MATCH(C336,KT_nguoc_theo_NL!$B$5:$B$304,0))/INDEX(KT_nguoc_theo_NL!$K$5:$K$304,MATCH(C336,KT_nguoc_theo_NL!$B$5:$B$304,0)),""))</f>
        <v/>
      </c>
      <c r="I336" s="39" t="str">
        <f t="shared" si="26"/>
        <v/>
      </c>
      <c r="J336" s="46" t="str">
        <f t="shared" si="27"/>
        <v/>
      </c>
      <c r="K336" s="46" t="str">
        <f t="shared" si="28"/>
        <v/>
      </c>
      <c r="L336" s="46" t="str">
        <f t="shared" si="29"/>
        <v/>
      </c>
      <c r="M336" s="35" t="str">
        <f>IF(B336="","",IF(E336="KXDDM","KXDDM – không ĐM",IF(E336&lt;&gt;"","Không KT ("&amp;E336&amp;")",IF(OR(K336="",L336=""),"Xem xét",IF(MAX(ABS(K336),ABS(L336))&lt;=ThongTin!$C$12,"OK","Xem xét")))))</f>
        <v/>
      </c>
    </row>
    <row r="337" spans="1:13" x14ac:dyDescent="0.25">
      <c r="A337" s="35" t="str">
        <f t="shared" si="25"/>
        <v/>
      </c>
      <c r="B337" s="35" t="str">
        <f>IF(BOM!A337="","",BOM!A337)</f>
        <v/>
      </c>
      <c r="C337" s="35" t="str">
        <f>IF(B337="","",BOM!B337)</f>
        <v/>
      </c>
      <c r="D337" s="35" t="str">
        <f>IF(B337="","",KT_DMTT_ChiTiet!E337)</f>
        <v/>
      </c>
      <c r="E337" s="36" t="str">
        <f>IF(B337="","",BOM!G337&amp;"")</f>
        <v/>
      </c>
      <c r="F337" s="39" t="str">
        <f>IF(B337="","",BOM!E337)</f>
        <v/>
      </c>
      <c r="G337" s="39" t="str">
        <f>IF(OR(B337="",E337="KXDDM"),"",BOM!F337)</f>
        <v/>
      </c>
      <c r="H337" s="39" t="str">
        <f>IF(OR(B337="",E337&lt;&gt;""),"",IFERROR(INDEX(KT_nguoc_theo_NL!$J$5:$J$304,MATCH(C337,KT_nguoc_theo_NL!$B$5:$B$304,0))/INDEX(KT_nguoc_theo_NL!$K$5:$K$304,MATCH(C337,KT_nguoc_theo_NL!$B$5:$B$304,0)),""))</f>
        <v/>
      </c>
      <c r="I337" s="39" t="str">
        <f t="shared" si="26"/>
        <v/>
      </c>
      <c r="J337" s="46" t="str">
        <f t="shared" si="27"/>
        <v/>
      </c>
      <c r="K337" s="46" t="str">
        <f t="shared" si="28"/>
        <v/>
      </c>
      <c r="L337" s="46" t="str">
        <f t="shared" si="29"/>
        <v/>
      </c>
      <c r="M337" s="35" t="str">
        <f>IF(B337="","",IF(E337="KXDDM","KXDDM – không ĐM",IF(E337&lt;&gt;"","Không KT ("&amp;E337&amp;")",IF(OR(K337="",L337=""),"Xem xét",IF(MAX(ABS(K337),ABS(L337))&lt;=ThongTin!$C$12,"OK","Xem xét")))))</f>
        <v/>
      </c>
    </row>
    <row r="338" spans="1:13" x14ac:dyDescent="0.25">
      <c r="A338" s="35" t="str">
        <f t="shared" si="25"/>
        <v/>
      </c>
      <c r="B338" s="35" t="str">
        <f>IF(BOM!A338="","",BOM!A338)</f>
        <v/>
      </c>
      <c r="C338" s="35" t="str">
        <f>IF(B338="","",BOM!B338)</f>
        <v/>
      </c>
      <c r="D338" s="35" t="str">
        <f>IF(B338="","",KT_DMTT_ChiTiet!E338)</f>
        <v/>
      </c>
      <c r="E338" s="36" t="str">
        <f>IF(B338="","",BOM!G338&amp;"")</f>
        <v/>
      </c>
      <c r="F338" s="39" t="str">
        <f>IF(B338="","",BOM!E338)</f>
        <v/>
      </c>
      <c r="G338" s="39" t="str">
        <f>IF(OR(B338="",E338="KXDDM"),"",BOM!F338)</f>
        <v/>
      </c>
      <c r="H338" s="39" t="str">
        <f>IF(OR(B338="",E338&lt;&gt;""),"",IFERROR(INDEX(KT_nguoc_theo_NL!$J$5:$J$304,MATCH(C338,KT_nguoc_theo_NL!$B$5:$B$304,0))/INDEX(KT_nguoc_theo_NL!$K$5:$K$304,MATCH(C338,KT_nguoc_theo_NL!$B$5:$B$304,0)),""))</f>
        <v/>
      </c>
      <c r="I338" s="39" t="str">
        <f t="shared" si="26"/>
        <v/>
      </c>
      <c r="J338" s="46" t="str">
        <f t="shared" si="27"/>
        <v/>
      </c>
      <c r="K338" s="46" t="str">
        <f t="shared" si="28"/>
        <v/>
      </c>
      <c r="L338" s="46" t="str">
        <f t="shared" si="29"/>
        <v/>
      </c>
      <c r="M338" s="35" t="str">
        <f>IF(B338="","",IF(E338="KXDDM","KXDDM – không ĐM",IF(E338&lt;&gt;"","Không KT ("&amp;E338&amp;")",IF(OR(K338="",L338=""),"Xem xét",IF(MAX(ABS(K338),ABS(L338))&lt;=ThongTin!$C$12,"OK","Xem xét")))))</f>
        <v/>
      </c>
    </row>
    <row r="339" spans="1:13" x14ac:dyDescent="0.25">
      <c r="A339" s="35" t="str">
        <f t="shared" si="25"/>
        <v/>
      </c>
      <c r="B339" s="35" t="str">
        <f>IF(BOM!A339="","",BOM!A339)</f>
        <v/>
      </c>
      <c r="C339" s="35" t="str">
        <f>IF(B339="","",BOM!B339)</f>
        <v/>
      </c>
      <c r="D339" s="35" t="str">
        <f>IF(B339="","",KT_DMTT_ChiTiet!E339)</f>
        <v/>
      </c>
      <c r="E339" s="36" t="str">
        <f>IF(B339="","",BOM!G339&amp;"")</f>
        <v/>
      </c>
      <c r="F339" s="39" t="str">
        <f>IF(B339="","",BOM!E339)</f>
        <v/>
      </c>
      <c r="G339" s="39" t="str">
        <f>IF(OR(B339="",E339="KXDDM"),"",BOM!F339)</f>
        <v/>
      </c>
      <c r="H339" s="39" t="str">
        <f>IF(OR(B339="",E339&lt;&gt;""),"",IFERROR(INDEX(KT_nguoc_theo_NL!$J$5:$J$304,MATCH(C339,KT_nguoc_theo_NL!$B$5:$B$304,0))/INDEX(KT_nguoc_theo_NL!$K$5:$K$304,MATCH(C339,KT_nguoc_theo_NL!$B$5:$B$304,0)),""))</f>
        <v/>
      </c>
      <c r="I339" s="39" t="str">
        <f t="shared" si="26"/>
        <v/>
      </c>
      <c r="J339" s="46" t="str">
        <f t="shared" si="27"/>
        <v/>
      </c>
      <c r="K339" s="46" t="str">
        <f t="shared" si="28"/>
        <v/>
      </c>
      <c r="L339" s="46" t="str">
        <f t="shared" si="29"/>
        <v/>
      </c>
      <c r="M339" s="35" t="str">
        <f>IF(B339="","",IF(E339="KXDDM","KXDDM – không ĐM",IF(E339&lt;&gt;"","Không KT ("&amp;E339&amp;")",IF(OR(K339="",L339=""),"Xem xét",IF(MAX(ABS(K339),ABS(L339))&lt;=ThongTin!$C$12,"OK","Xem xét")))))</f>
        <v/>
      </c>
    </row>
    <row r="340" spans="1:13" x14ac:dyDescent="0.25">
      <c r="A340" s="35" t="str">
        <f t="shared" si="25"/>
        <v/>
      </c>
      <c r="B340" s="35" t="str">
        <f>IF(BOM!A340="","",BOM!A340)</f>
        <v/>
      </c>
      <c r="C340" s="35" t="str">
        <f>IF(B340="","",BOM!B340)</f>
        <v/>
      </c>
      <c r="D340" s="35" t="str">
        <f>IF(B340="","",KT_DMTT_ChiTiet!E340)</f>
        <v/>
      </c>
      <c r="E340" s="36" t="str">
        <f>IF(B340="","",BOM!G340&amp;"")</f>
        <v/>
      </c>
      <c r="F340" s="39" t="str">
        <f>IF(B340="","",BOM!E340)</f>
        <v/>
      </c>
      <c r="G340" s="39" t="str">
        <f>IF(OR(B340="",E340="KXDDM"),"",BOM!F340)</f>
        <v/>
      </c>
      <c r="H340" s="39" t="str">
        <f>IF(OR(B340="",E340&lt;&gt;""),"",IFERROR(INDEX(KT_nguoc_theo_NL!$J$5:$J$304,MATCH(C340,KT_nguoc_theo_NL!$B$5:$B$304,0))/INDEX(KT_nguoc_theo_NL!$K$5:$K$304,MATCH(C340,KT_nguoc_theo_NL!$B$5:$B$304,0)),""))</f>
        <v/>
      </c>
      <c r="I340" s="39" t="str">
        <f t="shared" si="26"/>
        <v/>
      </c>
      <c r="J340" s="46" t="str">
        <f t="shared" si="27"/>
        <v/>
      </c>
      <c r="K340" s="46" t="str">
        <f t="shared" si="28"/>
        <v/>
      </c>
      <c r="L340" s="46" t="str">
        <f t="shared" si="29"/>
        <v/>
      </c>
      <c r="M340" s="35" t="str">
        <f>IF(B340="","",IF(E340="KXDDM","KXDDM – không ĐM",IF(E340&lt;&gt;"","Không KT ("&amp;E340&amp;")",IF(OR(K340="",L340=""),"Xem xét",IF(MAX(ABS(K340),ABS(L340))&lt;=ThongTin!$C$12,"OK","Xem xét")))))</f>
        <v/>
      </c>
    </row>
    <row r="341" spans="1:13" x14ac:dyDescent="0.25">
      <c r="A341" s="35" t="str">
        <f t="shared" si="25"/>
        <v/>
      </c>
      <c r="B341" s="35" t="str">
        <f>IF(BOM!A341="","",BOM!A341)</f>
        <v/>
      </c>
      <c r="C341" s="35" t="str">
        <f>IF(B341="","",BOM!B341)</f>
        <v/>
      </c>
      <c r="D341" s="35" t="str">
        <f>IF(B341="","",KT_DMTT_ChiTiet!E341)</f>
        <v/>
      </c>
      <c r="E341" s="36" t="str">
        <f>IF(B341="","",BOM!G341&amp;"")</f>
        <v/>
      </c>
      <c r="F341" s="39" t="str">
        <f>IF(B341="","",BOM!E341)</f>
        <v/>
      </c>
      <c r="G341" s="39" t="str">
        <f>IF(OR(B341="",E341="KXDDM"),"",BOM!F341)</f>
        <v/>
      </c>
      <c r="H341" s="39" t="str">
        <f>IF(OR(B341="",E341&lt;&gt;""),"",IFERROR(INDEX(KT_nguoc_theo_NL!$J$5:$J$304,MATCH(C341,KT_nguoc_theo_NL!$B$5:$B$304,0))/INDEX(KT_nguoc_theo_NL!$K$5:$K$304,MATCH(C341,KT_nguoc_theo_NL!$B$5:$B$304,0)),""))</f>
        <v/>
      </c>
      <c r="I341" s="39" t="str">
        <f t="shared" si="26"/>
        <v/>
      </c>
      <c r="J341" s="46" t="str">
        <f t="shared" si="27"/>
        <v/>
      </c>
      <c r="K341" s="46" t="str">
        <f t="shared" si="28"/>
        <v/>
      </c>
      <c r="L341" s="46" t="str">
        <f t="shared" si="29"/>
        <v/>
      </c>
      <c r="M341" s="35" t="str">
        <f>IF(B341="","",IF(E341="KXDDM","KXDDM – không ĐM",IF(E341&lt;&gt;"","Không KT ("&amp;E341&amp;")",IF(OR(K341="",L341=""),"Xem xét",IF(MAX(ABS(K341),ABS(L341))&lt;=ThongTin!$C$12,"OK","Xem xét")))))</f>
        <v/>
      </c>
    </row>
    <row r="342" spans="1:13" x14ac:dyDescent="0.25">
      <c r="A342" s="35" t="str">
        <f t="shared" si="25"/>
        <v/>
      </c>
      <c r="B342" s="35" t="str">
        <f>IF(BOM!A342="","",BOM!A342)</f>
        <v/>
      </c>
      <c r="C342" s="35" t="str">
        <f>IF(B342="","",BOM!B342)</f>
        <v/>
      </c>
      <c r="D342" s="35" t="str">
        <f>IF(B342="","",KT_DMTT_ChiTiet!E342)</f>
        <v/>
      </c>
      <c r="E342" s="36" t="str">
        <f>IF(B342="","",BOM!G342&amp;"")</f>
        <v/>
      </c>
      <c r="F342" s="39" t="str">
        <f>IF(B342="","",BOM!E342)</f>
        <v/>
      </c>
      <c r="G342" s="39" t="str">
        <f>IF(OR(B342="",E342="KXDDM"),"",BOM!F342)</f>
        <v/>
      </c>
      <c r="H342" s="39" t="str">
        <f>IF(OR(B342="",E342&lt;&gt;""),"",IFERROR(INDEX(KT_nguoc_theo_NL!$J$5:$J$304,MATCH(C342,KT_nguoc_theo_NL!$B$5:$B$304,0))/INDEX(KT_nguoc_theo_NL!$K$5:$K$304,MATCH(C342,KT_nguoc_theo_NL!$B$5:$B$304,0)),""))</f>
        <v/>
      </c>
      <c r="I342" s="39" t="str">
        <f t="shared" si="26"/>
        <v/>
      </c>
      <c r="J342" s="46" t="str">
        <f t="shared" si="27"/>
        <v/>
      </c>
      <c r="K342" s="46" t="str">
        <f t="shared" si="28"/>
        <v/>
      </c>
      <c r="L342" s="46" t="str">
        <f t="shared" si="29"/>
        <v/>
      </c>
      <c r="M342" s="35" t="str">
        <f>IF(B342="","",IF(E342="KXDDM","KXDDM – không ĐM",IF(E342&lt;&gt;"","Không KT ("&amp;E342&amp;")",IF(OR(K342="",L342=""),"Xem xét",IF(MAX(ABS(K342),ABS(L342))&lt;=ThongTin!$C$12,"OK","Xem xét")))))</f>
        <v/>
      </c>
    </row>
    <row r="343" spans="1:13" x14ac:dyDescent="0.25">
      <c r="A343" s="35" t="str">
        <f t="shared" si="25"/>
        <v/>
      </c>
      <c r="B343" s="35" t="str">
        <f>IF(BOM!A343="","",BOM!A343)</f>
        <v/>
      </c>
      <c r="C343" s="35" t="str">
        <f>IF(B343="","",BOM!B343)</f>
        <v/>
      </c>
      <c r="D343" s="35" t="str">
        <f>IF(B343="","",KT_DMTT_ChiTiet!E343)</f>
        <v/>
      </c>
      <c r="E343" s="36" t="str">
        <f>IF(B343="","",BOM!G343&amp;"")</f>
        <v/>
      </c>
      <c r="F343" s="39" t="str">
        <f>IF(B343="","",BOM!E343)</f>
        <v/>
      </c>
      <c r="G343" s="39" t="str">
        <f>IF(OR(B343="",E343="KXDDM"),"",BOM!F343)</f>
        <v/>
      </c>
      <c r="H343" s="39" t="str">
        <f>IF(OR(B343="",E343&lt;&gt;""),"",IFERROR(INDEX(KT_nguoc_theo_NL!$J$5:$J$304,MATCH(C343,KT_nguoc_theo_NL!$B$5:$B$304,0))/INDEX(KT_nguoc_theo_NL!$K$5:$K$304,MATCH(C343,KT_nguoc_theo_NL!$B$5:$B$304,0)),""))</f>
        <v/>
      </c>
      <c r="I343" s="39" t="str">
        <f t="shared" si="26"/>
        <v/>
      </c>
      <c r="J343" s="46" t="str">
        <f t="shared" si="27"/>
        <v/>
      </c>
      <c r="K343" s="46" t="str">
        <f t="shared" si="28"/>
        <v/>
      </c>
      <c r="L343" s="46" t="str">
        <f t="shared" si="29"/>
        <v/>
      </c>
      <c r="M343" s="35" t="str">
        <f>IF(B343="","",IF(E343="KXDDM","KXDDM – không ĐM",IF(E343&lt;&gt;"","Không KT ("&amp;E343&amp;")",IF(OR(K343="",L343=""),"Xem xét",IF(MAX(ABS(K343),ABS(L343))&lt;=ThongTin!$C$12,"OK","Xem xét")))))</f>
        <v/>
      </c>
    </row>
    <row r="344" spans="1:13" x14ac:dyDescent="0.25">
      <c r="A344" s="35" t="str">
        <f t="shared" si="25"/>
        <v/>
      </c>
      <c r="B344" s="35" t="str">
        <f>IF(BOM!A344="","",BOM!A344)</f>
        <v/>
      </c>
      <c r="C344" s="35" t="str">
        <f>IF(B344="","",BOM!B344)</f>
        <v/>
      </c>
      <c r="D344" s="35" t="str">
        <f>IF(B344="","",KT_DMTT_ChiTiet!E344)</f>
        <v/>
      </c>
      <c r="E344" s="36" t="str">
        <f>IF(B344="","",BOM!G344&amp;"")</f>
        <v/>
      </c>
      <c r="F344" s="39" t="str">
        <f>IF(B344="","",BOM!E344)</f>
        <v/>
      </c>
      <c r="G344" s="39" t="str">
        <f>IF(OR(B344="",E344="KXDDM"),"",BOM!F344)</f>
        <v/>
      </c>
      <c r="H344" s="39" t="str">
        <f>IF(OR(B344="",E344&lt;&gt;""),"",IFERROR(INDEX(KT_nguoc_theo_NL!$J$5:$J$304,MATCH(C344,KT_nguoc_theo_NL!$B$5:$B$304,0))/INDEX(KT_nguoc_theo_NL!$K$5:$K$304,MATCH(C344,KT_nguoc_theo_NL!$B$5:$B$304,0)),""))</f>
        <v/>
      </c>
      <c r="I344" s="39" t="str">
        <f t="shared" si="26"/>
        <v/>
      </c>
      <c r="J344" s="46" t="str">
        <f t="shared" si="27"/>
        <v/>
      </c>
      <c r="K344" s="46" t="str">
        <f t="shared" si="28"/>
        <v/>
      </c>
      <c r="L344" s="46" t="str">
        <f t="shared" si="29"/>
        <v/>
      </c>
      <c r="M344" s="35" t="str">
        <f>IF(B344="","",IF(E344="KXDDM","KXDDM – không ĐM",IF(E344&lt;&gt;"","Không KT ("&amp;E344&amp;")",IF(OR(K344="",L344=""),"Xem xét",IF(MAX(ABS(K344),ABS(L344))&lt;=ThongTin!$C$12,"OK","Xem xét")))))</f>
        <v/>
      </c>
    </row>
    <row r="345" spans="1:13" x14ac:dyDescent="0.25">
      <c r="A345" s="35" t="str">
        <f t="shared" si="25"/>
        <v/>
      </c>
      <c r="B345" s="35" t="str">
        <f>IF(BOM!A345="","",BOM!A345)</f>
        <v/>
      </c>
      <c r="C345" s="35" t="str">
        <f>IF(B345="","",BOM!B345)</f>
        <v/>
      </c>
      <c r="D345" s="35" t="str">
        <f>IF(B345="","",KT_DMTT_ChiTiet!E345)</f>
        <v/>
      </c>
      <c r="E345" s="36" t="str">
        <f>IF(B345="","",BOM!G345&amp;"")</f>
        <v/>
      </c>
      <c r="F345" s="39" t="str">
        <f>IF(B345="","",BOM!E345)</f>
        <v/>
      </c>
      <c r="G345" s="39" t="str">
        <f>IF(OR(B345="",E345="KXDDM"),"",BOM!F345)</f>
        <v/>
      </c>
      <c r="H345" s="39" t="str">
        <f>IF(OR(B345="",E345&lt;&gt;""),"",IFERROR(INDEX(KT_nguoc_theo_NL!$J$5:$J$304,MATCH(C345,KT_nguoc_theo_NL!$B$5:$B$304,0))/INDEX(KT_nguoc_theo_NL!$K$5:$K$304,MATCH(C345,KT_nguoc_theo_NL!$B$5:$B$304,0)),""))</f>
        <v/>
      </c>
      <c r="I345" s="39" t="str">
        <f t="shared" si="26"/>
        <v/>
      </c>
      <c r="J345" s="46" t="str">
        <f t="shared" si="27"/>
        <v/>
      </c>
      <c r="K345" s="46" t="str">
        <f t="shared" si="28"/>
        <v/>
      </c>
      <c r="L345" s="46" t="str">
        <f t="shared" si="29"/>
        <v/>
      </c>
      <c r="M345" s="35" t="str">
        <f>IF(B345="","",IF(E345="KXDDM","KXDDM – không ĐM",IF(E345&lt;&gt;"","Không KT ("&amp;E345&amp;")",IF(OR(K345="",L345=""),"Xem xét",IF(MAX(ABS(K345),ABS(L345))&lt;=ThongTin!$C$12,"OK","Xem xét")))))</f>
        <v/>
      </c>
    </row>
    <row r="346" spans="1:13" x14ac:dyDescent="0.25">
      <c r="A346" s="35" t="str">
        <f t="shared" si="25"/>
        <v/>
      </c>
      <c r="B346" s="35" t="str">
        <f>IF(BOM!A346="","",BOM!A346)</f>
        <v/>
      </c>
      <c r="C346" s="35" t="str">
        <f>IF(B346="","",BOM!B346)</f>
        <v/>
      </c>
      <c r="D346" s="35" t="str">
        <f>IF(B346="","",KT_DMTT_ChiTiet!E346)</f>
        <v/>
      </c>
      <c r="E346" s="36" t="str">
        <f>IF(B346="","",BOM!G346&amp;"")</f>
        <v/>
      </c>
      <c r="F346" s="39" t="str">
        <f>IF(B346="","",BOM!E346)</f>
        <v/>
      </c>
      <c r="G346" s="39" t="str">
        <f>IF(OR(B346="",E346="KXDDM"),"",BOM!F346)</f>
        <v/>
      </c>
      <c r="H346" s="39" t="str">
        <f>IF(OR(B346="",E346&lt;&gt;""),"",IFERROR(INDEX(KT_nguoc_theo_NL!$J$5:$J$304,MATCH(C346,KT_nguoc_theo_NL!$B$5:$B$304,0))/INDEX(KT_nguoc_theo_NL!$K$5:$K$304,MATCH(C346,KT_nguoc_theo_NL!$B$5:$B$304,0)),""))</f>
        <v/>
      </c>
      <c r="I346" s="39" t="str">
        <f t="shared" si="26"/>
        <v/>
      </c>
      <c r="J346" s="46" t="str">
        <f t="shared" si="27"/>
        <v/>
      </c>
      <c r="K346" s="46" t="str">
        <f t="shared" si="28"/>
        <v/>
      </c>
      <c r="L346" s="46" t="str">
        <f t="shared" si="29"/>
        <v/>
      </c>
      <c r="M346" s="35" t="str">
        <f>IF(B346="","",IF(E346="KXDDM","KXDDM – không ĐM",IF(E346&lt;&gt;"","Không KT ("&amp;E346&amp;")",IF(OR(K346="",L346=""),"Xem xét",IF(MAX(ABS(K346),ABS(L346))&lt;=ThongTin!$C$12,"OK","Xem xét")))))</f>
        <v/>
      </c>
    </row>
    <row r="347" spans="1:13" x14ac:dyDescent="0.25">
      <c r="A347" s="35" t="str">
        <f t="shared" si="25"/>
        <v/>
      </c>
      <c r="B347" s="35" t="str">
        <f>IF(BOM!A347="","",BOM!A347)</f>
        <v/>
      </c>
      <c r="C347" s="35" t="str">
        <f>IF(B347="","",BOM!B347)</f>
        <v/>
      </c>
      <c r="D347" s="35" t="str">
        <f>IF(B347="","",KT_DMTT_ChiTiet!E347)</f>
        <v/>
      </c>
      <c r="E347" s="36" t="str">
        <f>IF(B347="","",BOM!G347&amp;"")</f>
        <v/>
      </c>
      <c r="F347" s="39" t="str">
        <f>IF(B347="","",BOM!E347)</f>
        <v/>
      </c>
      <c r="G347" s="39" t="str">
        <f>IF(OR(B347="",E347="KXDDM"),"",BOM!F347)</f>
        <v/>
      </c>
      <c r="H347" s="39" t="str">
        <f>IF(OR(B347="",E347&lt;&gt;""),"",IFERROR(INDEX(KT_nguoc_theo_NL!$J$5:$J$304,MATCH(C347,KT_nguoc_theo_NL!$B$5:$B$304,0))/INDEX(KT_nguoc_theo_NL!$K$5:$K$304,MATCH(C347,KT_nguoc_theo_NL!$B$5:$B$304,0)),""))</f>
        <v/>
      </c>
      <c r="I347" s="39" t="str">
        <f t="shared" si="26"/>
        <v/>
      </c>
      <c r="J347" s="46" t="str">
        <f t="shared" si="27"/>
        <v/>
      </c>
      <c r="K347" s="46" t="str">
        <f t="shared" si="28"/>
        <v/>
      </c>
      <c r="L347" s="46" t="str">
        <f t="shared" si="29"/>
        <v/>
      </c>
      <c r="M347" s="35" t="str">
        <f>IF(B347="","",IF(E347="KXDDM","KXDDM – không ĐM",IF(E347&lt;&gt;"","Không KT ("&amp;E347&amp;")",IF(OR(K347="",L347=""),"Xem xét",IF(MAX(ABS(K347),ABS(L347))&lt;=ThongTin!$C$12,"OK","Xem xét")))))</f>
        <v/>
      </c>
    </row>
    <row r="348" spans="1:13" x14ac:dyDescent="0.25">
      <c r="A348" s="35" t="str">
        <f t="shared" si="25"/>
        <v/>
      </c>
      <c r="B348" s="35" t="str">
        <f>IF(BOM!A348="","",BOM!A348)</f>
        <v/>
      </c>
      <c r="C348" s="35" t="str">
        <f>IF(B348="","",BOM!B348)</f>
        <v/>
      </c>
      <c r="D348" s="35" t="str">
        <f>IF(B348="","",KT_DMTT_ChiTiet!E348)</f>
        <v/>
      </c>
      <c r="E348" s="36" t="str">
        <f>IF(B348="","",BOM!G348&amp;"")</f>
        <v/>
      </c>
      <c r="F348" s="39" t="str">
        <f>IF(B348="","",BOM!E348)</f>
        <v/>
      </c>
      <c r="G348" s="39" t="str">
        <f>IF(OR(B348="",E348="KXDDM"),"",BOM!F348)</f>
        <v/>
      </c>
      <c r="H348" s="39" t="str">
        <f>IF(OR(B348="",E348&lt;&gt;""),"",IFERROR(INDEX(KT_nguoc_theo_NL!$J$5:$J$304,MATCH(C348,KT_nguoc_theo_NL!$B$5:$B$304,0))/INDEX(KT_nguoc_theo_NL!$K$5:$K$304,MATCH(C348,KT_nguoc_theo_NL!$B$5:$B$304,0)),""))</f>
        <v/>
      </c>
      <c r="I348" s="39" t="str">
        <f t="shared" si="26"/>
        <v/>
      </c>
      <c r="J348" s="46" t="str">
        <f t="shared" si="27"/>
        <v/>
      </c>
      <c r="K348" s="46" t="str">
        <f t="shared" si="28"/>
        <v/>
      </c>
      <c r="L348" s="46" t="str">
        <f t="shared" si="29"/>
        <v/>
      </c>
      <c r="M348" s="35" t="str">
        <f>IF(B348="","",IF(E348="KXDDM","KXDDM – không ĐM",IF(E348&lt;&gt;"","Không KT ("&amp;E348&amp;")",IF(OR(K348="",L348=""),"Xem xét",IF(MAX(ABS(K348),ABS(L348))&lt;=ThongTin!$C$12,"OK","Xem xét")))))</f>
        <v/>
      </c>
    </row>
    <row r="349" spans="1:13" x14ac:dyDescent="0.25">
      <c r="A349" s="35" t="str">
        <f t="shared" si="25"/>
        <v/>
      </c>
      <c r="B349" s="35" t="str">
        <f>IF(BOM!A349="","",BOM!A349)</f>
        <v/>
      </c>
      <c r="C349" s="35" t="str">
        <f>IF(B349="","",BOM!B349)</f>
        <v/>
      </c>
      <c r="D349" s="35" t="str">
        <f>IF(B349="","",KT_DMTT_ChiTiet!E349)</f>
        <v/>
      </c>
      <c r="E349" s="36" t="str">
        <f>IF(B349="","",BOM!G349&amp;"")</f>
        <v/>
      </c>
      <c r="F349" s="39" t="str">
        <f>IF(B349="","",BOM!E349)</f>
        <v/>
      </c>
      <c r="G349" s="39" t="str">
        <f>IF(OR(B349="",E349="KXDDM"),"",BOM!F349)</f>
        <v/>
      </c>
      <c r="H349" s="39" t="str">
        <f>IF(OR(B349="",E349&lt;&gt;""),"",IFERROR(INDEX(KT_nguoc_theo_NL!$J$5:$J$304,MATCH(C349,KT_nguoc_theo_NL!$B$5:$B$304,0))/INDEX(KT_nguoc_theo_NL!$K$5:$K$304,MATCH(C349,KT_nguoc_theo_NL!$B$5:$B$304,0)),""))</f>
        <v/>
      </c>
      <c r="I349" s="39" t="str">
        <f t="shared" si="26"/>
        <v/>
      </c>
      <c r="J349" s="46" t="str">
        <f t="shared" si="27"/>
        <v/>
      </c>
      <c r="K349" s="46" t="str">
        <f t="shared" si="28"/>
        <v/>
      </c>
      <c r="L349" s="46" t="str">
        <f t="shared" si="29"/>
        <v/>
      </c>
      <c r="M349" s="35" t="str">
        <f>IF(B349="","",IF(E349="KXDDM","KXDDM – không ĐM",IF(E349&lt;&gt;"","Không KT ("&amp;E349&amp;")",IF(OR(K349="",L349=""),"Xem xét",IF(MAX(ABS(K349),ABS(L349))&lt;=ThongTin!$C$12,"OK","Xem xét")))))</f>
        <v/>
      </c>
    </row>
    <row r="350" spans="1:13" x14ac:dyDescent="0.25">
      <c r="A350" s="35" t="str">
        <f t="shared" si="25"/>
        <v/>
      </c>
      <c r="B350" s="35" t="str">
        <f>IF(BOM!A350="","",BOM!A350)</f>
        <v/>
      </c>
      <c r="C350" s="35" t="str">
        <f>IF(B350="","",BOM!B350)</f>
        <v/>
      </c>
      <c r="D350" s="35" t="str">
        <f>IF(B350="","",KT_DMTT_ChiTiet!E350)</f>
        <v/>
      </c>
      <c r="E350" s="36" t="str">
        <f>IF(B350="","",BOM!G350&amp;"")</f>
        <v/>
      </c>
      <c r="F350" s="39" t="str">
        <f>IF(B350="","",BOM!E350)</f>
        <v/>
      </c>
      <c r="G350" s="39" t="str">
        <f>IF(OR(B350="",E350="KXDDM"),"",BOM!F350)</f>
        <v/>
      </c>
      <c r="H350" s="39" t="str">
        <f>IF(OR(B350="",E350&lt;&gt;""),"",IFERROR(INDEX(KT_nguoc_theo_NL!$J$5:$J$304,MATCH(C350,KT_nguoc_theo_NL!$B$5:$B$304,0))/INDEX(KT_nguoc_theo_NL!$K$5:$K$304,MATCH(C350,KT_nguoc_theo_NL!$B$5:$B$304,0)),""))</f>
        <v/>
      </c>
      <c r="I350" s="39" t="str">
        <f t="shared" si="26"/>
        <v/>
      </c>
      <c r="J350" s="46" t="str">
        <f t="shared" si="27"/>
        <v/>
      </c>
      <c r="K350" s="46" t="str">
        <f t="shared" si="28"/>
        <v/>
      </c>
      <c r="L350" s="46" t="str">
        <f t="shared" si="29"/>
        <v/>
      </c>
      <c r="M350" s="35" t="str">
        <f>IF(B350="","",IF(E350="KXDDM","KXDDM – không ĐM",IF(E350&lt;&gt;"","Không KT ("&amp;E350&amp;")",IF(OR(K350="",L350=""),"Xem xét",IF(MAX(ABS(K350),ABS(L350))&lt;=ThongTin!$C$12,"OK","Xem xét")))))</f>
        <v/>
      </c>
    </row>
    <row r="351" spans="1:13" x14ac:dyDescent="0.25">
      <c r="A351" s="35" t="str">
        <f t="shared" si="25"/>
        <v/>
      </c>
      <c r="B351" s="35" t="str">
        <f>IF(BOM!A351="","",BOM!A351)</f>
        <v/>
      </c>
      <c r="C351" s="35" t="str">
        <f>IF(B351="","",BOM!B351)</f>
        <v/>
      </c>
      <c r="D351" s="35" t="str">
        <f>IF(B351="","",KT_DMTT_ChiTiet!E351)</f>
        <v/>
      </c>
      <c r="E351" s="36" t="str">
        <f>IF(B351="","",BOM!G351&amp;"")</f>
        <v/>
      </c>
      <c r="F351" s="39" t="str">
        <f>IF(B351="","",BOM!E351)</f>
        <v/>
      </c>
      <c r="G351" s="39" t="str">
        <f>IF(OR(B351="",E351="KXDDM"),"",BOM!F351)</f>
        <v/>
      </c>
      <c r="H351" s="39" t="str">
        <f>IF(OR(B351="",E351&lt;&gt;""),"",IFERROR(INDEX(KT_nguoc_theo_NL!$J$5:$J$304,MATCH(C351,KT_nguoc_theo_NL!$B$5:$B$304,0))/INDEX(KT_nguoc_theo_NL!$K$5:$K$304,MATCH(C351,KT_nguoc_theo_NL!$B$5:$B$304,0)),""))</f>
        <v/>
      </c>
      <c r="I351" s="39" t="str">
        <f t="shared" si="26"/>
        <v/>
      </c>
      <c r="J351" s="46" t="str">
        <f t="shared" si="27"/>
        <v/>
      </c>
      <c r="K351" s="46" t="str">
        <f t="shared" si="28"/>
        <v/>
      </c>
      <c r="L351" s="46" t="str">
        <f t="shared" si="29"/>
        <v/>
      </c>
      <c r="M351" s="35" t="str">
        <f>IF(B351="","",IF(E351="KXDDM","KXDDM – không ĐM",IF(E351&lt;&gt;"","Không KT ("&amp;E351&amp;")",IF(OR(K351="",L351=""),"Xem xét",IF(MAX(ABS(K351),ABS(L351))&lt;=ThongTin!$C$12,"OK","Xem xét")))))</f>
        <v/>
      </c>
    </row>
    <row r="352" spans="1:13" x14ac:dyDescent="0.25">
      <c r="A352" s="35" t="str">
        <f t="shared" si="25"/>
        <v/>
      </c>
      <c r="B352" s="35" t="str">
        <f>IF(BOM!A352="","",BOM!A352)</f>
        <v/>
      </c>
      <c r="C352" s="35" t="str">
        <f>IF(B352="","",BOM!B352)</f>
        <v/>
      </c>
      <c r="D352" s="35" t="str">
        <f>IF(B352="","",KT_DMTT_ChiTiet!E352)</f>
        <v/>
      </c>
      <c r="E352" s="36" t="str">
        <f>IF(B352="","",BOM!G352&amp;"")</f>
        <v/>
      </c>
      <c r="F352" s="39" t="str">
        <f>IF(B352="","",BOM!E352)</f>
        <v/>
      </c>
      <c r="G352" s="39" t="str">
        <f>IF(OR(B352="",E352="KXDDM"),"",BOM!F352)</f>
        <v/>
      </c>
      <c r="H352" s="39" t="str">
        <f>IF(OR(B352="",E352&lt;&gt;""),"",IFERROR(INDEX(KT_nguoc_theo_NL!$J$5:$J$304,MATCH(C352,KT_nguoc_theo_NL!$B$5:$B$304,0))/INDEX(KT_nguoc_theo_NL!$K$5:$K$304,MATCH(C352,KT_nguoc_theo_NL!$B$5:$B$304,0)),""))</f>
        <v/>
      </c>
      <c r="I352" s="39" t="str">
        <f t="shared" si="26"/>
        <v/>
      </c>
      <c r="J352" s="46" t="str">
        <f t="shared" si="27"/>
        <v/>
      </c>
      <c r="K352" s="46" t="str">
        <f t="shared" si="28"/>
        <v/>
      </c>
      <c r="L352" s="46" t="str">
        <f t="shared" si="29"/>
        <v/>
      </c>
      <c r="M352" s="35" t="str">
        <f>IF(B352="","",IF(E352="KXDDM","KXDDM – không ĐM",IF(E352&lt;&gt;"","Không KT ("&amp;E352&amp;")",IF(OR(K352="",L352=""),"Xem xét",IF(MAX(ABS(K352),ABS(L352))&lt;=ThongTin!$C$12,"OK","Xem xét")))))</f>
        <v/>
      </c>
    </row>
    <row r="353" spans="1:13" x14ac:dyDescent="0.25">
      <c r="A353" s="35" t="str">
        <f t="shared" si="25"/>
        <v/>
      </c>
      <c r="B353" s="35" t="str">
        <f>IF(BOM!A353="","",BOM!A353)</f>
        <v/>
      </c>
      <c r="C353" s="35" t="str">
        <f>IF(B353="","",BOM!B353)</f>
        <v/>
      </c>
      <c r="D353" s="35" t="str">
        <f>IF(B353="","",KT_DMTT_ChiTiet!E353)</f>
        <v/>
      </c>
      <c r="E353" s="36" t="str">
        <f>IF(B353="","",BOM!G353&amp;"")</f>
        <v/>
      </c>
      <c r="F353" s="39" t="str">
        <f>IF(B353="","",BOM!E353)</f>
        <v/>
      </c>
      <c r="G353" s="39" t="str">
        <f>IF(OR(B353="",E353="KXDDM"),"",BOM!F353)</f>
        <v/>
      </c>
      <c r="H353" s="39" t="str">
        <f>IF(OR(B353="",E353&lt;&gt;""),"",IFERROR(INDEX(KT_nguoc_theo_NL!$J$5:$J$304,MATCH(C353,KT_nguoc_theo_NL!$B$5:$B$304,0))/INDEX(KT_nguoc_theo_NL!$K$5:$K$304,MATCH(C353,KT_nguoc_theo_NL!$B$5:$B$304,0)),""))</f>
        <v/>
      </c>
      <c r="I353" s="39" t="str">
        <f t="shared" si="26"/>
        <v/>
      </c>
      <c r="J353" s="46" t="str">
        <f t="shared" si="27"/>
        <v/>
      </c>
      <c r="K353" s="46" t="str">
        <f t="shared" si="28"/>
        <v/>
      </c>
      <c r="L353" s="46" t="str">
        <f t="shared" si="29"/>
        <v/>
      </c>
      <c r="M353" s="35" t="str">
        <f>IF(B353="","",IF(E353="KXDDM","KXDDM – không ĐM",IF(E353&lt;&gt;"","Không KT ("&amp;E353&amp;")",IF(OR(K353="",L353=""),"Xem xét",IF(MAX(ABS(K353),ABS(L353))&lt;=ThongTin!$C$12,"OK","Xem xét")))))</f>
        <v/>
      </c>
    </row>
    <row r="354" spans="1:13" x14ac:dyDescent="0.25">
      <c r="A354" s="35" t="str">
        <f t="shared" si="25"/>
        <v/>
      </c>
      <c r="B354" s="35" t="str">
        <f>IF(BOM!A354="","",BOM!A354)</f>
        <v/>
      </c>
      <c r="C354" s="35" t="str">
        <f>IF(B354="","",BOM!B354)</f>
        <v/>
      </c>
      <c r="D354" s="35" t="str">
        <f>IF(B354="","",KT_DMTT_ChiTiet!E354)</f>
        <v/>
      </c>
      <c r="E354" s="36" t="str">
        <f>IF(B354="","",BOM!G354&amp;"")</f>
        <v/>
      </c>
      <c r="F354" s="39" t="str">
        <f>IF(B354="","",BOM!E354)</f>
        <v/>
      </c>
      <c r="G354" s="39" t="str">
        <f>IF(OR(B354="",E354="KXDDM"),"",BOM!F354)</f>
        <v/>
      </c>
      <c r="H354" s="39" t="str">
        <f>IF(OR(B354="",E354&lt;&gt;""),"",IFERROR(INDEX(KT_nguoc_theo_NL!$J$5:$J$304,MATCH(C354,KT_nguoc_theo_NL!$B$5:$B$304,0))/INDEX(KT_nguoc_theo_NL!$K$5:$K$304,MATCH(C354,KT_nguoc_theo_NL!$B$5:$B$304,0)),""))</f>
        <v/>
      </c>
      <c r="I354" s="39" t="str">
        <f t="shared" si="26"/>
        <v/>
      </c>
      <c r="J354" s="46" t="str">
        <f t="shared" si="27"/>
        <v/>
      </c>
      <c r="K354" s="46" t="str">
        <f t="shared" si="28"/>
        <v/>
      </c>
      <c r="L354" s="46" t="str">
        <f t="shared" si="29"/>
        <v/>
      </c>
      <c r="M354" s="35" t="str">
        <f>IF(B354="","",IF(E354="KXDDM","KXDDM – không ĐM",IF(E354&lt;&gt;"","Không KT ("&amp;E354&amp;")",IF(OR(K354="",L354=""),"Xem xét",IF(MAX(ABS(K354),ABS(L354))&lt;=ThongTin!$C$12,"OK","Xem xét")))))</f>
        <v/>
      </c>
    </row>
    <row r="355" spans="1:13" x14ac:dyDescent="0.25">
      <c r="A355" s="35" t="str">
        <f t="shared" si="25"/>
        <v/>
      </c>
      <c r="B355" s="35" t="str">
        <f>IF(BOM!A355="","",BOM!A355)</f>
        <v/>
      </c>
      <c r="C355" s="35" t="str">
        <f>IF(B355="","",BOM!B355)</f>
        <v/>
      </c>
      <c r="D355" s="35" t="str">
        <f>IF(B355="","",KT_DMTT_ChiTiet!E355)</f>
        <v/>
      </c>
      <c r="E355" s="36" t="str">
        <f>IF(B355="","",BOM!G355&amp;"")</f>
        <v/>
      </c>
      <c r="F355" s="39" t="str">
        <f>IF(B355="","",BOM!E355)</f>
        <v/>
      </c>
      <c r="G355" s="39" t="str">
        <f>IF(OR(B355="",E355="KXDDM"),"",BOM!F355)</f>
        <v/>
      </c>
      <c r="H355" s="39" t="str">
        <f>IF(OR(B355="",E355&lt;&gt;""),"",IFERROR(INDEX(KT_nguoc_theo_NL!$J$5:$J$304,MATCH(C355,KT_nguoc_theo_NL!$B$5:$B$304,0))/INDEX(KT_nguoc_theo_NL!$K$5:$K$304,MATCH(C355,KT_nguoc_theo_NL!$B$5:$B$304,0)),""))</f>
        <v/>
      </c>
      <c r="I355" s="39" t="str">
        <f t="shared" si="26"/>
        <v/>
      </c>
      <c r="J355" s="46" t="str">
        <f t="shared" si="27"/>
        <v/>
      </c>
      <c r="K355" s="46" t="str">
        <f t="shared" si="28"/>
        <v/>
      </c>
      <c r="L355" s="46" t="str">
        <f t="shared" si="29"/>
        <v/>
      </c>
      <c r="M355" s="35" t="str">
        <f>IF(B355="","",IF(E355="KXDDM","KXDDM – không ĐM",IF(E355&lt;&gt;"","Không KT ("&amp;E355&amp;")",IF(OR(K355="",L355=""),"Xem xét",IF(MAX(ABS(K355),ABS(L355))&lt;=ThongTin!$C$12,"OK","Xem xét")))))</f>
        <v/>
      </c>
    </row>
    <row r="356" spans="1:13" x14ac:dyDescent="0.25">
      <c r="A356" s="35" t="str">
        <f t="shared" si="25"/>
        <v/>
      </c>
      <c r="B356" s="35" t="str">
        <f>IF(BOM!A356="","",BOM!A356)</f>
        <v/>
      </c>
      <c r="C356" s="35" t="str">
        <f>IF(B356="","",BOM!B356)</f>
        <v/>
      </c>
      <c r="D356" s="35" t="str">
        <f>IF(B356="","",KT_DMTT_ChiTiet!E356)</f>
        <v/>
      </c>
      <c r="E356" s="36" t="str">
        <f>IF(B356="","",BOM!G356&amp;"")</f>
        <v/>
      </c>
      <c r="F356" s="39" t="str">
        <f>IF(B356="","",BOM!E356)</f>
        <v/>
      </c>
      <c r="G356" s="39" t="str">
        <f>IF(OR(B356="",E356="KXDDM"),"",BOM!F356)</f>
        <v/>
      </c>
      <c r="H356" s="39" t="str">
        <f>IF(OR(B356="",E356&lt;&gt;""),"",IFERROR(INDEX(KT_nguoc_theo_NL!$J$5:$J$304,MATCH(C356,KT_nguoc_theo_NL!$B$5:$B$304,0))/INDEX(KT_nguoc_theo_NL!$K$5:$K$304,MATCH(C356,KT_nguoc_theo_NL!$B$5:$B$304,0)),""))</f>
        <v/>
      </c>
      <c r="I356" s="39" t="str">
        <f t="shared" si="26"/>
        <v/>
      </c>
      <c r="J356" s="46" t="str">
        <f t="shared" si="27"/>
        <v/>
      </c>
      <c r="K356" s="46" t="str">
        <f t="shared" si="28"/>
        <v/>
      </c>
      <c r="L356" s="46" t="str">
        <f t="shared" si="29"/>
        <v/>
      </c>
      <c r="M356" s="35" t="str">
        <f>IF(B356="","",IF(E356="KXDDM","KXDDM – không ĐM",IF(E356&lt;&gt;"","Không KT ("&amp;E356&amp;")",IF(OR(K356="",L356=""),"Xem xét",IF(MAX(ABS(K356),ABS(L356))&lt;=ThongTin!$C$12,"OK","Xem xét")))))</f>
        <v/>
      </c>
    </row>
    <row r="357" spans="1:13" x14ac:dyDescent="0.25">
      <c r="A357" s="35" t="str">
        <f t="shared" si="25"/>
        <v/>
      </c>
      <c r="B357" s="35" t="str">
        <f>IF(BOM!A357="","",BOM!A357)</f>
        <v/>
      </c>
      <c r="C357" s="35" t="str">
        <f>IF(B357="","",BOM!B357)</f>
        <v/>
      </c>
      <c r="D357" s="35" t="str">
        <f>IF(B357="","",KT_DMTT_ChiTiet!E357)</f>
        <v/>
      </c>
      <c r="E357" s="36" t="str">
        <f>IF(B357="","",BOM!G357&amp;"")</f>
        <v/>
      </c>
      <c r="F357" s="39" t="str">
        <f>IF(B357="","",BOM!E357)</f>
        <v/>
      </c>
      <c r="G357" s="39" t="str">
        <f>IF(OR(B357="",E357="KXDDM"),"",BOM!F357)</f>
        <v/>
      </c>
      <c r="H357" s="39" t="str">
        <f>IF(OR(B357="",E357&lt;&gt;""),"",IFERROR(INDEX(KT_nguoc_theo_NL!$J$5:$J$304,MATCH(C357,KT_nguoc_theo_NL!$B$5:$B$304,0))/INDEX(KT_nguoc_theo_NL!$K$5:$K$304,MATCH(C357,KT_nguoc_theo_NL!$B$5:$B$304,0)),""))</f>
        <v/>
      </c>
      <c r="I357" s="39" t="str">
        <f t="shared" si="26"/>
        <v/>
      </c>
      <c r="J357" s="46" t="str">
        <f t="shared" si="27"/>
        <v/>
      </c>
      <c r="K357" s="46" t="str">
        <f t="shared" si="28"/>
        <v/>
      </c>
      <c r="L357" s="46" t="str">
        <f t="shared" si="29"/>
        <v/>
      </c>
      <c r="M357" s="35" t="str">
        <f>IF(B357="","",IF(E357="KXDDM","KXDDM – không ĐM",IF(E357&lt;&gt;"","Không KT ("&amp;E357&amp;")",IF(OR(K357="",L357=""),"Xem xét",IF(MAX(ABS(K357),ABS(L357))&lt;=ThongTin!$C$12,"OK","Xem xét")))))</f>
        <v/>
      </c>
    </row>
    <row r="358" spans="1:13" x14ac:dyDescent="0.25">
      <c r="A358" s="35" t="str">
        <f t="shared" si="25"/>
        <v/>
      </c>
      <c r="B358" s="35" t="str">
        <f>IF(BOM!A358="","",BOM!A358)</f>
        <v/>
      </c>
      <c r="C358" s="35" t="str">
        <f>IF(B358="","",BOM!B358)</f>
        <v/>
      </c>
      <c r="D358" s="35" t="str">
        <f>IF(B358="","",KT_DMTT_ChiTiet!E358)</f>
        <v/>
      </c>
      <c r="E358" s="36" t="str">
        <f>IF(B358="","",BOM!G358&amp;"")</f>
        <v/>
      </c>
      <c r="F358" s="39" t="str">
        <f>IF(B358="","",BOM!E358)</f>
        <v/>
      </c>
      <c r="G358" s="39" t="str">
        <f>IF(OR(B358="",E358="KXDDM"),"",BOM!F358)</f>
        <v/>
      </c>
      <c r="H358" s="39" t="str">
        <f>IF(OR(B358="",E358&lt;&gt;""),"",IFERROR(INDEX(KT_nguoc_theo_NL!$J$5:$J$304,MATCH(C358,KT_nguoc_theo_NL!$B$5:$B$304,0))/INDEX(KT_nguoc_theo_NL!$K$5:$K$304,MATCH(C358,KT_nguoc_theo_NL!$B$5:$B$304,0)),""))</f>
        <v/>
      </c>
      <c r="I358" s="39" t="str">
        <f t="shared" si="26"/>
        <v/>
      </c>
      <c r="J358" s="46" t="str">
        <f t="shared" si="27"/>
        <v/>
      </c>
      <c r="K358" s="46" t="str">
        <f t="shared" si="28"/>
        <v/>
      </c>
      <c r="L358" s="46" t="str">
        <f t="shared" si="29"/>
        <v/>
      </c>
      <c r="M358" s="35" t="str">
        <f>IF(B358="","",IF(E358="KXDDM","KXDDM – không ĐM",IF(E358&lt;&gt;"","Không KT ("&amp;E358&amp;")",IF(OR(K358="",L358=""),"Xem xét",IF(MAX(ABS(K358),ABS(L358))&lt;=ThongTin!$C$12,"OK","Xem xét")))))</f>
        <v/>
      </c>
    </row>
    <row r="359" spans="1:13" x14ac:dyDescent="0.25">
      <c r="A359" s="35" t="str">
        <f t="shared" si="25"/>
        <v/>
      </c>
      <c r="B359" s="35" t="str">
        <f>IF(BOM!A359="","",BOM!A359)</f>
        <v/>
      </c>
      <c r="C359" s="35" t="str">
        <f>IF(B359="","",BOM!B359)</f>
        <v/>
      </c>
      <c r="D359" s="35" t="str">
        <f>IF(B359="","",KT_DMTT_ChiTiet!E359)</f>
        <v/>
      </c>
      <c r="E359" s="36" t="str">
        <f>IF(B359="","",BOM!G359&amp;"")</f>
        <v/>
      </c>
      <c r="F359" s="39" t="str">
        <f>IF(B359="","",BOM!E359)</f>
        <v/>
      </c>
      <c r="G359" s="39" t="str">
        <f>IF(OR(B359="",E359="KXDDM"),"",BOM!F359)</f>
        <v/>
      </c>
      <c r="H359" s="39" t="str">
        <f>IF(OR(B359="",E359&lt;&gt;""),"",IFERROR(INDEX(KT_nguoc_theo_NL!$J$5:$J$304,MATCH(C359,KT_nguoc_theo_NL!$B$5:$B$304,0))/INDEX(KT_nguoc_theo_NL!$K$5:$K$304,MATCH(C359,KT_nguoc_theo_NL!$B$5:$B$304,0)),""))</f>
        <v/>
      </c>
      <c r="I359" s="39" t="str">
        <f t="shared" si="26"/>
        <v/>
      </c>
      <c r="J359" s="46" t="str">
        <f t="shared" si="27"/>
        <v/>
      </c>
      <c r="K359" s="46" t="str">
        <f t="shared" si="28"/>
        <v/>
      </c>
      <c r="L359" s="46" t="str">
        <f t="shared" si="29"/>
        <v/>
      </c>
      <c r="M359" s="35" t="str">
        <f>IF(B359="","",IF(E359="KXDDM","KXDDM – không ĐM",IF(E359&lt;&gt;"","Không KT ("&amp;E359&amp;")",IF(OR(K359="",L359=""),"Xem xét",IF(MAX(ABS(K359),ABS(L359))&lt;=ThongTin!$C$12,"OK","Xem xét")))))</f>
        <v/>
      </c>
    </row>
    <row r="360" spans="1:13" x14ac:dyDescent="0.25">
      <c r="A360" s="35" t="str">
        <f t="shared" si="25"/>
        <v/>
      </c>
      <c r="B360" s="35" t="str">
        <f>IF(BOM!A360="","",BOM!A360)</f>
        <v/>
      </c>
      <c r="C360" s="35" t="str">
        <f>IF(B360="","",BOM!B360)</f>
        <v/>
      </c>
      <c r="D360" s="35" t="str">
        <f>IF(B360="","",KT_DMTT_ChiTiet!E360)</f>
        <v/>
      </c>
      <c r="E360" s="36" t="str">
        <f>IF(B360="","",BOM!G360&amp;"")</f>
        <v/>
      </c>
      <c r="F360" s="39" t="str">
        <f>IF(B360="","",BOM!E360)</f>
        <v/>
      </c>
      <c r="G360" s="39" t="str">
        <f>IF(OR(B360="",E360="KXDDM"),"",BOM!F360)</f>
        <v/>
      </c>
      <c r="H360" s="39" t="str">
        <f>IF(OR(B360="",E360&lt;&gt;""),"",IFERROR(INDEX(KT_nguoc_theo_NL!$J$5:$J$304,MATCH(C360,KT_nguoc_theo_NL!$B$5:$B$304,0))/INDEX(KT_nguoc_theo_NL!$K$5:$K$304,MATCH(C360,KT_nguoc_theo_NL!$B$5:$B$304,0)),""))</f>
        <v/>
      </c>
      <c r="I360" s="39" t="str">
        <f t="shared" si="26"/>
        <v/>
      </c>
      <c r="J360" s="46" t="str">
        <f t="shared" si="27"/>
        <v/>
      </c>
      <c r="K360" s="46" t="str">
        <f t="shared" si="28"/>
        <v/>
      </c>
      <c r="L360" s="46" t="str">
        <f t="shared" si="29"/>
        <v/>
      </c>
      <c r="M360" s="35" t="str">
        <f>IF(B360="","",IF(E360="KXDDM","KXDDM – không ĐM",IF(E360&lt;&gt;"","Không KT ("&amp;E360&amp;")",IF(OR(K360="",L360=""),"Xem xét",IF(MAX(ABS(K360),ABS(L360))&lt;=ThongTin!$C$12,"OK","Xem xét")))))</f>
        <v/>
      </c>
    </row>
    <row r="361" spans="1:13" x14ac:dyDescent="0.25">
      <c r="A361" s="35" t="str">
        <f t="shared" si="25"/>
        <v/>
      </c>
      <c r="B361" s="35" t="str">
        <f>IF(BOM!A361="","",BOM!A361)</f>
        <v/>
      </c>
      <c r="C361" s="35" t="str">
        <f>IF(B361="","",BOM!B361)</f>
        <v/>
      </c>
      <c r="D361" s="35" t="str">
        <f>IF(B361="","",KT_DMTT_ChiTiet!E361)</f>
        <v/>
      </c>
      <c r="E361" s="36" t="str">
        <f>IF(B361="","",BOM!G361&amp;"")</f>
        <v/>
      </c>
      <c r="F361" s="39" t="str">
        <f>IF(B361="","",BOM!E361)</f>
        <v/>
      </c>
      <c r="G361" s="39" t="str">
        <f>IF(OR(B361="",E361="KXDDM"),"",BOM!F361)</f>
        <v/>
      </c>
      <c r="H361" s="39" t="str">
        <f>IF(OR(B361="",E361&lt;&gt;""),"",IFERROR(INDEX(KT_nguoc_theo_NL!$J$5:$J$304,MATCH(C361,KT_nguoc_theo_NL!$B$5:$B$304,0))/INDEX(KT_nguoc_theo_NL!$K$5:$K$304,MATCH(C361,KT_nguoc_theo_NL!$B$5:$B$304,0)),""))</f>
        <v/>
      </c>
      <c r="I361" s="39" t="str">
        <f t="shared" si="26"/>
        <v/>
      </c>
      <c r="J361" s="46" t="str">
        <f t="shared" si="27"/>
        <v/>
      </c>
      <c r="K361" s="46" t="str">
        <f t="shared" si="28"/>
        <v/>
      </c>
      <c r="L361" s="46" t="str">
        <f t="shared" si="29"/>
        <v/>
      </c>
      <c r="M361" s="35" t="str">
        <f>IF(B361="","",IF(E361="KXDDM","KXDDM – không ĐM",IF(E361&lt;&gt;"","Không KT ("&amp;E361&amp;")",IF(OR(K361="",L361=""),"Xem xét",IF(MAX(ABS(K361),ABS(L361))&lt;=ThongTin!$C$12,"OK","Xem xét")))))</f>
        <v/>
      </c>
    </row>
    <row r="362" spans="1:13" x14ac:dyDescent="0.25">
      <c r="A362" s="35" t="str">
        <f t="shared" si="25"/>
        <v/>
      </c>
      <c r="B362" s="35" t="str">
        <f>IF(BOM!A362="","",BOM!A362)</f>
        <v/>
      </c>
      <c r="C362" s="35" t="str">
        <f>IF(B362="","",BOM!B362)</f>
        <v/>
      </c>
      <c r="D362" s="35" t="str">
        <f>IF(B362="","",KT_DMTT_ChiTiet!E362)</f>
        <v/>
      </c>
      <c r="E362" s="36" t="str">
        <f>IF(B362="","",BOM!G362&amp;"")</f>
        <v/>
      </c>
      <c r="F362" s="39" t="str">
        <f>IF(B362="","",BOM!E362)</f>
        <v/>
      </c>
      <c r="G362" s="39" t="str">
        <f>IF(OR(B362="",E362="KXDDM"),"",BOM!F362)</f>
        <v/>
      </c>
      <c r="H362" s="39" t="str">
        <f>IF(OR(B362="",E362&lt;&gt;""),"",IFERROR(INDEX(KT_nguoc_theo_NL!$J$5:$J$304,MATCH(C362,KT_nguoc_theo_NL!$B$5:$B$304,0))/INDEX(KT_nguoc_theo_NL!$K$5:$K$304,MATCH(C362,KT_nguoc_theo_NL!$B$5:$B$304,0)),""))</f>
        <v/>
      </c>
      <c r="I362" s="39" t="str">
        <f t="shared" si="26"/>
        <v/>
      </c>
      <c r="J362" s="46" t="str">
        <f t="shared" si="27"/>
        <v/>
      </c>
      <c r="K362" s="46" t="str">
        <f t="shared" si="28"/>
        <v/>
      </c>
      <c r="L362" s="46" t="str">
        <f t="shared" si="29"/>
        <v/>
      </c>
      <c r="M362" s="35" t="str">
        <f>IF(B362="","",IF(E362="KXDDM","KXDDM – không ĐM",IF(E362&lt;&gt;"","Không KT ("&amp;E362&amp;")",IF(OR(K362="",L362=""),"Xem xét",IF(MAX(ABS(K362),ABS(L362))&lt;=ThongTin!$C$12,"OK","Xem xét")))))</f>
        <v/>
      </c>
    </row>
    <row r="363" spans="1:13" x14ac:dyDescent="0.25">
      <c r="A363" s="35" t="str">
        <f t="shared" si="25"/>
        <v/>
      </c>
      <c r="B363" s="35" t="str">
        <f>IF(BOM!A363="","",BOM!A363)</f>
        <v/>
      </c>
      <c r="C363" s="35" t="str">
        <f>IF(B363="","",BOM!B363)</f>
        <v/>
      </c>
      <c r="D363" s="35" t="str">
        <f>IF(B363="","",KT_DMTT_ChiTiet!E363)</f>
        <v/>
      </c>
      <c r="E363" s="36" t="str">
        <f>IF(B363="","",BOM!G363&amp;"")</f>
        <v/>
      </c>
      <c r="F363" s="39" t="str">
        <f>IF(B363="","",BOM!E363)</f>
        <v/>
      </c>
      <c r="G363" s="39" t="str">
        <f>IF(OR(B363="",E363="KXDDM"),"",BOM!F363)</f>
        <v/>
      </c>
      <c r="H363" s="39" t="str">
        <f>IF(OR(B363="",E363&lt;&gt;""),"",IFERROR(INDEX(KT_nguoc_theo_NL!$J$5:$J$304,MATCH(C363,KT_nguoc_theo_NL!$B$5:$B$304,0))/INDEX(KT_nguoc_theo_NL!$K$5:$K$304,MATCH(C363,KT_nguoc_theo_NL!$B$5:$B$304,0)),""))</f>
        <v/>
      </c>
      <c r="I363" s="39" t="str">
        <f t="shared" si="26"/>
        <v/>
      </c>
      <c r="J363" s="46" t="str">
        <f t="shared" si="27"/>
        <v/>
      </c>
      <c r="K363" s="46" t="str">
        <f t="shared" si="28"/>
        <v/>
      </c>
      <c r="L363" s="46" t="str">
        <f t="shared" si="29"/>
        <v/>
      </c>
      <c r="M363" s="35" t="str">
        <f>IF(B363="","",IF(E363="KXDDM","KXDDM – không ĐM",IF(E363&lt;&gt;"","Không KT ("&amp;E363&amp;")",IF(OR(K363="",L363=""),"Xem xét",IF(MAX(ABS(K363),ABS(L363))&lt;=ThongTin!$C$12,"OK","Xem xét")))))</f>
        <v/>
      </c>
    </row>
    <row r="364" spans="1:13" x14ac:dyDescent="0.25">
      <c r="A364" s="35" t="str">
        <f t="shared" si="25"/>
        <v/>
      </c>
      <c r="B364" s="35" t="str">
        <f>IF(BOM!A364="","",BOM!A364)</f>
        <v/>
      </c>
      <c r="C364" s="35" t="str">
        <f>IF(B364="","",BOM!B364)</f>
        <v/>
      </c>
      <c r="D364" s="35" t="str">
        <f>IF(B364="","",KT_DMTT_ChiTiet!E364)</f>
        <v/>
      </c>
      <c r="E364" s="36" t="str">
        <f>IF(B364="","",BOM!G364&amp;"")</f>
        <v/>
      </c>
      <c r="F364" s="39" t="str">
        <f>IF(B364="","",BOM!E364)</f>
        <v/>
      </c>
      <c r="G364" s="39" t="str">
        <f>IF(OR(B364="",E364="KXDDM"),"",BOM!F364)</f>
        <v/>
      </c>
      <c r="H364" s="39" t="str">
        <f>IF(OR(B364="",E364&lt;&gt;""),"",IFERROR(INDEX(KT_nguoc_theo_NL!$J$5:$J$304,MATCH(C364,KT_nguoc_theo_NL!$B$5:$B$304,0))/INDEX(KT_nguoc_theo_NL!$K$5:$K$304,MATCH(C364,KT_nguoc_theo_NL!$B$5:$B$304,0)),""))</f>
        <v/>
      </c>
      <c r="I364" s="39" t="str">
        <f t="shared" si="26"/>
        <v/>
      </c>
      <c r="J364" s="46" t="str">
        <f t="shared" si="27"/>
        <v/>
      </c>
      <c r="K364" s="46" t="str">
        <f t="shared" si="28"/>
        <v/>
      </c>
      <c r="L364" s="46" t="str">
        <f t="shared" si="29"/>
        <v/>
      </c>
      <c r="M364" s="35" t="str">
        <f>IF(B364="","",IF(E364="KXDDM","KXDDM – không ĐM",IF(E364&lt;&gt;"","Không KT ("&amp;E364&amp;")",IF(OR(K364="",L364=""),"Xem xét",IF(MAX(ABS(K364),ABS(L364))&lt;=ThongTin!$C$12,"OK","Xem xét")))))</f>
        <v/>
      </c>
    </row>
    <row r="365" spans="1:13" x14ac:dyDescent="0.25">
      <c r="A365" s="35" t="str">
        <f t="shared" si="25"/>
        <v/>
      </c>
      <c r="B365" s="35" t="str">
        <f>IF(BOM!A365="","",BOM!A365)</f>
        <v/>
      </c>
      <c r="C365" s="35" t="str">
        <f>IF(B365="","",BOM!B365)</f>
        <v/>
      </c>
      <c r="D365" s="35" t="str">
        <f>IF(B365="","",KT_DMTT_ChiTiet!E365)</f>
        <v/>
      </c>
      <c r="E365" s="36" t="str">
        <f>IF(B365="","",BOM!G365&amp;"")</f>
        <v/>
      </c>
      <c r="F365" s="39" t="str">
        <f>IF(B365="","",BOM!E365)</f>
        <v/>
      </c>
      <c r="G365" s="39" t="str">
        <f>IF(OR(B365="",E365="KXDDM"),"",BOM!F365)</f>
        <v/>
      </c>
      <c r="H365" s="39" t="str">
        <f>IF(OR(B365="",E365&lt;&gt;""),"",IFERROR(INDEX(KT_nguoc_theo_NL!$J$5:$J$304,MATCH(C365,KT_nguoc_theo_NL!$B$5:$B$304,0))/INDEX(KT_nguoc_theo_NL!$K$5:$K$304,MATCH(C365,KT_nguoc_theo_NL!$B$5:$B$304,0)),""))</f>
        <v/>
      </c>
      <c r="I365" s="39" t="str">
        <f t="shared" si="26"/>
        <v/>
      </c>
      <c r="J365" s="46" t="str">
        <f t="shared" si="27"/>
        <v/>
      </c>
      <c r="K365" s="46" t="str">
        <f t="shared" si="28"/>
        <v/>
      </c>
      <c r="L365" s="46" t="str">
        <f t="shared" si="29"/>
        <v/>
      </c>
      <c r="M365" s="35" t="str">
        <f>IF(B365="","",IF(E365="KXDDM","KXDDM – không ĐM",IF(E365&lt;&gt;"","Không KT ("&amp;E365&amp;")",IF(OR(K365="",L365=""),"Xem xét",IF(MAX(ABS(K365),ABS(L365))&lt;=ThongTin!$C$12,"OK","Xem xét")))))</f>
        <v/>
      </c>
    </row>
    <row r="366" spans="1:13" x14ac:dyDescent="0.25">
      <c r="A366" s="35" t="str">
        <f t="shared" si="25"/>
        <v/>
      </c>
      <c r="B366" s="35" t="str">
        <f>IF(BOM!A366="","",BOM!A366)</f>
        <v/>
      </c>
      <c r="C366" s="35" t="str">
        <f>IF(B366="","",BOM!B366)</f>
        <v/>
      </c>
      <c r="D366" s="35" t="str">
        <f>IF(B366="","",KT_DMTT_ChiTiet!E366)</f>
        <v/>
      </c>
      <c r="E366" s="36" t="str">
        <f>IF(B366="","",BOM!G366&amp;"")</f>
        <v/>
      </c>
      <c r="F366" s="39" t="str">
        <f>IF(B366="","",BOM!E366)</f>
        <v/>
      </c>
      <c r="G366" s="39" t="str">
        <f>IF(OR(B366="",E366="KXDDM"),"",BOM!F366)</f>
        <v/>
      </c>
      <c r="H366" s="39" t="str">
        <f>IF(OR(B366="",E366&lt;&gt;""),"",IFERROR(INDEX(KT_nguoc_theo_NL!$J$5:$J$304,MATCH(C366,KT_nguoc_theo_NL!$B$5:$B$304,0))/INDEX(KT_nguoc_theo_NL!$K$5:$K$304,MATCH(C366,KT_nguoc_theo_NL!$B$5:$B$304,0)),""))</f>
        <v/>
      </c>
      <c r="I366" s="39" t="str">
        <f t="shared" si="26"/>
        <v/>
      </c>
      <c r="J366" s="46" t="str">
        <f t="shared" si="27"/>
        <v/>
      </c>
      <c r="K366" s="46" t="str">
        <f t="shared" si="28"/>
        <v/>
      </c>
      <c r="L366" s="46" t="str">
        <f t="shared" si="29"/>
        <v/>
      </c>
      <c r="M366" s="35" t="str">
        <f>IF(B366="","",IF(E366="KXDDM","KXDDM – không ĐM",IF(E366&lt;&gt;"","Không KT ("&amp;E366&amp;")",IF(OR(K366="",L366=""),"Xem xét",IF(MAX(ABS(K366),ABS(L366))&lt;=ThongTin!$C$12,"OK","Xem xét")))))</f>
        <v/>
      </c>
    </row>
    <row r="367" spans="1:13" x14ac:dyDescent="0.25">
      <c r="A367" s="35" t="str">
        <f t="shared" si="25"/>
        <v/>
      </c>
      <c r="B367" s="35" t="str">
        <f>IF(BOM!A367="","",BOM!A367)</f>
        <v/>
      </c>
      <c r="C367" s="35" t="str">
        <f>IF(B367="","",BOM!B367)</f>
        <v/>
      </c>
      <c r="D367" s="35" t="str">
        <f>IF(B367="","",KT_DMTT_ChiTiet!E367)</f>
        <v/>
      </c>
      <c r="E367" s="36" t="str">
        <f>IF(B367="","",BOM!G367&amp;"")</f>
        <v/>
      </c>
      <c r="F367" s="39" t="str">
        <f>IF(B367="","",BOM!E367)</f>
        <v/>
      </c>
      <c r="G367" s="39" t="str">
        <f>IF(OR(B367="",E367="KXDDM"),"",BOM!F367)</f>
        <v/>
      </c>
      <c r="H367" s="39" t="str">
        <f>IF(OR(B367="",E367&lt;&gt;""),"",IFERROR(INDEX(KT_nguoc_theo_NL!$J$5:$J$304,MATCH(C367,KT_nguoc_theo_NL!$B$5:$B$304,0))/INDEX(KT_nguoc_theo_NL!$K$5:$K$304,MATCH(C367,KT_nguoc_theo_NL!$B$5:$B$304,0)),""))</f>
        <v/>
      </c>
      <c r="I367" s="39" t="str">
        <f t="shared" si="26"/>
        <v/>
      </c>
      <c r="J367" s="46" t="str">
        <f t="shared" si="27"/>
        <v/>
      </c>
      <c r="K367" s="46" t="str">
        <f t="shared" si="28"/>
        <v/>
      </c>
      <c r="L367" s="46" t="str">
        <f t="shared" si="29"/>
        <v/>
      </c>
      <c r="M367" s="35" t="str">
        <f>IF(B367="","",IF(E367="KXDDM","KXDDM – không ĐM",IF(E367&lt;&gt;"","Không KT ("&amp;E367&amp;")",IF(OR(K367="",L367=""),"Xem xét",IF(MAX(ABS(K367),ABS(L367))&lt;=ThongTin!$C$12,"OK","Xem xét")))))</f>
        <v/>
      </c>
    </row>
    <row r="368" spans="1:13" x14ac:dyDescent="0.25">
      <c r="A368" s="35" t="str">
        <f t="shared" si="25"/>
        <v/>
      </c>
      <c r="B368" s="35" t="str">
        <f>IF(BOM!A368="","",BOM!A368)</f>
        <v/>
      </c>
      <c r="C368" s="35" t="str">
        <f>IF(B368="","",BOM!B368)</f>
        <v/>
      </c>
      <c r="D368" s="35" t="str">
        <f>IF(B368="","",KT_DMTT_ChiTiet!E368)</f>
        <v/>
      </c>
      <c r="E368" s="36" t="str">
        <f>IF(B368="","",BOM!G368&amp;"")</f>
        <v/>
      </c>
      <c r="F368" s="39" t="str">
        <f>IF(B368="","",BOM!E368)</f>
        <v/>
      </c>
      <c r="G368" s="39" t="str">
        <f>IF(OR(B368="",E368="KXDDM"),"",BOM!F368)</f>
        <v/>
      </c>
      <c r="H368" s="39" t="str">
        <f>IF(OR(B368="",E368&lt;&gt;""),"",IFERROR(INDEX(KT_nguoc_theo_NL!$J$5:$J$304,MATCH(C368,KT_nguoc_theo_NL!$B$5:$B$304,0))/INDEX(KT_nguoc_theo_NL!$K$5:$K$304,MATCH(C368,KT_nguoc_theo_NL!$B$5:$B$304,0)),""))</f>
        <v/>
      </c>
      <c r="I368" s="39" t="str">
        <f t="shared" si="26"/>
        <v/>
      </c>
      <c r="J368" s="46" t="str">
        <f t="shared" si="27"/>
        <v/>
      </c>
      <c r="K368" s="46" t="str">
        <f t="shared" si="28"/>
        <v/>
      </c>
      <c r="L368" s="46" t="str">
        <f t="shared" si="29"/>
        <v/>
      </c>
      <c r="M368" s="35" t="str">
        <f>IF(B368="","",IF(E368="KXDDM","KXDDM – không ĐM",IF(E368&lt;&gt;"","Không KT ("&amp;E368&amp;")",IF(OR(K368="",L368=""),"Xem xét",IF(MAX(ABS(K368),ABS(L368))&lt;=ThongTin!$C$12,"OK","Xem xét")))))</f>
        <v/>
      </c>
    </row>
    <row r="369" spans="1:13" x14ac:dyDescent="0.25">
      <c r="A369" s="35" t="str">
        <f t="shared" si="25"/>
        <v/>
      </c>
      <c r="B369" s="35" t="str">
        <f>IF(BOM!A369="","",BOM!A369)</f>
        <v/>
      </c>
      <c r="C369" s="35" t="str">
        <f>IF(B369="","",BOM!B369)</f>
        <v/>
      </c>
      <c r="D369" s="35" t="str">
        <f>IF(B369="","",KT_DMTT_ChiTiet!E369)</f>
        <v/>
      </c>
      <c r="E369" s="36" t="str">
        <f>IF(B369="","",BOM!G369&amp;"")</f>
        <v/>
      </c>
      <c r="F369" s="39" t="str">
        <f>IF(B369="","",BOM!E369)</f>
        <v/>
      </c>
      <c r="G369" s="39" t="str">
        <f>IF(OR(B369="",E369="KXDDM"),"",BOM!F369)</f>
        <v/>
      </c>
      <c r="H369" s="39" t="str">
        <f>IF(OR(B369="",E369&lt;&gt;""),"",IFERROR(INDEX(KT_nguoc_theo_NL!$J$5:$J$304,MATCH(C369,KT_nguoc_theo_NL!$B$5:$B$304,0))/INDEX(KT_nguoc_theo_NL!$K$5:$K$304,MATCH(C369,KT_nguoc_theo_NL!$B$5:$B$304,0)),""))</f>
        <v/>
      </c>
      <c r="I369" s="39" t="str">
        <f t="shared" si="26"/>
        <v/>
      </c>
      <c r="J369" s="46" t="str">
        <f t="shared" si="27"/>
        <v/>
      </c>
      <c r="K369" s="46" t="str">
        <f t="shared" si="28"/>
        <v/>
      </c>
      <c r="L369" s="46" t="str">
        <f t="shared" si="29"/>
        <v/>
      </c>
      <c r="M369" s="35" t="str">
        <f>IF(B369="","",IF(E369="KXDDM","KXDDM – không ĐM",IF(E369&lt;&gt;"","Không KT ("&amp;E369&amp;")",IF(OR(K369="",L369=""),"Xem xét",IF(MAX(ABS(K369),ABS(L369))&lt;=ThongTin!$C$12,"OK","Xem xét")))))</f>
        <v/>
      </c>
    </row>
    <row r="370" spans="1:13" x14ac:dyDescent="0.25">
      <c r="A370" s="35" t="str">
        <f t="shared" si="25"/>
        <v/>
      </c>
      <c r="B370" s="35" t="str">
        <f>IF(BOM!A370="","",BOM!A370)</f>
        <v/>
      </c>
      <c r="C370" s="35" t="str">
        <f>IF(B370="","",BOM!B370)</f>
        <v/>
      </c>
      <c r="D370" s="35" t="str">
        <f>IF(B370="","",KT_DMTT_ChiTiet!E370)</f>
        <v/>
      </c>
      <c r="E370" s="36" t="str">
        <f>IF(B370="","",BOM!G370&amp;"")</f>
        <v/>
      </c>
      <c r="F370" s="39" t="str">
        <f>IF(B370="","",BOM!E370)</f>
        <v/>
      </c>
      <c r="G370" s="39" t="str">
        <f>IF(OR(B370="",E370="KXDDM"),"",BOM!F370)</f>
        <v/>
      </c>
      <c r="H370" s="39" t="str">
        <f>IF(OR(B370="",E370&lt;&gt;""),"",IFERROR(INDEX(KT_nguoc_theo_NL!$J$5:$J$304,MATCH(C370,KT_nguoc_theo_NL!$B$5:$B$304,0))/INDEX(KT_nguoc_theo_NL!$K$5:$K$304,MATCH(C370,KT_nguoc_theo_NL!$B$5:$B$304,0)),""))</f>
        <v/>
      </c>
      <c r="I370" s="39" t="str">
        <f t="shared" si="26"/>
        <v/>
      </c>
      <c r="J370" s="46" t="str">
        <f t="shared" si="27"/>
        <v/>
      </c>
      <c r="K370" s="46" t="str">
        <f t="shared" si="28"/>
        <v/>
      </c>
      <c r="L370" s="46" t="str">
        <f t="shared" si="29"/>
        <v/>
      </c>
      <c r="M370" s="35" t="str">
        <f>IF(B370="","",IF(E370="KXDDM","KXDDM – không ĐM",IF(E370&lt;&gt;"","Không KT ("&amp;E370&amp;")",IF(OR(K370="",L370=""),"Xem xét",IF(MAX(ABS(K370),ABS(L370))&lt;=ThongTin!$C$12,"OK","Xem xét")))))</f>
        <v/>
      </c>
    </row>
    <row r="371" spans="1:13" x14ac:dyDescent="0.25">
      <c r="A371" s="35" t="str">
        <f t="shared" si="25"/>
        <v/>
      </c>
      <c r="B371" s="35" t="str">
        <f>IF(BOM!A371="","",BOM!A371)</f>
        <v/>
      </c>
      <c r="C371" s="35" t="str">
        <f>IF(B371="","",BOM!B371)</f>
        <v/>
      </c>
      <c r="D371" s="35" t="str">
        <f>IF(B371="","",KT_DMTT_ChiTiet!E371)</f>
        <v/>
      </c>
      <c r="E371" s="36" t="str">
        <f>IF(B371="","",BOM!G371&amp;"")</f>
        <v/>
      </c>
      <c r="F371" s="39" t="str">
        <f>IF(B371="","",BOM!E371)</f>
        <v/>
      </c>
      <c r="G371" s="39" t="str">
        <f>IF(OR(B371="",E371="KXDDM"),"",BOM!F371)</f>
        <v/>
      </c>
      <c r="H371" s="39" t="str">
        <f>IF(OR(B371="",E371&lt;&gt;""),"",IFERROR(INDEX(KT_nguoc_theo_NL!$J$5:$J$304,MATCH(C371,KT_nguoc_theo_NL!$B$5:$B$304,0))/INDEX(KT_nguoc_theo_NL!$K$5:$K$304,MATCH(C371,KT_nguoc_theo_NL!$B$5:$B$304,0)),""))</f>
        <v/>
      </c>
      <c r="I371" s="39" t="str">
        <f t="shared" si="26"/>
        <v/>
      </c>
      <c r="J371" s="46" t="str">
        <f t="shared" si="27"/>
        <v/>
      </c>
      <c r="K371" s="46" t="str">
        <f t="shared" si="28"/>
        <v/>
      </c>
      <c r="L371" s="46" t="str">
        <f t="shared" si="29"/>
        <v/>
      </c>
      <c r="M371" s="35" t="str">
        <f>IF(B371="","",IF(E371="KXDDM","KXDDM – không ĐM",IF(E371&lt;&gt;"","Không KT ("&amp;E371&amp;")",IF(OR(K371="",L371=""),"Xem xét",IF(MAX(ABS(K371),ABS(L371))&lt;=ThongTin!$C$12,"OK","Xem xét")))))</f>
        <v/>
      </c>
    </row>
    <row r="372" spans="1:13" x14ac:dyDescent="0.25">
      <c r="A372" s="35" t="str">
        <f t="shared" si="25"/>
        <v/>
      </c>
      <c r="B372" s="35" t="str">
        <f>IF(BOM!A372="","",BOM!A372)</f>
        <v/>
      </c>
      <c r="C372" s="35" t="str">
        <f>IF(B372="","",BOM!B372)</f>
        <v/>
      </c>
      <c r="D372" s="35" t="str">
        <f>IF(B372="","",KT_DMTT_ChiTiet!E372)</f>
        <v/>
      </c>
      <c r="E372" s="36" t="str">
        <f>IF(B372="","",BOM!G372&amp;"")</f>
        <v/>
      </c>
      <c r="F372" s="39" t="str">
        <f>IF(B372="","",BOM!E372)</f>
        <v/>
      </c>
      <c r="G372" s="39" t="str">
        <f>IF(OR(B372="",E372="KXDDM"),"",BOM!F372)</f>
        <v/>
      </c>
      <c r="H372" s="39" t="str">
        <f>IF(OR(B372="",E372&lt;&gt;""),"",IFERROR(INDEX(KT_nguoc_theo_NL!$J$5:$J$304,MATCH(C372,KT_nguoc_theo_NL!$B$5:$B$304,0))/INDEX(KT_nguoc_theo_NL!$K$5:$K$304,MATCH(C372,KT_nguoc_theo_NL!$B$5:$B$304,0)),""))</f>
        <v/>
      </c>
      <c r="I372" s="39" t="str">
        <f t="shared" si="26"/>
        <v/>
      </c>
      <c r="J372" s="46" t="str">
        <f t="shared" si="27"/>
        <v/>
      </c>
      <c r="K372" s="46" t="str">
        <f t="shared" si="28"/>
        <v/>
      </c>
      <c r="L372" s="46" t="str">
        <f t="shared" si="29"/>
        <v/>
      </c>
      <c r="M372" s="35" t="str">
        <f>IF(B372="","",IF(E372="KXDDM","KXDDM – không ĐM",IF(E372&lt;&gt;"","Không KT ("&amp;E372&amp;")",IF(OR(K372="",L372=""),"Xem xét",IF(MAX(ABS(K372),ABS(L372))&lt;=ThongTin!$C$12,"OK","Xem xét")))))</f>
        <v/>
      </c>
    </row>
    <row r="373" spans="1:13" x14ac:dyDescent="0.25">
      <c r="A373" s="35" t="str">
        <f t="shared" si="25"/>
        <v/>
      </c>
      <c r="B373" s="35" t="str">
        <f>IF(BOM!A373="","",BOM!A373)</f>
        <v/>
      </c>
      <c r="C373" s="35" t="str">
        <f>IF(B373="","",BOM!B373)</f>
        <v/>
      </c>
      <c r="D373" s="35" t="str">
        <f>IF(B373="","",KT_DMTT_ChiTiet!E373)</f>
        <v/>
      </c>
      <c r="E373" s="36" t="str">
        <f>IF(B373="","",BOM!G373&amp;"")</f>
        <v/>
      </c>
      <c r="F373" s="39" t="str">
        <f>IF(B373="","",BOM!E373)</f>
        <v/>
      </c>
      <c r="G373" s="39" t="str">
        <f>IF(OR(B373="",E373="KXDDM"),"",BOM!F373)</f>
        <v/>
      </c>
      <c r="H373" s="39" t="str">
        <f>IF(OR(B373="",E373&lt;&gt;""),"",IFERROR(INDEX(KT_nguoc_theo_NL!$J$5:$J$304,MATCH(C373,KT_nguoc_theo_NL!$B$5:$B$304,0))/INDEX(KT_nguoc_theo_NL!$K$5:$K$304,MATCH(C373,KT_nguoc_theo_NL!$B$5:$B$304,0)),""))</f>
        <v/>
      </c>
      <c r="I373" s="39" t="str">
        <f t="shared" si="26"/>
        <v/>
      </c>
      <c r="J373" s="46" t="str">
        <f t="shared" si="27"/>
        <v/>
      </c>
      <c r="K373" s="46" t="str">
        <f t="shared" si="28"/>
        <v/>
      </c>
      <c r="L373" s="46" t="str">
        <f t="shared" si="29"/>
        <v/>
      </c>
      <c r="M373" s="35" t="str">
        <f>IF(B373="","",IF(E373="KXDDM","KXDDM – không ĐM",IF(E373&lt;&gt;"","Không KT ("&amp;E373&amp;")",IF(OR(K373="",L373=""),"Xem xét",IF(MAX(ABS(K373),ABS(L373))&lt;=ThongTin!$C$12,"OK","Xem xét")))))</f>
        <v/>
      </c>
    </row>
    <row r="374" spans="1:13" x14ac:dyDescent="0.25">
      <c r="A374" s="35" t="str">
        <f t="shared" si="25"/>
        <v/>
      </c>
      <c r="B374" s="35" t="str">
        <f>IF(BOM!A374="","",BOM!A374)</f>
        <v/>
      </c>
      <c r="C374" s="35" t="str">
        <f>IF(B374="","",BOM!B374)</f>
        <v/>
      </c>
      <c r="D374" s="35" t="str">
        <f>IF(B374="","",KT_DMTT_ChiTiet!E374)</f>
        <v/>
      </c>
      <c r="E374" s="36" t="str">
        <f>IF(B374="","",BOM!G374&amp;"")</f>
        <v/>
      </c>
      <c r="F374" s="39" t="str">
        <f>IF(B374="","",BOM!E374)</f>
        <v/>
      </c>
      <c r="G374" s="39" t="str">
        <f>IF(OR(B374="",E374="KXDDM"),"",BOM!F374)</f>
        <v/>
      </c>
      <c r="H374" s="39" t="str">
        <f>IF(OR(B374="",E374&lt;&gt;""),"",IFERROR(INDEX(KT_nguoc_theo_NL!$J$5:$J$304,MATCH(C374,KT_nguoc_theo_NL!$B$5:$B$304,0))/INDEX(KT_nguoc_theo_NL!$K$5:$K$304,MATCH(C374,KT_nguoc_theo_NL!$B$5:$B$304,0)),""))</f>
        <v/>
      </c>
      <c r="I374" s="39" t="str">
        <f t="shared" si="26"/>
        <v/>
      </c>
      <c r="J374" s="46" t="str">
        <f t="shared" si="27"/>
        <v/>
      </c>
      <c r="K374" s="46" t="str">
        <f t="shared" si="28"/>
        <v/>
      </c>
      <c r="L374" s="46" t="str">
        <f t="shared" si="29"/>
        <v/>
      </c>
      <c r="M374" s="35" t="str">
        <f>IF(B374="","",IF(E374="KXDDM","KXDDM – không ĐM",IF(E374&lt;&gt;"","Không KT ("&amp;E374&amp;")",IF(OR(K374="",L374=""),"Xem xét",IF(MAX(ABS(K374),ABS(L374))&lt;=ThongTin!$C$12,"OK","Xem xét")))))</f>
        <v/>
      </c>
    </row>
    <row r="375" spans="1:13" x14ac:dyDescent="0.25">
      <c r="A375" s="35" t="str">
        <f t="shared" si="25"/>
        <v/>
      </c>
      <c r="B375" s="35" t="str">
        <f>IF(BOM!A375="","",BOM!A375)</f>
        <v/>
      </c>
      <c r="C375" s="35" t="str">
        <f>IF(B375="","",BOM!B375)</f>
        <v/>
      </c>
      <c r="D375" s="35" t="str">
        <f>IF(B375="","",KT_DMTT_ChiTiet!E375)</f>
        <v/>
      </c>
      <c r="E375" s="36" t="str">
        <f>IF(B375="","",BOM!G375&amp;"")</f>
        <v/>
      </c>
      <c r="F375" s="39" t="str">
        <f>IF(B375="","",BOM!E375)</f>
        <v/>
      </c>
      <c r="G375" s="39" t="str">
        <f>IF(OR(B375="",E375="KXDDM"),"",BOM!F375)</f>
        <v/>
      </c>
      <c r="H375" s="39" t="str">
        <f>IF(OR(B375="",E375&lt;&gt;""),"",IFERROR(INDEX(KT_nguoc_theo_NL!$J$5:$J$304,MATCH(C375,KT_nguoc_theo_NL!$B$5:$B$304,0))/INDEX(KT_nguoc_theo_NL!$K$5:$K$304,MATCH(C375,KT_nguoc_theo_NL!$B$5:$B$304,0)),""))</f>
        <v/>
      </c>
      <c r="I375" s="39" t="str">
        <f t="shared" si="26"/>
        <v/>
      </c>
      <c r="J375" s="46" t="str">
        <f t="shared" si="27"/>
        <v/>
      </c>
      <c r="K375" s="46" t="str">
        <f t="shared" si="28"/>
        <v/>
      </c>
      <c r="L375" s="46" t="str">
        <f t="shared" si="29"/>
        <v/>
      </c>
      <c r="M375" s="35" t="str">
        <f>IF(B375="","",IF(E375="KXDDM","KXDDM – không ĐM",IF(E375&lt;&gt;"","Không KT ("&amp;E375&amp;")",IF(OR(K375="",L375=""),"Xem xét",IF(MAX(ABS(K375),ABS(L375))&lt;=ThongTin!$C$12,"OK","Xem xét")))))</f>
        <v/>
      </c>
    </row>
    <row r="376" spans="1:13" x14ac:dyDescent="0.25">
      <c r="A376" s="35" t="str">
        <f t="shared" si="25"/>
        <v/>
      </c>
      <c r="B376" s="35" t="str">
        <f>IF(BOM!A376="","",BOM!A376)</f>
        <v/>
      </c>
      <c r="C376" s="35" t="str">
        <f>IF(B376="","",BOM!B376)</f>
        <v/>
      </c>
      <c r="D376" s="35" t="str">
        <f>IF(B376="","",KT_DMTT_ChiTiet!E376)</f>
        <v/>
      </c>
      <c r="E376" s="36" t="str">
        <f>IF(B376="","",BOM!G376&amp;"")</f>
        <v/>
      </c>
      <c r="F376" s="39" t="str">
        <f>IF(B376="","",BOM!E376)</f>
        <v/>
      </c>
      <c r="G376" s="39" t="str">
        <f>IF(OR(B376="",E376="KXDDM"),"",BOM!F376)</f>
        <v/>
      </c>
      <c r="H376" s="39" t="str">
        <f>IF(OR(B376="",E376&lt;&gt;""),"",IFERROR(INDEX(KT_nguoc_theo_NL!$J$5:$J$304,MATCH(C376,KT_nguoc_theo_NL!$B$5:$B$304,0))/INDEX(KT_nguoc_theo_NL!$K$5:$K$304,MATCH(C376,KT_nguoc_theo_NL!$B$5:$B$304,0)),""))</f>
        <v/>
      </c>
      <c r="I376" s="39" t="str">
        <f t="shared" si="26"/>
        <v/>
      </c>
      <c r="J376" s="46" t="str">
        <f t="shared" si="27"/>
        <v/>
      </c>
      <c r="K376" s="46" t="str">
        <f t="shared" si="28"/>
        <v/>
      </c>
      <c r="L376" s="46" t="str">
        <f t="shared" si="29"/>
        <v/>
      </c>
      <c r="M376" s="35" t="str">
        <f>IF(B376="","",IF(E376="KXDDM","KXDDM – không ĐM",IF(E376&lt;&gt;"","Không KT ("&amp;E376&amp;")",IF(OR(K376="",L376=""),"Xem xét",IF(MAX(ABS(K376),ABS(L376))&lt;=ThongTin!$C$12,"OK","Xem xét")))))</f>
        <v/>
      </c>
    </row>
    <row r="377" spans="1:13" x14ac:dyDescent="0.25">
      <c r="A377" s="35" t="str">
        <f t="shared" si="25"/>
        <v/>
      </c>
      <c r="B377" s="35" t="str">
        <f>IF(BOM!A377="","",BOM!A377)</f>
        <v/>
      </c>
      <c r="C377" s="35" t="str">
        <f>IF(B377="","",BOM!B377)</f>
        <v/>
      </c>
      <c r="D377" s="35" t="str">
        <f>IF(B377="","",KT_DMTT_ChiTiet!E377)</f>
        <v/>
      </c>
      <c r="E377" s="36" t="str">
        <f>IF(B377="","",BOM!G377&amp;"")</f>
        <v/>
      </c>
      <c r="F377" s="39" t="str">
        <f>IF(B377="","",BOM!E377)</f>
        <v/>
      </c>
      <c r="G377" s="39" t="str">
        <f>IF(OR(B377="",E377="KXDDM"),"",BOM!F377)</f>
        <v/>
      </c>
      <c r="H377" s="39" t="str">
        <f>IF(OR(B377="",E377&lt;&gt;""),"",IFERROR(INDEX(KT_nguoc_theo_NL!$J$5:$J$304,MATCH(C377,KT_nguoc_theo_NL!$B$5:$B$304,0))/INDEX(KT_nguoc_theo_NL!$K$5:$K$304,MATCH(C377,KT_nguoc_theo_NL!$B$5:$B$304,0)),""))</f>
        <v/>
      </c>
      <c r="I377" s="39" t="str">
        <f t="shared" si="26"/>
        <v/>
      </c>
      <c r="J377" s="46" t="str">
        <f t="shared" si="27"/>
        <v/>
      </c>
      <c r="K377" s="46" t="str">
        <f t="shared" si="28"/>
        <v/>
      </c>
      <c r="L377" s="46" t="str">
        <f t="shared" si="29"/>
        <v/>
      </c>
      <c r="M377" s="35" t="str">
        <f>IF(B377="","",IF(E377="KXDDM","KXDDM – không ĐM",IF(E377&lt;&gt;"","Không KT ("&amp;E377&amp;")",IF(OR(K377="",L377=""),"Xem xét",IF(MAX(ABS(K377),ABS(L377))&lt;=ThongTin!$C$12,"OK","Xem xét")))))</f>
        <v/>
      </c>
    </row>
    <row r="378" spans="1:13" x14ac:dyDescent="0.25">
      <c r="A378" s="35" t="str">
        <f t="shared" si="25"/>
        <v/>
      </c>
      <c r="B378" s="35" t="str">
        <f>IF(BOM!A378="","",BOM!A378)</f>
        <v/>
      </c>
      <c r="C378" s="35" t="str">
        <f>IF(B378="","",BOM!B378)</f>
        <v/>
      </c>
      <c r="D378" s="35" t="str">
        <f>IF(B378="","",KT_DMTT_ChiTiet!E378)</f>
        <v/>
      </c>
      <c r="E378" s="36" t="str">
        <f>IF(B378="","",BOM!G378&amp;"")</f>
        <v/>
      </c>
      <c r="F378" s="39" t="str">
        <f>IF(B378="","",BOM!E378)</f>
        <v/>
      </c>
      <c r="G378" s="39" t="str">
        <f>IF(OR(B378="",E378="KXDDM"),"",BOM!F378)</f>
        <v/>
      </c>
      <c r="H378" s="39" t="str">
        <f>IF(OR(B378="",E378&lt;&gt;""),"",IFERROR(INDEX(KT_nguoc_theo_NL!$J$5:$J$304,MATCH(C378,KT_nguoc_theo_NL!$B$5:$B$304,0))/INDEX(KT_nguoc_theo_NL!$K$5:$K$304,MATCH(C378,KT_nguoc_theo_NL!$B$5:$B$304,0)),""))</f>
        <v/>
      </c>
      <c r="I378" s="39" t="str">
        <f t="shared" si="26"/>
        <v/>
      </c>
      <c r="J378" s="46" t="str">
        <f t="shared" si="27"/>
        <v/>
      </c>
      <c r="K378" s="46" t="str">
        <f t="shared" si="28"/>
        <v/>
      </c>
      <c r="L378" s="46" t="str">
        <f t="shared" si="29"/>
        <v/>
      </c>
      <c r="M378" s="35" t="str">
        <f>IF(B378="","",IF(E378="KXDDM","KXDDM – không ĐM",IF(E378&lt;&gt;"","Không KT ("&amp;E378&amp;")",IF(OR(K378="",L378=""),"Xem xét",IF(MAX(ABS(K378),ABS(L378))&lt;=ThongTin!$C$12,"OK","Xem xét")))))</f>
        <v/>
      </c>
    </row>
    <row r="379" spans="1:13" x14ac:dyDescent="0.25">
      <c r="A379" s="35" t="str">
        <f t="shared" si="25"/>
        <v/>
      </c>
      <c r="B379" s="35" t="str">
        <f>IF(BOM!A379="","",BOM!A379)</f>
        <v/>
      </c>
      <c r="C379" s="35" t="str">
        <f>IF(B379="","",BOM!B379)</f>
        <v/>
      </c>
      <c r="D379" s="35" t="str">
        <f>IF(B379="","",KT_DMTT_ChiTiet!E379)</f>
        <v/>
      </c>
      <c r="E379" s="36" t="str">
        <f>IF(B379="","",BOM!G379&amp;"")</f>
        <v/>
      </c>
      <c r="F379" s="39" t="str">
        <f>IF(B379="","",BOM!E379)</f>
        <v/>
      </c>
      <c r="G379" s="39" t="str">
        <f>IF(OR(B379="",E379="KXDDM"),"",BOM!F379)</f>
        <v/>
      </c>
      <c r="H379" s="39" t="str">
        <f>IF(OR(B379="",E379&lt;&gt;""),"",IFERROR(INDEX(KT_nguoc_theo_NL!$J$5:$J$304,MATCH(C379,KT_nguoc_theo_NL!$B$5:$B$304,0))/INDEX(KT_nguoc_theo_NL!$K$5:$K$304,MATCH(C379,KT_nguoc_theo_NL!$B$5:$B$304,0)),""))</f>
        <v/>
      </c>
      <c r="I379" s="39" t="str">
        <f t="shared" si="26"/>
        <v/>
      </c>
      <c r="J379" s="46" t="str">
        <f t="shared" si="27"/>
        <v/>
      </c>
      <c r="K379" s="46" t="str">
        <f t="shared" si="28"/>
        <v/>
      </c>
      <c r="L379" s="46" t="str">
        <f t="shared" si="29"/>
        <v/>
      </c>
      <c r="M379" s="35" t="str">
        <f>IF(B379="","",IF(E379="KXDDM","KXDDM – không ĐM",IF(E379&lt;&gt;"","Không KT ("&amp;E379&amp;")",IF(OR(K379="",L379=""),"Xem xét",IF(MAX(ABS(K379),ABS(L379))&lt;=ThongTin!$C$12,"OK","Xem xét")))))</f>
        <v/>
      </c>
    </row>
    <row r="380" spans="1:13" x14ac:dyDescent="0.25">
      <c r="A380" s="35" t="str">
        <f t="shared" si="25"/>
        <v/>
      </c>
      <c r="B380" s="35" t="str">
        <f>IF(BOM!A380="","",BOM!A380)</f>
        <v/>
      </c>
      <c r="C380" s="35" t="str">
        <f>IF(B380="","",BOM!B380)</f>
        <v/>
      </c>
      <c r="D380" s="35" t="str">
        <f>IF(B380="","",KT_DMTT_ChiTiet!E380)</f>
        <v/>
      </c>
      <c r="E380" s="36" t="str">
        <f>IF(B380="","",BOM!G380&amp;"")</f>
        <v/>
      </c>
      <c r="F380" s="39" t="str">
        <f>IF(B380="","",BOM!E380)</f>
        <v/>
      </c>
      <c r="G380" s="39" t="str">
        <f>IF(OR(B380="",E380="KXDDM"),"",BOM!F380)</f>
        <v/>
      </c>
      <c r="H380" s="39" t="str">
        <f>IF(OR(B380="",E380&lt;&gt;""),"",IFERROR(INDEX(KT_nguoc_theo_NL!$J$5:$J$304,MATCH(C380,KT_nguoc_theo_NL!$B$5:$B$304,0))/INDEX(KT_nguoc_theo_NL!$K$5:$K$304,MATCH(C380,KT_nguoc_theo_NL!$B$5:$B$304,0)),""))</f>
        <v/>
      </c>
      <c r="I380" s="39" t="str">
        <f t="shared" si="26"/>
        <v/>
      </c>
      <c r="J380" s="46" t="str">
        <f t="shared" si="27"/>
        <v/>
      </c>
      <c r="K380" s="46" t="str">
        <f t="shared" si="28"/>
        <v/>
      </c>
      <c r="L380" s="46" t="str">
        <f t="shared" si="29"/>
        <v/>
      </c>
      <c r="M380" s="35" t="str">
        <f>IF(B380="","",IF(E380="KXDDM","KXDDM – không ĐM",IF(E380&lt;&gt;"","Không KT ("&amp;E380&amp;")",IF(OR(K380="",L380=""),"Xem xét",IF(MAX(ABS(K380),ABS(L380))&lt;=ThongTin!$C$12,"OK","Xem xét")))))</f>
        <v/>
      </c>
    </row>
    <row r="381" spans="1:13" x14ac:dyDescent="0.25">
      <c r="A381" s="35" t="str">
        <f t="shared" si="25"/>
        <v/>
      </c>
      <c r="B381" s="35" t="str">
        <f>IF(BOM!A381="","",BOM!A381)</f>
        <v/>
      </c>
      <c r="C381" s="35" t="str">
        <f>IF(B381="","",BOM!B381)</f>
        <v/>
      </c>
      <c r="D381" s="35" t="str">
        <f>IF(B381="","",KT_DMTT_ChiTiet!E381)</f>
        <v/>
      </c>
      <c r="E381" s="36" t="str">
        <f>IF(B381="","",BOM!G381&amp;"")</f>
        <v/>
      </c>
      <c r="F381" s="39" t="str">
        <f>IF(B381="","",BOM!E381)</f>
        <v/>
      </c>
      <c r="G381" s="39" t="str">
        <f>IF(OR(B381="",E381="KXDDM"),"",BOM!F381)</f>
        <v/>
      </c>
      <c r="H381" s="39" t="str">
        <f>IF(OR(B381="",E381&lt;&gt;""),"",IFERROR(INDEX(KT_nguoc_theo_NL!$J$5:$J$304,MATCH(C381,KT_nguoc_theo_NL!$B$5:$B$304,0))/INDEX(KT_nguoc_theo_NL!$K$5:$K$304,MATCH(C381,KT_nguoc_theo_NL!$B$5:$B$304,0)),""))</f>
        <v/>
      </c>
      <c r="I381" s="39" t="str">
        <f t="shared" si="26"/>
        <v/>
      </c>
      <c r="J381" s="46" t="str">
        <f t="shared" si="27"/>
        <v/>
      </c>
      <c r="K381" s="46" t="str">
        <f t="shared" si="28"/>
        <v/>
      </c>
      <c r="L381" s="46" t="str">
        <f t="shared" si="29"/>
        <v/>
      </c>
      <c r="M381" s="35" t="str">
        <f>IF(B381="","",IF(E381="KXDDM","KXDDM – không ĐM",IF(E381&lt;&gt;"","Không KT ("&amp;E381&amp;")",IF(OR(K381="",L381=""),"Xem xét",IF(MAX(ABS(K381),ABS(L381))&lt;=ThongTin!$C$12,"OK","Xem xét")))))</f>
        <v/>
      </c>
    </row>
    <row r="382" spans="1:13" x14ac:dyDescent="0.25">
      <c r="A382" s="35" t="str">
        <f t="shared" si="25"/>
        <v/>
      </c>
      <c r="B382" s="35" t="str">
        <f>IF(BOM!A382="","",BOM!A382)</f>
        <v/>
      </c>
      <c r="C382" s="35" t="str">
        <f>IF(B382="","",BOM!B382)</f>
        <v/>
      </c>
      <c r="D382" s="35" t="str">
        <f>IF(B382="","",KT_DMTT_ChiTiet!E382)</f>
        <v/>
      </c>
      <c r="E382" s="36" t="str">
        <f>IF(B382="","",BOM!G382&amp;"")</f>
        <v/>
      </c>
      <c r="F382" s="39" t="str">
        <f>IF(B382="","",BOM!E382)</f>
        <v/>
      </c>
      <c r="G382" s="39" t="str">
        <f>IF(OR(B382="",E382="KXDDM"),"",BOM!F382)</f>
        <v/>
      </c>
      <c r="H382" s="39" t="str">
        <f>IF(OR(B382="",E382&lt;&gt;""),"",IFERROR(INDEX(KT_nguoc_theo_NL!$J$5:$J$304,MATCH(C382,KT_nguoc_theo_NL!$B$5:$B$304,0))/INDEX(KT_nguoc_theo_NL!$K$5:$K$304,MATCH(C382,KT_nguoc_theo_NL!$B$5:$B$304,0)),""))</f>
        <v/>
      </c>
      <c r="I382" s="39" t="str">
        <f t="shared" si="26"/>
        <v/>
      </c>
      <c r="J382" s="46" t="str">
        <f t="shared" si="27"/>
        <v/>
      </c>
      <c r="K382" s="46" t="str">
        <f t="shared" si="28"/>
        <v/>
      </c>
      <c r="L382" s="46" t="str">
        <f t="shared" si="29"/>
        <v/>
      </c>
      <c r="M382" s="35" t="str">
        <f>IF(B382="","",IF(E382="KXDDM","KXDDM – không ĐM",IF(E382&lt;&gt;"","Không KT ("&amp;E382&amp;")",IF(OR(K382="",L382=""),"Xem xét",IF(MAX(ABS(K382),ABS(L382))&lt;=ThongTin!$C$12,"OK","Xem xét")))))</f>
        <v/>
      </c>
    </row>
    <row r="383" spans="1:13" x14ac:dyDescent="0.25">
      <c r="A383" s="35" t="str">
        <f t="shared" si="25"/>
        <v/>
      </c>
      <c r="B383" s="35" t="str">
        <f>IF(BOM!A383="","",BOM!A383)</f>
        <v/>
      </c>
      <c r="C383" s="35" t="str">
        <f>IF(B383="","",BOM!B383)</f>
        <v/>
      </c>
      <c r="D383" s="35" t="str">
        <f>IF(B383="","",KT_DMTT_ChiTiet!E383)</f>
        <v/>
      </c>
      <c r="E383" s="36" t="str">
        <f>IF(B383="","",BOM!G383&amp;"")</f>
        <v/>
      </c>
      <c r="F383" s="39" t="str">
        <f>IF(B383="","",BOM!E383)</f>
        <v/>
      </c>
      <c r="G383" s="39" t="str">
        <f>IF(OR(B383="",E383="KXDDM"),"",BOM!F383)</f>
        <v/>
      </c>
      <c r="H383" s="39" t="str">
        <f>IF(OR(B383="",E383&lt;&gt;""),"",IFERROR(INDEX(KT_nguoc_theo_NL!$J$5:$J$304,MATCH(C383,KT_nguoc_theo_NL!$B$5:$B$304,0))/INDEX(KT_nguoc_theo_NL!$K$5:$K$304,MATCH(C383,KT_nguoc_theo_NL!$B$5:$B$304,0)),""))</f>
        <v/>
      </c>
      <c r="I383" s="39" t="str">
        <f t="shared" si="26"/>
        <v/>
      </c>
      <c r="J383" s="46" t="str">
        <f t="shared" si="27"/>
        <v/>
      </c>
      <c r="K383" s="46" t="str">
        <f t="shared" si="28"/>
        <v/>
      </c>
      <c r="L383" s="46" t="str">
        <f t="shared" si="29"/>
        <v/>
      </c>
      <c r="M383" s="35" t="str">
        <f>IF(B383="","",IF(E383="KXDDM","KXDDM – không ĐM",IF(E383&lt;&gt;"","Không KT ("&amp;E383&amp;")",IF(OR(K383="",L383=""),"Xem xét",IF(MAX(ABS(K383),ABS(L383))&lt;=ThongTin!$C$12,"OK","Xem xét")))))</f>
        <v/>
      </c>
    </row>
    <row r="384" spans="1:13" x14ac:dyDescent="0.25">
      <c r="A384" s="35" t="str">
        <f t="shared" si="25"/>
        <v/>
      </c>
      <c r="B384" s="35" t="str">
        <f>IF(BOM!A384="","",BOM!A384)</f>
        <v/>
      </c>
      <c r="C384" s="35" t="str">
        <f>IF(B384="","",BOM!B384)</f>
        <v/>
      </c>
      <c r="D384" s="35" t="str">
        <f>IF(B384="","",KT_DMTT_ChiTiet!E384)</f>
        <v/>
      </c>
      <c r="E384" s="36" t="str">
        <f>IF(B384="","",BOM!G384&amp;"")</f>
        <v/>
      </c>
      <c r="F384" s="39" t="str">
        <f>IF(B384="","",BOM!E384)</f>
        <v/>
      </c>
      <c r="G384" s="39" t="str">
        <f>IF(OR(B384="",E384="KXDDM"),"",BOM!F384)</f>
        <v/>
      </c>
      <c r="H384" s="39" t="str">
        <f>IF(OR(B384="",E384&lt;&gt;""),"",IFERROR(INDEX(KT_nguoc_theo_NL!$J$5:$J$304,MATCH(C384,KT_nguoc_theo_NL!$B$5:$B$304,0))/INDEX(KT_nguoc_theo_NL!$K$5:$K$304,MATCH(C384,KT_nguoc_theo_NL!$B$5:$B$304,0)),""))</f>
        <v/>
      </c>
      <c r="I384" s="39" t="str">
        <f t="shared" si="26"/>
        <v/>
      </c>
      <c r="J384" s="46" t="str">
        <f t="shared" si="27"/>
        <v/>
      </c>
      <c r="K384" s="46" t="str">
        <f t="shared" si="28"/>
        <v/>
      </c>
      <c r="L384" s="46" t="str">
        <f t="shared" si="29"/>
        <v/>
      </c>
      <c r="M384" s="35" t="str">
        <f>IF(B384="","",IF(E384="KXDDM","KXDDM – không ĐM",IF(E384&lt;&gt;"","Không KT ("&amp;E384&amp;")",IF(OR(K384="",L384=""),"Xem xét",IF(MAX(ABS(K384),ABS(L384))&lt;=ThongTin!$C$12,"OK","Xem xét")))))</f>
        <v/>
      </c>
    </row>
    <row r="385" spans="1:13" x14ac:dyDescent="0.25">
      <c r="A385" s="35" t="str">
        <f t="shared" si="25"/>
        <v/>
      </c>
      <c r="B385" s="35" t="str">
        <f>IF(BOM!A385="","",BOM!A385)</f>
        <v/>
      </c>
      <c r="C385" s="35" t="str">
        <f>IF(B385="","",BOM!B385)</f>
        <v/>
      </c>
      <c r="D385" s="35" t="str">
        <f>IF(B385="","",KT_DMTT_ChiTiet!E385)</f>
        <v/>
      </c>
      <c r="E385" s="36" t="str">
        <f>IF(B385="","",BOM!G385&amp;"")</f>
        <v/>
      </c>
      <c r="F385" s="39" t="str">
        <f>IF(B385="","",BOM!E385)</f>
        <v/>
      </c>
      <c r="G385" s="39" t="str">
        <f>IF(OR(B385="",E385="KXDDM"),"",BOM!F385)</f>
        <v/>
      </c>
      <c r="H385" s="39" t="str">
        <f>IF(OR(B385="",E385&lt;&gt;""),"",IFERROR(INDEX(KT_nguoc_theo_NL!$J$5:$J$304,MATCH(C385,KT_nguoc_theo_NL!$B$5:$B$304,0))/INDEX(KT_nguoc_theo_NL!$K$5:$K$304,MATCH(C385,KT_nguoc_theo_NL!$B$5:$B$304,0)),""))</f>
        <v/>
      </c>
      <c r="I385" s="39" t="str">
        <f t="shared" si="26"/>
        <v/>
      </c>
      <c r="J385" s="46" t="str">
        <f t="shared" si="27"/>
        <v/>
      </c>
      <c r="K385" s="46" t="str">
        <f t="shared" si="28"/>
        <v/>
      </c>
      <c r="L385" s="46" t="str">
        <f t="shared" si="29"/>
        <v/>
      </c>
      <c r="M385" s="35" t="str">
        <f>IF(B385="","",IF(E385="KXDDM","KXDDM – không ĐM",IF(E385&lt;&gt;"","Không KT ("&amp;E385&amp;")",IF(OR(K385="",L385=""),"Xem xét",IF(MAX(ABS(K385),ABS(L385))&lt;=ThongTin!$C$12,"OK","Xem xét")))))</f>
        <v/>
      </c>
    </row>
    <row r="386" spans="1:13" x14ac:dyDescent="0.25">
      <c r="A386" s="35" t="str">
        <f t="shared" si="25"/>
        <v/>
      </c>
      <c r="B386" s="35" t="str">
        <f>IF(BOM!A386="","",BOM!A386)</f>
        <v/>
      </c>
      <c r="C386" s="35" t="str">
        <f>IF(B386="","",BOM!B386)</f>
        <v/>
      </c>
      <c r="D386" s="35" t="str">
        <f>IF(B386="","",KT_DMTT_ChiTiet!E386)</f>
        <v/>
      </c>
      <c r="E386" s="36" t="str">
        <f>IF(B386="","",BOM!G386&amp;"")</f>
        <v/>
      </c>
      <c r="F386" s="39" t="str">
        <f>IF(B386="","",BOM!E386)</f>
        <v/>
      </c>
      <c r="G386" s="39" t="str">
        <f>IF(OR(B386="",E386="KXDDM"),"",BOM!F386)</f>
        <v/>
      </c>
      <c r="H386" s="39" t="str">
        <f>IF(OR(B386="",E386&lt;&gt;""),"",IFERROR(INDEX(KT_nguoc_theo_NL!$J$5:$J$304,MATCH(C386,KT_nguoc_theo_NL!$B$5:$B$304,0))/INDEX(KT_nguoc_theo_NL!$K$5:$K$304,MATCH(C386,KT_nguoc_theo_NL!$B$5:$B$304,0)),""))</f>
        <v/>
      </c>
      <c r="I386" s="39" t="str">
        <f t="shared" si="26"/>
        <v/>
      </c>
      <c r="J386" s="46" t="str">
        <f t="shared" si="27"/>
        <v/>
      </c>
      <c r="K386" s="46" t="str">
        <f t="shared" si="28"/>
        <v/>
      </c>
      <c r="L386" s="46" t="str">
        <f t="shared" si="29"/>
        <v/>
      </c>
      <c r="M386" s="35" t="str">
        <f>IF(B386="","",IF(E386="KXDDM","KXDDM – không ĐM",IF(E386&lt;&gt;"","Không KT ("&amp;E386&amp;")",IF(OR(K386="",L386=""),"Xem xét",IF(MAX(ABS(K386),ABS(L386))&lt;=ThongTin!$C$12,"OK","Xem xét")))))</f>
        <v/>
      </c>
    </row>
    <row r="387" spans="1:13" x14ac:dyDescent="0.25">
      <c r="A387" s="35" t="str">
        <f t="shared" si="25"/>
        <v/>
      </c>
      <c r="B387" s="35" t="str">
        <f>IF(BOM!A387="","",BOM!A387)</f>
        <v/>
      </c>
      <c r="C387" s="35" t="str">
        <f>IF(B387="","",BOM!B387)</f>
        <v/>
      </c>
      <c r="D387" s="35" t="str">
        <f>IF(B387="","",KT_DMTT_ChiTiet!E387)</f>
        <v/>
      </c>
      <c r="E387" s="36" t="str">
        <f>IF(B387="","",BOM!G387&amp;"")</f>
        <v/>
      </c>
      <c r="F387" s="39" t="str">
        <f>IF(B387="","",BOM!E387)</f>
        <v/>
      </c>
      <c r="G387" s="39" t="str">
        <f>IF(OR(B387="",E387="KXDDM"),"",BOM!F387)</f>
        <v/>
      </c>
      <c r="H387" s="39" t="str">
        <f>IF(OR(B387="",E387&lt;&gt;""),"",IFERROR(INDEX(KT_nguoc_theo_NL!$J$5:$J$304,MATCH(C387,KT_nguoc_theo_NL!$B$5:$B$304,0))/INDEX(KT_nguoc_theo_NL!$K$5:$K$304,MATCH(C387,KT_nguoc_theo_NL!$B$5:$B$304,0)),""))</f>
        <v/>
      </c>
      <c r="I387" s="39" t="str">
        <f t="shared" si="26"/>
        <v/>
      </c>
      <c r="J387" s="46" t="str">
        <f t="shared" si="27"/>
        <v/>
      </c>
      <c r="K387" s="46" t="str">
        <f t="shared" si="28"/>
        <v/>
      </c>
      <c r="L387" s="46" t="str">
        <f t="shared" si="29"/>
        <v/>
      </c>
      <c r="M387" s="35" t="str">
        <f>IF(B387="","",IF(E387="KXDDM","KXDDM – không ĐM",IF(E387&lt;&gt;"","Không KT ("&amp;E387&amp;")",IF(OR(K387="",L387=""),"Xem xét",IF(MAX(ABS(K387),ABS(L387))&lt;=ThongTin!$C$12,"OK","Xem xét")))))</f>
        <v/>
      </c>
    </row>
    <row r="388" spans="1:13" x14ac:dyDescent="0.25">
      <c r="A388" s="35" t="str">
        <f t="shared" si="25"/>
        <v/>
      </c>
      <c r="B388" s="35" t="str">
        <f>IF(BOM!A388="","",BOM!A388)</f>
        <v/>
      </c>
      <c r="C388" s="35" t="str">
        <f>IF(B388="","",BOM!B388)</f>
        <v/>
      </c>
      <c r="D388" s="35" t="str">
        <f>IF(B388="","",KT_DMTT_ChiTiet!E388)</f>
        <v/>
      </c>
      <c r="E388" s="36" t="str">
        <f>IF(B388="","",BOM!G388&amp;"")</f>
        <v/>
      </c>
      <c r="F388" s="39" t="str">
        <f>IF(B388="","",BOM!E388)</f>
        <v/>
      </c>
      <c r="G388" s="39" t="str">
        <f>IF(OR(B388="",E388="KXDDM"),"",BOM!F388)</f>
        <v/>
      </c>
      <c r="H388" s="39" t="str">
        <f>IF(OR(B388="",E388&lt;&gt;""),"",IFERROR(INDEX(KT_nguoc_theo_NL!$J$5:$J$304,MATCH(C388,KT_nguoc_theo_NL!$B$5:$B$304,0))/INDEX(KT_nguoc_theo_NL!$K$5:$K$304,MATCH(C388,KT_nguoc_theo_NL!$B$5:$B$304,0)),""))</f>
        <v/>
      </c>
      <c r="I388" s="39" t="str">
        <f t="shared" si="26"/>
        <v/>
      </c>
      <c r="J388" s="46" t="str">
        <f t="shared" si="27"/>
        <v/>
      </c>
      <c r="K388" s="46" t="str">
        <f t="shared" si="28"/>
        <v/>
      </c>
      <c r="L388" s="46" t="str">
        <f t="shared" si="29"/>
        <v/>
      </c>
      <c r="M388" s="35" t="str">
        <f>IF(B388="","",IF(E388="KXDDM","KXDDM – không ĐM",IF(E388&lt;&gt;"","Không KT ("&amp;E388&amp;")",IF(OR(K388="",L388=""),"Xem xét",IF(MAX(ABS(K388),ABS(L388))&lt;=ThongTin!$C$12,"OK","Xem xét")))))</f>
        <v/>
      </c>
    </row>
    <row r="389" spans="1:13" x14ac:dyDescent="0.25">
      <c r="A389" s="35" t="str">
        <f t="shared" ref="A389:A452" si="30">IF(B389="","",ROW()-4)</f>
        <v/>
      </c>
      <c r="B389" s="35" t="str">
        <f>IF(BOM!A389="","",BOM!A389)</f>
        <v/>
      </c>
      <c r="C389" s="35" t="str">
        <f>IF(B389="","",BOM!B389)</f>
        <v/>
      </c>
      <c r="D389" s="35" t="str">
        <f>IF(B389="","",KT_DMTT_ChiTiet!E389)</f>
        <v/>
      </c>
      <c r="E389" s="36" t="str">
        <f>IF(B389="","",BOM!G389&amp;"")</f>
        <v/>
      </c>
      <c r="F389" s="39" t="str">
        <f>IF(B389="","",BOM!E389)</f>
        <v/>
      </c>
      <c r="G389" s="39" t="str">
        <f>IF(OR(B389="",E389="KXDDM"),"",BOM!F389)</f>
        <v/>
      </c>
      <c r="H389" s="39" t="str">
        <f>IF(OR(B389="",E389&lt;&gt;""),"",IFERROR(INDEX(KT_nguoc_theo_NL!$J$5:$J$304,MATCH(C389,KT_nguoc_theo_NL!$B$5:$B$304,0))/INDEX(KT_nguoc_theo_NL!$K$5:$K$304,MATCH(C389,KT_nguoc_theo_NL!$B$5:$B$304,0)),""))</f>
        <v/>
      </c>
      <c r="I389" s="39" t="str">
        <f t="shared" ref="I389:I452" si="31">IF(OR(H389="",G389=""),"",G389*H389)</f>
        <v/>
      </c>
      <c r="J389" s="46" t="str">
        <f t="shared" ref="J389:J452" si="32">IF(OR(I389="",I389=0),"",(G389-I389)/I389)</f>
        <v/>
      </c>
      <c r="K389" s="46" t="str">
        <f t="shared" ref="K389:K452" si="33">IF(OR(G389="",F389="",F389=0),"",(G389-F389)/F389)</f>
        <v/>
      </c>
      <c r="L389" s="46" t="str">
        <f t="shared" ref="L389:L452" si="34">IF(OR(I389="",F389="",F389=0),"",(I389-F389)/F389)</f>
        <v/>
      </c>
      <c r="M389" s="35" t="str">
        <f>IF(B389="","",IF(E389="KXDDM","KXDDM – không ĐM",IF(E389&lt;&gt;"","Không KT ("&amp;E389&amp;")",IF(OR(K389="",L389=""),"Xem xét",IF(MAX(ABS(K389),ABS(L389))&lt;=ThongTin!$C$12,"OK","Xem xét")))))</f>
        <v/>
      </c>
    </row>
    <row r="390" spans="1:13" x14ac:dyDescent="0.25">
      <c r="A390" s="35" t="str">
        <f t="shared" si="30"/>
        <v/>
      </c>
      <c r="B390" s="35" t="str">
        <f>IF(BOM!A390="","",BOM!A390)</f>
        <v/>
      </c>
      <c r="C390" s="35" t="str">
        <f>IF(B390="","",BOM!B390)</f>
        <v/>
      </c>
      <c r="D390" s="35" t="str">
        <f>IF(B390="","",KT_DMTT_ChiTiet!E390)</f>
        <v/>
      </c>
      <c r="E390" s="36" t="str">
        <f>IF(B390="","",BOM!G390&amp;"")</f>
        <v/>
      </c>
      <c r="F390" s="39" t="str">
        <f>IF(B390="","",BOM!E390)</f>
        <v/>
      </c>
      <c r="G390" s="39" t="str">
        <f>IF(OR(B390="",E390="KXDDM"),"",BOM!F390)</f>
        <v/>
      </c>
      <c r="H390" s="39" t="str">
        <f>IF(OR(B390="",E390&lt;&gt;""),"",IFERROR(INDEX(KT_nguoc_theo_NL!$J$5:$J$304,MATCH(C390,KT_nguoc_theo_NL!$B$5:$B$304,0))/INDEX(KT_nguoc_theo_NL!$K$5:$K$304,MATCH(C390,KT_nguoc_theo_NL!$B$5:$B$304,0)),""))</f>
        <v/>
      </c>
      <c r="I390" s="39" t="str">
        <f t="shared" si="31"/>
        <v/>
      </c>
      <c r="J390" s="46" t="str">
        <f t="shared" si="32"/>
        <v/>
      </c>
      <c r="K390" s="46" t="str">
        <f t="shared" si="33"/>
        <v/>
      </c>
      <c r="L390" s="46" t="str">
        <f t="shared" si="34"/>
        <v/>
      </c>
      <c r="M390" s="35" t="str">
        <f>IF(B390="","",IF(E390="KXDDM","KXDDM – không ĐM",IF(E390&lt;&gt;"","Không KT ("&amp;E390&amp;")",IF(OR(K390="",L390=""),"Xem xét",IF(MAX(ABS(K390),ABS(L390))&lt;=ThongTin!$C$12,"OK","Xem xét")))))</f>
        <v/>
      </c>
    </row>
    <row r="391" spans="1:13" x14ac:dyDescent="0.25">
      <c r="A391" s="35" t="str">
        <f t="shared" si="30"/>
        <v/>
      </c>
      <c r="B391" s="35" t="str">
        <f>IF(BOM!A391="","",BOM!A391)</f>
        <v/>
      </c>
      <c r="C391" s="35" t="str">
        <f>IF(B391="","",BOM!B391)</f>
        <v/>
      </c>
      <c r="D391" s="35" t="str">
        <f>IF(B391="","",KT_DMTT_ChiTiet!E391)</f>
        <v/>
      </c>
      <c r="E391" s="36" t="str">
        <f>IF(B391="","",BOM!G391&amp;"")</f>
        <v/>
      </c>
      <c r="F391" s="39" t="str">
        <f>IF(B391="","",BOM!E391)</f>
        <v/>
      </c>
      <c r="G391" s="39" t="str">
        <f>IF(OR(B391="",E391="KXDDM"),"",BOM!F391)</f>
        <v/>
      </c>
      <c r="H391" s="39" t="str">
        <f>IF(OR(B391="",E391&lt;&gt;""),"",IFERROR(INDEX(KT_nguoc_theo_NL!$J$5:$J$304,MATCH(C391,KT_nguoc_theo_NL!$B$5:$B$304,0))/INDEX(KT_nguoc_theo_NL!$K$5:$K$304,MATCH(C391,KT_nguoc_theo_NL!$B$5:$B$304,0)),""))</f>
        <v/>
      </c>
      <c r="I391" s="39" t="str">
        <f t="shared" si="31"/>
        <v/>
      </c>
      <c r="J391" s="46" t="str">
        <f t="shared" si="32"/>
        <v/>
      </c>
      <c r="K391" s="46" t="str">
        <f t="shared" si="33"/>
        <v/>
      </c>
      <c r="L391" s="46" t="str">
        <f t="shared" si="34"/>
        <v/>
      </c>
      <c r="M391" s="35" t="str">
        <f>IF(B391="","",IF(E391="KXDDM","KXDDM – không ĐM",IF(E391&lt;&gt;"","Không KT ("&amp;E391&amp;")",IF(OR(K391="",L391=""),"Xem xét",IF(MAX(ABS(K391),ABS(L391))&lt;=ThongTin!$C$12,"OK","Xem xét")))))</f>
        <v/>
      </c>
    </row>
    <row r="392" spans="1:13" x14ac:dyDescent="0.25">
      <c r="A392" s="35" t="str">
        <f t="shared" si="30"/>
        <v/>
      </c>
      <c r="B392" s="35" t="str">
        <f>IF(BOM!A392="","",BOM!A392)</f>
        <v/>
      </c>
      <c r="C392" s="35" t="str">
        <f>IF(B392="","",BOM!B392)</f>
        <v/>
      </c>
      <c r="D392" s="35" t="str">
        <f>IF(B392="","",KT_DMTT_ChiTiet!E392)</f>
        <v/>
      </c>
      <c r="E392" s="36" t="str">
        <f>IF(B392="","",BOM!G392&amp;"")</f>
        <v/>
      </c>
      <c r="F392" s="39" t="str">
        <f>IF(B392="","",BOM!E392)</f>
        <v/>
      </c>
      <c r="G392" s="39" t="str">
        <f>IF(OR(B392="",E392="KXDDM"),"",BOM!F392)</f>
        <v/>
      </c>
      <c r="H392" s="39" t="str">
        <f>IF(OR(B392="",E392&lt;&gt;""),"",IFERROR(INDEX(KT_nguoc_theo_NL!$J$5:$J$304,MATCH(C392,KT_nguoc_theo_NL!$B$5:$B$304,0))/INDEX(KT_nguoc_theo_NL!$K$5:$K$304,MATCH(C392,KT_nguoc_theo_NL!$B$5:$B$304,0)),""))</f>
        <v/>
      </c>
      <c r="I392" s="39" t="str">
        <f t="shared" si="31"/>
        <v/>
      </c>
      <c r="J392" s="46" t="str">
        <f t="shared" si="32"/>
        <v/>
      </c>
      <c r="K392" s="46" t="str">
        <f t="shared" si="33"/>
        <v/>
      </c>
      <c r="L392" s="46" t="str">
        <f t="shared" si="34"/>
        <v/>
      </c>
      <c r="M392" s="35" t="str">
        <f>IF(B392="","",IF(E392="KXDDM","KXDDM – không ĐM",IF(E392&lt;&gt;"","Không KT ("&amp;E392&amp;")",IF(OR(K392="",L392=""),"Xem xét",IF(MAX(ABS(K392),ABS(L392))&lt;=ThongTin!$C$12,"OK","Xem xét")))))</f>
        <v/>
      </c>
    </row>
    <row r="393" spans="1:13" x14ac:dyDescent="0.25">
      <c r="A393" s="35" t="str">
        <f t="shared" si="30"/>
        <v/>
      </c>
      <c r="B393" s="35" t="str">
        <f>IF(BOM!A393="","",BOM!A393)</f>
        <v/>
      </c>
      <c r="C393" s="35" t="str">
        <f>IF(B393="","",BOM!B393)</f>
        <v/>
      </c>
      <c r="D393" s="35" t="str">
        <f>IF(B393="","",KT_DMTT_ChiTiet!E393)</f>
        <v/>
      </c>
      <c r="E393" s="36" t="str">
        <f>IF(B393="","",BOM!G393&amp;"")</f>
        <v/>
      </c>
      <c r="F393" s="39" t="str">
        <f>IF(B393="","",BOM!E393)</f>
        <v/>
      </c>
      <c r="G393" s="39" t="str">
        <f>IF(OR(B393="",E393="KXDDM"),"",BOM!F393)</f>
        <v/>
      </c>
      <c r="H393" s="39" t="str">
        <f>IF(OR(B393="",E393&lt;&gt;""),"",IFERROR(INDEX(KT_nguoc_theo_NL!$J$5:$J$304,MATCH(C393,KT_nguoc_theo_NL!$B$5:$B$304,0))/INDEX(KT_nguoc_theo_NL!$K$5:$K$304,MATCH(C393,KT_nguoc_theo_NL!$B$5:$B$304,0)),""))</f>
        <v/>
      </c>
      <c r="I393" s="39" t="str">
        <f t="shared" si="31"/>
        <v/>
      </c>
      <c r="J393" s="46" t="str">
        <f t="shared" si="32"/>
        <v/>
      </c>
      <c r="K393" s="46" t="str">
        <f t="shared" si="33"/>
        <v/>
      </c>
      <c r="L393" s="46" t="str">
        <f t="shared" si="34"/>
        <v/>
      </c>
      <c r="M393" s="35" t="str">
        <f>IF(B393="","",IF(E393="KXDDM","KXDDM – không ĐM",IF(E393&lt;&gt;"","Không KT ("&amp;E393&amp;")",IF(OR(K393="",L393=""),"Xem xét",IF(MAX(ABS(K393),ABS(L393))&lt;=ThongTin!$C$12,"OK","Xem xét")))))</f>
        <v/>
      </c>
    </row>
    <row r="394" spans="1:13" x14ac:dyDescent="0.25">
      <c r="A394" s="35" t="str">
        <f t="shared" si="30"/>
        <v/>
      </c>
      <c r="B394" s="35" t="str">
        <f>IF(BOM!A394="","",BOM!A394)</f>
        <v/>
      </c>
      <c r="C394" s="35" t="str">
        <f>IF(B394="","",BOM!B394)</f>
        <v/>
      </c>
      <c r="D394" s="35" t="str">
        <f>IF(B394="","",KT_DMTT_ChiTiet!E394)</f>
        <v/>
      </c>
      <c r="E394" s="36" t="str">
        <f>IF(B394="","",BOM!G394&amp;"")</f>
        <v/>
      </c>
      <c r="F394" s="39" t="str">
        <f>IF(B394="","",BOM!E394)</f>
        <v/>
      </c>
      <c r="G394" s="39" t="str">
        <f>IF(OR(B394="",E394="KXDDM"),"",BOM!F394)</f>
        <v/>
      </c>
      <c r="H394" s="39" t="str">
        <f>IF(OR(B394="",E394&lt;&gt;""),"",IFERROR(INDEX(KT_nguoc_theo_NL!$J$5:$J$304,MATCH(C394,KT_nguoc_theo_NL!$B$5:$B$304,0))/INDEX(KT_nguoc_theo_NL!$K$5:$K$304,MATCH(C394,KT_nguoc_theo_NL!$B$5:$B$304,0)),""))</f>
        <v/>
      </c>
      <c r="I394" s="39" t="str">
        <f t="shared" si="31"/>
        <v/>
      </c>
      <c r="J394" s="46" t="str">
        <f t="shared" si="32"/>
        <v/>
      </c>
      <c r="K394" s="46" t="str">
        <f t="shared" si="33"/>
        <v/>
      </c>
      <c r="L394" s="46" t="str">
        <f t="shared" si="34"/>
        <v/>
      </c>
      <c r="M394" s="35" t="str">
        <f>IF(B394="","",IF(E394="KXDDM","KXDDM – không ĐM",IF(E394&lt;&gt;"","Không KT ("&amp;E394&amp;")",IF(OR(K394="",L394=""),"Xem xét",IF(MAX(ABS(K394),ABS(L394))&lt;=ThongTin!$C$12,"OK","Xem xét")))))</f>
        <v/>
      </c>
    </row>
    <row r="395" spans="1:13" x14ac:dyDescent="0.25">
      <c r="A395" s="35" t="str">
        <f t="shared" si="30"/>
        <v/>
      </c>
      <c r="B395" s="35" t="str">
        <f>IF(BOM!A395="","",BOM!A395)</f>
        <v/>
      </c>
      <c r="C395" s="35" t="str">
        <f>IF(B395="","",BOM!B395)</f>
        <v/>
      </c>
      <c r="D395" s="35" t="str">
        <f>IF(B395="","",KT_DMTT_ChiTiet!E395)</f>
        <v/>
      </c>
      <c r="E395" s="36" t="str">
        <f>IF(B395="","",BOM!G395&amp;"")</f>
        <v/>
      </c>
      <c r="F395" s="39" t="str">
        <f>IF(B395="","",BOM!E395)</f>
        <v/>
      </c>
      <c r="G395" s="39" t="str">
        <f>IF(OR(B395="",E395="KXDDM"),"",BOM!F395)</f>
        <v/>
      </c>
      <c r="H395" s="39" t="str">
        <f>IF(OR(B395="",E395&lt;&gt;""),"",IFERROR(INDEX(KT_nguoc_theo_NL!$J$5:$J$304,MATCH(C395,KT_nguoc_theo_NL!$B$5:$B$304,0))/INDEX(KT_nguoc_theo_NL!$K$5:$K$304,MATCH(C395,KT_nguoc_theo_NL!$B$5:$B$304,0)),""))</f>
        <v/>
      </c>
      <c r="I395" s="39" t="str">
        <f t="shared" si="31"/>
        <v/>
      </c>
      <c r="J395" s="46" t="str">
        <f t="shared" si="32"/>
        <v/>
      </c>
      <c r="K395" s="46" t="str">
        <f t="shared" si="33"/>
        <v/>
      </c>
      <c r="L395" s="46" t="str">
        <f t="shared" si="34"/>
        <v/>
      </c>
      <c r="M395" s="35" t="str">
        <f>IF(B395="","",IF(E395="KXDDM","KXDDM – không ĐM",IF(E395&lt;&gt;"","Không KT ("&amp;E395&amp;")",IF(OR(K395="",L395=""),"Xem xét",IF(MAX(ABS(K395),ABS(L395))&lt;=ThongTin!$C$12,"OK","Xem xét")))))</f>
        <v/>
      </c>
    </row>
    <row r="396" spans="1:13" x14ac:dyDescent="0.25">
      <c r="A396" s="35" t="str">
        <f t="shared" si="30"/>
        <v/>
      </c>
      <c r="B396" s="35" t="str">
        <f>IF(BOM!A396="","",BOM!A396)</f>
        <v/>
      </c>
      <c r="C396" s="35" t="str">
        <f>IF(B396="","",BOM!B396)</f>
        <v/>
      </c>
      <c r="D396" s="35" t="str">
        <f>IF(B396="","",KT_DMTT_ChiTiet!E396)</f>
        <v/>
      </c>
      <c r="E396" s="36" t="str">
        <f>IF(B396="","",BOM!G396&amp;"")</f>
        <v/>
      </c>
      <c r="F396" s="39" t="str">
        <f>IF(B396="","",BOM!E396)</f>
        <v/>
      </c>
      <c r="G396" s="39" t="str">
        <f>IF(OR(B396="",E396="KXDDM"),"",BOM!F396)</f>
        <v/>
      </c>
      <c r="H396" s="39" t="str">
        <f>IF(OR(B396="",E396&lt;&gt;""),"",IFERROR(INDEX(KT_nguoc_theo_NL!$J$5:$J$304,MATCH(C396,KT_nguoc_theo_NL!$B$5:$B$304,0))/INDEX(KT_nguoc_theo_NL!$K$5:$K$304,MATCH(C396,KT_nguoc_theo_NL!$B$5:$B$304,0)),""))</f>
        <v/>
      </c>
      <c r="I396" s="39" t="str">
        <f t="shared" si="31"/>
        <v/>
      </c>
      <c r="J396" s="46" t="str">
        <f t="shared" si="32"/>
        <v/>
      </c>
      <c r="K396" s="46" t="str">
        <f t="shared" si="33"/>
        <v/>
      </c>
      <c r="L396" s="46" t="str">
        <f t="shared" si="34"/>
        <v/>
      </c>
      <c r="M396" s="35" t="str">
        <f>IF(B396="","",IF(E396="KXDDM","KXDDM – không ĐM",IF(E396&lt;&gt;"","Không KT ("&amp;E396&amp;")",IF(OR(K396="",L396=""),"Xem xét",IF(MAX(ABS(K396),ABS(L396))&lt;=ThongTin!$C$12,"OK","Xem xét")))))</f>
        <v/>
      </c>
    </row>
    <row r="397" spans="1:13" x14ac:dyDescent="0.25">
      <c r="A397" s="35" t="str">
        <f t="shared" si="30"/>
        <v/>
      </c>
      <c r="B397" s="35" t="str">
        <f>IF(BOM!A397="","",BOM!A397)</f>
        <v/>
      </c>
      <c r="C397" s="35" t="str">
        <f>IF(B397="","",BOM!B397)</f>
        <v/>
      </c>
      <c r="D397" s="35" t="str">
        <f>IF(B397="","",KT_DMTT_ChiTiet!E397)</f>
        <v/>
      </c>
      <c r="E397" s="36" t="str">
        <f>IF(B397="","",BOM!G397&amp;"")</f>
        <v/>
      </c>
      <c r="F397" s="39" t="str">
        <f>IF(B397="","",BOM!E397)</f>
        <v/>
      </c>
      <c r="G397" s="39" t="str">
        <f>IF(OR(B397="",E397="KXDDM"),"",BOM!F397)</f>
        <v/>
      </c>
      <c r="H397" s="39" t="str">
        <f>IF(OR(B397="",E397&lt;&gt;""),"",IFERROR(INDEX(KT_nguoc_theo_NL!$J$5:$J$304,MATCH(C397,KT_nguoc_theo_NL!$B$5:$B$304,0))/INDEX(KT_nguoc_theo_NL!$K$5:$K$304,MATCH(C397,KT_nguoc_theo_NL!$B$5:$B$304,0)),""))</f>
        <v/>
      </c>
      <c r="I397" s="39" t="str">
        <f t="shared" si="31"/>
        <v/>
      </c>
      <c r="J397" s="46" t="str">
        <f t="shared" si="32"/>
        <v/>
      </c>
      <c r="K397" s="46" t="str">
        <f t="shared" si="33"/>
        <v/>
      </c>
      <c r="L397" s="46" t="str">
        <f t="shared" si="34"/>
        <v/>
      </c>
      <c r="M397" s="35" t="str">
        <f>IF(B397="","",IF(E397="KXDDM","KXDDM – không ĐM",IF(E397&lt;&gt;"","Không KT ("&amp;E397&amp;")",IF(OR(K397="",L397=""),"Xem xét",IF(MAX(ABS(K397),ABS(L397))&lt;=ThongTin!$C$12,"OK","Xem xét")))))</f>
        <v/>
      </c>
    </row>
    <row r="398" spans="1:13" x14ac:dyDescent="0.25">
      <c r="A398" s="35" t="str">
        <f t="shared" si="30"/>
        <v/>
      </c>
      <c r="B398" s="35" t="str">
        <f>IF(BOM!A398="","",BOM!A398)</f>
        <v/>
      </c>
      <c r="C398" s="35" t="str">
        <f>IF(B398="","",BOM!B398)</f>
        <v/>
      </c>
      <c r="D398" s="35" t="str">
        <f>IF(B398="","",KT_DMTT_ChiTiet!E398)</f>
        <v/>
      </c>
      <c r="E398" s="36" t="str">
        <f>IF(B398="","",BOM!G398&amp;"")</f>
        <v/>
      </c>
      <c r="F398" s="39" t="str">
        <f>IF(B398="","",BOM!E398)</f>
        <v/>
      </c>
      <c r="G398" s="39" t="str">
        <f>IF(OR(B398="",E398="KXDDM"),"",BOM!F398)</f>
        <v/>
      </c>
      <c r="H398" s="39" t="str">
        <f>IF(OR(B398="",E398&lt;&gt;""),"",IFERROR(INDEX(KT_nguoc_theo_NL!$J$5:$J$304,MATCH(C398,KT_nguoc_theo_NL!$B$5:$B$304,0))/INDEX(KT_nguoc_theo_NL!$K$5:$K$304,MATCH(C398,KT_nguoc_theo_NL!$B$5:$B$304,0)),""))</f>
        <v/>
      </c>
      <c r="I398" s="39" t="str">
        <f t="shared" si="31"/>
        <v/>
      </c>
      <c r="J398" s="46" t="str">
        <f t="shared" si="32"/>
        <v/>
      </c>
      <c r="K398" s="46" t="str">
        <f t="shared" si="33"/>
        <v/>
      </c>
      <c r="L398" s="46" t="str">
        <f t="shared" si="34"/>
        <v/>
      </c>
      <c r="M398" s="35" t="str">
        <f>IF(B398="","",IF(E398="KXDDM","KXDDM – không ĐM",IF(E398&lt;&gt;"","Không KT ("&amp;E398&amp;")",IF(OR(K398="",L398=""),"Xem xét",IF(MAX(ABS(K398),ABS(L398))&lt;=ThongTin!$C$12,"OK","Xem xét")))))</f>
        <v/>
      </c>
    </row>
    <row r="399" spans="1:13" x14ac:dyDescent="0.25">
      <c r="A399" s="35" t="str">
        <f t="shared" si="30"/>
        <v/>
      </c>
      <c r="B399" s="35" t="str">
        <f>IF(BOM!A399="","",BOM!A399)</f>
        <v/>
      </c>
      <c r="C399" s="35" t="str">
        <f>IF(B399="","",BOM!B399)</f>
        <v/>
      </c>
      <c r="D399" s="35" t="str">
        <f>IF(B399="","",KT_DMTT_ChiTiet!E399)</f>
        <v/>
      </c>
      <c r="E399" s="36" t="str">
        <f>IF(B399="","",BOM!G399&amp;"")</f>
        <v/>
      </c>
      <c r="F399" s="39" t="str">
        <f>IF(B399="","",BOM!E399)</f>
        <v/>
      </c>
      <c r="G399" s="39" t="str">
        <f>IF(OR(B399="",E399="KXDDM"),"",BOM!F399)</f>
        <v/>
      </c>
      <c r="H399" s="39" t="str">
        <f>IF(OR(B399="",E399&lt;&gt;""),"",IFERROR(INDEX(KT_nguoc_theo_NL!$J$5:$J$304,MATCH(C399,KT_nguoc_theo_NL!$B$5:$B$304,0))/INDEX(KT_nguoc_theo_NL!$K$5:$K$304,MATCH(C399,KT_nguoc_theo_NL!$B$5:$B$304,0)),""))</f>
        <v/>
      </c>
      <c r="I399" s="39" t="str">
        <f t="shared" si="31"/>
        <v/>
      </c>
      <c r="J399" s="46" t="str">
        <f t="shared" si="32"/>
        <v/>
      </c>
      <c r="K399" s="46" t="str">
        <f t="shared" si="33"/>
        <v/>
      </c>
      <c r="L399" s="46" t="str">
        <f t="shared" si="34"/>
        <v/>
      </c>
      <c r="M399" s="35" t="str">
        <f>IF(B399="","",IF(E399="KXDDM","KXDDM – không ĐM",IF(E399&lt;&gt;"","Không KT ("&amp;E399&amp;")",IF(OR(K399="",L399=""),"Xem xét",IF(MAX(ABS(K399),ABS(L399))&lt;=ThongTin!$C$12,"OK","Xem xét")))))</f>
        <v/>
      </c>
    </row>
    <row r="400" spans="1:13" x14ac:dyDescent="0.25">
      <c r="A400" s="35" t="str">
        <f t="shared" si="30"/>
        <v/>
      </c>
      <c r="B400" s="35" t="str">
        <f>IF(BOM!A400="","",BOM!A400)</f>
        <v/>
      </c>
      <c r="C400" s="35" t="str">
        <f>IF(B400="","",BOM!B400)</f>
        <v/>
      </c>
      <c r="D400" s="35" t="str">
        <f>IF(B400="","",KT_DMTT_ChiTiet!E400)</f>
        <v/>
      </c>
      <c r="E400" s="36" t="str">
        <f>IF(B400="","",BOM!G400&amp;"")</f>
        <v/>
      </c>
      <c r="F400" s="39" t="str">
        <f>IF(B400="","",BOM!E400)</f>
        <v/>
      </c>
      <c r="G400" s="39" t="str">
        <f>IF(OR(B400="",E400="KXDDM"),"",BOM!F400)</f>
        <v/>
      </c>
      <c r="H400" s="39" t="str">
        <f>IF(OR(B400="",E400&lt;&gt;""),"",IFERROR(INDEX(KT_nguoc_theo_NL!$J$5:$J$304,MATCH(C400,KT_nguoc_theo_NL!$B$5:$B$304,0))/INDEX(KT_nguoc_theo_NL!$K$5:$K$304,MATCH(C400,KT_nguoc_theo_NL!$B$5:$B$304,0)),""))</f>
        <v/>
      </c>
      <c r="I400" s="39" t="str">
        <f t="shared" si="31"/>
        <v/>
      </c>
      <c r="J400" s="46" t="str">
        <f t="shared" si="32"/>
        <v/>
      </c>
      <c r="K400" s="46" t="str">
        <f t="shared" si="33"/>
        <v/>
      </c>
      <c r="L400" s="46" t="str">
        <f t="shared" si="34"/>
        <v/>
      </c>
      <c r="M400" s="35" t="str">
        <f>IF(B400="","",IF(E400="KXDDM","KXDDM – không ĐM",IF(E400&lt;&gt;"","Không KT ("&amp;E400&amp;")",IF(OR(K400="",L400=""),"Xem xét",IF(MAX(ABS(K400),ABS(L400))&lt;=ThongTin!$C$12,"OK","Xem xét")))))</f>
        <v/>
      </c>
    </row>
    <row r="401" spans="1:13" x14ac:dyDescent="0.25">
      <c r="A401" s="35" t="str">
        <f t="shared" si="30"/>
        <v/>
      </c>
      <c r="B401" s="35" t="str">
        <f>IF(BOM!A401="","",BOM!A401)</f>
        <v/>
      </c>
      <c r="C401" s="35" t="str">
        <f>IF(B401="","",BOM!B401)</f>
        <v/>
      </c>
      <c r="D401" s="35" t="str">
        <f>IF(B401="","",KT_DMTT_ChiTiet!E401)</f>
        <v/>
      </c>
      <c r="E401" s="36" t="str">
        <f>IF(B401="","",BOM!G401&amp;"")</f>
        <v/>
      </c>
      <c r="F401" s="39" t="str">
        <f>IF(B401="","",BOM!E401)</f>
        <v/>
      </c>
      <c r="G401" s="39" t="str">
        <f>IF(OR(B401="",E401="KXDDM"),"",BOM!F401)</f>
        <v/>
      </c>
      <c r="H401" s="39" t="str">
        <f>IF(OR(B401="",E401&lt;&gt;""),"",IFERROR(INDEX(KT_nguoc_theo_NL!$J$5:$J$304,MATCH(C401,KT_nguoc_theo_NL!$B$5:$B$304,0))/INDEX(KT_nguoc_theo_NL!$K$5:$K$304,MATCH(C401,KT_nguoc_theo_NL!$B$5:$B$304,0)),""))</f>
        <v/>
      </c>
      <c r="I401" s="39" t="str">
        <f t="shared" si="31"/>
        <v/>
      </c>
      <c r="J401" s="46" t="str">
        <f t="shared" si="32"/>
        <v/>
      </c>
      <c r="K401" s="46" t="str">
        <f t="shared" si="33"/>
        <v/>
      </c>
      <c r="L401" s="46" t="str">
        <f t="shared" si="34"/>
        <v/>
      </c>
      <c r="M401" s="35" t="str">
        <f>IF(B401="","",IF(E401="KXDDM","KXDDM – không ĐM",IF(E401&lt;&gt;"","Không KT ("&amp;E401&amp;")",IF(OR(K401="",L401=""),"Xem xét",IF(MAX(ABS(K401),ABS(L401))&lt;=ThongTin!$C$12,"OK","Xem xét")))))</f>
        <v/>
      </c>
    </row>
    <row r="402" spans="1:13" x14ac:dyDescent="0.25">
      <c r="A402" s="35" t="str">
        <f t="shared" si="30"/>
        <v/>
      </c>
      <c r="B402" s="35" t="str">
        <f>IF(BOM!A402="","",BOM!A402)</f>
        <v/>
      </c>
      <c r="C402" s="35" t="str">
        <f>IF(B402="","",BOM!B402)</f>
        <v/>
      </c>
      <c r="D402" s="35" t="str">
        <f>IF(B402="","",KT_DMTT_ChiTiet!E402)</f>
        <v/>
      </c>
      <c r="E402" s="36" t="str">
        <f>IF(B402="","",BOM!G402&amp;"")</f>
        <v/>
      </c>
      <c r="F402" s="39" t="str">
        <f>IF(B402="","",BOM!E402)</f>
        <v/>
      </c>
      <c r="G402" s="39" t="str">
        <f>IF(OR(B402="",E402="KXDDM"),"",BOM!F402)</f>
        <v/>
      </c>
      <c r="H402" s="39" t="str">
        <f>IF(OR(B402="",E402&lt;&gt;""),"",IFERROR(INDEX(KT_nguoc_theo_NL!$J$5:$J$304,MATCH(C402,KT_nguoc_theo_NL!$B$5:$B$304,0))/INDEX(KT_nguoc_theo_NL!$K$5:$K$304,MATCH(C402,KT_nguoc_theo_NL!$B$5:$B$304,0)),""))</f>
        <v/>
      </c>
      <c r="I402" s="39" t="str">
        <f t="shared" si="31"/>
        <v/>
      </c>
      <c r="J402" s="46" t="str">
        <f t="shared" si="32"/>
        <v/>
      </c>
      <c r="K402" s="46" t="str">
        <f t="shared" si="33"/>
        <v/>
      </c>
      <c r="L402" s="46" t="str">
        <f t="shared" si="34"/>
        <v/>
      </c>
      <c r="M402" s="35" t="str">
        <f>IF(B402="","",IF(E402="KXDDM","KXDDM – không ĐM",IF(E402&lt;&gt;"","Không KT ("&amp;E402&amp;")",IF(OR(K402="",L402=""),"Xem xét",IF(MAX(ABS(K402),ABS(L402))&lt;=ThongTin!$C$12,"OK","Xem xét")))))</f>
        <v/>
      </c>
    </row>
    <row r="403" spans="1:13" x14ac:dyDescent="0.25">
      <c r="A403" s="35" t="str">
        <f t="shared" si="30"/>
        <v/>
      </c>
      <c r="B403" s="35" t="str">
        <f>IF(BOM!A403="","",BOM!A403)</f>
        <v/>
      </c>
      <c r="C403" s="35" t="str">
        <f>IF(B403="","",BOM!B403)</f>
        <v/>
      </c>
      <c r="D403" s="35" t="str">
        <f>IF(B403="","",KT_DMTT_ChiTiet!E403)</f>
        <v/>
      </c>
      <c r="E403" s="36" t="str">
        <f>IF(B403="","",BOM!G403&amp;"")</f>
        <v/>
      </c>
      <c r="F403" s="39" t="str">
        <f>IF(B403="","",BOM!E403)</f>
        <v/>
      </c>
      <c r="G403" s="39" t="str">
        <f>IF(OR(B403="",E403="KXDDM"),"",BOM!F403)</f>
        <v/>
      </c>
      <c r="H403" s="39" t="str">
        <f>IF(OR(B403="",E403&lt;&gt;""),"",IFERROR(INDEX(KT_nguoc_theo_NL!$J$5:$J$304,MATCH(C403,KT_nguoc_theo_NL!$B$5:$B$304,0))/INDEX(KT_nguoc_theo_NL!$K$5:$K$304,MATCH(C403,KT_nguoc_theo_NL!$B$5:$B$304,0)),""))</f>
        <v/>
      </c>
      <c r="I403" s="39" t="str">
        <f t="shared" si="31"/>
        <v/>
      </c>
      <c r="J403" s="46" t="str">
        <f t="shared" si="32"/>
        <v/>
      </c>
      <c r="K403" s="46" t="str">
        <f t="shared" si="33"/>
        <v/>
      </c>
      <c r="L403" s="46" t="str">
        <f t="shared" si="34"/>
        <v/>
      </c>
      <c r="M403" s="35" t="str">
        <f>IF(B403="","",IF(E403="KXDDM","KXDDM – không ĐM",IF(E403&lt;&gt;"","Không KT ("&amp;E403&amp;")",IF(OR(K403="",L403=""),"Xem xét",IF(MAX(ABS(K403),ABS(L403))&lt;=ThongTin!$C$12,"OK","Xem xét")))))</f>
        <v/>
      </c>
    </row>
    <row r="404" spans="1:13" x14ac:dyDescent="0.25">
      <c r="A404" s="35" t="str">
        <f t="shared" si="30"/>
        <v/>
      </c>
      <c r="B404" s="35" t="str">
        <f>IF(BOM!A404="","",BOM!A404)</f>
        <v/>
      </c>
      <c r="C404" s="35" t="str">
        <f>IF(B404="","",BOM!B404)</f>
        <v/>
      </c>
      <c r="D404" s="35" t="str">
        <f>IF(B404="","",KT_DMTT_ChiTiet!E404)</f>
        <v/>
      </c>
      <c r="E404" s="36" t="str">
        <f>IF(B404="","",BOM!G404&amp;"")</f>
        <v/>
      </c>
      <c r="F404" s="39" t="str">
        <f>IF(B404="","",BOM!E404)</f>
        <v/>
      </c>
      <c r="G404" s="39" t="str">
        <f>IF(OR(B404="",E404="KXDDM"),"",BOM!F404)</f>
        <v/>
      </c>
      <c r="H404" s="39" t="str">
        <f>IF(OR(B404="",E404&lt;&gt;""),"",IFERROR(INDEX(KT_nguoc_theo_NL!$J$5:$J$304,MATCH(C404,KT_nguoc_theo_NL!$B$5:$B$304,0))/INDEX(KT_nguoc_theo_NL!$K$5:$K$304,MATCH(C404,KT_nguoc_theo_NL!$B$5:$B$304,0)),""))</f>
        <v/>
      </c>
      <c r="I404" s="39" t="str">
        <f t="shared" si="31"/>
        <v/>
      </c>
      <c r="J404" s="46" t="str">
        <f t="shared" si="32"/>
        <v/>
      </c>
      <c r="K404" s="46" t="str">
        <f t="shared" si="33"/>
        <v/>
      </c>
      <c r="L404" s="46" t="str">
        <f t="shared" si="34"/>
        <v/>
      </c>
      <c r="M404" s="35" t="str">
        <f>IF(B404="","",IF(E404="KXDDM","KXDDM – không ĐM",IF(E404&lt;&gt;"","Không KT ("&amp;E404&amp;")",IF(OR(K404="",L404=""),"Xem xét",IF(MAX(ABS(K404),ABS(L404))&lt;=ThongTin!$C$12,"OK","Xem xét")))))</f>
        <v/>
      </c>
    </row>
    <row r="405" spans="1:13" x14ac:dyDescent="0.25">
      <c r="A405" s="35" t="str">
        <f t="shared" si="30"/>
        <v/>
      </c>
      <c r="B405" s="35" t="str">
        <f>IF(BOM!A405="","",BOM!A405)</f>
        <v/>
      </c>
      <c r="C405" s="35" t="str">
        <f>IF(B405="","",BOM!B405)</f>
        <v/>
      </c>
      <c r="D405" s="35" t="str">
        <f>IF(B405="","",KT_DMTT_ChiTiet!E405)</f>
        <v/>
      </c>
      <c r="E405" s="36" t="str">
        <f>IF(B405="","",BOM!G405&amp;"")</f>
        <v/>
      </c>
      <c r="F405" s="39" t="str">
        <f>IF(B405="","",BOM!E405)</f>
        <v/>
      </c>
      <c r="G405" s="39" t="str">
        <f>IF(OR(B405="",E405="KXDDM"),"",BOM!F405)</f>
        <v/>
      </c>
      <c r="H405" s="39" t="str">
        <f>IF(OR(B405="",E405&lt;&gt;""),"",IFERROR(INDEX(KT_nguoc_theo_NL!$J$5:$J$304,MATCH(C405,KT_nguoc_theo_NL!$B$5:$B$304,0))/INDEX(KT_nguoc_theo_NL!$K$5:$K$304,MATCH(C405,KT_nguoc_theo_NL!$B$5:$B$304,0)),""))</f>
        <v/>
      </c>
      <c r="I405" s="39" t="str">
        <f t="shared" si="31"/>
        <v/>
      </c>
      <c r="J405" s="46" t="str">
        <f t="shared" si="32"/>
        <v/>
      </c>
      <c r="K405" s="46" t="str">
        <f t="shared" si="33"/>
        <v/>
      </c>
      <c r="L405" s="46" t="str">
        <f t="shared" si="34"/>
        <v/>
      </c>
      <c r="M405" s="35" t="str">
        <f>IF(B405="","",IF(E405="KXDDM","KXDDM – không ĐM",IF(E405&lt;&gt;"","Không KT ("&amp;E405&amp;")",IF(OR(K405="",L405=""),"Xem xét",IF(MAX(ABS(K405),ABS(L405))&lt;=ThongTin!$C$12,"OK","Xem xét")))))</f>
        <v/>
      </c>
    </row>
    <row r="406" spans="1:13" x14ac:dyDescent="0.25">
      <c r="A406" s="35" t="str">
        <f t="shared" si="30"/>
        <v/>
      </c>
      <c r="B406" s="35" t="str">
        <f>IF(BOM!A406="","",BOM!A406)</f>
        <v/>
      </c>
      <c r="C406" s="35" t="str">
        <f>IF(B406="","",BOM!B406)</f>
        <v/>
      </c>
      <c r="D406" s="35" t="str">
        <f>IF(B406="","",KT_DMTT_ChiTiet!E406)</f>
        <v/>
      </c>
      <c r="E406" s="36" t="str">
        <f>IF(B406="","",BOM!G406&amp;"")</f>
        <v/>
      </c>
      <c r="F406" s="39" t="str">
        <f>IF(B406="","",BOM!E406)</f>
        <v/>
      </c>
      <c r="G406" s="39" t="str">
        <f>IF(OR(B406="",E406="KXDDM"),"",BOM!F406)</f>
        <v/>
      </c>
      <c r="H406" s="39" t="str">
        <f>IF(OR(B406="",E406&lt;&gt;""),"",IFERROR(INDEX(KT_nguoc_theo_NL!$J$5:$J$304,MATCH(C406,KT_nguoc_theo_NL!$B$5:$B$304,0))/INDEX(KT_nguoc_theo_NL!$K$5:$K$304,MATCH(C406,KT_nguoc_theo_NL!$B$5:$B$304,0)),""))</f>
        <v/>
      </c>
      <c r="I406" s="39" t="str">
        <f t="shared" si="31"/>
        <v/>
      </c>
      <c r="J406" s="46" t="str">
        <f t="shared" si="32"/>
        <v/>
      </c>
      <c r="K406" s="46" t="str">
        <f t="shared" si="33"/>
        <v/>
      </c>
      <c r="L406" s="46" t="str">
        <f t="shared" si="34"/>
        <v/>
      </c>
      <c r="M406" s="35" t="str">
        <f>IF(B406="","",IF(E406="KXDDM","KXDDM – không ĐM",IF(E406&lt;&gt;"","Không KT ("&amp;E406&amp;")",IF(OR(K406="",L406=""),"Xem xét",IF(MAX(ABS(K406),ABS(L406))&lt;=ThongTin!$C$12,"OK","Xem xét")))))</f>
        <v/>
      </c>
    </row>
    <row r="407" spans="1:13" x14ac:dyDescent="0.25">
      <c r="A407" s="35" t="str">
        <f t="shared" si="30"/>
        <v/>
      </c>
      <c r="B407" s="35" t="str">
        <f>IF(BOM!A407="","",BOM!A407)</f>
        <v/>
      </c>
      <c r="C407" s="35" t="str">
        <f>IF(B407="","",BOM!B407)</f>
        <v/>
      </c>
      <c r="D407" s="35" t="str">
        <f>IF(B407="","",KT_DMTT_ChiTiet!E407)</f>
        <v/>
      </c>
      <c r="E407" s="36" t="str">
        <f>IF(B407="","",BOM!G407&amp;"")</f>
        <v/>
      </c>
      <c r="F407" s="39" t="str">
        <f>IF(B407="","",BOM!E407)</f>
        <v/>
      </c>
      <c r="G407" s="39" t="str">
        <f>IF(OR(B407="",E407="KXDDM"),"",BOM!F407)</f>
        <v/>
      </c>
      <c r="H407" s="39" t="str">
        <f>IF(OR(B407="",E407&lt;&gt;""),"",IFERROR(INDEX(KT_nguoc_theo_NL!$J$5:$J$304,MATCH(C407,KT_nguoc_theo_NL!$B$5:$B$304,0))/INDEX(KT_nguoc_theo_NL!$K$5:$K$304,MATCH(C407,KT_nguoc_theo_NL!$B$5:$B$304,0)),""))</f>
        <v/>
      </c>
      <c r="I407" s="39" t="str">
        <f t="shared" si="31"/>
        <v/>
      </c>
      <c r="J407" s="46" t="str">
        <f t="shared" si="32"/>
        <v/>
      </c>
      <c r="K407" s="46" t="str">
        <f t="shared" si="33"/>
        <v/>
      </c>
      <c r="L407" s="46" t="str">
        <f t="shared" si="34"/>
        <v/>
      </c>
      <c r="M407" s="35" t="str">
        <f>IF(B407="","",IF(E407="KXDDM","KXDDM – không ĐM",IF(E407&lt;&gt;"","Không KT ("&amp;E407&amp;")",IF(OR(K407="",L407=""),"Xem xét",IF(MAX(ABS(K407),ABS(L407))&lt;=ThongTin!$C$12,"OK","Xem xét")))))</f>
        <v/>
      </c>
    </row>
    <row r="408" spans="1:13" x14ac:dyDescent="0.25">
      <c r="A408" s="35" t="str">
        <f t="shared" si="30"/>
        <v/>
      </c>
      <c r="B408" s="35" t="str">
        <f>IF(BOM!A408="","",BOM!A408)</f>
        <v/>
      </c>
      <c r="C408" s="35" t="str">
        <f>IF(B408="","",BOM!B408)</f>
        <v/>
      </c>
      <c r="D408" s="35" t="str">
        <f>IF(B408="","",KT_DMTT_ChiTiet!E408)</f>
        <v/>
      </c>
      <c r="E408" s="36" t="str">
        <f>IF(B408="","",BOM!G408&amp;"")</f>
        <v/>
      </c>
      <c r="F408" s="39" t="str">
        <f>IF(B408="","",BOM!E408)</f>
        <v/>
      </c>
      <c r="G408" s="39" t="str">
        <f>IF(OR(B408="",E408="KXDDM"),"",BOM!F408)</f>
        <v/>
      </c>
      <c r="H408" s="39" t="str">
        <f>IF(OR(B408="",E408&lt;&gt;""),"",IFERROR(INDEX(KT_nguoc_theo_NL!$J$5:$J$304,MATCH(C408,KT_nguoc_theo_NL!$B$5:$B$304,0))/INDEX(KT_nguoc_theo_NL!$K$5:$K$304,MATCH(C408,KT_nguoc_theo_NL!$B$5:$B$304,0)),""))</f>
        <v/>
      </c>
      <c r="I408" s="39" t="str">
        <f t="shared" si="31"/>
        <v/>
      </c>
      <c r="J408" s="46" t="str">
        <f t="shared" si="32"/>
        <v/>
      </c>
      <c r="K408" s="46" t="str">
        <f t="shared" si="33"/>
        <v/>
      </c>
      <c r="L408" s="46" t="str">
        <f t="shared" si="34"/>
        <v/>
      </c>
      <c r="M408" s="35" t="str">
        <f>IF(B408="","",IF(E408="KXDDM","KXDDM – không ĐM",IF(E408&lt;&gt;"","Không KT ("&amp;E408&amp;")",IF(OR(K408="",L408=""),"Xem xét",IF(MAX(ABS(K408),ABS(L408))&lt;=ThongTin!$C$12,"OK","Xem xét")))))</f>
        <v/>
      </c>
    </row>
    <row r="409" spans="1:13" x14ac:dyDescent="0.25">
      <c r="A409" s="35" t="str">
        <f t="shared" si="30"/>
        <v/>
      </c>
      <c r="B409" s="35" t="str">
        <f>IF(BOM!A409="","",BOM!A409)</f>
        <v/>
      </c>
      <c r="C409" s="35" t="str">
        <f>IF(B409="","",BOM!B409)</f>
        <v/>
      </c>
      <c r="D409" s="35" t="str">
        <f>IF(B409="","",KT_DMTT_ChiTiet!E409)</f>
        <v/>
      </c>
      <c r="E409" s="36" t="str">
        <f>IF(B409="","",BOM!G409&amp;"")</f>
        <v/>
      </c>
      <c r="F409" s="39" t="str">
        <f>IF(B409="","",BOM!E409)</f>
        <v/>
      </c>
      <c r="G409" s="39" t="str">
        <f>IF(OR(B409="",E409="KXDDM"),"",BOM!F409)</f>
        <v/>
      </c>
      <c r="H409" s="39" t="str">
        <f>IF(OR(B409="",E409&lt;&gt;""),"",IFERROR(INDEX(KT_nguoc_theo_NL!$J$5:$J$304,MATCH(C409,KT_nguoc_theo_NL!$B$5:$B$304,0))/INDEX(KT_nguoc_theo_NL!$K$5:$K$304,MATCH(C409,KT_nguoc_theo_NL!$B$5:$B$304,0)),""))</f>
        <v/>
      </c>
      <c r="I409" s="39" t="str">
        <f t="shared" si="31"/>
        <v/>
      </c>
      <c r="J409" s="46" t="str">
        <f t="shared" si="32"/>
        <v/>
      </c>
      <c r="K409" s="46" t="str">
        <f t="shared" si="33"/>
        <v/>
      </c>
      <c r="L409" s="46" t="str">
        <f t="shared" si="34"/>
        <v/>
      </c>
      <c r="M409" s="35" t="str">
        <f>IF(B409="","",IF(E409="KXDDM","KXDDM – không ĐM",IF(E409&lt;&gt;"","Không KT ("&amp;E409&amp;")",IF(OR(K409="",L409=""),"Xem xét",IF(MAX(ABS(K409),ABS(L409))&lt;=ThongTin!$C$12,"OK","Xem xét")))))</f>
        <v/>
      </c>
    </row>
    <row r="410" spans="1:13" x14ac:dyDescent="0.25">
      <c r="A410" s="35" t="str">
        <f t="shared" si="30"/>
        <v/>
      </c>
      <c r="B410" s="35" t="str">
        <f>IF(BOM!A410="","",BOM!A410)</f>
        <v/>
      </c>
      <c r="C410" s="35" t="str">
        <f>IF(B410="","",BOM!B410)</f>
        <v/>
      </c>
      <c r="D410" s="35" t="str">
        <f>IF(B410="","",KT_DMTT_ChiTiet!E410)</f>
        <v/>
      </c>
      <c r="E410" s="36" t="str">
        <f>IF(B410="","",BOM!G410&amp;"")</f>
        <v/>
      </c>
      <c r="F410" s="39" t="str">
        <f>IF(B410="","",BOM!E410)</f>
        <v/>
      </c>
      <c r="G410" s="39" t="str">
        <f>IF(OR(B410="",E410="KXDDM"),"",BOM!F410)</f>
        <v/>
      </c>
      <c r="H410" s="39" t="str">
        <f>IF(OR(B410="",E410&lt;&gt;""),"",IFERROR(INDEX(KT_nguoc_theo_NL!$J$5:$J$304,MATCH(C410,KT_nguoc_theo_NL!$B$5:$B$304,0))/INDEX(KT_nguoc_theo_NL!$K$5:$K$304,MATCH(C410,KT_nguoc_theo_NL!$B$5:$B$304,0)),""))</f>
        <v/>
      </c>
      <c r="I410" s="39" t="str">
        <f t="shared" si="31"/>
        <v/>
      </c>
      <c r="J410" s="46" t="str">
        <f t="shared" si="32"/>
        <v/>
      </c>
      <c r="K410" s="46" t="str">
        <f t="shared" si="33"/>
        <v/>
      </c>
      <c r="L410" s="46" t="str">
        <f t="shared" si="34"/>
        <v/>
      </c>
      <c r="M410" s="35" t="str">
        <f>IF(B410="","",IF(E410="KXDDM","KXDDM – không ĐM",IF(E410&lt;&gt;"","Không KT ("&amp;E410&amp;")",IF(OR(K410="",L410=""),"Xem xét",IF(MAX(ABS(K410),ABS(L410))&lt;=ThongTin!$C$12,"OK","Xem xét")))))</f>
        <v/>
      </c>
    </row>
    <row r="411" spans="1:13" x14ac:dyDescent="0.25">
      <c r="A411" s="35" t="str">
        <f t="shared" si="30"/>
        <v/>
      </c>
      <c r="B411" s="35" t="str">
        <f>IF(BOM!A411="","",BOM!A411)</f>
        <v/>
      </c>
      <c r="C411" s="35" t="str">
        <f>IF(B411="","",BOM!B411)</f>
        <v/>
      </c>
      <c r="D411" s="35" t="str">
        <f>IF(B411="","",KT_DMTT_ChiTiet!E411)</f>
        <v/>
      </c>
      <c r="E411" s="36" t="str">
        <f>IF(B411="","",BOM!G411&amp;"")</f>
        <v/>
      </c>
      <c r="F411" s="39" t="str">
        <f>IF(B411="","",BOM!E411)</f>
        <v/>
      </c>
      <c r="G411" s="39" t="str">
        <f>IF(OR(B411="",E411="KXDDM"),"",BOM!F411)</f>
        <v/>
      </c>
      <c r="H411" s="39" t="str">
        <f>IF(OR(B411="",E411&lt;&gt;""),"",IFERROR(INDEX(KT_nguoc_theo_NL!$J$5:$J$304,MATCH(C411,KT_nguoc_theo_NL!$B$5:$B$304,0))/INDEX(KT_nguoc_theo_NL!$K$5:$K$304,MATCH(C411,KT_nguoc_theo_NL!$B$5:$B$304,0)),""))</f>
        <v/>
      </c>
      <c r="I411" s="39" t="str">
        <f t="shared" si="31"/>
        <v/>
      </c>
      <c r="J411" s="46" t="str">
        <f t="shared" si="32"/>
        <v/>
      </c>
      <c r="K411" s="46" t="str">
        <f t="shared" si="33"/>
        <v/>
      </c>
      <c r="L411" s="46" t="str">
        <f t="shared" si="34"/>
        <v/>
      </c>
      <c r="M411" s="35" t="str">
        <f>IF(B411="","",IF(E411="KXDDM","KXDDM – không ĐM",IF(E411&lt;&gt;"","Không KT ("&amp;E411&amp;")",IF(OR(K411="",L411=""),"Xem xét",IF(MAX(ABS(K411),ABS(L411))&lt;=ThongTin!$C$12,"OK","Xem xét")))))</f>
        <v/>
      </c>
    </row>
    <row r="412" spans="1:13" x14ac:dyDescent="0.25">
      <c r="A412" s="35" t="str">
        <f t="shared" si="30"/>
        <v/>
      </c>
      <c r="B412" s="35" t="str">
        <f>IF(BOM!A412="","",BOM!A412)</f>
        <v/>
      </c>
      <c r="C412" s="35" t="str">
        <f>IF(B412="","",BOM!B412)</f>
        <v/>
      </c>
      <c r="D412" s="35" t="str">
        <f>IF(B412="","",KT_DMTT_ChiTiet!E412)</f>
        <v/>
      </c>
      <c r="E412" s="36" t="str">
        <f>IF(B412="","",BOM!G412&amp;"")</f>
        <v/>
      </c>
      <c r="F412" s="39" t="str">
        <f>IF(B412="","",BOM!E412)</f>
        <v/>
      </c>
      <c r="G412" s="39" t="str">
        <f>IF(OR(B412="",E412="KXDDM"),"",BOM!F412)</f>
        <v/>
      </c>
      <c r="H412" s="39" t="str">
        <f>IF(OR(B412="",E412&lt;&gt;""),"",IFERROR(INDEX(KT_nguoc_theo_NL!$J$5:$J$304,MATCH(C412,KT_nguoc_theo_NL!$B$5:$B$304,0))/INDEX(KT_nguoc_theo_NL!$K$5:$K$304,MATCH(C412,KT_nguoc_theo_NL!$B$5:$B$304,0)),""))</f>
        <v/>
      </c>
      <c r="I412" s="39" t="str">
        <f t="shared" si="31"/>
        <v/>
      </c>
      <c r="J412" s="46" t="str">
        <f t="shared" si="32"/>
        <v/>
      </c>
      <c r="K412" s="46" t="str">
        <f t="shared" si="33"/>
        <v/>
      </c>
      <c r="L412" s="46" t="str">
        <f t="shared" si="34"/>
        <v/>
      </c>
      <c r="M412" s="35" t="str">
        <f>IF(B412="","",IF(E412="KXDDM","KXDDM – không ĐM",IF(E412&lt;&gt;"","Không KT ("&amp;E412&amp;")",IF(OR(K412="",L412=""),"Xem xét",IF(MAX(ABS(K412),ABS(L412))&lt;=ThongTin!$C$12,"OK","Xem xét")))))</f>
        <v/>
      </c>
    </row>
    <row r="413" spans="1:13" x14ac:dyDescent="0.25">
      <c r="A413" s="35" t="str">
        <f t="shared" si="30"/>
        <v/>
      </c>
      <c r="B413" s="35" t="str">
        <f>IF(BOM!A413="","",BOM!A413)</f>
        <v/>
      </c>
      <c r="C413" s="35" t="str">
        <f>IF(B413="","",BOM!B413)</f>
        <v/>
      </c>
      <c r="D413" s="35" t="str">
        <f>IF(B413="","",KT_DMTT_ChiTiet!E413)</f>
        <v/>
      </c>
      <c r="E413" s="36" t="str">
        <f>IF(B413="","",BOM!G413&amp;"")</f>
        <v/>
      </c>
      <c r="F413" s="39" t="str">
        <f>IF(B413="","",BOM!E413)</f>
        <v/>
      </c>
      <c r="G413" s="39" t="str">
        <f>IF(OR(B413="",E413="KXDDM"),"",BOM!F413)</f>
        <v/>
      </c>
      <c r="H413" s="39" t="str">
        <f>IF(OR(B413="",E413&lt;&gt;""),"",IFERROR(INDEX(KT_nguoc_theo_NL!$J$5:$J$304,MATCH(C413,KT_nguoc_theo_NL!$B$5:$B$304,0))/INDEX(KT_nguoc_theo_NL!$K$5:$K$304,MATCH(C413,KT_nguoc_theo_NL!$B$5:$B$304,0)),""))</f>
        <v/>
      </c>
      <c r="I413" s="39" t="str">
        <f t="shared" si="31"/>
        <v/>
      </c>
      <c r="J413" s="46" t="str">
        <f t="shared" si="32"/>
        <v/>
      </c>
      <c r="K413" s="46" t="str">
        <f t="shared" si="33"/>
        <v/>
      </c>
      <c r="L413" s="46" t="str">
        <f t="shared" si="34"/>
        <v/>
      </c>
      <c r="M413" s="35" t="str">
        <f>IF(B413="","",IF(E413="KXDDM","KXDDM – không ĐM",IF(E413&lt;&gt;"","Không KT ("&amp;E413&amp;")",IF(OR(K413="",L413=""),"Xem xét",IF(MAX(ABS(K413),ABS(L413))&lt;=ThongTin!$C$12,"OK","Xem xét")))))</f>
        <v/>
      </c>
    </row>
    <row r="414" spans="1:13" x14ac:dyDescent="0.25">
      <c r="A414" s="35" t="str">
        <f t="shared" si="30"/>
        <v/>
      </c>
      <c r="B414" s="35" t="str">
        <f>IF(BOM!A414="","",BOM!A414)</f>
        <v/>
      </c>
      <c r="C414" s="35" t="str">
        <f>IF(B414="","",BOM!B414)</f>
        <v/>
      </c>
      <c r="D414" s="35" t="str">
        <f>IF(B414="","",KT_DMTT_ChiTiet!E414)</f>
        <v/>
      </c>
      <c r="E414" s="36" t="str">
        <f>IF(B414="","",BOM!G414&amp;"")</f>
        <v/>
      </c>
      <c r="F414" s="39" t="str">
        <f>IF(B414="","",BOM!E414)</f>
        <v/>
      </c>
      <c r="G414" s="39" t="str">
        <f>IF(OR(B414="",E414="KXDDM"),"",BOM!F414)</f>
        <v/>
      </c>
      <c r="H414" s="39" t="str">
        <f>IF(OR(B414="",E414&lt;&gt;""),"",IFERROR(INDEX(KT_nguoc_theo_NL!$J$5:$J$304,MATCH(C414,KT_nguoc_theo_NL!$B$5:$B$304,0))/INDEX(KT_nguoc_theo_NL!$K$5:$K$304,MATCH(C414,KT_nguoc_theo_NL!$B$5:$B$304,0)),""))</f>
        <v/>
      </c>
      <c r="I414" s="39" t="str">
        <f t="shared" si="31"/>
        <v/>
      </c>
      <c r="J414" s="46" t="str">
        <f t="shared" si="32"/>
        <v/>
      </c>
      <c r="K414" s="46" t="str">
        <f t="shared" si="33"/>
        <v/>
      </c>
      <c r="L414" s="46" t="str">
        <f t="shared" si="34"/>
        <v/>
      </c>
      <c r="M414" s="35" t="str">
        <f>IF(B414="","",IF(E414="KXDDM","KXDDM – không ĐM",IF(E414&lt;&gt;"","Không KT ("&amp;E414&amp;")",IF(OR(K414="",L414=""),"Xem xét",IF(MAX(ABS(K414),ABS(L414))&lt;=ThongTin!$C$12,"OK","Xem xét")))))</f>
        <v/>
      </c>
    </row>
    <row r="415" spans="1:13" x14ac:dyDescent="0.25">
      <c r="A415" s="35" t="str">
        <f t="shared" si="30"/>
        <v/>
      </c>
      <c r="B415" s="35" t="str">
        <f>IF(BOM!A415="","",BOM!A415)</f>
        <v/>
      </c>
      <c r="C415" s="35" t="str">
        <f>IF(B415="","",BOM!B415)</f>
        <v/>
      </c>
      <c r="D415" s="35" t="str">
        <f>IF(B415="","",KT_DMTT_ChiTiet!E415)</f>
        <v/>
      </c>
      <c r="E415" s="36" t="str">
        <f>IF(B415="","",BOM!G415&amp;"")</f>
        <v/>
      </c>
      <c r="F415" s="39" t="str">
        <f>IF(B415="","",BOM!E415)</f>
        <v/>
      </c>
      <c r="G415" s="39" t="str">
        <f>IF(OR(B415="",E415="KXDDM"),"",BOM!F415)</f>
        <v/>
      </c>
      <c r="H415" s="39" t="str">
        <f>IF(OR(B415="",E415&lt;&gt;""),"",IFERROR(INDEX(KT_nguoc_theo_NL!$J$5:$J$304,MATCH(C415,KT_nguoc_theo_NL!$B$5:$B$304,0))/INDEX(KT_nguoc_theo_NL!$K$5:$K$304,MATCH(C415,KT_nguoc_theo_NL!$B$5:$B$304,0)),""))</f>
        <v/>
      </c>
      <c r="I415" s="39" t="str">
        <f t="shared" si="31"/>
        <v/>
      </c>
      <c r="J415" s="46" t="str">
        <f t="shared" si="32"/>
        <v/>
      </c>
      <c r="K415" s="46" t="str">
        <f t="shared" si="33"/>
        <v/>
      </c>
      <c r="L415" s="46" t="str">
        <f t="shared" si="34"/>
        <v/>
      </c>
      <c r="M415" s="35" t="str">
        <f>IF(B415="","",IF(E415="KXDDM","KXDDM – không ĐM",IF(E415&lt;&gt;"","Không KT ("&amp;E415&amp;")",IF(OR(K415="",L415=""),"Xem xét",IF(MAX(ABS(K415),ABS(L415))&lt;=ThongTin!$C$12,"OK","Xem xét")))))</f>
        <v/>
      </c>
    </row>
    <row r="416" spans="1:13" x14ac:dyDescent="0.25">
      <c r="A416" s="35" t="str">
        <f t="shared" si="30"/>
        <v/>
      </c>
      <c r="B416" s="35" t="str">
        <f>IF(BOM!A416="","",BOM!A416)</f>
        <v/>
      </c>
      <c r="C416" s="35" t="str">
        <f>IF(B416="","",BOM!B416)</f>
        <v/>
      </c>
      <c r="D416" s="35" t="str">
        <f>IF(B416="","",KT_DMTT_ChiTiet!E416)</f>
        <v/>
      </c>
      <c r="E416" s="36" t="str">
        <f>IF(B416="","",BOM!G416&amp;"")</f>
        <v/>
      </c>
      <c r="F416" s="39" t="str">
        <f>IF(B416="","",BOM!E416)</f>
        <v/>
      </c>
      <c r="G416" s="39" t="str">
        <f>IF(OR(B416="",E416="KXDDM"),"",BOM!F416)</f>
        <v/>
      </c>
      <c r="H416" s="39" t="str">
        <f>IF(OR(B416="",E416&lt;&gt;""),"",IFERROR(INDEX(KT_nguoc_theo_NL!$J$5:$J$304,MATCH(C416,KT_nguoc_theo_NL!$B$5:$B$304,0))/INDEX(KT_nguoc_theo_NL!$K$5:$K$304,MATCH(C416,KT_nguoc_theo_NL!$B$5:$B$304,0)),""))</f>
        <v/>
      </c>
      <c r="I416" s="39" t="str">
        <f t="shared" si="31"/>
        <v/>
      </c>
      <c r="J416" s="46" t="str">
        <f t="shared" si="32"/>
        <v/>
      </c>
      <c r="K416" s="46" t="str">
        <f t="shared" si="33"/>
        <v/>
      </c>
      <c r="L416" s="46" t="str">
        <f t="shared" si="34"/>
        <v/>
      </c>
      <c r="M416" s="35" t="str">
        <f>IF(B416="","",IF(E416="KXDDM","KXDDM – không ĐM",IF(E416&lt;&gt;"","Không KT ("&amp;E416&amp;")",IF(OR(K416="",L416=""),"Xem xét",IF(MAX(ABS(K416),ABS(L416))&lt;=ThongTin!$C$12,"OK","Xem xét")))))</f>
        <v/>
      </c>
    </row>
    <row r="417" spans="1:13" x14ac:dyDescent="0.25">
      <c r="A417" s="35" t="str">
        <f t="shared" si="30"/>
        <v/>
      </c>
      <c r="B417" s="35" t="str">
        <f>IF(BOM!A417="","",BOM!A417)</f>
        <v/>
      </c>
      <c r="C417" s="35" t="str">
        <f>IF(B417="","",BOM!B417)</f>
        <v/>
      </c>
      <c r="D417" s="35" t="str">
        <f>IF(B417="","",KT_DMTT_ChiTiet!E417)</f>
        <v/>
      </c>
      <c r="E417" s="36" t="str">
        <f>IF(B417="","",BOM!G417&amp;"")</f>
        <v/>
      </c>
      <c r="F417" s="39" t="str">
        <f>IF(B417="","",BOM!E417)</f>
        <v/>
      </c>
      <c r="G417" s="39" t="str">
        <f>IF(OR(B417="",E417="KXDDM"),"",BOM!F417)</f>
        <v/>
      </c>
      <c r="H417" s="39" t="str">
        <f>IF(OR(B417="",E417&lt;&gt;""),"",IFERROR(INDEX(KT_nguoc_theo_NL!$J$5:$J$304,MATCH(C417,KT_nguoc_theo_NL!$B$5:$B$304,0))/INDEX(KT_nguoc_theo_NL!$K$5:$K$304,MATCH(C417,KT_nguoc_theo_NL!$B$5:$B$304,0)),""))</f>
        <v/>
      </c>
      <c r="I417" s="39" t="str">
        <f t="shared" si="31"/>
        <v/>
      </c>
      <c r="J417" s="46" t="str">
        <f t="shared" si="32"/>
        <v/>
      </c>
      <c r="K417" s="46" t="str">
        <f t="shared" si="33"/>
        <v/>
      </c>
      <c r="L417" s="46" t="str">
        <f t="shared" si="34"/>
        <v/>
      </c>
      <c r="M417" s="35" t="str">
        <f>IF(B417="","",IF(E417="KXDDM","KXDDM – không ĐM",IF(E417&lt;&gt;"","Không KT ("&amp;E417&amp;")",IF(OR(K417="",L417=""),"Xem xét",IF(MAX(ABS(K417),ABS(L417))&lt;=ThongTin!$C$12,"OK","Xem xét")))))</f>
        <v/>
      </c>
    </row>
    <row r="418" spans="1:13" x14ac:dyDescent="0.25">
      <c r="A418" s="35" t="str">
        <f t="shared" si="30"/>
        <v/>
      </c>
      <c r="B418" s="35" t="str">
        <f>IF(BOM!A418="","",BOM!A418)</f>
        <v/>
      </c>
      <c r="C418" s="35" t="str">
        <f>IF(B418="","",BOM!B418)</f>
        <v/>
      </c>
      <c r="D418" s="35" t="str">
        <f>IF(B418="","",KT_DMTT_ChiTiet!E418)</f>
        <v/>
      </c>
      <c r="E418" s="36" t="str">
        <f>IF(B418="","",BOM!G418&amp;"")</f>
        <v/>
      </c>
      <c r="F418" s="39" t="str">
        <f>IF(B418="","",BOM!E418)</f>
        <v/>
      </c>
      <c r="G418" s="39" t="str">
        <f>IF(OR(B418="",E418="KXDDM"),"",BOM!F418)</f>
        <v/>
      </c>
      <c r="H418" s="39" t="str">
        <f>IF(OR(B418="",E418&lt;&gt;""),"",IFERROR(INDEX(KT_nguoc_theo_NL!$J$5:$J$304,MATCH(C418,KT_nguoc_theo_NL!$B$5:$B$304,0))/INDEX(KT_nguoc_theo_NL!$K$5:$K$304,MATCH(C418,KT_nguoc_theo_NL!$B$5:$B$304,0)),""))</f>
        <v/>
      </c>
      <c r="I418" s="39" t="str">
        <f t="shared" si="31"/>
        <v/>
      </c>
      <c r="J418" s="46" t="str">
        <f t="shared" si="32"/>
        <v/>
      </c>
      <c r="K418" s="46" t="str">
        <f t="shared" si="33"/>
        <v/>
      </c>
      <c r="L418" s="46" t="str">
        <f t="shared" si="34"/>
        <v/>
      </c>
      <c r="M418" s="35" t="str">
        <f>IF(B418="","",IF(E418="KXDDM","KXDDM – không ĐM",IF(E418&lt;&gt;"","Không KT ("&amp;E418&amp;")",IF(OR(K418="",L418=""),"Xem xét",IF(MAX(ABS(K418),ABS(L418))&lt;=ThongTin!$C$12,"OK","Xem xét")))))</f>
        <v/>
      </c>
    </row>
    <row r="419" spans="1:13" x14ac:dyDescent="0.25">
      <c r="A419" s="35" t="str">
        <f t="shared" si="30"/>
        <v/>
      </c>
      <c r="B419" s="35" t="str">
        <f>IF(BOM!A419="","",BOM!A419)</f>
        <v/>
      </c>
      <c r="C419" s="35" t="str">
        <f>IF(B419="","",BOM!B419)</f>
        <v/>
      </c>
      <c r="D419" s="35" t="str">
        <f>IF(B419="","",KT_DMTT_ChiTiet!E419)</f>
        <v/>
      </c>
      <c r="E419" s="36" t="str">
        <f>IF(B419="","",BOM!G419&amp;"")</f>
        <v/>
      </c>
      <c r="F419" s="39" t="str">
        <f>IF(B419="","",BOM!E419)</f>
        <v/>
      </c>
      <c r="G419" s="39" t="str">
        <f>IF(OR(B419="",E419="KXDDM"),"",BOM!F419)</f>
        <v/>
      </c>
      <c r="H419" s="39" t="str">
        <f>IF(OR(B419="",E419&lt;&gt;""),"",IFERROR(INDEX(KT_nguoc_theo_NL!$J$5:$J$304,MATCH(C419,KT_nguoc_theo_NL!$B$5:$B$304,0))/INDEX(KT_nguoc_theo_NL!$K$5:$K$304,MATCH(C419,KT_nguoc_theo_NL!$B$5:$B$304,0)),""))</f>
        <v/>
      </c>
      <c r="I419" s="39" t="str">
        <f t="shared" si="31"/>
        <v/>
      </c>
      <c r="J419" s="46" t="str">
        <f t="shared" si="32"/>
        <v/>
      </c>
      <c r="K419" s="46" t="str">
        <f t="shared" si="33"/>
        <v/>
      </c>
      <c r="L419" s="46" t="str">
        <f t="shared" si="34"/>
        <v/>
      </c>
      <c r="M419" s="35" t="str">
        <f>IF(B419="","",IF(E419="KXDDM","KXDDM – không ĐM",IF(E419&lt;&gt;"","Không KT ("&amp;E419&amp;")",IF(OR(K419="",L419=""),"Xem xét",IF(MAX(ABS(K419),ABS(L419))&lt;=ThongTin!$C$12,"OK","Xem xét")))))</f>
        <v/>
      </c>
    </row>
    <row r="420" spans="1:13" x14ac:dyDescent="0.25">
      <c r="A420" s="35" t="str">
        <f t="shared" si="30"/>
        <v/>
      </c>
      <c r="B420" s="35" t="str">
        <f>IF(BOM!A420="","",BOM!A420)</f>
        <v/>
      </c>
      <c r="C420" s="35" t="str">
        <f>IF(B420="","",BOM!B420)</f>
        <v/>
      </c>
      <c r="D420" s="35" t="str">
        <f>IF(B420="","",KT_DMTT_ChiTiet!E420)</f>
        <v/>
      </c>
      <c r="E420" s="36" t="str">
        <f>IF(B420="","",BOM!G420&amp;"")</f>
        <v/>
      </c>
      <c r="F420" s="39" t="str">
        <f>IF(B420="","",BOM!E420)</f>
        <v/>
      </c>
      <c r="G420" s="39" t="str">
        <f>IF(OR(B420="",E420="KXDDM"),"",BOM!F420)</f>
        <v/>
      </c>
      <c r="H420" s="39" t="str">
        <f>IF(OR(B420="",E420&lt;&gt;""),"",IFERROR(INDEX(KT_nguoc_theo_NL!$J$5:$J$304,MATCH(C420,KT_nguoc_theo_NL!$B$5:$B$304,0))/INDEX(KT_nguoc_theo_NL!$K$5:$K$304,MATCH(C420,KT_nguoc_theo_NL!$B$5:$B$304,0)),""))</f>
        <v/>
      </c>
      <c r="I420" s="39" t="str">
        <f t="shared" si="31"/>
        <v/>
      </c>
      <c r="J420" s="46" t="str">
        <f t="shared" si="32"/>
        <v/>
      </c>
      <c r="K420" s="46" t="str">
        <f t="shared" si="33"/>
        <v/>
      </c>
      <c r="L420" s="46" t="str">
        <f t="shared" si="34"/>
        <v/>
      </c>
      <c r="M420" s="35" t="str">
        <f>IF(B420="","",IF(E420="KXDDM","KXDDM – không ĐM",IF(E420&lt;&gt;"","Không KT ("&amp;E420&amp;")",IF(OR(K420="",L420=""),"Xem xét",IF(MAX(ABS(K420),ABS(L420))&lt;=ThongTin!$C$12,"OK","Xem xét")))))</f>
        <v/>
      </c>
    </row>
    <row r="421" spans="1:13" x14ac:dyDescent="0.25">
      <c r="A421" s="35" t="str">
        <f t="shared" si="30"/>
        <v/>
      </c>
      <c r="B421" s="35" t="str">
        <f>IF(BOM!A421="","",BOM!A421)</f>
        <v/>
      </c>
      <c r="C421" s="35" t="str">
        <f>IF(B421="","",BOM!B421)</f>
        <v/>
      </c>
      <c r="D421" s="35" t="str">
        <f>IF(B421="","",KT_DMTT_ChiTiet!E421)</f>
        <v/>
      </c>
      <c r="E421" s="36" t="str">
        <f>IF(B421="","",BOM!G421&amp;"")</f>
        <v/>
      </c>
      <c r="F421" s="39" t="str">
        <f>IF(B421="","",BOM!E421)</f>
        <v/>
      </c>
      <c r="G421" s="39" t="str">
        <f>IF(OR(B421="",E421="KXDDM"),"",BOM!F421)</f>
        <v/>
      </c>
      <c r="H421" s="39" t="str">
        <f>IF(OR(B421="",E421&lt;&gt;""),"",IFERROR(INDEX(KT_nguoc_theo_NL!$J$5:$J$304,MATCH(C421,KT_nguoc_theo_NL!$B$5:$B$304,0))/INDEX(KT_nguoc_theo_NL!$K$5:$K$304,MATCH(C421,KT_nguoc_theo_NL!$B$5:$B$304,0)),""))</f>
        <v/>
      </c>
      <c r="I421" s="39" t="str">
        <f t="shared" si="31"/>
        <v/>
      </c>
      <c r="J421" s="46" t="str">
        <f t="shared" si="32"/>
        <v/>
      </c>
      <c r="K421" s="46" t="str">
        <f t="shared" si="33"/>
        <v/>
      </c>
      <c r="L421" s="46" t="str">
        <f t="shared" si="34"/>
        <v/>
      </c>
      <c r="M421" s="35" t="str">
        <f>IF(B421="","",IF(E421="KXDDM","KXDDM – không ĐM",IF(E421&lt;&gt;"","Không KT ("&amp;E421&amp;")",IF(OR(K421="",L421=""),"Xem xét",IF(MAX(ABS(K421),ABS(L421))&lt;=ThongTin!$C$12,"OK","Xem xét")))))</f>
        <v/>
      </c>
    </row>
    <row r="422" spans="1:13" x14ac:dyDescent="0.25">
      <c r="A422" s="35" t="str">
        <f t="shared" si="30"/>
        <v/>
      </c>
      <c r="B422" s="35" t="str">
        <f>IF(BOM!A422="","",BOM!A422)</f>
        <v/>
      </c>
      <c r="C422" s="35" t="str">
        <f>IF(B422="","",BOM!B422)</f>
        <v/>
      </c>
      <c r="D422" s="35" t="str">
        <f>IF(B422="","",KT_DMTT_ChiTiet!E422)</f>
        <v/>
      </c>
      <c r="E422" s="36" t="str">
        <f>IF(B422="","",BOM!G422&amp;"")</f>
        <v/>
      </c>
      <c r="F422" s="39" t="str">
        <f>IF(B422="","",BOM!E422)</f>
        <v/>
      </c>
      <c r="G422" s="39" t="str">
        <f>IF(OR(B422="",E422="KXDDM"),"",BOM!F422)</f>
        <v/>
      </c>
      <c r="H422" s="39" t="str">
        <f>IF(OR(B422="",E422&lt;&gt;""),"",IFERROR(INDEX(KT_nguoc_theo_NL!$J$5:$J$304,MATCH(C422,KT_nguoc_theo_NL!$B$5:$B$304,0))/INDEX(KT_nguoc_theo_NL!$K$5:$K$304,MATCH(C422,KT_nguoc_theo_NL!$B$5:$B$304,0)),""))</f>
        <v/>
      </c>
      <c r="I422" s="39" t="str">
        <f t="shared" si="31"/>
        <v/>
      </c>
      <c r="J422" s="46" t="str">
        <f t="shared" si="32"/>
        <v/>
      </c>
      <c r="K422" s="46" t="str">
        <f t="shared" si="33"/>
        <v/>
      </c>
      <c r="L422" s="46" t="str">
        <f t="shared" si="34"/>
        <v/>
      </c>
      <c r="M422" s="35" t="str">
        <f>IF(B422="","",IF(E422="KXDDM","KXDDM – không ĐM",IF(E422&lt;&gt;"","Không KT ("&amp;E422&amp;")",IF(OR(K422="",L422=""),"Xem xét",IF(MAX(ABS(K422),ABS(L422))&lt;=ThongTin!$C$12,"OK","Xem xét")))))</f>
        <v/>
      </c>
    </row>
    <row r="423" spans="1:13" x14ac:dyDescent="0.25">
      <c r="A423" s="35" t="str">
        <f t="shared" si="30"/>
        <v/>
      </c>
      <c r="B423" s="35" t="str">
        <f>IF(BOM!A423="","",BOM!A423)</f>
        <v/>
      </c>
      <c r="C423" s="35" t="str">
        <f>IF(B423="","",BOM!B423)</f>
        <v/>
      </c>
      <c r="D423" s="35" t="str">
        <f>IF(B423="","",KT_DMTT_ChiTiet!E423)</f>
        <v/>
      </c>
      <c r="E423" s="36" t="str">
        <f>IF(B423="","",BOM!G423&amp;"")</f>
        <v/>
      </c>
      <c r="F423" s="39" t="str">
        <f>IF(B423="","",BOM!E423)</f>
        <v/>
      </c>
      <c r="G423" s="39" t="str">
        <f>IF(OR(B423="",E423="KXDDM"),"",BOM!F423)</f>
        <v/>
      </c>
      <c r="H423" s="39" t="str">
        <f>IF(OR(B423="",E423&lt;&gt;""),"",IFERROR(INDEX(KT_nguoc_theo_NL!$J$5:$J$304,MATCH(C423,KT_nguoc_theo_NL!$B$5:$B$304,0))/INDEX(KT_nguoc_theo_NL!$K$5:$K$304,MATCH(C423,KT_nguoc_theo_NL!$B$5:$B$304,0)),""))</f>
        <v/>
      </c>
      <c r="I423" s="39" t="str">
        <f t="shared" si="31"/>
        <v/>
      </c>
      <c r="J423" s="46" t="str">
        <f t="shared" si="32"/>
        <v/>
      </c>
      <c r="K423" s="46" t="str">
        <f t="shared" si="33"/>
        <v/>
      </c>
      <c r="L423" s="46" t="str">
        <f t="shared" si="34"/>
        <v/>
      </c>
      <c r="M423" s="35" t="str">
        <f>IF(B423="","",IF(E423="KXDDM","KXDDM – không ĐM",IF(E423&lt;&gt;"","Không KT ("&amp;E423&amp;")",IF(OR(K423="",L423=""),"Xem xét",IF(MAX(ABS(K423),ABS(L423))&lt;=ThongTin!$C$12,"OK","Xem xét")))))</f>
        <v/>
      </c>
    </row>
    <row r="424" spans="1:13" x14ac:dyDescent="0.25">
      <c r="A424" s="35" t="str">
        <f t="shared" si="30"/>
        <v/>
      </c>
      <c r="B424" s="35" t="str">
        <f>IF(BOM!A424="","",BOM!A424)</f>
        <v/>
      </c>
      <c r="C424" s="35" t="str">
        <f>IF(B424="","",BOM!B424)</f>
        <v/>
      </c>
      <c r="D424" s="35" t="str">
        <f>IF(B424="","",KT_DMTT_ChiTiet!E424)</f>
        <v/>
      </c>
      <c r="E424" s="36" t="str">
        <f>IF(B424="","",BOM!G424&amp;"")</f>
        <v/>
      </c>
      <c r="F424" s="39" t="str">
        <f>IF(B424="","",BOM!E424)</f>
        <v/>
      </c>
      <c r="G424" s="39" t="str">
        <f>IF(OR(B424="",E424="KXDDM"),"",BOM!F424)</f>
        <v/>
      </c>
      <c r="H424" s="39" t="str">
        <f>IF(OR(B424="",E424&lt;&gt;""),"",IFERROR(INDEX(KT_nguoc_theo_NL!$J$5:$J$304,MATCH(C424,KT_nguoc_theo_NL!$B$5:$B$304,0))/INDEX(KT_nguoc_theo_NL!$K$5:$K$304,MATCH(C424,KT_nguoc_theo_NL!$B$5:$B$304,0)),""))</f>
        <v/>
      </c>
      <c r="I424" s="39" t="str">
        <f t="shared" si="31"/>
        <v/>
      </c>
      <c r="J424" s="46" t="str">
        <f t="shared" si="32"/>
        <v/>
      </c>
      <c r="K424" s="46" t="str">
        <f t="shared" si="33"/>
        <v/>
      </c>
      <c r="L424" s="46" t="str">
        <f t="shared" si="34"/>
        <v/>
      </c>
      <c r="M424" s="35" t="str">
        <f>IF(B424="","",IF(E424="KXDDM","KXDDM – không ĐM",IF(E424&lt;&gt;"","Không KT ("&amp;E424&amp;")",IF(OR(K424="",L424=""),"Xem xét",IF(MAX(ABS(K424),ABS(L424))&lt;=ThongTin!$C$12,"OK","Xem xét")))))</f>
        <v/>
      </c>
    </row>
    <row r="425" spans="1:13" x14ac:dyDescent="0.25">
      <c r="A425" s="35" t="str">
        <f t="shared" si="30"/>
        <v/>
      </c>
      <c r="B425" s="35" t="str">
        <f>IF(BOM!A425="","",BOM!A425)</f>
        <v/>
      </c>
      <c r="C425" s="35" t="str">
        <f>IF(B425="","",BOM!B425)</f>
        <v/>
      </c>
      <c r="D425" s="35" t="str">
        <f>IF(B425="","",KT_DMTT_ChiTiet!E425)</f>
        <v/>
      </c>
      <c r="E425" s="36" t="str">
        <f>IF(B425="","",BOM!G425&amp;"")</f>
        <v/>
      </c>
      <c r="F425" s="39" t="str">
        <f>IF(B425="","",BOM!E425)</f>
        <v/>
      </c>
      <c r="G425" s="39" t="str">
        <f>IF(OR(B425="",E425="KXDDM"),"",BOM!F425)</f>
        <v/>
      </c>
      <c r="H425" s="39" t="str">
        <f>IF(OR(B425="",E425&lt;&gt;""),"",IFERROR(INDEX(KT_nguoc_theo_NL!$J$5:$J$304,MATCH(C425,KT_nguoc_theo_NL!$B$5:$B$304,0))/INDEX(KT_nguoc_theo_NL!$K$5:$K$304,MATCH(C425,KT_nguoc_theo_NL!$B$5:$B$304,0)),""))</f>
        <v/>
      </c>
      <c r="I425" s="39" t="str">
        <f t="shared" si="31"/>
        <v/>
      </c>
      <c r="J425" s="46" t="str">
        <f t="shared" si="32"/>
        <v/>
      </c>
      <c r="K425" s="46" t="str">
        <f t="shared" si="33"/>
        <v/>
      </c>
      <c r="L425" s="46" t="str">
        <f t="shared" si="34"/>
        <v/>
      </c>
      <c r="M425" s="35" t="str">
        <f>IF(B425="","",IF(E425="KXDDM","KXDDM – không ĐM",IF(E425&lt;&gt;"","Không KT ("&amp;E425&amp;")",IF(OR(K425="",L425=""),"Xem xét",IF(MAX(ABS(K425),ABS(L425))&lt;=ThongTin!$C$12,"OK","Xem xét")))))</f>
        <v/>
      </c>
    </row>
    <row r="426" spans="1:13" x14ac:dyDescent="0.25">
      <c r="A426" s="35" t="str">
        <f t="shared" si="30"/>
        <v/>
      </c>
      <c r="B426" s="35" t="str">
        <f>IF(BOM!A426="","",BOM!A426)</f>
        <v/>
      </c>
      <c r="C426" s="35" t="str">
        <f>IF(B426="","",BOM!B426)</f>
        <v/>
      </c>
      <c r="D426" s="35" t="str">
        <f>IF(B426="","",KT_DMTT_ChiTiet!E426)</f>
        <v/>
      </c>
      <c r="E426" s="36" t="str">
        <f>IF(B426="","",BOM!G426&amp;"")</f>
        <v/>
      </c>
      <c r="F426" s="39" t="str">
        <f>IF(B426="","",BOM!E426)</f>
        <v/>
      </c>
      <c r="G426" s="39" t="str">
        <f>IF(OR(B426="",E426="KXDDM"),"",BOM!F426)</f>
        <v/>
      </c>
      <c r="H426" s="39" t="str">
        <f>IF(OR(B426="",E426&lt;&gt;""),"",IFERROR(INDEX(KT_nguoc_theo_NL!$J$5:$J$304,MATCH(C426,KT_nguoc_theo_NL!$B$5:$B$304,0))/INDEX(KT_nguoc_theo_NL!$K$5:$K$304,MATCH(C426,KT_nguoc_theo_NL!$B$5:$B$304,0)),""))</f>
        <v/>
      </c>
      <c r="I426" s="39" t="str">
        <f t="shared" si="31"/>
        <v/>
      </c>
      <c r="J426" s="46" t="str">
        <f t="shared" si="32"/>
        <v/>
      </c>
      <c r="K426" s="46" t="str">
        <f t="shared" si="33"/>
        <v/>
      </c>
      <c r="L426" s="46" t="str">
        <f t="shared" si="34"/>
        <v/>
      </c>
      <c r="M426" s="35" t="str">
        <f>IF(B426="","",IF(E426="KXDDM","KXDDM – không ĐM",IF(E426&lt;&gt;"","Không KT ("&amp;E426&amp;")",IF(OR(K426="",L426=""),"Xem xét",IF(MAX(ABS(K426),ABS(L426))&lt;=ThongTin!$C$12,"OK","Xem xét")))))</f>
        <v/>
      </c>
    </row>
    <row r="427" spans="1:13" x14ac:dyDescent="0.25">
      <c r="A427" s="35" t="str">
        <f t="shared" si="30"/>
        <v/>
      </c>
      <c r="B427" s="35" t="str">
        <f>IF(BOM!A427="","",BOM!A427)</f>
        <v/>
      </c>
      <c r="C427" s="35" t="str">
        <f>IF(B427="","",BOM!B427)</f>
        <v/>
      </c>
      <c r="D427" s="35" t="str">
        <f>IF(B427="","",KT_DMTT_ChiTiet!E427)</f>
        <v/>
      </c>
      <c r="E427" s="36" t="str">
        <f>IF(B427="","",BOM!G427&amp;"")</f>
        <v/>
      </c>
      <c r="F427" s="39" t="str">
        <f>IF(B427="","",BOM!E427)</f>
        <v/>
      </c>
      <c r="G427" s="39" t="str">
        <f>IF(OR(B427="",E427="KXDDM"),"",BOM!F427)</f>
        <v/>
      </c>
      <c r="H427" s="39" t="str">
        <f>IF(OR(B427="",E427&lt;&gt;""),"",IFERROR(INDEX(KT_nguoc_theo_NL!$J$5:$J$304,MATCH(C427,KT_nguoc_theo_NL!$B$5:$B$304,0))/INDEX(KT_nguoc_theo_NL!$K$5:$K$304,MATCH(C427,KT_nguoc_theo_NL!$B$5:$B$304,0)),""))</f>
        <v/>
      </c>
      <c r="I427" s="39" t="str">
        <f t="shared" si="31"/>
        <v/>
      </c>
      <c r="J427" s="46" t="str">
        <f t="shared" si="32"/>
        <v/>
      </c>
      <c r="K427" s="46" t="str">
        <f t="shared" si="33"/>
        <v/>
      </c>
      <c r="L427" s="46" t="str">
        <f t="shared" si="34"/>
        <v/>
      </c>
      <c r="M427" s="35" t="str">
        <f>IF(B427="","",IF(E427="KXDDM","KXDDM – không ĐM",IF(E427&lt;&gt;"","Không KT ("&amp;E427&amp;")",IF(OR(K427="",L427=""),"Xem xét",IF(MAX(ABS(K427),ABS(L427))&lt;=ThongTin!$C$12,"OK","Xem xét")))))</f>
        <v/>
      </c>
    </row>
    <row r="428" spans="1:13" x14ac:dyDescent="0.25">
      <c r="A428" s="35" t="str">
        <f t="shared" si="30"/>
        <v/>
      </c>
      <c r="B428" s="35" t="str">
        <f>IF(BOM!A428="","",BOM!A428)</f>
        <v/>
      </c>
      <c r="C428" s="35" t="str">
        <f>IF(B428="","",BOM!B428)</f>
        <v/>
      </c>
      <c r="D428" s="35" t="str">
        <f>IF(B428="","",KT_DMTT_ChiTiet!E428)</f>
        <v/>
      </c>
      <c r="E428" s="36" t="str">
        <f>IF(B428="","",BOM!G428&amp;"")</f>
        <v/>
      </c>
      <c r="F428" s="39" t="str">
        <f>IF(B428="","",BOM!E428)</f>
        <v/>
      </c>
      <c r="G428" s="39" t="str">
        <f>IF(OR(B428="",E428="KXDDM"),"",BOM!F428)</f>
        <v/>
      </c>
      <c r="H428" s="39" t="str">
        <f>IF(OR(B428="",E428&lt;&gt;""),"",IFERROR(INDEX(KT_nguoc_theo_NL!$J$5:$J$304,MATCH(C428,KT_nguoc_theo_NL!$B$5:$B$304,0))/INDEX(KT_nguoc_theo_NL!$K$5:$K$304,MATCH(C428,KT_nguoc_theo_NL!$B$5:$B$304,0)),""))</f>
        <v/>
      </c>
      <c r="I428" s="39" t="str">
        <f t="shared" si="31"/>
        <v/>
      </c>
      <c r="J428" s="46" t="str">
        <f t="shared" si="32"/>
        <v/>
      </c>
      <c r="K428" s="46" t="str">
        <f t="shared" si="33"/>
        <v/>
      </c>
      <c r="L428" s="46" t="str">
        <f t="shared" si="34"/>
        <v/>
      </c>
      <c r="M428" s="35" t="str">
        <f>IF(B428="","",IF(E428="KXDDM","KXDDM – không ĐM",IF(E428&lt;&gt;"","Không KT ("&amp;E428&amp;")",IF(OR(K428="",L428=""),"Xem xét",IF(MAX(ABS(K428),ABS(L428))&lt;=ThongTin!$C$12,"OK","Xem xét")))))</f>
        <v/>
      </c>
    </row>
    <row r="429" spans="1:13" x14ac:dyDescent="0.25">
      <c r="A429" s="35" t="str">
        <f t="shared" si="30"/>
        <v/>
      </c>
      <c r="B429" s="35" t="str">
        <f>IF(BOM!A429="","",BOM!A429)</f>
        <v/>
      </c>
      <c r="C429" s="35" t="str">
        <f>IF(B429="","",BOM!B429)</f>
        <v/>
      </c>
      <c r="D429" s="35" t="str">
        <f>IF(B429="","",KT_DMTT_ChiTiet!E429)</f>
        <v/>
      </c>
      <c r="E429" s="36" t="str">
        <f>IF(B429="","",BOM!G429&amp;"")</f>
        <v/>
      </c>
      <c r="F429" s="39" t="str">
        <f>IF(B429="","",BOM!E429)</f>
        <v/>
      </c>
      <c r="G429" s="39" t="str">
        <f>IF(OR(B429="",E429="KXDDM"),"",BOM!F429)</f>
        <v/>
      </c>
      <c r="H429" s="39" t="str">
        <f>IF(OR(B429="",E429&lt;&gt;""),"",IFERROR(INDEX(KT_nguoc_theo_NL!$J$5:$J$304,MATCH(C429,KT_nguoc_theo_NL!$B$5:$B$304,0))/INDEX(KT_nguoc_theo_NL!$K$5:$K$304,MATCH(C429,KT_nguoc_theo_NL!$B$5:$B$304,0)),""))</f>
        <v/>
      </c>
      <c r="I429" s="39" t="str">
        <f t="shared" si="31"/>
        <v/>
      </c>
      <c r="J429" s="46" t="str">
        <f t="shared" si="32"/>
        <v/>
      </c>
      <c r="K429" s="46" t="str">
        <f t="shared" si="33"/>
        <v/>
      </c>
      <c r="L429" s="46" t="str">
        <f t="shared" si="34"/>
        <v/>
      </c>
      <c r="M429" s="35" t="str">
        <f>IF(B429="","",IF(E429="KXDDM","KXDDM – không ĐM",IF(E429&lt;&gt;"","Không KT ("&amp;E429&amp;")",IF(OR(K429="",L429=""),"Xem xét",IF(MAX(ABS(K429),ABS(L429))&lt;=ThongTin!$C$12,"OK","Xem xét")))))</f>
        <v/>
      </c>
    </row>
    <row r="430" spans="1:13" x14ac:dyDescent="0.25">
      <c r="A430" s="35" t="str">
        <f t="shared" si="30"/>
        <v/>
      </c>
      <c r="B430" s="35" t="str">
        <f>IF(BOM!A430="","",BOM!A430)</f>
        <v/>
      </c>
      <c r="C430" s="35" t="str">
        <f>IF(B430="","",BOM!B430)</f>
        <v/>
      </c>
      <c r="D430" s="35" t="str">
        <f>IF(B430="","",KT_DMTT_ChiTiet!E430)</f>
        <v/>
      </c>
      <c r="E430" s="36" t="str">
        <f>IF(B430="","",BOM!G430&amp;"")</f>
        <v/>
      </c>
      <c r="F430" s="39" t="str">
        <f>IF(B430="","",BOM!E430)</f>
        <v/>
      </c>
      <c r="G430" s="39" t="str">
        <f>IF(OR(B430="",E430="KXDDM"),"",BOM!F430)</f>
        <v/>
      </c>
      <c r="H430" s="39" t="str">
        <f>IF(OR(B430="",E430&lt;&gt;""),"",IFERROR(INDEX(KT_nguoc_theo_NL!$J$5:$J$304,MATCH(C430,KT_nguoc_theo_NL!$B$5:$B$304,0))/INDEX(KT_nguoc_theo_NL!$K$5:$K$304,MATCH(C430,KT_nguoc_theo_NL!$B$5:$B$304,0)),""))</f>
        <v/>
      </c>
      <c r="I430" s="39" t="str">
        <f t="shared" si="31"/>
        <v/>
      </c>
      <c r="J430" s="46" t="str">
        <f t="shared" si="32"/>
        <v/>
      </c>
      <c r="K430" s="46" t="str">
        <f t="shared" si="33"/>
        <v/>
      </c>
      <c r="L430" s="46" t="str">
        <f t="shared" si="34"/>
        <v/>
      </c>
      <c r="M430" s="35" t="str">
        <f>IF(B430="","",IF(E430="KXDDM","KXDDM – không ĐM",IF(E430&lt;&gt;"","Không KT ("&amp;E430&amp;")",IF(OR(K430="",L430=""),"Xem xét",IF(MAX(ABS(K430),ABS(L430))&lt;=ThongTin!$C$12,"OK","Xem xét")))))</f>
        <v/>
      </c>
    </row>
    <row r="431" spans="1:13" x14ac:dyDescent="0.25">
      <c r="A431" s="35" t="str">
        <f t="shared" si="30"/>
        <v/>
      </c>
      <c r="B431" s="35" t="str">
        <f>IF(BOM!A431="","",BOM!A431)</f>
        <v/>
      </c>
      <c r="C431" s="35" t="str">
        <f>IF(B431="","",BOM!B431)</f>
        <v/>
      </c>
      <c r="D431" s="35" t="str">
        <f>IF(B431="","",KT_DMTT_ChiTiet!E431)</f>
        <v/>
      </c>
      <c r="E431" s="36" t="str">
        <f>IF(B431="","",BOM!G431&amp;"")</f>
        <v/>
      </c>
      <c r="F431" s="39" t="str">
        <f>IF(B431="","",BOM!E431)</f>
        <v/>
      </c>
      <c r="G431" s="39" t="str">
        <f>IF(OR(B431="",E431="KXDDM"),"",BOM!F431)</f>
        <v/>
      </c>
      <c r="H431" s="39" t="str">
        <f>IF(OR(B431="",E431&lt;&gt;""),"",IFERROR(INDEX(KT_nguoc_theo_NL!$J$5:$J$304,MATCH(C431,KT_nguoc_theo_NL!$B$5:$B$304,0))/INDEX(KT_nguoc_theo_NL!$K$5:$K$304,MATCH(C431,KT_nguoc_theo_NL!$B$5:$B$304,0)),""))</f>
        <v/>
      </c>
      <c r="I431" s="39" t="str">
        <f t="shared" si="31"/>
        <v/>
      </c>
      <c r="J431" s="46" t="str">
        <f t="shared" si="32"/>
        <v/>
      </c>
      <c r="K431" s="46" t="str">
        <f t="shared" si="33"/>
        <v/>
      </c>
      <c r="L431" s="46" t="str">
        <f t="shared" si="34"/>
        <v/>
      </c>
      <c r="M431" s="35" t="str">
        <f>IF(B431="","",IF(E431="KXDDM","KXDDM – không ĐM",IF(E431&lt;&gt;"","Không KT ("&amp;E431&amp;")",IF(OR(K431="",L431=""),"Xem xét",IF(MAX(ABS(K431),ABS(L431))&lt;=ThongTin!$C$12,"OK","Xem xét")))))</f>
        <v/>
      </c>
    </row>
    <row r="432" spans="1:13" x14ac:dyDescent="0.25">
      <c r="A432" s="35" t="str">
        <f t="shared" si="30"/>
        <v/>
      </c>
      <c r="B432" s="35" t="str">
        <f>IF(BOM!A432="","",BOM!A432)</f>
        <v/>
      </c>
      <c r="C432" s="35" t="str">
        <f>IF(B432="","",BOM!B432)</f>
        <v/>
      </c>
      <c r="D432" s="35" t="str">
        <f>IF(B432="","",KT_DMTT_ChiTiet!E432)</f>
        <v/>
      </c>
      <c r="E432" s="36" t="str">
        <f>IF(B432="","",BOM!G432&amp;"")</f>
        <v/>
      </c>
      <c r="F432" s="39" t="str">
        <f>IF(B432="","",BOM!E432)</f>
        <v/>
      </c>
      <c r="G432" s="39" t="str">
        <f>IF(OR(B432="",E432="KXDDM"),"",BOM!F432)</f>
        <v/>
      </c>
      <c r="H432" s="39" t="str">
        <f>IF(OR(B432="",E432&lt;&gt;""),"",IFERROR(INDEX(KT_nguoc_theo_NL!$J$5:$J$304,MATCH(C432,KT_nguoc_theo_NL!$B$5:$B$304,0))/INDEX(KT_nguoc_theo_NL!$K$5:$K$304,MATCH(C432,KT_nguoc_theo_NL!$B$5:$B$304,0)),""))</f>
        <v/>
      </c>
      <c r="I432" s="39" t="str">
        <f t="shared" si="31"/>
        <v/>
      </c>
      <c r="J432" s="46" t="str">
        <f t="shared" si="32"/>
        <v/>
      </c>
      <c r="K432" s="46" t="str">
        <f t="shared" si="33"/>
        <v/>
      </c>
      <c r="L432" s="46" t="str">
        <f t="shared" si="34"/>
        <v/>
      </c>
      <c r="M432" s="35" t="str">
        <f>IF(B432="","",IF(E432="KXDDM","KXDDM – không ĐM",IF(E432&lt;&gt;"","Không KT ("&amp;E432&amp;")",IF(OR(K432="",L432=""),"Xem xét",IF(MAX(ABS(K432),ABS(L432))&lt;=ThongTin!$C$12,"OK","Xem xét")))))</f>
        <v/>
      </c>
    </row>
    <row r="433" spans="1:13" x14ac:dyDescent="0.25">
      <c r="A433" s="35" t="str">
        <f t="shared" si="30"/>
        <v/>
      </c>
      <c r="B433" s="35" t="str">
        <f>IF(BOM!A433="","",BOM!A433)</f>
        <v/>
      </c>
      <c r="C433" s="35" t="str">
        <f>IF(B433="","",BOM!B433)</f>
        <v/>
      </c>
      <c r="D433" s="35" t="str">
        <f>IF(B433="","",KT_DMTT_ChiTiet!E433)</f>
        <v/>
      </c>
      <c r="E433" s="36" t="str">
        <f>IF(B433="","",BOM!G433&amp;"")</f>
        <v/>
      </c>
      <c r="F433" s="39" t="str">
        <f>IF(B433="","",BOM!E433)</f>
        <v/>
      </c>
      <c r="G433" s="39" t="str">
        <f>IF(OR(B433="",E433="KXDDM"),"",BOM!F433)</f>
        <v/>
      </c>
      <c r="H433" s="39" t="str">
        <f>IF(OR(B433="",E433&lt;&gt;""),"",IFERROR(INDEX(KT_nguoc_theo_NL!$J$5:$J$304,MATCH(C433,KT_nguoc_theo_NL!$B$5:$B$304,0))/INDEX(KT_nguoc_theo_NL!$K$5:$K$304,MATCH(C433,KT_nguoc_theo_NL!$B$5:$B$304,0)),""))</f>
        <v/>
      </c>
      <c r="I433" s="39" t="str">
        <f t="shared" si="31"/>
        <v/>
      </c>
      <c r="J433" s="46" t="str">
        <f t="shared" si="32"/>
        <v/>
      </c>
      <c r="K433" s="46" t="str">
        <f t="shared" si="33"/>
        <v/>
      </c>
      <c r="L433" s="46" t="str">
        <f t="shared" si="34"/>
        <v/>
      </c>
      <c r="M433" s="35" t="str">
        <f>IF(B433="","",IF(E433="KXDDM","KXDDM – không ĐM",IF(E433&lt;&gt;"","Không KT ("&amp;E433&amp;")",IF(OR(K433="",L433=""),"Xem xét",IF(MAX(ABS(K433),ABS(L433))&lt;=ThongTin!$C$12,"OK","Xem xét")))))</f>
        <v/>
      </c>
    </row>
    <row r="434" spans="1:13" x14ac:dyDescent="0.25">
      <c r="A434" s="35" t="str">
        <f t="shared" si="30"/>
        <v/>
      </c>
      <c r="B434" s="35" t="str">
        <f>IF(BOM!A434="","",BOM!A434)</f>
        <v/>
      </c>
      <c r="C434" s="35" t="str">
        <f>IF(B434="","",BOM!B434)</f>
        <v/>
      </c>
      <c r="D434" s="35" t="str">
        <f>IF(B434="","",KT_DMTT_ChiTiet!E434)</f>
        <v/>
      </c>
      <c r="E434" s="36" t="str">
        <f>IF(B434="","",BOM!G434&amp;"")</f>
        <v/>
      </c>
      <c r="F434" s="39" t="str">
        <f>IF(B434="","",BOM!E434)</f>
        <v/>
      </c>
      <c r="G434" s="39" t="str">
        <f>IF(OR(B434="",E434="KXDDM"),"",BOM!F434)</f>
        <v/>
      </c>
      <c r="H434" s="39" t="str">
        <f>IF(OR(B434="",E434&lt;&gt;""),"",IFERROR(INDEX(KT_nguoc_theo_NL!$J$5:$J$304,MATCH(C434,KT_nguoc_theo_NL!$B$5:$B$304,0))/INDEX(KT_nguoc_theo_NL!$K$5:$K$304,MATCH(C434,KT_nguoc_theo_NL!$B$5:$B$304,0)),""))</f>
        <v/>
      </c>
      <c r="I434" s="39" t="str">
        <f t="shared" si="31"/>
        <v/>
      </c>
      <c r="J434" s="46" t="str">
        <f t="shared" si="32"/>
        <v/>
      </c>
      <c r="K434" s="46" t="str">
        <f t="shared" si="33"/>
        <v/>
      </c>
      <c r="L434" s="46" t="str">
        <f t="shared" si="34"/>
        <v/>
      </c>
      <c r="M434" s="35" t="str">
        <f>IF(B434="","",IF(E434="KXDDM","KXDDM – không ĐM",IF(E434&lt;&gt;"","Không KT ("&amp;E434&amp;")",IF(OR(K434="",L434=""),"Xem xét",IF(MAX(ABS(K434),ABS(L434))&lt;=ThongTin!$C$12,"OK","Xem xét")))))</f>
        <v/>
      </c>
    </row>
    <row r="435" spans="1:13" x14ac:dyDescent="0.25">
      <c r="A435" s="35" t="str">
        <f t="shared" si="30"/>
        <v/>
      </c>
      <c r="B435" s="35" t="str">
        <f>IF(BOM!A435="","",BOM!A435)</f>
        <v/>
      </c>
      <c r="C435" s="35" t="str">
        <f>IF(B435="","",BOM!B435)</f>
        <v/>
      </c>
      <c r="D435" s="35" t="str">
        <f>IF(B435="","",KT_DMTT_ChiTiet!E435)</f>
        <v/>
      </c>
      <c r="E435" s="36" t="str">
        <f>IF(B435="","",BOM!G435&amp;"")</f>
        <v/>
      </c>
      <c r="F435" s="39" t="str">
        <f>IF(B435="","",BOM!E435)</f>
        <v/>
      </c>
      <c r="G435" s="39" t="str">
        <f>IF(OR(B435="",E435="KXDDM"),"",BOM!F435)</f>
        <v/>
      </c>
      <c r="H435" s="39" t="str">
        <f>IF(OR(B435="",E435&lt;&gt;""),"",IFERROR(INDEX(KT_nguoc_theo_NL!$J$5:$J$304,MATCH(C435,KT_nguoc_theo_NL!$B$5:$B$304,0))/INDEX(KT_nguoc_theo_NL!$K$5:$K$304,MATCH(C435,KT_nguoc_theo_NL!$B$5:$B$304,0)),""))</f>
        <v/>
      </c>
      <c r="I435" s="39" t="str">
        <f t="shared" si="31"/>
        <v/>
      </c>
      <c r="J435" s="46" t="str">
        <f t="shared" si="32"/>
        <v/>
      </c>
      <c r="K435" s="46" t="str">
        <f t="shared" si="33"/>
        <v/>
      </c>
      <c r="L435" s="46" t="str">
        <f t="shared" si="34"/>
        <v/>
      </c>
      <c r="M435" s="35" t="str">
        <f>IF(B435="","",IF(E435="KXDDM","KXDDM – không ĐM",IF(E435&lt;&gt;"","Không KT ("&amp;E435&amp;")",IF(OR(K435="",L435=""),"Xem xét",IF(MAX(ABS(K435),ABS(L435))&lt;=ThongTin!$C$12,"OK","Xem xét")))))</f>
        <v/>
      </c>
    </row>
    <row r="436" spans="1:13" x14ac:dyDescent="0.25">
      <c r="A436" s="35" t="str">
        <f t="shared" si="30"/>
        <v/>
      </c>
      <c r="B436" s="35" t="str">
        <f>IF(BOM!A436="","",BOM!A436)</f>
        <v/>
      </c>
      <c r="C436" s="35" t="str">
        <f>IF(B436="","",BOM!B436)</f>
        <v/>
      </c>
      <c r="D436" s="35" t="str">
        <f>IF(B436="","",KT_DMTT_ChiTiet!E436)</f>
        <v/>
      </c>
      <c r="E436" s="36" t="str">
        <f>IF(B436="","",BOM!G436&amp;"")</f>
        <v/>
      </c>
      <c r="F436" s="39" t="str">
        <f>IF(B436="","",BOM!E436)</f>
        <v/>
      </c>
      <c r="G436" s="39" t="str">
        <f>IF(OR(B436="",E436="KXDDM"),"",BOM!F436)</f>
        <v/>
      </c>
      <c r="H436" s="39" t="str">
        <f>IF(OR(B436="",E436&lt;&gt;""),"",IFERROR(INDEX(KT_nguoc_theo_NL!$J$5:$J$304,MATCH(C436,KT_nguoc_theo_NL!$B$5:$B$304,0))/INDEX(KT_nguoc_theo_NL!$K$5:$K$304,MATCH(C436,KT_nguoc_theo_NL!$B$5:$B$304,0)),""))</f>
        <v/>
      </c>
      <c r="I436" s="39" t="str">
        <f t="shared" si="31"/>
        <v/>
      </c>
      <c r="J436" s="46" t="str">
        <f t="shared" si="32"/>
        <v/>
      </c>
      <c r="K436" s="46" t="str">
        <f t="shared" si="33"/>
        <v/>
      </c>
      <c r="L436" s="46" t="str">
        <f t="shared" si="34"/>
        <v/>
      </c>
      <c r="M436" s="35" t="str">
        <f>IF(B436="","",IF(E436="KXDDM","KXDDM – không ĐM",IF(E436&lt;&gt;"","Không KT ("&amp;E436&amp;")",IF(OR(K436="",L436=""),"Xem xét",IF(MAX(ABS(K436),ABS(L436))&lt;=ThongTin!$C$12,"OK","Xem xét")))))</f>
        <v/>
      </c>
    </row>
    <row r="437" spans="1:13" x14ac:dyDescent="0.25">
      <c r="A437" s="35" t="str">
        <f t="shared" si="30"/>
        <v/>
      </c>
      <c r="B437" s="35" t="str">
        <f>IF(BOM!A437="","",BOM!A437)</f>
        <v/>
      </c>
      <c r="C437" s="35" t="str">
        <f>IF(B437="","",BOM!B437)</f>
        <v/>
      </c>
      <c r="D437" s="35" t="str">
        <f>IF(B437="","",KT_DMTT_ChiTiet!E437)</f>
        <v/>
      </c>
      <c r="E437" s="36" t="str">
        <f>IF(B437="","",BOM!G437&amp;"")</f>
        <v/>
      </c>
      <c r="F437" s="39" t="str">
        <f>IF(B437="","",BOM!E437)</f>
        <v/>
      </c>
      <c r="G437" s="39" t="str">
        <f>IF(OR(B437="",E437="KXDDM"),"",BOM!F437)</f>
        <v/>
      </c>
      <c r="H437" s="39" t="str">
        <f>IF(OR(B437="",E437&lt;&gt;""),"",IFERROR(INDEX(KT_nguoc_theo_NL!$J$5:$J$304,MATCH(C437,KT_nguoc_theo_NL!$B$5:$B$304,0))/INDEX(KT_nguoc_theo_NL!$K$5:$K$304,MATCH(C437,KT_nguoc_theo_NL!$B$5:$B$304,0)),""))</f>
        <v/>
      </c>
      <c r="I437" s="39" t="str">
        <f t="shared" si="31"/>
        <v/>
      </c>
      <c r="J437" s="46" t="str">
        <f t="shared" si="32"/>
        <v/>
      </c>
      <c r="K437" s="46" t="str">
        <f t="shared" si="33"/>
        <v/>
      </c>
      <c r="L437" s="46" t="str">
        <f t="shared" si="34"/>
        <v/>
      </c>
      <c r="M437" s="35" t="str">
        <f>IF(B437="","",IF(E437="KXDDM","KXDDM – không ĐM",IF(E437&lt;&gt;"","Không KT ("&amp;E437&amp;")",IF(OR(K437="",L437=""),"Xem xét",IF(MAX(ABS(K437),ABS(L437))&lt;=ThongTin!$C$12,"OK","Xem xét")))))</f>
        <v/>
      </c>
    </row>
    <row r="438" spans="1:13" x14ac:dyDescent="0.25">
      <c r="A438" s="35" t="str">
        <f t="shared" si="30"/>
        <v/>
      </c>
      <c r="B438" s="35" t="str">
        <f>IF(BOM!A438="","",BOM!A438)</f>
        <v/>
      </c>
      <c r="C438" s="35" t="str">
        <f>IF(B438="","",BOM!B438)</f>
        <v/>
      </c>
      <c r="D438" s="35" t="str">
        <f>IF(B438="","",KT_DMTT_ChiTiet!E438)</f>
        <v/>
      </c>
      <c r="E438" s="36" t="str">
        <f>IF(B438="","",BOM!G438&amp;"")</f>
        <v/>
      </c>
      <c r="F438" s="39" t="str">
        <f>IF(B438="","",BOM!E438)</f>
        <v/>
      </c>
      <c r="G438" s="39" t="str">
        <f>IF(OR(B438="",E438="KXDDM"),"",BOM!F438)</f>
        <v/>
      </c>
      <c r="H438" s="39" t="str">
        <f>IF(OR(B438="",E438&lt;&gt;""),"",IFERROR(INDEX(KT_nguoc_theo_NL!$J$5:$J$304,MATCH(C438,KT_nguoc_theo_NL!$B$5:$B$304,0))/INDEX(KT_nguoc_theo_NL!$K$5:$K$304,MATCH(C438,KT_nguoc_theo_NL!$B$5:$B$304,0)),""))</f>
        <v/>
      </c>
      <c r="I438" s="39" t="str">
        <f t="shared" si="31"/>
        <v/>
      </c>
      <c r="J438" s="46" t="str">
        <f t="shared" si="32"/>
        <v/>
      </c>
      <c r="K438" s="46" t="str">
        <f t="shared" si="33"/>
        <v/>
      </c>
      <c r="L438" s="46" t="str">
        <f t="shared" si="34"/>
        <v/>
      </c>
      <c r="M438" s="35" t="str">
        <f>IF(B438="","",IF(E438="KXDDM","KXDDM – không ĐM",IF(E438&lt;&gt;"","Không KT ("&amp;E438&amp;")",IF(OR(K438="",L438=""),"Xem xét",IF(MAX(ABS(K438),ABS(L438))&lt;=ThongTin!$C$12,"OK","Xem xét")))))</f>
        <v/>
      </c>
    </row>
    <row r="439" spans="1:13" x14ac:dyDescent="0.25">
      <c r="A439" s="35" t="str">
        <f t="shared" si="30"/>
        <v/>
      </c>
      <c r="B439" s="35" t="str">
        <f>IF(BOM!A439="","",BOM!A439)</f>
        <v/>
      </c>
      <c r="C439" s="35" t="str">
        <f>IF(B439="","",BOM!B439)</f>
        <v/>
      </c>
      <c r="D439" s="35" t="str">
        <f>IF(B439="","",KT_DMTT_ChiTiet!E439)</f>
        <v/>
      </c>
      <c r="E439" s="36" t="str">
        <f>IF(B439="","",BOM!G439&amp;"")</f>
        <v/>
      </c>
      <c r="F439" s="39" t="str">
        <f>IF(B439="","",BOM!E439)</f>
        <v/>
      </c>
      <c r="G439" s="39" t="str">
        <f>IF(OR(B439="",E439="KXDDM"),"",BOM!F439)</f>
        <v/>
      </c>
      <c r="H439" s="39" t="str">
        <f>IF(OR(B439="",E439&lt;&gt;""),"",IFERROR(INDEX(KT_nguoc_theo_NL!$J$5:$J$304,MATCH(C439,KT_nguoc_theo_NL!$B$5:$B$304,0))/INDEX(KT_nguoc_theo_NL!$K$5:$K$304,MATCH(C439,KT_nguoc_theo_NL!$B$5:$B$304,0)),""))</f>
        <v/>
      </c>
      <c r="I439" s="39" t="str">
        <f t="shared" si="31"/>
        <v/>
      </c>
      <c r="J439" s="46" t="str">
        <f t="shared" si="32"/>
        <v/>
      </c>
      <c r="K439" s="46" t="str">
        <f t="shared" si="33"/>
        <v/>
      </c>
      <c r="L439" s="46" t="str">
        <f t="shared" si="34"/>
        <v/>
      </c>
      <c r="M439" s="35" t="str">
        <f>IF(B439="","",IF(E439="KXDDM","KXDDM – không ĐM",IF(E439&lt;&gt;"","Không KT ("&amp;E439&amp;")",IF(OR(K439="",L439=""),"Xem xét",IF(MAX(ABS(K439),ABS(L439))&lt;=ThongTin!$C$12,"OK","Xem xét")))))</f>
        <v/>
      </c>
    </row>
    <row r="440" spans="1:13" x14ac:dyDescent="0.25">
      <c r="A440" s="35" t="str">
        <f t="shared" si="30"/>
        <v/>
      </c>
      <c r="B440" s="35" t="str">
        <f>IF(BOM!A440="","",BOM!A440)</f>
        <v/>
      </c>
      <c r="C440" s="35" t="str">
        <f>IF(B440="","",BOM!B440)</f>
        <v/>
      </c>
      <c r="D440" s="35" t="str">
        <f>IF(B440="","",KT_DMTT_ChiTiet!E440)</f>
        <v/>
      </c>
      <c r="E440" s="36" t="str">
        <f>IF(B440="","",BOM!G440&amp;"")</f>
        <v/>
      </c>
      <c r="F440" s="39" t="str">
        <f>IF(B440="","",BOM!E440)</f>
        <v/>
      </c>
      <c r="G440" s="39" t="str">
        <f>IF(OR(B440="",E440="KXDDM"),"",BOM!F440)</f>
        <v/>
      </c>
      <c r="H440" s="39" t="str">
        <f>IF(OR(B440="",E440&lt;&gt;""),"",IFERROR(INDEX(KT_nguoc_theo_NL!$J$5:$J$304,MATCH(C440,KT_nguoc_theo_NL!$B$5:$B$304,0))/INDEX(KT_nguoc_theo_NL!$K$5:$K$304,MATCH(C440,KT_nguoc_theo_NL!$B$5:$B$304,0)),""))</f>
        <v/>
      </c>
      <c r="I440" s="39" t="str">
        <f t="shared" si="31"/>
        <v/>
      </c>
      <c r="J440" s="46" t="str">
        <f t="shared" si="32"/>
        <v/>
      </c>
      <c r="K440" s="46" t="str">
        <f t="shared" si="33"/>
        <v/>
      </c>
      <c r="L440" s="46" t="str">
        <f t="shared" si="34"/>
        <v/>
      </c>
      <c r="M440" s="35" t="str">
        <f>IF(B440="","",IF(E440="KXDDM","KXDDM – không ĐM",IF(E440&lt;&gt;"","Không KT ("&amp;E440&amp;")",IF(OR(K440="",L440=""),"Xem xét",IF(MAX(ABS(K440),ABS(L440))&lt;=ThongTin!$C$12,"OK","Xem xét")))))</f>
        <v/>
      </c>
    </row>
    <row r="441" spans="1:13" x14ac:dyDescent="0.25">
      <c r="A441" s="35" t="str">
        <f t="shared" si="30"/>
        <v/>
      </c>
      <c r="B441" s="35" t="str">
        <f>IF(BOM!A441="","",BOM!A441)</f>
        <v/>
      </c>
      <c r="C441" s="35" t="str">
        <f>IF(B441="","",BOM!B441)</f>
        <v/>
      </c>
      <c r="D441" s="35" t="str">
        <f>IF(B441="","",KT_DMTT_ChiTiet!E441)</f>
        <v/>
      </c>
      <c r="E441" s="36" t="str">
        <f>IF(B441="","",BOM!G441&amp;"")</f>
        <v/>
      </c>
      <c r="F441" s="39" t="str">
        <f>IF(B441="","",BOM!E441)</f>
        <v/>
      </c>
      <c r="G441" s="39" t="str">
        <f>IF(OR(B441="",E441="KXDDM"),"",BOM!F441)</f>
        <v/>
      </c>
      <c r="H441" s="39" t="str">
        <f>IF(OR(B441="",E441&lt;&gt;""),"",IFERROR(INDEX(KT_nguoc_theo_NL!$J$5:$J$304,MATCH(C441,KT_nguoc_theo_NL!$B$5:$B$304,0))/INDEX(KT_nguoc_theo_NL!$K$5:$K$304,MATCH(C441,KT_nguoc_theo_NL!$B$5:$B$304,0)),""))</f>
        <v/>
      </c>
      <c r="I441" s="39" t="str">
        <f t="shared" si="31"/>
        <v/>
      </c>
      <c r="J441" s="46" t="str">
        <f t="shared" si="32"/>
        <v/>
      </c>
      <c r="K441" s="46" t="str">
        <f t="shared" si="33"/>
        <v/>
      </c>
      <c r="L441" s="46" t="str">
        <f t="shared" si="34"/>
        <v/>
      </c>
      <c r="M441" s="35" t="str">
        <f>IF(B441="","",IF(E441="KXDDM","KXDDM – không ĐM",IF(E441&lt;&gt;"","Không KT ("&amp;E441&amp;")",IF(OR(K441="",L441=""),"Xem xét",IF(MAX(ABS(K441),ABS(L441))&lt;=ThongTin!$C$12,"OK","Xem xét")))))</f>
        <v/>
      </c>
    </row>
    <row r="442" spans="1:13" x14ac:dyDescent="0.25">
      <c r="A442" s="35" t="str">
        <f t="shared" si="30"/>
        <v/>
      </c>
      <c r="B442" s="35" t="str">
        <f>IF(BOM!A442="","",BOM!A442)</f>
        <v/>
      </c>
      <c r="C442" s="35" t="str">
        <f>IF(B442="","",BOM!B442)</f>
        <v/>
      </c>
      <c r="D442" s="35" t="str">
        <f>IF(B442="","",KT_DMTT_ChiTiet!E442)</f>
        <v/>
      </c>
      <c r="E442" s="36" t="str">
        <f>IF(B442="","",BOM!G442&amp;"")</f>
        <v/>
      </c>
      <c r="F442" s="39" t="str">
        <f>IF(B442="","",BOM!E442)</f>
        <v/>
      </c>
      <c r="G442" s="39" t="str">
        <f>IF(OR(B442="",E442="KXDDM"),"",BOM!F442)</f>
        <v/>
      </c>
      <c r="H442" s="39" t="str">
        <f>IF(OR(B442="",E442&lt;&gt;""),"",IFERROR(INDEX(KT_nguoc_theo_NL!$J$5:$J$304,MATCH(C442,KT_nguoc_theo_NL!$B$5:$B$304,0))/INDEX(KT_nguoc_theo_NL!$K$5:$K$304,MATCH(C442,KT_nguoc_theo_NL!$B$5:$B$304,0)),""))</f>
        <v/>
      </c>
      <c r="I442" s="39" t="str">
        <f t="shared" si="31"/>
        <v/>
      </c>
      <c r="J442" s="46" t="str">
        <f t="shared" si="32"/>
        <v/>
      </c>
      <c r="K442" s="46" t="str">
        <f t="shared" si="33"/>
        <v/>
      </c>
      <c r="L442" s="46" t="str">
        <f t="shared" si="34"/>
        <v/>
      </c>
      <c r="M442" s="35" t="str">
        <f>IF(B442="","",IF(E442="KXDDM","KXDDM – không ĐM",IF(E442&lt;&gt;"","Không KT ("&amp;E442&amp;")",IF(OR(K442="",L442=""),"Xem xét",IF(MAX(ABS(K442),ABS(L442))&lt;=ThongTin!$C$12,"OK","Xem xét")))))</f>
        <v/>
      </c>
    </row>
    <row r="443" spans="1:13" x14ac:dyDescent="0.25">
      <c r="A443" s="35" t="str">
        <f t="shared" si="30"/>
        <v/>
      </c>
      <c r="B443" s="35" t="str">
        <f>IF(BOM!A443="","",BOM!A443)</f>
        <v/>
      </c>
      <c r="C443" s="35" t="str">
        <f>IF(B443="","",BOM!B443)</f>
        <v/>
      </c>
      <c r="D443" s="35" t="str">
        <f>IF(B443="","",KT_DMTT_ChiTiet!E443)</f>
        <v/>
      </c>
      <c r="E443" s="36" t="str">
        <f>IF(B443="","",BOM!G443&amp;"")</f>
        <v/>
      </c>
      <c r="F443" s="39" t="str">
        <f>IF(B443="","",BOM!E443)</f>
        <v/>
      </c>
      <c r="G443" s="39" t="str">
        <f>IF(OR(B443="",E443="KXDDM"),"",BOM!F443)</f>
        <v/>
      </c>
      <c r="H443" s="39" t="str">
        <f>IF(OR(B443="",E443&lt;&gt;""),"",IFERROR(INDEX(KT_nguoc_theo_NL!$J$5:$J$304,MATCH(C443,KT_nguoc_theo_NL!$B$5:$B$304,0))/INDEX(KT_nguoc_theo_NL!$K$5:$K$304,MATCH(C443,KT_nguoc_theo_NL!$B$5:$B$304,0)),""))</f>
        <v/>
      </c>
      <c r="I443" s="39" t="str">
        <f t="shared" si="31"/>
        <v/>
      </c>
      <c r="J443" s="46" t="str">
        <f t="shared" si="32"/>
        <v/>
      </c>
      <c r="K443" s="46" t="str">
        <f t="shared" si="33"/>
        <v/>
      </c>
      <c r="L443" s="46" t="str">
        <f t="shared" si="34"/>
        <v/>
      </c>
      <c r="M443" s="35" t="str">
        <f>IF(B443="","",IF(E443="KXDDM","KXDDM – không ĐM",IF(E443&lt;&gt;"","Không KT ("&amp;E443&amp;")",IF(OR(K443="",L443=""),"Xem xét",IF(MAX(ABS(K443),ABS(L443))&lt;=ThongTin!$C$12,"OK","Xem xét")))))</f>
        <v/>
      </c>
    </row>
    <row r="444" spans="1:13" x14ac:dyDescent="0.25">
      <c r="A444" s="35" t="str">
        <f t="shared" si="30"/>
        <v/>
      </c>
      <c r="B444" s="35" t="str">
        <f>IF(BOM!A444="","",BOM!A444)</f>
        <v/>
      </c>
      <c r="C444" s="35" t="str">
        <f>IF(B444="","",BOM!B444)</f>
        <v/>
      </c>
      <c r="D444" s="35" t="str">
        <f>IF(B444="","",KT_DMTT_ChiTiet!E444)</f>
        <v/>
      </c>
      <c r="E444" s="36" t="str">
        <f>IF(B444="","",BOM!G444&amp;"")</f>
        <v/>
      </c>
      <c r="F444" s="39" t="str">
        <f>IF(B444="","",BOM!E444)</f>
        <v/>
      </c>
      <c r="G444" s="39" t="str">
        <f>IF(OR(B444="",E444="KXDDM"),"",BOM!F444)</f>
        <v/>
      </c>
      <c r="H444" s="39" t="str">
        <f>IF(OR(B444="",E444&lt;&gt;""),"",IFERROR(INDEX(KT_nguoc_theo_NL!$J$5:$J$304,MATCH(C444,KT_nguoc_theo_NL!$B$5:$B$304,0))/INDEX(KT_nguoc_theo_NL!$K$5:$K$304,MATCH(C444,KT_nguoc_theo_NL!$B$5:$B$304,0)),""))</f>
        <v/>
      </c>
      <c r="I444" s="39" t="str">
        <f t="shared" si="31"/>
        <v/>
      </c>
      <c r="J444" s="46" t="str">
        <f t="shared" si="32"/>
        <v/>
      </c>
      <c r="K444" s="46" t="str">
        <f t="shared" si="33"/>
        <v/>
      </c>
      <c r="L444" s="46" t="str">
        <f t="shared" si="34"/>
        <v/>
      </c>
      <c r="M444" s="35" t="str">
        <f>IF(B444="","",IF(E444="KXDDM","KXDDM – không ĐM",IF(E444&lt;&gt;"","Không KT ("&amp;E444&amp;")",IF(OR(K444="",L444=""),"Xem xét",IF(MAX(ABS(K444),ABS(L444))&lt;=ThongTin!$C$12,"OK","Xem xét")))))</f>
        <v/>
      </c>
    </row>
    <row r="445" spans="1:13" x14ac:dyDescent="0.25">
      <c r="A445" s="35" t="str">
        <f t="shared" si="30"/>
        <v/>
      </c>
      <c r="B445" s="35" t="str">
        <f>IF(BOM!A445="","",BOM!A445)</f>
        <v/>
      </c>
      <c r="C445" s="35" t="str">
        <f>IF(B445="","",BOM!B445)</f>
        <v/>
      </c>
      <c r="D445" s="35" t="str">
        <f>IF(B445="","",KT_DMTT_ChiTiet!E445)</f>
        <v/>
      </c>
      <c r="E445" s="36" t="str">
        <f>IF(B445="","",BOM!G445&amp;"")</f>
        <v/>
      </c>
      <c r="F445" s="39" t="str">
        <f>IF(B445="","",BOM!E445)</f>
        <v/>
      </c>
      <c r="G445" s="39" t="str">
        <f>IF(OR(B445="",E445="KXDDM"),"",BOM!F445)</f>
        <v/>
      </c>
      <c r="H445" s="39" t="str">
        <f>IF(OR(B445="",E445&lt;&gt;""),"",IFERROR(INDEX(KT_nguoc_theo_NL!$J$5:$J$304,MATCH(C445,KT_nguoc_theo_NL!$B$5:$B$304,0))/INDEX(KT_nguoc_theo_NL!$K$5:$K$304,MATCH(C445,KT_nguoc_theo_NL!$B$5:$B$304,0)),""))</f>
        <v/>
      </c>
      <c r="I445" s="39" t="str">
        <f t="shared" si="31"/>
        <v/>
      </c>
      <c r="J445" s="46" t="str">
        <f t="shared" si="32"/>
        <v/>
      </c>
      <c r="K445" s="46" t="str">
        <f t="shared" si="33"/>
        <v/>
      </c>
      <c r="L445" s="46" t="str">
        <f t="shared" si="34"/>
        <v/>
      </c>
      <c r="M445" s="35" t="str">
        <f>IF(B445="","",IF(E445="KXDDM","KXDDM – không ĐM",IF(E445&lt;&gt;"","Không KT ("&amp;E445&amp;")",IF(OR(K445="",L445=""),"Xem xét",IF(MAX(ABS(K445),ABS(L445))&lt;=ThongTin!$C$12,"OK","Xem xét")))))</f>
        <v/>
      </c>
    </row>
    <row r="446" spans="1:13" x14ac:dyDescent="0.25">
      <c r="A446" s="35" t="str">
        <f t="shared" si="30"/>
        <v/>
      </c>
      <c r="B446" s="35" t="str">
        <f>IF(BOM!A446="","",BOM!A446)</f>
        <v/>
      </c>
      <c r="C446" s="35" t="str">
        <f>IF(B446="","",BOM!B446)</f>
        <v/>
      </c>
      <c r="D446" s="35" t="str">
        <f>IF(B446="","",KT_DMTT_ChiTiet!E446)</f>
        <v/>
      </c>
      <c r="E446" s="36" t="str">
        <f>IF(B446="","",BOM!G446&amp;"")</f>
        <v/>
      </c>
      <c r="F446" s="39" t="str">
        <f>IF(B446="","",BOM!E446)</f>
        <v/>
      </c>
      <c r="G446" s="39" t="str">
        <f>IF(OR(B446="",E446="KXDDM"),"",BOM!F446)</f>
        <v/>
      </c>
      <c r="H446" s="39" t="str">
        <f>IF(OR(B446="",E446&lt;&gt;""),"",IFERROR(INDEX(KT_nguoc_theo_NL!$J$5:$J$304,MATCH(C446,KT_nguoc_theo_NL!$B$5:$B$304,0))/INDEX(KT_nguoc_theo_NL!$K$5:$K$304,MATCH(C446,KT_nguoc_theo_NL!$B$5:$B$304,0)),""))</f>
        <v/>
      </c>
      <c r="I446" s="39" t="str">
        <f t="shared" si="31"/>
        <v/>
      </c>
      <c r="J446" s="46" t="str">
        <f t="shared" si="32"/>
        <v/>
      </c>
      <c r="K446" s="46" t="str">
        <f t="shared" si="33"/>
        <v/>
      </c>
      <c r="L446" s="46" t="str">
        <f t="shared" si="34"/>
        <v/>
      </c>
      <c r="M446" s="35" t="str">
        <f>IF(B446="","",IF(E446="KXDDM","KXDDM – không ĐM",IF(E446&lt;&gt;"","Không KT ("&amp;E446&amp;")",IF(OR(K446="",L446=""),"Xem xét",IF(MAX(ABS(K446),ABS(L446))&lt;=ThongTin!$C$12,"OK","Xem xét")))))</f>
        <v/>
      </c>
    </row>
    <row r="447" spans="1:13" x14ac:dyDescent="0.25">
      <c r="A447" s="35" t="str">
        <f t="shared" si="30"/>
        <v/>
      </c>
      <c r="B447" s="35" t="str">
        <f>IF(BOM!A447="","",BOM!A447)</f>
        <v/>
      </c>
      <c r="C447" s="35" t="str">
        <f>IF(B447="","",BOM!B447)</f>
        <v/>
      </c>
      <c r="D447" s="35" t="str">
        <f>IF(B447="","",KT_DMTT_ChiTiet!E447)</f>
        <v/>
      </c>
      <c r="E447" s="36" t="str">
        <f>IF(B447="","",BOM!G447&amp;"")</f>
        <v/>
      </c>
      <c r="F447" s="39" t="str">
        <f>IF(B447="","",BOM!E447)</f>
        <v/>
      </c>
      <c r="G447" s="39" t="str">
        <f>IF(OR(B447="",E447="KXDDM"),"",BOM!F447)</f>
        <v/>
      </c>
      <c r="H447" s="39" t="str">
        <f>IF(OR(B447="",E447&lt;&gt;""),"",IFERROR(INDEX(KT_nguoc_theo_NL!$J$5:$J$304,MATCH(C447,KT_nguoc_theo_NL!$B$5:$B$304,0))/INDEX(KT_nguoc_theo_NL!$K$5:$K$304,MATCH(C447,KT_nguoc_theo_NL!$B$5:$B$304,0)),""))</f>
        <v/>
      </c>
      <c r="I447" s="39" t="str">
        <f t="shared" si="31"/>
        <v/>
      </c>
      <c r="J447" s="46" t="str">
        <f t="shared" si="32"/>
        <v/>
      </c>
      <c r="K447" s="46" t="str">
        <f t="shared" si="33"/>
        <v/>
      </c>
      <c r="L447" s="46" t="str">
        <f t="shared" si="34"/>
        <v/>
      </c>
      <c r="M447" s="35" t="str">
        <f>IF(B447="","",IF(E447="KXDDM","KXDDM – không ĐM",IF(E447&lt;&gt;"","Không KT ("&amp;E447&amp;")",IF(OR(K447="",L447=""),"Xem xét",IF(MAX(ABS(K447),ABS(L447))&lt;=ThongTin!$C$12,"OK","Xem xét")))))</f>
        <v/>
      </c>
    </row>
    <row r="448" spans="1:13" x14ac:dyDescent="0.25">
      <c r="A448" s="35" t="str">
        <f t="shared" si="30"/>
        <v/>
      </c>
      <c r="B448" s="35" t="str">
        <f>IF(BOM!A448="","",BOM!A448)</f>
        <v/>
      </c>
      <c r="C448" s="35" t="str">
        <f>IF(B448="","",BOM!B448)</f>
        <v/>
      </c>
      <c r="D448" s="35" t="str">
        <f>IF(B448="","",KT_DMTT_ChiTiet!E448)</f>
        <v/>
      </c>
      <c r="E448" s="36" t="str">
        <f>IF(B448="","",BOM!G448&amp;"")</f>
        <v/>
      </c>
      <c r="F448" s="39" t="str">
        <f>IF(B448="","",BOM!E448)</f>
        <v/>
      </c>
      <c r="G448" s="39" t="str">
        <f>IF(OR(B448="",E448="KXDDM"),"",BOM!F448)</f>
        <v/>
      </c>
      <c r="H448" s="39" t="str">
        <f>IF(OR(B448="",E448&lt;&gt;""),"",IFERROR(INDEX(KT_nguoc_theo_NL!$J$5:$J$304,MATCH(C448,KT_nguoc_theo_NL!$B$5:$B$304,0))/INDEX(KT_nguoc_theo_NL!$K$5:$K$304,MATCH(C448,KT_nguoc_theo_NL!$B$5:$B$304,0)),""))</f>
        <v/>
      </c>
      <c r="I448" s="39" t="str">
        <f t="shared" si="31"/>
        <v/>
      </c>
      <c r="J448" s="46" t="str">
        <f t="shared" si="32"/>
        <v/>
      </c>
      <c r="K448" s="46" t="str">
        <f t="shared" si="33"/>
        <v/>
      </c>
      <c r="L448" s="46" t="str">
        <f t="shared" si="34"/>
        <v/>
      </c>
      <c r="M448" s="35" t="str">
        <f>IF(B448="","",IF(E448="KXDDM","KXDDM – không ĐM",IF(E448&lt;&gt;"","Không KT ("&amp;E448&amp;")",IF(OR(K448="",L448=""),"Xem xét",IF(MAX(ABS(K448),ABS(L448))&lt;=ThongTin!$C$12,"OK","Xem xét")))))</f>
        <v/>
      </c>
    </row>
    <row r="449" spans="1:13" x14ac:dyDescent="0.25">
      <c r="A449" s="35" t="str">
        <f t="shared" si="30"/>
        <v/>
      </c>
      <c r="B449" s="35" t="str">
        <f>IF(BOM!A449="","",BOM!A449)</f>
        <v/>
      </c>
      <c r="C449" s="35" t="str">
        <f>IF(B449="","",BOM!B449)</f>
        <v/>
      </c>
      <c r="D449" s="35" t="str">
        <f>IF(B449="","",KT_DMTT_ChiTiet!E449)</f>
        <v/>
      </c>
      <c r="E449" s="36" t="str">
        <f>IF(B449="","",BOM!G449&amp;"")</f>
        <v/>
      </c>
      <c r="F449" s="39" t="str">
        <f>IF(B449="","",BOM!E449)</f>
        <v/>
      </c>
      <c r="G449" s="39" t="str">
        <f>IF(OR(B449="",E449="KXDDM"),"",BOM!F449)</f>
        <v/>
      </c>
      <c r="H449" s="39" t="str">
        <f>IF(OR(B449="",E449&lt;&gt;""),"",IFERROR(INDEX(KT_nguoc_theo_NL!$J$5:$J$304,MATCH(C449,KT_nguoc_theo_NL!$B$5:$B$304,0))/INDEX(KT_nguoc_theo_NL!$K$5:$K$304,MATCH(C449,KT_nguoc_theo_NL!$B$5:$B$304,0)),""))</f>
        <v/>
      </c>
      <c r="I449" s="39" t="str">
        <f t="shared" si="31"/>
        <v/>
      </c>
      <c r="J449" s="46" t="str">
        <f t="shared" si="32"/>
        <v/>
      </c>
      <c r="K449" s="46" t="str">
        <f t="shared" si="33"/>
        <v/>
      </c>
      <c r="L449" s="46" t="str">
        <f t="shared" si="34"/>
        <v/>
      </c>
      <c r="M449" s="35" t="str">
        <f>IF(B449="","",IF(E449="KXDDM","KXDDM – không ĐM",IF(E449&lt;&gt;"","Không KT ("&amp;E449&amp;")",IF(OR(K449="",L449=""),"Xem xét",IF(MAX(ABS(K449),ABS(L449))&lt;=ThongTin!$C$12,"OK","Xem xét")))))</f>
        <v/>
      </c>
    </row>
    <row r="450" spans="1:13" x14ac:dyDescent="0.25">
      <c r="A450" s="35" t="str">
        <f t="shared" si="30"/>
        <v/>
      </c>
      <c r="B450" s="35" t="str">
        <f>IF(BOM!A450="","",BOM!A450)</f>
        <v/>
      </c>
      <c r="C450" s="35" t="str">
        <f>IF(B450="","",BOM!B450)</f>
        <v/>
      </c>
      <c r="D450" s="35" t="str">
        <f>IF(B450="","",KT_DMTT_ChiTiet!E450)</f>
        <v/>
      </c>
      <c r="E450" s="36" t="str">
        <f>IF(B450="","",BOM!G450&amp;"")</f>
        <v/>
      </c>
      <c r="F450" s="39" t="str">
        <f>IF(B450="","",BOM!E450)</f>
        <v/>
      </c>
      <c r="G450" s="39" t="str">
        <f>IF(OR(B450="",E450="KXDDM"),"",BOM!F450)</f>
        <v/>
      </c>
      <c r="H450" s="39" t="str">
        <f>IF(OR(B450="",E450&lt;&gt;""),"",IFERROR(INDEX(KT_nguoc_theo_NL!$J$5:$J$304,MATCH(C450,KT_nguoc_theo_NL!$B$5:$B$304,0))/INDEX(KT_nguoc_theo_NL!$K$5:$K$304,MATCH(C450,KT_nguoc_theo_NL!$B$5:$B$304,0)),""))</f>
        <v/>
      </c>
      <c r="I450" s="39" t="str">
        <f t="shared" si="31"/>
        <v/>
      </c>
      <c r="J450" s="46" t="str">
        <f t="shared" si="32"/>
        <v/>
      </c>
      <c r="K450" s="46" t="str">
        <f t="shared" si="33"/>
        <v/>
      </c>
      <c r="L450" s="46" t="str">
        <f t="shared" si="34"/>
        <v/>
      </c>
      <c r="M450" s="35" t="str">
        <f>IF(B450="","",IF(E450="KXDDM","KXDDM – không ĐM",IF(E450&lt;&gt;"","Không KT ("&amp;E450&amp;")",IF(OR(K450="",L450=""),"Xem xét",IF(MAX(ABS(K450),ABS(L450))&lt;=ThongTin!$C$12,"OK","Xem xét")))))</f>
        <v/>
      </c>
    </row>
    <row r="451" spans="1:13" x14ac:dyDescent="0.25">
      <c r="A451" s="35" t="str">
        <f t="shared" si="30"/>
        <v/>
      </c>
      <c r="B451" s="35" t="str">
        <f>IF(BOM!A451="","",BOM!A451)</f>
        <v/>
      </c>
      <c r="C451" s="35" t="str">
        <f>IF(B451="","",BOM!B451)</f>
        <v/>
      </c>
      <c r="D451" s="35" t="str">
        <f>IF(B451="","",KT_DMTT_ChiTiet!E451)</f>
        <v/>
      </c>
      <c r="E451" s="36" t="str">
        <f>IF(B451="","",BOM!G451&amp;"")</f>
        <v/>
      </c>
      <c r="F451" s="39" t="str">
        <f>IF(B451="","",BOM!E451)</f>
        <v/>
      </c>
      <c r="G451" s="39" t="str">
        <f>IF(OR(B451="",E451="KXDDM"),"",BOM!F451)</f>
        <v/>
      </c>
      <c r="H451" s="39" t="str">
        <f>IF(OR(B451="",E451&lt;&gt;""),"",IFERROR(INDEX(KT_nguoc_theo_NL!$J$5:$J$304,MATCH(C451,KT_nguoc_theo_NL!$B$5:$B$304,0))/INDEX(KT_nguoc_theo_NL!$K$5:$K$304,MATCH(C451,KT_nguoc_theo_NL!$B$5:$B$304,0)),""))</f>
        <v/>
      </c>
      <c r="I451" s="39" t="str">
        <f t="shared" si="31"/>
        <v/>
      </c>
      <c r="J451" s="46" t="str">
        <f t="shared" si="32"/>
        <v/>
      </c>
      <c r="K451" s="46" t="str">
        <f t="shared" si="33"/>
        <v/>
      </c>
      <c r="L451" s="46" t="str">
        <f t="shared" si="34"/>
        <v/>
      </c>
      <c r="M451" s="35" t="str">
        <f>IF(B451="","",IF(E451="KXDDM","KXDDM – không ĐM",IF(E451&lt;&gt;"","Không KT ("&amp;E451&amp;")",IF(OR(K451="",L451=""),"Xem xét",IF(MAX(ABS(K451),ABS(L451))&lt;=ThongTin!$C$12,"OK","Xem xét")))))</f>
        <v/>
      </c>
    </row>
    <row r="452" spans="1:13" x14ac:dyDescent="0.25">
      <c r="A452" s="35" t="str">
        <f t="shared" si="30"/>
        <v/>
      </c>
      <c r="B452" s="35" t="str">
        <f>IF(BOM!A452="","",BOM!A452)</f>
        <v/>
      </c>
      <c r="C452" s="35" t="str">
        <f>IF(B452="","",BOM!B452)</f>
        <v/>
      </c>
      <c r="D452" s="35" t="str">
        <f>IF(B452="","",KT_DMTT_ChiTiet!E452)</f>
        <v/>
      </c>
      <c r="E452" s="36" t="str">
        <f>IF(B452="","",BOM!G452&amp;"")</f>
        <v/>
      </c>
      <c r="F452" s="39" t="str">
        <f>IF(B452="","",BOM!E452)</f>
        <v/>
      </c>
      <c r="G452" s="39" t="str">
        <f>IF(OR(B452="",E452="KXDDM"),"",BOM!F452)</f>
        <v/>
      </c>
      <c r="H452" s="39" t="str">
        <f>IF(OR(B452="",E452&lt;&gt;""),"",IFERROR(INDEX(KT_nguoc_theo_NL!$J$5:$J$304,MATCH(C452,KT_nguoc_theo_NL!$B$5:$B$304,0))/INDEX(KT_nguoc_theo_NL!$K$5:$K$304,MATCH(C452,KT_nguoc_theo_NL!$B$5:$B$304,0)),""))</f>
        <v/>
      </c>
      <c r="I452" s="39" t="str">
        <f t="shared" si="31"/>
        <v/>
      </c>
      <c r="J452" s="46" t="str">
        <f t="shared" si="32"/>
        <v/>
      </c>
      <c r="K452" s="46" t="str">
        <f t="shared" si="33"/>
        <v/>
      </c>
      <c r="L452" s="46" t="str">
        <f t="shared" si="34"/>
        <v/>
      </c>
      <c r="M452" s="35" t="str">
        <f>IF(B452="","",IF(E452="KXDDM","KXDDM – không ĐM",IF(E452&lt;&gt;"","Không KT ("&amp;E452&amp;")",IF(OR(K452="",L452=""),"Xem xét",IF(MAX(ABS(K452),ABS(L452))&lt;=ThongTin!$C$12,"OK","Xem xét")))))</f>
        <v/>
      </c>
    </row>
    <row r="453" spans="1:13" x14ac:dyDescent="0.25">
      <c r="A453" s="35" t="str">
        <f t="shared" ref="A453:A516" si="35">IF(B453="","",ROW()-4)</f>
        <v/>
      </c>
      <c r="B453" s="35" t="str">
        <f>IF(BOM!A453="","",BOM!A453)</f>
        <v/>
      </c>
      <c r="C453" s="35" t="str">
        <f>IF(B453="","",BOM!B453)</f>
        <v/>
      </c>
      <c r="D453" s="35" t="str">
        <f>IF(B453="","",KT_DMTT_ChiTiet!E453)</f>
        <v/>
      </c>
      <c r="E453" s="36" t="str">
        <f>IF(B453="","",BOM!G453&amp;"")</f>
        <v/>
      </c>
      <c r="F453" s="39" t="str">
        <f>IF(B453="","",BOM!E453)</f>
        <v/>
      </c>
      <c r="G453" s="39" t="str">
        <f>IF(OR(B453="",E453="KXDDM"),"",BOM!F453)</f>
        <v/>
      </c>
      <c r="H453" s="39" t="str">
        <f>IF(OR(B453="",E453&lt;&gt;""),"",IFERROR(INDEX(KT_nguoc_theo_NL!$J$5:$J$304,MATCH(C453,KT_nguoc_theo_NL!$B$5:$B$304,0))/INDEX(KT_nguoc_theo_NL!$K$5:$K$304,MATCH(C453,KT_nguoc_theo_NL!$B$5:$B$304,0)),""))</f>
        <v/>
      </c>
      <c r="I453" s="39" t="str">
        <f t="shared" ref="I453:I516" si="36">IF(OR(H453="",G453=""),"",G453*H453)</f>
        <v/>
      </c>
      <c r="J453" s="46" t="str">
        <f t="shared" ref="J453:J516" si="37">IF(OR(I453="",I453=0),"",(G453-I453)/I453)</f>
        <v/>
      </c>
      <c r="K453" s="46" t="str">
        <f t="shared" ref="K453:K516" si="38">IF(OR(G453="",F453="",F453=0),"",(G453-F453)/F453)</f>
        <v/>
      </c>
      <c r="L453" s="46" t="str">
        <f t="shared" ref="L453:L516" si="39">IF(OR(I453="",F453="",F453=0),"",(I453-F453)/F453)</f>
        <v/>
      </c>
      <c r="M453" s="35" t="str">
        <f>IF(B453="","",IF(E453="KXDDM","KXDDM – không ĐM",IF(E453&lt;&gt;"","Không KT ("&amp;E453&amp;")",IF(OR(K453="",L453=""),"Xem xét",IF(MAX(ABS(K453),ABS(L453))&lt;=ThongTin!$C$12,"OK","Xem xét")))))</f>
        <v/>
      </c>
    </row>
    <row r="454" spans="1:13" x14ac:dyDescent="0.25">
      <c r="A454" s="35" t="str">
        <f t="shared" si="35"/>
        <v/>
      </c>
      <c r="B454" s="35" t="str">
        <f>IF(BOM!A454="","",BOM!A454)</f>
        <v/>
      </c>
      <c r="C454" s="35" t="str">
        <f>IF(B454="","",BOM!B454)</f>
        <v/>
      </c>
      <c r="D454" s="35" t="str">
        <f>IF(B454="","",KT_DMTT_ChiTiet!E454)</f>
        <v/>
      </c>
      <c r="E454" s="36" t="str">
        <f>IF(B454="","",BOM!G454&amp;"")</f>
        <v/>
      </c>
      <c r="F454" s="39" t="str">
        <f>IF(B454="","",BOM!E454)</f>
        <v/>
      </c>
      <c r="G454" s="39" t="str">
        <f>IF(OR(B454="",E454="KXDDM"),"",BOM!F454)</f>
        <v/>
      </c>
      <c r="H454" s="39" t="str">
        <f>IF(OR(B454="",E454&lt;&gt;""),"",IFERROR(INDEX(KT_nguoc_theo_NL!$J$5:$J$304,MATCH(C454,KT_nguoc_theo_NL!$B$5:$B$304,0))/INDEX(KT_nguoc_theo_NL!$K$5:$K$304,MATCH(C454,KT_nguoc_theo_NL!$B$5:$B$304,0)),""))</f>
        <v/>
      </c>
      <c r="I454" s="39" t="str">
        <f t="shared" si="36"/>
        <v/>
      </c>
      <c r="J454" s="46" t="str">
        <f t="shared" si="37"/>
        <v/>
      </c>
      <c r="K454" s="46" t="str">
        <f t="shared" si="38"/>
        <v/>
      </c>
      <c r="L454" s="46" t="str">
        <f t="shared" si="39"/>
        <v/>
      </c>
      <c r="M454" s="35" t="str">
        <f>IF(B454="","",IF(E454="KXDDM","KXDDM – không ĐM",IF(E454&lt;&gt;"","Không KT ("&amp;E454&amp;")",IF(OR(K454="",L454=""),"Xem xét",IF(MAX(ABS(K454),ABS(L454))&lt;=ThongTin!$C$12,"OK","Xem xét")))))</f>
        <v/>
      </c>
    </row>
    <row r="455" spans="1:13" x14ac:dyDescent="0.25">
      <c r="A455" s="35" t="str">
        <f t="shared" si="35"/>
        <v/>
      </c>
      <c r="B455" s="35" t="str">
        <f>IF(BOM!A455="","",BOM!A455)</f>
        <v/>
      </c>
      <c r="C455" s="35" t="str">
        <f>IF(B455="","",BOM!B455)</f>
        <v/>
      </c>
      <c r="D455" s="35" t="str">
        <f>IF(B455="","",KT_DMTT_ChiTiet!E455)</f>
        <v/>
      </c>
      <c r="E455" s="36" t="str">
        <f>IF(B455="","",BOM!G455&amp;"")</f>
        <v/>
      </c>
      <c r="F455" s="39" t="str">
        <f>IF(B455="","",BOM!E455)</f>
        <v/>
      </c>
      <c r="G455" s="39" t="str">
        <f>IF(OR(B455="",E455="KXDDM"),"",BOM!F455)</f>
        <v/>
      </c>
      <c r="H455" s="39" t="str">
        <f>IF(OR(B455="",E455&lt;&gt;""),"",IFERROR(INDEX(KT_nguoc_theo_NL!$J$5:$J$304,MATCH(C455,KT_nguoc_theo_NL!$B$5:$B$304,0))/INDEX(KT_nguoc_theo_NL!$K$5:$K$304,MATCH(C455,KT_nguoc_theo_NL!$B$5:$B$304,0)),""))</f>
        <v/>
      </c>
      <c r="I455" s="39" t="str">
        <f t="shared" si="36"/>
        <v/>
      </c>
      <c r="J455" s="46" t="str">
        <f t="shared" si="37"/>
        <v/>
      </c>
      <c r="K455" s="46" t="str">
        <f t="shared" si="38"/>
        <v/>
      </c>
      <c r="L455" s="46" t="str">
        <f t="shared" si="39"/>
        <v/>
      </c>
      <c r="M455" s="35" t="str">
        <f>IF(B455="","",IF(E455="KXDDM","KXDDM – không ĐM",IF(E455&lt;&gt;"","Không KT ("&amp;E455&amp;")",IF(OR(K455="",L455=""),"Xem xét",IF(MAX(ABS(K455),ABS(L455))&lt;=ThongTin!$C$12,"OK","Xem xét")))))</f>
        <v/>
      </c>
    </row>
    <row r="456" spans="1:13" x14ac:dyDescent="0.25">
      <c r="A456" s="35" t="str">
        <f t="shared" si="35"/>
        <v/>
      </c>
      <c r="B456" s="35" t="str">
        <f>IF(BOM!A456="","",BOM!A456)</f>
        <v/>
      </c>
      <c r="C456" s="35" t="str">
        <f>IF(B456="","",BOM!B456)</f>
        <v/>
      </c>
      <c r="D456" s="35" t="str">
        <f>IF(B456="","",KT_DMTT_ChiTiet!E456)</f>
        <v/>
      </c>
      <c r="E456" s="36" t="str">
        <f>IF(B456="","",BOM!G456&amp;"")</f>
        <v/>
      </c>
      <c r="F456" s="39" t="str">
        <f>IF(B456="","",BOM!E456)</f>
        <v/>
      </c>
      <c r="G456" s="39" t="str">
        <f>IF(OR(B456="",E456="KXDDM"),"",BOM!F456)</f>
        <v/>
      </c>
      <c r="H456" s="39" t="str">
        <f>IF(OR(B456="",E456&lt;&gt;""),"",IFERROR(INDEX(KT_nguoc_theo_NL!$J$5:$J$304,MATCH(C456,KT_nguoc_theo_NL!$B$5:$B$304,0))/INDEX(KT_nguoc_theo_NL!$K$5:$K$304,MATCH(C456,KT_nguoc_theo_NL!$B$5:$B$304,0)),""))</f>
        <v/>
      </c>
      <c r="I456" s="39" t="str">
        <f t="shared" si="36"/>
        <v/>
      </c>
      <c r="J456" s="46" t="str">
        <f t="shared" si="37"/>
        <v/>
      </c>
      <c r="K456" s="46" t="str">
        <f t="shared" si="38"/>
        <v/>
      </c>
      <c r="L456" s="46" t="str">
        <f t="shared" si="39"/>
        <v/>
      </c>
      <c r="M456" s="35" t="str">
        <f>IF(B456="","",IF(E456="KXDDM","KXDDM – không ĐM",IF(E456&lt;&gt;"","Không KT ("&amp;E456&amp;")",IF(OR(K456="",L456=""),"Xem xét",IF(MAX(ABS(K456),ABS(L456))&lt;=ThongTin!$C$12,"OK","Xem xét")))))</f>
        <v/>
      </c>
    </row>
    <row r="457" spans="1:13" x14ac:dyDescent="0.25">
      <c r="A457" s="35" t="str">
        <f t="shared" si="35"/>
        <v/>
      </c>
      <c r="B457" s="35" t="str">
        <f>IF(BOM!A457="","",BOM!A457)</f>
        <v/>
      </c>
      <c r="C457" s="35" t="str">
        <f>IF(B457="","",BOM!B457)</f>
        <v/>
      </c>
      <c r="D457" s="35" t="str">
        <f>IF(B457="","",KT_DMTT_ChiTiet!E457)</f>
        <v/>
      </c>
      <c r="E457" s="36" t="str">
        <f>IF(B457="","",BOM!G457&amp;"")</f>
        <v/>
      </c>
      <c r="F457" s="39" t="str">
        <f>IF(B457="","",BOM!E457)</f>
        <v/>
      </c>
      <c r="G457" s="39" t="str">
        <f>IF(OR(B457="",E457="KXDDM"),"",BOM!F457)</f>
        <v/>
      </c>
      <c r="H457" s="39" t="str">
        <f>IF(OR(B457="",E457&lt;&gt;""),"",IFERROR(INDEX(KT_nguoc_theo_NL!$J$5:$J$304,MATCH(C457,KT_nguoc_theo_NL!$B$5:$B$304,0))/INDEX(KT_nguoc_theo_NL!$K$5:$K$304,MATCH(C457,KT_nguoc_theo_NL!$B$5:$B$304,0)),""))</f>
        <v/>
      </c>
      <c r="I457" s="39" t="str">
        <f t="shared" si="36"/>
        <v/>
      </c>
      <c r="J457" s="46" t="str">
        <f t="shared" si="37"/>
        <v/>
      </c>
      <c r="K457" s="46" t="str">
        <f t="shared" si="38"/>
        <v/>
      </c>
      <c r="L457" s="46" t="str">
        <f t="shared" si="39"/>
        <v/>
      </c>
      <c r="M457" s="35" t="str">
        <f>IF(B457="","",IF(E457="KXDDM","KXDDM – không ĐM",IF(E457&lt;&gt;"","Không KT ("&amp;E457&amp;")",IF(OR(K457="",L457=""),"Xem xét",IF(MAX(ABS(K457),ABS(L457))&lt;=ThongTin!$C$12,"OK","Xem xét")))))</f>
        <v/>
      </c>
    </row>
    <row r="458" spans="1:13" x14ac:dyDescent="0.25">
      <c r="A458" s="35" t="str">
        <f t="shared" si="35"/>
        <v/>
      </c>
      <c r="B458" s="35" t="str">
        <f>IF(BOM!A458="","",BOM!A458)</f>
        <v/>
      </c>
      <c r="C458" s="35" t="str">
        <f>IF(B458="","",BOM!B458)</f>
        <v/>
      </c>
      <c r="D458" s="35" t="str">
        <f>IF(B458="","",KT_DMTT_ChiTiet!E458)</f>
        <v/>
      </c>
      <c r="E458" s="36" t="str">
        <f>IF(B458="","",BOM!G458&amp;"")</f>
        <v/>
      </c>
      <c r="F458" s="39" t="str">
        <f>IF(B458="","",BOM!E458)</f>
        <v/>
      </c>
      <c r="G458" s="39" t="str">
        <f>IF(OR(B458="",E458="KXDDM"),"",BOM!F458)</f>
        <v/>
      </c>
      <c r="H458" s="39" t="str">
        <f>IF(OR(B458="",E458&lt;&gt;""),"",IFERROR(INDEX(KT_nguoc_theo_NL!$J$5:$J$304,MATCH(C458,KT_nguoc_theo_NL!$B$5:$B$304,0))/INDEX(KT_nguoc_theo_NL!$K$5:$K$304,MATCH(C458,KT_nguoc_theo_NL!$B$5:$B$304,0)),""))</f>
        <v/>
      </c>
      <c r="I458" s="39" t="str">
        <f t="shared" si="36"/>
        <v/>
      </c>
      <c r="J458" s="46" t="str">
        <f t="shared" si="37"/>
        <v/>
      </c>
      <c r="K458" s="46" t="str">
        <f t="shared" si="38"/>
        <v/>
      </c>
      <c r="L458" s="46" t="str">
        <f t="shared" si="39"/>
        <v/>
      </c>
      <c r="M458" s="35" t="str">
        <f>IF(B458="","",IF(E458="KXDDM","KXDDM – không ĐM",IF(E458&lt;&gt;"","Không KT ("&amp;E458&amp;")",IF(OR(K458="",L458=""),"Xem xét",IF(MAX(ABS(K458),ABS(L458))&lt;=ThongTin!$C$12,"OK","Xem xét")))))</f>
        <v/>
      </c>
    </row>
    <row r="459" spans="1:13" x14ac:dyDescent="0.25">
      <c r="A459" s="35" t="str">
        <f t="shared" si="35"/>
        <v/>
      </c>
      <c r="B459" s="35" t="str">
        <f>IF(BOM!A459="","",BOM!A459)</f>
        <v/>
      </c>
      <c r="C459" s="35" t="str">
        <f>IF(B459="","",BOM!B459)</f>
        <v/>
      </c>
      <c r="D459" s="35" t="str">
        <f>IF(B459="","",KT_DMTT_ChiTiet!E459)</f>
        <v/>
      </c>
      <c r="E459" s="36" t="str">
        <f>IF(B459="","",BOM!G459&amp;"")</f>
        <v/>
      </c>
      <c r="F459" s="39" t="str">
        <f>IF(B459="","",BOM!E459)</f>
        <v/>
      </c>
      <c r="G459" s="39" t="str">
        <f>IF(OR(B459="",E459="KXDDM"),"",BOM!F459)</f>
        <v/>
      </c>
      <c r="H459" s="39" t="str">
        <f>IF(OR(B459="",E459&lt;&gt;""),"",IFERROR(INDEX(KT_nguoc_theo_NL!$J$5:$J$304,MATCH(C459,KT_nguoc_theo_NL!$B$5:$B$304,0))/INDEX(KT_nguoc_theo_NL!$K$5:$K$304,MATCH(C459,KT_nguoc_theo_NL!$B$5:$B$304,0)),""))</f>
        <v/>
      </c>
      <c r="I459" s="39" t="str">
        <f t="shared" si="36"/>
        <v/>
      </c>
      <c r="J459" s="46" t="str">
        <f t="shared" si="37"/>
        <v/>
      </c>
      <c r="K459" s="46" t="str">
        <f t="shared" si="38"/>
        <v/>
      </c>
      <c r="L459" s="46" t="str">
        <f t="shared" si="39"/>
        <v/>
      </c>
      <c r="M459" s="35" t="str">
        <f>IF(B459="","",IF(E459="KXDDM","KXDDM – không ĐM",IF(E459&lt;&gt;"","Không KT ("&amp;E459&amp;")",IF(OR(K459="",L459=""),"Xem xét",IF(MAX(ABS(K459),ABS(L459))&lt;=ThongTin!$C$12,"OK","Xem xét")))))</f>
        <v/>
      </c>
    </row>
    <row r="460" spans="1:13" x14ac:dyDescent="0.25">
      <c r="A460" s="35" t="str">
        <f t="shared" si="35"/>
        <v/>
      </c>
      <c r="B460" s="35" t="str">
        <f>IF(BOM!A460="","",BOM!A460)</f>
        <v/>
      </c>
      <c r="C460" s="35" t="str">
        <f>IF(B460="","",BOM!B460)</f>
        <v/>
      </c>
      <c r="D460" s="35" t="str">
        <f>IF(B460="","",KT_DMTT_ChiTiet!E460)</f>
        <v/>
      </c>
      <c r="E460" s="36" t="str">
        <f>IF(B460="","",BOM!G460&amp;"")</f>
        <v/>
      </c>
      <c r="F460" s="39" t="str">
        <f>IF(B460="","",BOM!E460)</f>
        <v/>
      </c>
      <c r="G460" s="39" t="str">
        <f>IF(OR(B460="",E460="KXDDM"),"",BOM!F460)</f>
        <v/>
      </c>
      <c r="H460" s="39" t="str">
        <f>IF(OR(B460="",E460&lt;&gt;""),"",IFERROR(INDEX(KT_nguoc_theo_NL!$J$5:$J$304,MATCH(C460,KT_nguoc_theo_NL!$B$5:$B$304,0))/INDEX(KT_nguoc_theo_NL!$K$5:$K$304,MATCH(C460,KT_nguoc_theo_NL!$B$5:$B$304,0)),""))</f>
        <v/>
      </c>
      <c r="I460" s="39" t="str">
        <f t="shared" si="36"/>
        <v/>
      </c>
      <c r="J460" s="46" t="str">
        <f t="shared" si="37"/>
        <v/>
      </c>
      <c r="K460" s="46" t="str">
        <f t="shared" si="38"/>
        <v/>
      </c>
      <c r="L460" s="46" t="str">
        <f t="shared" si="39"/>
        <v/>
      </c>
      <c r="M460" s="35" t="str">
        <f>IF(B460="","",IF(E460="KXDDM","KXDDM – không ĐM",IF(E460&lt;&gt;"","Không KT ("&amp;E460&amp;")",IF(OR(K460="",L460=""),"Xem xét",IF(MAX(ABS(K460),ABS(L460))&lt;=ThongTin!$C$12,"OK","Xem xét")))))</f>
        <v/>
      </c>
    </row>
    <row r="461" spans="1:13" x14ac:dyDescent="0.25">
      <c r="A461" s="35" t="str">
        <f t="shared" si="35"/>
        <v/>
      </c>
      <c r="B461" s="35" t="str">
        <f>IF(BOM!A461="","",BOM!A461)</f>
        <v/>
      </c>
      <c r="C461" s="35" t="str">
        <f>IF(B461="","",BOM!B461)</f>
        <v/>
      </c>
      <c r="D461" s="35" t="str">
        <f>IF(B461="","",KT_DMTT_ChiTiet!E461)</f>
        <v/>
      </c>
      <c r="E461" s="36" t="str">
        <f>IF(B461="","",BOM!G461&amp;"")</f>
        <v/>
      </c>
      <c r="F461" s="39" t="str">
        <f>IF(B461="","",BOM!E461)</f>
        <v/>
      </c>
      <c r="G461" s="39" t="str">
        <f>IF(OR(B461="",E461="KXDDM"),"",BOM!F461)</f>
        <v/>
      </c>
      <c r="H461" s="39" t="str">
        <f>IF(OR(B461="",E461&lt;&gt;""),"",IFERROR(INDEX(KT_nguoc_theo_NL!$J$5:$J$304,MATCH(C461,KT_nguoc_theo_NL!$B$5:$B$304,0))/INDEX(KT_nguoc_theo_NL!$K$5:$K$304,MATCH(C461,KT_nguoc_theo_NL!$B$5:$B$304,0)),""))</f>
        <v/>
      </c>
      <c r="I461" s="39" t="str">
        <f t="shared" si="36"/>
        <v/>
      </c>
      <c r="J461" s="46" t="str">
        <f t="shared" si="37"/>
        <v/>
      </c>
      <c r="K461" s="46" t="str">
        <f t="shared" si="38"/>
        <v/>
      </c>
      <c r="L461" s="46" t="str">
        <f t="shared" si="39"/>
        <v/>
      </c>
      <c r="M461" s="35" t="str">
        <f>IF(B461="","",IF(E461="KXDDM","KXDDM – không ĐM",IF(E461&lt;&gt;"","Không KT ("&amp;E461&amp;")",IF(OR(K461="",L461=""),"Xem xét",IF(MAX(ABS(K461),ABS(L461))&lt;=ThongTin!$C$12,"OK","Xem xét")))))</f>
        <v/>
      </c>
    </row>
    <row r="462" spans="1:13" x14ac:dyDescent="0.25">
      <c r="A462" s="35" t="str">
        <f t="shared" si="35"/>
        <v/>
      </c>
      <c r="B462" s="35" t="str">
        <f>IF(BOM!A462="","",BOM!A462)</f>
        <v/>
      </c>
      <c r="C462" s="35" t="str">
        <f>IF(B462="","",BOM!B462)</f>
        <v/>
      </c>
      <c r="D462" s="35" t="str">
        <f>IF(B462="","",KT_DMTT_ChiTiet!E462)</f>
        <v/>
      </c>
      <c r="E462" s="36" t="str">
        <f>IF(B462="","",BOM!G462&amp;"")</f>
        <v/>
      </c>
      <c r="F462" s="39" t="str">
        <f>IF(B462="","",BOM!E462)</f>
        <v/>
      </c>
      <c r="G462" s="39" t="str">
        <f>IF(OR(B462="",E462="KXDDM"),"",BOM!F462)</f>
        <v/>
      </c>
      <c r="H462" s="39" t="str">
        <f>IF(OR(B462="",E462&lt;&gt;""),"",IFERROR(INDEX(KT_nguoc_theo_NL!$J$5:$J$304,MATCH(C462,KT_nguoc_theo_NL!$B$5:$B$304,0))/INDEX(KT_nguoc_theo_NL!$K$5:$K$304,MATCH(C462,KT_nguoc_theo_NL!$B$5:$B$304,0)),""))</f>
        <v/>
      </c>
      <c r="I462" s="39" t="str">
        <f t="shared" si="36"/>
        <v/>
      </c>
      <c r="J462" s="46" t="str">
        <f t="shared" si="37"/>
        <v/>
      </c>
      <c r="K462" s="46" t="str">
        <f t="shared" si="38"/>
        <v/>
      </c>
      <c r="L462" s="46" t="str">
        <f t="shared" si="39"/>
        <v/>
      </c>
      <c r="M462" s="35" t="str">
        <f>IF(B462="","",IF(E462="KXDDM","KXDDM – không ĐM",IF(E462&lt;&gt;"","Không KT ("&amp;E462&amp;")",IF(OR(K462="",L462=""),"Xem xét",IF(MAX(ABS(K462),ABS(L462))&lt;=ThongTin!$C$12,"OK","Xem xét")))))</f>
        <v/>
      </c>
    </row>
    <row r="463" spans="1:13" x14ac:dyDescent="0.25">
      <c r="A463" s="35" t="str">
        <f t="shared" si="35"/>
        <v/>
      </c>
      <c r="B463" s="35" t="str">
        <f>IF(BOM!A463="","",BOM!A463)</f>
        <v/>
      </c>
      <c r="C463" s="35" t="str">
        <f>IF(B463="","",BOM!B463)</f>
        <v/>
      </c>
      <c r="D463" s="35" t="str">
        <f>IF(B463="","",KT_DMTT_ChiTiet!E463)</f>
        <v/>
      </c>
      <c r="E463" s="36" t="str">
        <f>IF(B463="","",BOM!G463&amp;"")</f>
        <v/>
      </c>
      <c r="F463" s="39" t="str">
        <f>IF(B463="","",BOM!E463)</f>
        <v/>
      </c>
      <c r="G463" s="39" t="str">
        <f>IF(OR(B463="",E463="KXDDM"),"",BOM!F463)</f>
        <v/>
      </c>
      <c r="H463" s="39" t="str">
        <f>IF(OR(B463="",E463&lt;&gt;""),"",IFERROR(INDEX(KT_nguoc_theo_NL!$J$5:$J$304,MATCH(C463,KT_nguoc_theo_NL!$B$5:$B$304,0))/INDEX(KT_nguoc_theo_NL!$K$5:$K$304,MATCH(C463,KT_nguoc_theo_NL!$B$5:$B$304,0)),""))</f>
        <v/>
      </c>
      <c r="I463" s="39" t="str">
        <f t="shared" si="36"/>
        <v/>
      </c>
      <c r="J463" s="46" t="str">
        <f t="shared" si="37"/>
        <v/>
      </c>
      <c r="K463" s="46" t="str">
        <f t="shared" si="38"/>
        <v/>
      </c>
      <c r="L463" s="46" t="str">
        <f t="shared" si="39"/>
        <v/>
      </c>
      <c r="M463" s="35" t="str">
        <f>IF(B463="","",IF(E463="KXDDM","KXDDM – không ĐM",IF(E463&lt;&gt;"","Không KT ("&amp;E463&amp;")",IF(OR(K463="",L463=""),"Xem xét",IF(MAX(ABS(K463),ABS(L463))&lt;=ThongTin!$C$12,"OK","Xem xét")))))</f>
        <v/>
      </c>
    </row>
    <row r="464" spans="1:13" x14ac:dyDescent="0.25">
      <c r="A464" s="35" t="str">
        <f t="shared" si="35"/>
        <v/>
      </c>
      <c r="B464" s="35" t="str">
        <f>IF(BOM!A464="","",BOM!A464)</f>
        <v/>
      </c>
      <c r="C464" s="35" t="str">
        <f>IF(B464="","",BOM!B464)</f>
        <v/>
      </c>
      <c r="D464" s="35" t="str">
        <f>IF(B464="","",KT_DMTT_ChiTiet!E464)</f>
        <v/>
      </c>
      <c r="E464" s="36" t="str">
        <f>IF(B464="","",BOM!G464&amp;"")</f>
        <v/>
      </c>
      <c r="F464" s="39" t="str">
        <f>IF(B464="","",BOM!E464)</f>
        <v/>
      </c>
      <c r="G464" s="39" t="str">
        <f>IF(OR(B464="",E464="KXDDM"),"",BOM!F464)</f>
        <v/>
      </c>
      <c r="H464" s="39" t="str">
        <f>IF(OR(B464="",E464&lt;&gt;""),"",IFERROR(INDEX(KT_nguoc_theo_NL!$J$5:$J$304,MATCH(C464,KT_nguoc_theo_NL!$B$5:$B$304,0))/INDEX(KT_nguoc_theo_NL!$K$5:$K$304,MATCH(C464,KT_nguoc_theo_NL!$B$5:$B$304,0)),""))</f>
        <v/>
      </c>
      <c r="I464" s="39" t="str">
        <f t="shared" si="36"/>
        <v/>
      </c>
      <c r="J464" s="46" t="str">
        <f t="shared" si="37"/>
        <v/>
      </c>
      <c r="K464" s="46" t="str">
        <f t="shared" si="38"/>
        <v/>
      </c>
      <c r="L464" s="46" t="str">
        <f t="shared" si="39"/>
        <v/>
      </c>
      <c r="M464" s="35" t="str">
        <f>IF(B464="","",IF(E464="KXDDM","KXDDM – không ĐM",IF(E464&lt;&gt;"","Không KT ("&amp;E464&amp;")",IF(OR(K464="",L464=""),"Xem xét",IF(MAX(ABS(K464),ABS(L464))&lt;=ThongTin!$C$12,"OK","Xem xét")))))</f>
        <v/>
      </c>
    </row>
    <row r="465" spans="1:13" x14ac:dyDescent="0.25">
      <c r="A465" s="35" t="str">
        <f t="shared" si="35"/>
        <v/>
      </c>
      <c r="B465" s="35" t="str">
        <f>IF(BOM!A465="","",BOM!A465)</f>
        <v/>
      </c>
      <c r="C465" s="35" t="str">
        <f>IF(B465="","",BOM!B465)</f>
        <v/>
      </c>
      <c r="D465" s="35" t="str">
        <f>IF(B465="","",KT_DMTT_ChiTiet!E465)</f>
        <v/>
      </c>
      <c r="E465" s="36" t="str">
        <f>IF(B465="","",BOM!G465&amp;"")</f>
        <v/>
      </c>
      <c r="F465" s="39" t="str">
        <f>IF(B465="","",BOM!E465)</f>
        <v/>
      </c>
      <c r="G465" s="39" t="str">
        <f>IF(OR(B465="",E465="KXDDM"),"",BOM!F465)</f>
        <v/>
      </c>
      <c r="H465" s="39" t="str">
        <f>IF(OR(B465="",E465&lt;&gt;""),"",IFERROR(INDEX(KT_nguoc_theo_NL!$J$5:$J$304,MATCH(C465,KT_nguoc_theo_NL!$B$5:$B$304,0))/INDEX(KT_nguoc_theo_NL!$K$5:$K$304,MATCH(C465,KT_nguoc_theo_NL!$B$5:$B$304,0)),""))</f>
        <v/>
      </c>
      <c r="I465" s="39" t="str">
        <f t="shared" si="36"/>
        <v/>
      </c>
      <c r="J465" s="46" t="str">
        <f t="shared" si="37"/>
        <v/>
      </c>
      <c r="K465" s="46" t="str">
        <f t="shared" si="38"/>
        <v/>
      </c>
      <c r="L465" s="46" t="str">
        <f t="shared" si="39"/>
        <v/>
      </c>
      <c r="M465" s="35" t="str">
        <f>IF(B465="","",IF(E465="KXDDM","KXDDM – không ĐM",IF(E465&lt;&gt;"","Không KT ("&amp;E465&amp;")",IF(OR(K465="",L465=""),"Xem xét",IF(MAX(ABS(K465),ABS(L465))&lt;=ThongTin!$C$12,"OK","Xem xét")))))</f>
        <v/>
      </c>
    </row>
    <row r="466" spans="1:13" x14ac:dyDescent="0.25">
      <c r="A466" s="35" t="str">
        <f t="shared" si="35"/>
        <v/>
      </c>
      <c r="B466" s="35" t="str">
        <f>IF(BOM!A466="","",BOM!A466)</f>
        <v/>
      </c>
      <c r="C466" s="35" t="str">
        <f>IF(B466="","",BOM!B466)</f>
        <v/>
      </c>
      <c r="D466" s="35" t="str">
        <f>IF(B466="","",KT_DMTT_ChiTiet!E466)</f>
        <v/>
      </c>
      <c r="E466" s="36" t="str">
        <f>IF(B466="","",BOM!G466&amp;"")</f>
        <v/>
      </c>
      <c r="F466" s="39" t="str">
        <f>IF(B466="","",BOM!E466)</f>
        <v/>
      </c>
      <c r="G466" s="39" t="str">
        <f>IF(OR(B466="",E466="KXDDM"),"",BOM!F466)</f>
        <v/>
      </c>
      <c r="H466" s="39" t="str">
        <f>IF(OR(B466="",E466&lt;&gt;""),"",IFERROR(INDEX(KT_nguoc_theo_NL!$J$5:$J$304,MATCH(C466,KT_nguoc_theo_NL!$B$5:$B$304,0))/INDEX(KT_nguoc_theo_NL!$K$5:$K$304,MATCH(C466,KT_nguoc_theo_NL!$B$5:$B$304,0)),""))</f>
        <v/>
      </c>
      <c r="I466" s="39" t="str">
        <f t="shared" si="36"/>
        <v/>
      </c>
      <c r="J466" s="46" t="str">
        <f t="shared" si="37"/>
        <v/>
      </c>
      <c r="K466" s="46" t="str">
        <f t="shared" si="38"/>
        <v/>
      </c>
      <c r="L466" s="46" t="str">
        <f t="shared" si="39"/>
        <v/>
      </c>
      <c r="M466" s="35" t="str">
        <f>IF(B466="","",IF(E466="KXDDM","KXDDM – không ĐM",IF(E466&lt;&gt;"","Không KT ("&amp;E466&amp;")",IF(OR(K466="",L466=""),"Xem xét",IF(MAX(ABS(K466),ABS(L466))&lt;=ThongTin!$C$12,"OK","Xem xét")))))</f>
        <v/>
      </c>
    </row>
    <row r="467" spans="1:13" x14ac:dyDescent="0.25">
      <c r="A467" s="35" t="str">
        <f t="shared" si="35"/>
        <v/>
      </c>
      <c r="B467" s="35" t="str">
        <f>IF(BOM!A467="","",BOM!A467)</f>
        <v/>
      </c>
      <c r="C467" s="35" t="str">
        <f>IF(B467="","",BOM!B467)</f>
        <v/>
      </c>
      <c r="D467" s="35" t="str">
        <f>IF(B467="","",KT_DMTT_ChiTiet!E467)</f>
        <v/>
      </c>
      <c r="E467" s="36" t="str">
        <f>IF(B467="","",BOM!G467&amp;"")</f>
        <v/>
      </c>
      <c r="F467" s="39" t="str">
        <f>IF(B467="","",BOM!E467)</f>
        <v/>
      </c>
      <c r="G467" s="39" t="str">
        <f>IF(OR(B467="",E467="KXDDM"),"",BOM!F467)</f>
        <v/>
      </c>
      <c r="H467" s="39" t="str">
        <f>IF(OR(B467="",E467&lt;&gt;""),"",IFERROR(INDEX(KT_nguoc_theo_NL!$J$5:$J$304,MATCH(C467,KT_nguoc_theo_NL!$B$5:$B$304,0))/INDEX(KT_nguoc_theo_NL!$K$5:$K$304,MATCH(C467,KT_nguoc_theo_NL!$B$5:$B$304,0)),""))</f>
        <v/>
      </c>
      <c r="I467" s="39" t="str">
        <f t="shared" si="36"/>
        <v/>
      </c>
      <c r="J467" s="46" t="str">
        <f t="shared" si="37"/>
        <v/>
      </c>
      <c r="K467" s="46" t="str">
        <f t="shared" si="38"/>
        <v/>
      </c>
      <c r="L467" s="46" t="str">
        <f t="shared" si="39"/>
        <v/>
      </c>
      <c r="M467" s="35" t="str">
        <f>IF(B467="","",IF(E467="KXDDM","KXDDM – không ĐM",IF(E467&lt;&gt;"","Không KT ("&amp;E467&amp;")",IF(OR(K467="",L467=""),"Xem xét",IF(MAX(ABS(K467),ABS(L467))&lt;=ThongTin!$C$12,"OK","Xem xét")))))</f>
        <v/>
      </c>
    </row>
    <row r="468" spans="1:13" x14ac:dyDescent="0.25">
      <c r="A468" s="35" t="str">
        <f t="shared" si="35"/>
        <v/>
      </c>
      <c r="B468" s="35" t="str">
        <f>IF(BOM!A468="","",BOM!A468)</f>
        <v/>
      </c>
      <c r="C468" s="35" t="str">
        <f>IF(B468="","",BOM!B468)</f>
        <v/>
      </c>
      <c r="D468" s="35" t="str">
        <f>IF(B468="","",KT_DMTT_ChiTiet!E468)</f>
        <v/>
      </c>
      <c r="E468" s="36" t="str">
        <f>IF(B468="","",BOM!G468&amp;"")</f>
        <v/>
      </c>
      <c r="F468" s="39" t="str">
        <f>IF(B468="","",BOM!E468)</f>
        <v/>
      </c>
      <c r="G468" s="39" t="str">
        <f>IF(OR(B468="",E468="KXDDM"),"",BOM!F468)</f>
        <v/>
      </c>
      <c r="H468" s="39" t="str">
        <f>IF(OR(B468="",E468&lt;&gt;""),"",IFERROR(INDEX(KT_nguoc_theo_NL!$J$5:$J$304,MATCH(C468,KT_nguoc_theo_NL!$B$5:$B$304,0))/INDEX(KT_nguoc_theo_NL!$K$5:$K$304,MATCH(C468,KT_nguoc_theo_NL!$B$5:$B$304,0)),""))</f>
        <v/>
      </c>
      <c r="I468" s="39" t="str">
        <f t="shared" si="36"/>
        <v/>
      </c>
      <c r="J468" s="46" t="str">
        <f t="shared" si="37"/>
        <v/>
      </c>
      <c r="K468" s="46" t="str">
        <f t="shared" si="38"/>
        <v/>
      </c>
      <c r="L468" s="46" t="str">
        <f t="shared" si="39"/>
        <v/>
      </c>
      <c r="M468" s="35" t="str">
        <f>IF(B468="","",IF(E468="KXDDM","KXDDM – không ĐM",IF(E468&lt;&gt;"","Không KT ("&amp;E468&amp;")",IF(OR(K468="",L468=""),"Xem xét",IF(MAX(ABS(K468),ABS(L468))&lt;=ThongTin!$C$12,"OK","Xem xét")))))</f>
        <v/>
      </c>
    </row>
    <row r="469" spans="1:13" x14ac:dyDescent="0.25">
      <c r="A469" s="35" t="str">
        <f t="shared" si="35"/>
        <v/>
      </c>
      <c r="B469" s="35" t="str">
        <f>IF(BOM!A469="","",BOM!A469)</f>
        <v/>
      </c>
      <c r="C469" s="35" t="str">
        <f>IF(B469="","",BOM!B469)</f>
        <v/>
      </c>
      <c r="D469" s="35" t="str">
        <f>IF(B469="","",KT_DMTT_ChiTiet!E469)</f>
        <v/>
      </c>
      <c r="E469" s="36" t="str">
        <f>IF(B469="","",BOM!G469&amp;"")</f>
        <v/>
      </c>
      <c r="F469" s="39" t="str">
        <f>IF(B469="","",BOM!E469)</f>
        <v/>
      </c>
      <c r="G469" s="39" t="str">
        <f>IF(OR(B469="",E469="KXDDM"),"",BOM!F469)</f>
        <v/>
      </c>
      <c r="H469" s="39" t="str">
        <f>IF(OR(B469="",E469&lt;&gt;""),"",IFERROR(INDEX(KT_nguoc_theo_NL!$J$5:$J$304,MATCH(C469,KT_nguoc_theo_NL!$B$5:$B$304,0))/INDEX(KT_nguoc_theo_NL!$K$5:$K$304,MATCH(C469,KT_nguoc_theo_NL!$B$5:$B$304,0)),""))</f>
        <v/>
      </c>
      <c r="I469" s="39" t="str">
        <f t="shared" si="36"/>
        <v/>
      </c>
      <c r="J469" s="46" t="str">
        <f t="shared" si="37"/>
        <v/>
      </c>
      <c r="K469" s="46" t="str">
        <f t="shared" si="38"/>
        <v/>
      </c>
      <c r="L469" s="46" t="str">
        <f t="shared" si="39"/>
        <v/>
      </c>
      <c r="M469" s="35" t="str">
        <f>IF(B469="","",IF(E469="KXDDM","KXDDM – không ĐM",IF(E469&lt;&gt;"","Không KT ("&amp;E469&amp;")",IF(OR(K469="",L469=""),"Xem xét",IF(MAX(ABS(K469),ABS(L469))&lt;=ThongTin!$C$12,"OK","Xem xét")))))</f>
        <v/>
      </c>
    </row>
    <row r="470" spans="1:13" x14ac:dyDescent="0.25">
      <c r="A470" s="35" t="str">
        <f t="shared" si="35"/>
        <v/>
      </c>
      <c r="B470" s="35" t="str">
        <f>IF(BOM!A470="","",BOM!A470)</f>
        <v/>
      </c>
      <c r="C470" s="35" t="str">
        <f>IF(B470="","",BOM!B470)</f>
        <v/>
      </c>
      <c r="D470" s="35" t="str">
        <f>IF(B470="","",KT_DMTT_ChiTiet!E470)</f>
        <v/>
      </c>
      <c r="E470" s="36" t="str">
        <f>IF(B470="","",BOM!G470&amp;"")</f>
        <v/>
      </c>
      <c r="F470" s="39" t="str">
        <f>IF(B470="","",BOM!E470)</f>
        <v/>
      </c>
      <c r="G470" s="39" t="str">
        <f>IF(OR(B470="",E470="KXDDM"),"",BOM!F470)</f>
        <v/>
      </c>
      <c r="H470" s="39" t="str">
        <f>IF(OR(B470="",E470&lt;&gt;""),"",IFERROR(INDEX(KT_nguoc_theo_NL!$J$5:$J$304,MATCH(C470,KT_nguoc_theo_NL!$B$5:$B$304,0))/INDEX(KT_nguoc_theo_NL!$K$5:$K$304,MATCH(C470,KT_nguoc_theo_NL!$B$5:$B$304,0)),""))</f>
        <v/>
      </c>
      <c r="I470" s="39" t="str">
        <f t="shared" si="36"/>
        <v/>
      </c>
      <c r="J470" s="46" t="str">
        <f t="shared" si="37"/>
        <v/>
      </c>
      <c r="K470" s="46" t="str">
        <f t="shared" si="38"/>
        <v/>
      </c>
      <c r="L470" s="46" t="str">
        <f t="shared" si="39"/>
        <v/>
      </c>
      <c r="M470" s="35" t="str">
        <f>IF(B470="","",IF(E470="KXDDM","KXDDM – không ĐM",IF(E470&lt;&gt;"","Không KT ("&amp;E470&amp;")",IF(OR(K470="",L470=""),"Xem xét",IF(MAX(ABS(K470),ABS(L470))&lt;=ThongTin!$C$12,"OK","Xem xét")))))</f>
        <v/>
      </c>
    </row>
    <row r="471" spans="1:13" x14ac:dyDescent="0.25">
      <c r="A471" s="35" t="str">
        <f t="shared" si="35"/>
        <v/>
      </c>
      <c r="B471" s="35" t="str">
        <f>IF(BOM!A471="","",BOM!A471)</f>
        <v/>
      </c>
      <c r="C471" s="35" t="str">
        <f>IF(B471="","",BOM!B471)</f>
        <v/>
      </c>
      <c r="D471" s="35" t="str">
        <f>IF(B471="","",KT_DMTT_ChiTiet!E471)</f>
        <v/>
      </c>
      <c r="E471" s="36" t="str">
        <f>IF(B471="","",BOM!G471&amp;"")</f>
        <v/>
      </c>
      <c r="F471" s="39" t="str">
        <f>IF(B471="","",BOM!E471)</f>
        <v/>
      </c>
      <c r="G471" s="39" t="str">
        <f>IF(OR(B471="",E471="KXDDM"),"",BOM!F471)</f>
        <v/>
      </c>
      <c r="H471" s="39" t="str">
        <f>IF(OR(B471="",E471&lt;&gt;""),"",IFERROR(INDEX(KT_nguoc_theo_NL!$J$5:$J$304,MATCH(C471,KT_nguoc_theo_NL!$B$5:$B$304,0))/INDEX(KT_nguoc_theo_NL!$K$5:$K$304,MATCH(C471,KT_nguoc_theo_NL!$B$5:$B$304,0)),""))</f>
        <v/>
      </c>
      <c r="I471" s="39" t="str">
        <f t="shared" si="36"/>
        <v/>
      </c>
      <c r="J471" s="46" t="str">
        <f t="shared" si="37"/>
        <v/>
      </c>
      <c r="K471" s="46" t="str">
        <f t="shared" si="38"/>
        <v/>
      </c>
      <c r="L471" s="46" t="str">
        <f t="shared" si="39"/>
        <v/>
      </c>
      <c r="M471" s="35" t="str">
        <f>IF(B471="","",IF(E471="KXDDM","KXDDM – không ĐM",IF(E471&lt;&gt;"","Không KT ("&amp;E471&amp;")",IF(OR(K471="",L471=""),"Xem xét",IF(MAX(ABS(K471),ABS(L471))&lt;=ThongTin!$C$12,"OK","Xem xét")))))</f>
        <v/>
      </c>
    </row>
    <row r="472" spans="1:13" x14ac:dyDescent="0.25">
      <c r="A472" s="35" t="str">
        <f t="shared" si="35"/>
        <v/>
      </c>
      <c r="B472" s="35" t="str">
        <f>IF(BOM!A472="","",BOM!A472)</f>
        <v/>
      </c>
      <c r="C472" s="35" t="str">
        <f>IF(B472="","",BOM!B472)</f>
        <v/>
      </c>
      <c r="D472" s="35" t="str">
        <f>IF(B472="","",KT_DMTT_ChiTiet!E472)</f>
        <v/>
      </c>
      <c r="E472" s="36" t="str">
        <f>IF(B472="","",BOM!G472&amp;"")</f>
        <v/>
      </c>
      <c r="F472" s="39" t="str">
        <f>IF(B472="","",BOM!E472)</f>
        <v/>
      </c>
      <c r="G472" s="39" t="str">
        <f>IF(OR(B472="",E472="KXDDM"),"",BOM!F472)</f>
        <v/>
      </c>
      <c r="H472" s="39" t="str">
        <f>IF(OR(B472="",E472&lt;&gt;""),"",IFERROR(INDEX(KT_nguoc_theo_NL!$J$5:$J$304,MATCH(C472,KT_nguoc_theo_NL!$B$5:$B$304,0))/INDEX(KT_nguoc_theo_NL!$K$5:$K$304,MATCH(C472,KT_nguoc_theo_NL!$B$5:$B$304,0)),""))</f>
        <v/>
      </c>
      <c r="I472" s="39" t="str">
        <f t="shared" si="36"/>
        <v/>
      </c>
      <c r="J472" s="46" t="str">
        <f t="shared" si="37"/>
        <v/>
      </c>
      <c r="K472" s="46" t="str">
        <f t="shared" si="38"/>
        <v/>
      </c>
      <c r="L472" s="46" t="str">
        <f t="shared" si="39"/>
        <v/>
      </c>
      <c r="M472" s="35" t="str">
        <f>IF(B472="","",IF(E472="KXDDM","KXDDM – không ĐM",IF(E472&lt;&gt;"","Không KT ("&amp;E472&amp;")",IF(OR(K472="",L472=""),"Xem xét",IF(MAX(ABS(K472),ABS(L472))&lt;=ThongTin!$C$12,"OK","Xem xét")))))</f>
        <v/>
      </c>
    </row>
    <row r="473" spans="1:13" x14ac:dyDescent="0.25">
      <c r="A473" s="35" t="str">
        <f t="shared" si="35"/>
        <v/>
      </c>
      <c r="B473" s="35" t="str">
        <f>IF(BOM!A473="","",BOM!A473)</f>
        <v/>
      </c>
      <c r="C473" s="35" t="str">
        <f>IF(B473="","",BOM!B473)</f>
        <v/>
      </c>
      <c r="D473" s="35" t="str">
        <f>IF(B473="","",KT_DMTT_ChiTiet!E473)</f>
        <v/>
      </c>
      <c r="E473" s="36" t="str">
        <f>IF(B473="","",BOM!G473&amp;"")</f>
        <v/>
      </c>
      <c r="F473" s="39" t="str">
        <f>IF(B473="","",BOM!E473)</f>
        <v/>
      </c>
      <c r="G473" s="39" t="str">
        <f>IF(OR(B473="",E473="KXDDM"),"",BOM!F473)</f>
        <v/>
      </c>
      <c r="H473" s="39" t="str">
        <f>IF(OR(B473="",E473&lt;&gt;""),"",IFERROR(INDEX(KT_nguoc_theo_NL!$J$5:$J$304,MATCH(C473,KT_nguoc_theo_NL!$B$5:$B$304,0))/INDEX(KT_nguoc_theo_NL!$K$5:$K$304,MATCH(C473,KT_nguoc_theo_NL!$B$5:$B$304,0)),""))</f>
        <v/>
      </c>
      <c r="I473" s="39" t="str">
        <f t="shared" si="36"/>
        <v/>
      </c>
      <c r="J473" s="46" t="str">
        <f t="shared" si="37"/>
        <v/>
      </c>
      <c r="K473" s="46" t="str">
        <f t="shared" si="38"/>
        <v/>
      </c>
      <c r="L473" s="46" t="str">
        <f t="shared" si="39"/>
        <v/>
      </c>
      <c r="M473" s="35" t="str">
        <f>IF(B473="","",IF(E473="KXDDM","KXDDM – không ĐM",IF(E473&lt;&gt;"","Không KT ("&amp;E473&amp;")",IF(OR(K473="",L473=""),"Xem xét",IF(MAX(ABS(K473),ABS(L473))&lt;=ThongTin!$C$12,"OK","Xem xét")))))</f>
        <v/>
      </c>
    </row>
    <row r="474" spans="1:13" x14ac:dyDescent="0.25">
      <c r="A474" s="35" t="str">
        <f t="shared" si="35"/>
        <v/>
      </c>
      <c r="B474" s="35" t="str">
        <f>IF(BOM!A474="","",BOM!A474)</f>
        <v/>
      </c>
      <c r="C474" s="35" t="str">
        <f>IF(B474="","",BOM!B474)</f>
        <v/>
      </c>
      <c r="D474" s="35" t="str">
        <f>IF(B474="","",KT_DMTT_ChiTiet!E474)</f>
        <v/>
      </c>
      <c r="E474" s="36" t="str">
        <f>IF(B474="","",BOM!G474&amp;"")</f>
        <v/>
      </c>
      <c r="F474" s="39" t="str">
        <f>IF(B474="","",BOM!E474)</f>
        <v/>
      </c>
      <c r="G474" s="39" t="str">
        <f>IF(OR(B474="",E474="KXDDM"),"",BOM!F474)</f>
        <v/>
      </c>
      <c r="H474" s="39" t="str">
        <f>IF(OR(B474="",E474&lt;&gt;""),"",IFERROR(INDEX(KT_nguoc_theo_NL!$J$5:$J$304,MATCH(C474,KT_nguoc_theo_NL!$B$5:$B$304,0))/INDEX(KT_nguoc_theo_NL!$K$5:$K$304,MATCH(C474,KT_nguoc_theo_NL!$B$5:$B$304,0)),""))</f>
        <v/>
      </c>
      <c r="I474" s="39" t="str">
        <f t="shared" si="36"/>
        <v/>
      </c>
      <c r="J474" s="46" t="str">
        <f t="shared" si="37"/>
        <v/>
      </c>
      <c r="K474" s="46" t="str">
        <f t="shared" si="38"/>
        <v/>
      </c>
      <c r="L474" s="46" t="str">
        <f t="shared" si="39"/>
        <v/>
      </c>
      <c r="M474" s="35" t="str">
        <f>IF(B474="","",IF(E474="KXDDM","KXDDM – không ĐM",IF(E474&lt;&gt;"","Không KT ("&amp;E474&amp;")",IF(OR(K474="",L474=""),"Xem xét",IF(MAX(ABS(K474),ABS(L474))&lt;=ThongTin!$C$12,"OK","Xem xét")))))</f>
        <v/>
      </c>
    </row>
    <row r="475" spans="1:13" x14ac:dyDescent="0.25">
      <c r="A475" s="35" t="str">
        <f t="shared" si="35"/>
        <v/>
      </c>
      <c r="B475" s="35" t="str">
        <f>IF(BOM!A475="","",BOM!A475)</f>
        <v/>
      </c>
      <c r="C475" s="35" t="str">
        <f>IF(B475="","",BOM!B475)</f>
        <v/>
      </c>
      <c r="D475" s="35" t="str">
        <f>IF(B475="","",KT_DMTT_ChiTiet!E475)</f>
        <v/>
      </c>
      <c r="E475" s="36" t="str">
        <f>IF(B475="","",BOM!G475&amp;"")</f>
        <v/>
      </c>
      <c r="F475" s="39" t="str">
        <f>IF(B475="","",BOM!E475)</f>
        <v/>
      </c>
      <c r="G475" s="39" t="str">
        <f>IF(OR(B475="",E475="KXDDM"),"",BOM!F475)</f>
        <v/>
      </c>
      <c r="H475" s="39" t="str">
        <f>IF(OR(B475="",E475&lt;&gt;""),"",IFERROR(INDEX(KT_nguoc_theo_NL!$J$5:$J$304,MATCH(C475,KT_nguoc_theo_NL!$B$5:$B$304,0))/INDEX(KT_nguoc_theo_NL!$K$5:$K$304,MATCH(C475,KT_nguoc_theo_NL!$B$5:$B$304,0)),""))</f>
        <v/>
      </c>
      <c r="I475" s="39" t="str">
        <f t="shared" si="36"/>
        <v/>
      </c>
      <c r="J475" s="46" t="str">
        <f t="shared" si="37"/>
        <v/>
      </c>
      <c r="K475" s="46" t="str">
        <f t="shared" si="38"/>
        <v/>
      </c>
      <c r="L475" s="46" t="str">
        <f t="shared" si="39"/>
        <v/>
      </c>
      <c r="M475" s="35" t="str">
        <f>IF(B475="","",IF(E475="KXDDM","KXDDM – không ĐM",IF(E475&lt;&gt;"","Không KT ("&amp;E475&amp;")",IF(OR(K475="",L475=""),"Xem xét",IF(MAX(ABS(K475),ABS(L475))&lt;=ThongTin!$C$12,"OK","Xem xét")))))</f>
        <v/>
      </c>
    </row>
    <row r="476" spans="1:13" x14ac:dyDescent="0.25">
      <c r="A476" s="35" t="str">
        <f t="shared" si="35"/>
        <v/>
      </c>
      <c r="B476" s="35" t="str">
        <f>IF(BOM!A476="","",BOM!A476)</f>
        <v/>
      </c>
      <c r="C476" s="35" t="str">
        <f>IF(B476="","",BOM!B476)</f>
        <v/>
      </c>
      <c r="D476" s="35" t="str">
        <f>IF(B476="","",KT_DMTT_ChiTiet!E476)</f>
        <v/>
      </c>
      <c r="E476" s="36" t="str">
        <f>IF(B476="","",BOM!G476&amp;"")</f>
        <v/>
      </c>
      <c r="F476" s="39" t="str">
        <f>IF(B476="","",BOM!E476)</f>
        <v/>
      </c>
      <c r="G476" s="39" t="str">
        <f>IF(OR(B476="",E476="KXDDM"),"",BOM!F476)</f>
        <v/>
      </c>
      <c r="H476" s="39" t="str">
        <f>IF(OR(B476="",E476&lt;&gt;""),"",IFERROR(INDEX(KT_nguoc_theo_NL!$J$5:$J$304,MATCH(C476,KT_nguoc_theo_NL!$B$5:$B$304,0))/INDEX(KT_nguoc_theo_NL!$K$5:$K$304,MATCH(C476,KT_nguoc_theo_NL!$B$5:$B$304,0)),""))</f>
        <v/>
      </c>
      <c r="I476" s="39" t="str">
        <f t="shared" si="36"/>
        <v/>
      </c>
      <c r="J476" s="46" t="str">
        <f t="shared" si="37"/>
        <v/>
      </c>
      <c r="K476" s="46" t="str">
        <f t="shared" si="38"/>
        <v/>
      </c>
      <c r="L476" s="46" t="str">
        <f t="shared" si="39"/>
        <v/>
      </c>
      <c r="M476" s="35" t="str">
        <f>IF(B476="","",IF(E476="KXDDM","KXDDM – không ĐM",IF(E476&lt;&gt;"","Không KT ("&amp;E476&amp;")",IF(OR(K476="",L476=""),"Xem xét",IF(MAX(ABS(K476),ABS(L476))&lt;=ThongTin!$C$12,"OK","Xem xét")))))</f>
        <v/>
      </c>
    </row>
    <row r="477" spans="1:13" x14ac:dyDescent="0.25">
      <c r="A477" s="35" t="str">
        <f t="shared" si="35"/>
        <v/>
      </c>
      <c r="B477" s="35" t="str">
        <f>IF(BOM!A477="","",BOM!A477)</f>
        <v/>
      </c>
      <c r="C477" s="35" t="str">
        <f>IF(B477="","",BOM!B477)</f>
        <v/>
      </c>
      <c r="D477" s="35" t="str">
        <f>IF(B477="","",KT_DMTT_ChiTiet!E477)</f>
        <v/>
      </c>
      <c r="E477" s="36" t="str">
        <f>IF(B477="","",BOM!G477&amp;"")</f>
        <v/>
      </c>
      <c r="F477" s="39" t="str">
        <f>IF(B477="","",BOM!E477)</f>
        <v/>
      </c>
      <c r="G477" s="39" t="str">
        <f>IF(OR(B477="",E477="KXDDM"),"",BOM!F477)</f>
        <v/>
      </c>
      <c r="H477" s="39" t="str">
        <f>IF(OR(B477="",E477&lt;&gt;""),"",IFERROR(INDEX(KT_nguoc_theo_NL!$J$5:$J$304,MATCH(C477,KT_nguoc_theo_NL!$B$5:$B$304,0))/INDEX(KT_nguoc_theo_NL!$K$5:$K$304,MATCH(C477,KT_nguoc_theo_NL!$B$5:$B$304,0)),""))</f>
        <v/>
      </c>
      <c r="I477" s="39" t="str">
        <f t="shared" si="36"/>
        <v/>
      </c>
      <c r="J477" s="46" t="str">
        <f t="shared" si="37"/>
        <v/>
      </c>
      <c r="K477" s="46" t="str">
        <f t="shared" si="38"/>
        <v/>
      </c>
      <c r="L477" s="46" t="str">
        <f t="shared" si="39"/>
        <v/>
      </c>
      <c r="M477" s="35" t="str">
        <f>IF(B477="","",IF(E477="KXDDM","KXDDM – không ĐM",IF(E477&lt;&gt;"","Không KT ("&amp;E477&amp;")",IF(OR(K477="",L477=""),"Xem xét",IF(MAX(ABS(K477),ABS(L477))&lt;=ThongTin!$C$12,"OK","Xem xét")))))</f>
        <v/>
      </c>
    </row>
    <row r="478" spans="1:13" x14ac:dyDescent="0.25">
      <c r="A478" s="35" t="str">
        <f t="shared" si="35"/>
        <v/>
      </c>
      <c r="B478" s="35" t="str">
        <f>IF(BOM!A478="","",BOM!A478)</f>
        <v/>
      </c>
      <c r="C478" s="35" t="str">
        <f>IF(B478="","",BOM!B478)</f>
        <v/>
      </c>
      <c r="D478" s="35" t="str">
        <f>IF(B478="","",KT_DMTT_ChiTiet!E478)</f>
        <v/>
      </c>
      <c r="E478" s="36" t="str">
        <f>IF(B478="","",BOM!G478&amp;"")</f>
        <v/>
      </c>
      <c r="F478" s="39" t="str">
        <f>IF(B478="","",BOM!E478)</f>
        <v/>
      </c>
      <c r="G478" s="39" t="str">
        <f>IF(OR(B478="",E478="KXDDM"),"",BOM!F478)</f>
        <v/>
      </c>
      <c r="H478" s="39" t="str">
        <f>IF(OR(B478="",E478&lt;&gt;""),"",IFERROR(INDEX(KT_nguoc_theo_NL!$J$5:$J$304,MATCH(C478,KT_nguoc_theo_NL!$B$5:$B$304,0))/INDEX(KT_nguoc_theo_NL!$K$5:$K$304,MATCH(C478,KT_nguoc_theo_NL!$B$5:$B$304,0)),""))</f>
        <v/>
      </c>
      <c r="I478" s="39" t="str">
        <f t="shared" si="36"/>
        <v/>
      </c>
      <c r="J478" s="46" t="str">
        <f t="shared" si="37"/>
        <v/>
      </c>
      <c r="K478" s="46" t="str">
        <f t="shared" si="38"/>
        <v/>
      </c>
      <c r="L478" s="46" t="str">
        <f t="shared" si="39"/>
        <v/>
      </c>
      <c r="M478" s="35" t="str">
        <f>IF(B478="","",IF(E478="KXDDM","KXDDM – không ĐM",IF(E478&lt;&gt;"","Không KT ("&amp;E478&amp;")",IF(OR(K478="",L478=""),"Xem xét",IF(MAX(ABS(K478),ABS(L478))&lt;=ThongTin!$C$12,"OK","Xem xét")))))</f>
        <v/>
      </c>
    </row>
    <row r="479" spans="1:13" x14ac:dyDescent="0.25">
      <c r="A479" s="35" t="str">
        <f t="shared" si="35"/>
        <v/>
      </c>
      <c r="B479" s="35" t="str">
        <f>IF(BOM!A479="","",BOM!A479)</f>
        <v/>
      </c>
      <c r="C479" s="35" t="str">
        <f>IF(B479="","",BOM!B479)</f>
        <v/>
      </c>
      <c r="D479" s="35" t="str">
        <f>IF(B479="","",KT_DMTT_ChiTiet!E479)</f>
        <v/>
      </c>
      <c r="E479" s="36" t="str">
        <f>IF(B479="","",BOM!G479&amp;"")</f>
        <v/>
      </c>
      <c r="F479" s="39" t="str">
        <f>IF(B479="","",BOM!E479)</f>
        <v/>
      </c>
      <c r="G479" s="39" t="str">
        <f>IF(OR(B479="",E479="KXDDM"),"",BOM!F479)</f>
        <v/>
      </c>
      <c r="H479" s="39" t="str">
        <f>IF(OR(B479="",E479&lt;&gt;""),"",IFERROR(INDEX(KT_nguoc_theo_NL!$J$5:$J$304,MATCH(C479,KT_nguoc_theo_NL!$B$5:$B$304,0))/INDEX(KT_nguoc_theo_NL!$K$5:$K$304,MATCH(C479,KT_nguoc_theo_NL!$B$5:$B$304,0)),""))</f>
        <v/>
      </c>
      <c r="I479" s="39" t="str">
        <f t="shared" si="36"/>
        <v/>
      </c>
      <c r="J479" s="46" t="str">
        <f t="shared" si="37"/>
        <v/>
      </c>
      <c r="K479" s="46" t="str">
        <f t="shared" si="38"/>
        <v/>
      </c>
      <c r="L479" s="46" t="str">
        <f t="shared" si="39"/>
        <v/>
      </c>
      <c r="M479" s="35" t="str">
        <f>IF(B479="","",IF(E479="KXDDM","KXDDM – không ĐM",IF(E479&lt;&gt;"","Không KT ("&amp;E479&amp;")",IF(OR(K479="",L479=""),"Xem xét",IF(MAX(ABS(K479),ABS(L479))&lt;=ThongTin!$C$12,"OK","Xem xét")))))</f>
        <v/>
      </c>
    </row>
    <row r="480" spans="1:13" x14ac:dyDescent="0.25">
      <c r="A480" s="35" t="str">
        <f t="shared" si="35"/>
        <v/>
      </c>
      <c r="B480" s="35" t="str">
        <f>IF(BOM!A480="","",BOM!A480)</f>
        <v/>
      </c>
      <c r="C480" s="35" t="str">
        <f>IF(B480="","",BOM!B480)</f>
        <v/>
      </c>
      <c r="D480" s="35" t="str">
        <f>IF(B480="","",KT_DMTT_ChiTiet!E480)</f>
        <v/>
      </c>
      <c r="E480" s="36" t="str">
        <f>IF(B480="","",BOM!G480&amp;"")</f>
        <v/>
      </c>
      <c r="F480" s="39" t="str">
        <f>IF(B480="","",BOM!E480)</f>
        <v/>
      </c>
      <c r="G480" s="39" t="str">
        <f>IF(OR(B480="",E480="KXDDM"),"",BOM!F480)</f>
        <v/>
      </c>
      <c r="H480" s="39" t="str">
        <f>IF(OR(B480="",E480&lt;&gt;""),"",IFERROR(INDEX(KT_nguoc_theo_NL!$J$5:$J$304,MATCH(C480,KT_nguoc_theo_NL!$B$5:$B$304,0))/INDEX(KT_nguoc_theo_NL!$K$5:$K$304,MATCH(C480,KT_nguoc_theo_NL!$B$5:$B$304,0)),""))</f>
        <v/>
      </c>
      <c r="I480" s="39" t="str">
        <f t="shared" si="36"/>
        <v/>
      </c>
      <c r="J480" s="46" t="str">
        <f t="shared" si="37"/>
        <v/>
      </c>
      <c r="K480" s="46" t="str">
        <f t="shared" si="38"/>
        <v/>
      </c>
      <c r="L480" s="46" t="str">
        <f t="shared" si="39"/>
        <v/>
      </c>
      <c r="M480" s="35" t="str">
        <f>IF(B480="","",IF(E480="KXDDM","KXDDM – không ĐM",IF(E480&lt;&gt;"","Không KT ("&amp;E480&amp;")",IF(OR(K480="",L480=""),"Xem xét",IF(MAX(ABS(K480),ABS(L480))&lt;=ThongTin!$C$12,"OK","Xem xét")))))</f>
        <v/>
      </c>
    </row>
    <row r="481" spans="1:13" x14ac:dyDescent="0.25">
      <c r="A481" s="35" t="str">
        <f t="shared" si="35"/>
        <v/>
      </c>
      <c r="B481" s="35" t="str">
        <f>IF(BOM!A481="","",BOM!A481)</f>
        <v/>
      </c>
      <c r="C481" s="35" t="str">
        <f>IF(B481="","",BOM!B481)</f>
        <v/>
      </c>
      <c r="D481" s="35" t="str">
        <f>IF(B481="","",KT_DMTT_ChiTiet!E481)</f>
        <v/>
      </c>
      <c r="E481" s="36" t="str">
        <f>IF(B481="","",BOM!G481&amp;"")</f>
        <v/>
      </c>
      <c r="F481" s="39" t="str">
        <f>IF(B481="","",BOM!E481)</f>
        <v/>
      </c>
      <c r="G481" s="39" t="str">
        <f>IF(OR(B481="",E481="KXDDM"),"",BOM!F481)</f>
        <v/>
      </c>
      <c r="H481" s="39" t="str">
        <f>IF(OR(B481="",E481&lt;&gt;""),"",IFERROR(INDEX(KT_nguoc_theo_NL!$J$5:$J$304,MATCH(C481,KT_nguoc_theo_NL!$B$5:$B$304,0))/INDEX(KT_nguoc_theo_NL!$K$5:$K$304,MATCH(C481,KT_nguoc_theo_NL!$B$5:$B$304,0)),""))</f>
        <v/>
      </c>
      <c r="I481" s="39" t="str">
        <f t="shared" si="36"/>
        <v/>
      </c>
      <c r="J481" s="46" t="str">
        <f t="shared" si="37"/>
        <v/>
      </c>
      <c r="K481" s="46" t="str">
        <f t="shared" si="38"/>
        <v/>
      </c>
      <c r="L481" s="46" t="str">
        <f t="shared" si="39"/>
        <v/>
      </c>
      <c r="M481" s="35" t="str">
        <f>IF(B481="","",IF(E481="KXDDM","KXDDM – không ĐM",IF(E481&lt;&gt;"","Không KT ("&amp;E481&amp;")",IF(OR(K481="",L481=""),"Xem xét",IF(MAX(ABS(K481),ABS(L481))&lt;=ThongTin!$C$12,"OK","Xem xét")))))</f>
        <v/>
      </c>
    </row>
    <row r="482" spans="1:13" x14ac:dyDescent="0.25">
      <c r="A482" s="35" t="str">
        <f t="shared" si="35"/>
        <v/>
      </c>
      <c r="B482" s="35" t="str">
        <f>IF(BOM!A482="","",BOM!A482)</f>
        <v/>
      </c>
      <c r="C482" s="35" t="str">
        <f>IF(B482="","",BOM!B482)</f>
        <v/>
      </c>
      <c r="D482" s="35" t="str">
        <f>IF(B482="","",KT_DMTT_ChiTiet!E482)</f>
        <v/>
      </c>
      <c r="E482" s="36" t="str">
        <f>IF(B482="","",BOM!G482&amp;"")</f>
        <v/>
      </c>
      <c r="F482" s="39" t="str">
        <f>IF(B482="","",BOM!E482)</f>
        <v/>
      </c>
      <c r="G482" s="39" t="str">
        <f>IF(OR(B482="",E482="KXDDM"),"",BOM!F482)</f>
        <v/>
      </c>
      <c r="H482" s="39" t="str">
        <f>IF(OR(B482="",E482&lt;&gt;""),"",IFERROR(INDEX(KT_nguoc_theo_NL!$J$5:$J$304,MATCH(C482,KT_nguoc_theo_NL!$B$5:$B$304,0))/INDEX(KT_nguoc_theo_NL!$K$5:$K$304,MATCH(C482,KT_nguoc_theo_NL!$B$5:$B$304,0)),""))</f>
        <v/>
      </c>
      <c r="I482" s="39" t="str">
        <f t="shared" si="36"/>
        <v/>
      </c>
      <c r="J482" s="46" t="str">
        <f t="shared" si="37"/>
        <v/>
      </c>
      <c r="K482" s="46" t="str">
        <f t="shared" si="38"/>
        <v/>
      </c>
      <c r="L482" s="46" t="str">
        <f t="shared" si="39"/>
        <v/>
      </c>
      <c r="M482" s="35" t="str">
        <f>IF(B482="","",IF(E482="KXDDM","KXDDM – không ĐM",IF(E482&lt;&gt;"","Không KT ("&amp;E482&amp;")",IF(OR(K482="",L482=""),"Xem xét",IF(MAX(ABS(K482),ABS(L482))&lt;=ThongTin!$C$12,"OK","Xem xét")))))</f>
        <v/>
      </c>
    </row>
    <row r="483" spans="1:13" x14ac:dyDescent="0.25">
      <c r="A483" s="35" t="str">
        <f t="shared" si="35"/>
        <v/>
      </c>
      <c r="B483" s="35" t="str">
        <f>IF(BOM!A483="","",BOM!A483)</f>
        <v/>
      </c>
      <c r="C483" s="35" t="str">
        <f>IF(B483="","",BOM!B483)</f>
        <v/>
      </c>
      <c r="D483" s="35" t="str">
        <f>IF(B483="","",KT_DMTT_ChiTiet!E483)</f>
        <v/>
      </c>
      <c r="E483" s="36" t="str">
        <f>IF(B483="","",BOM!G483&amp;"")</f>
        <v/>
      </c>
      <c r="F483" s="39" t="str">
        <f>IF(B483="","",BOM!E483)</f>
        <v/>
      </c>
      <c r="G483" s="39" t="str">
        <f>IF(OR(B483="",E483="KXDDM"),"",BOM!F483)</f>
        <v/>
      </c>
      <c r="H483" s="39" t="str">
        <f>IF(OR(B483="",E483&lt;&gt;""),"",IFERROR(INDEX(KT_nguoc_theo_NL!$J$5:$J$304,MATCH(C483,KT_nguoc_theo_NL!$B$5:$B$304,0))/INDEX(KT_nguoc_theo_NL!$K$5:$K$304,MATCH(C483,KT_nguoc_theo_NL!$B$5:$B$304,0)),""))</f>
        <v/>
      </c>
      <c r="I483" s="39" t="str">
        <f t="shared" si="36"/>
        <v/>
      </c>
      <c r="J483" s="46" t="str">
        <f t="shared" si="37"/>
        <v/>
      </c>
      <c r="K483" s="46" t="str">
        <f t="shared" si="38"/>
        <v/>
      </c>
      <c r="L483" s="46" t="str">
        <f t="shared" si="39"/>
        <v/>
      </c>
      <c r="M483" s="35" t="str">
        <f>IF(B483="","",IF(E483="KXDDM","KXDDM – không ĐM",IF(E483&lt;&gt;"","Không KT ("&amp;E483&amp;")",IF(OR(K483="",L483=""),"Xem xét",IF(MAX(ABS(K483),ABS(L483))&lt;=ThongTin!$C$12,"OK","Xem xét")))))</f>
        <v/>
      </c>
    </row>
    <row r="484" spans="1:13" x14ac:dyDescent="0.25">
      <c r="A484" s="35" t="str">
        <f t="shared" si="35"/>
        <v/>
      </c>
      <c r="B484" s="35" t="str">
        <f>IF(BOM!A484="","",BOM!A484)</f>
        <v/>
      </c>
      <c r="C484" s="35" t="str">
        <f>IF(B484="","",BOM!B484)</f>
        <v/>
      </c>
      <c r="D484" s="35" t="str">
        <f>IF(B484="","",KT_DMTT_ChiTiet!E484)</f>
        <v/>
      </c>
      <c r="E484" s="36" t="str">
        <f>IF(B484="","",BOM!G484&amp;"")</f>
        <v/>
      </c>
      <c r="F484" s="39" t="str">
        <f>IF(B484="","",BOM!E484)</f>
        <v/>
      </c>
      <c r="G484" s="39" t="str">
        <f>IF(OR(B484="",E484="KXDDM"),"",BOM!F484)</f>
        <v/>
      </c>
      <c r="H484" s="39" t="str">
        <f>IF(OR(B484="",E484&lt;&gt;""),"",IFERROR(INDEX(KT_nguoc_theo_NL!$J$5:$J$304,MATCH(C484,KT_nguoc_theo_NL!$B$5:$B$304,0))/INDEX(KT_nguoc_theo_NL!$K$5:$K$304,MATCH(C484,KT_nguoc_theo_NL!$B$5:$B$304,0)),""))</f>
        <v/>
      </c>
      <c r="I484" s="39" t="str">
        <f t="shared" si="36"/>
        <v/>
      </c>
      <c r="J484" s="46" t="str">
        <f t="shared" si="37"/>
        <v/>
      </c>
      <c r="K484" s="46" t="str">
        <f t="shared" si="38"/>
        <v/>
      </c>
      <c r="L484" s="46" t="str">
        <f t="shared" si="39"/>
        <v/>
      </c>
      <c r="M484" s="35" t="str">
        <f>IF(B484="","",IF(E484="KXDDM","KXDDM – không ĐM",IF(E484&lt;&gt;"","Không KT ("&amp;E484&amp;")",IF(OR(K484="",L484=""),"Xem xét",IF(MAX(ABS(K484),ABS(L484))&lt;=ThongTin!$C$12,"OK","Xem xét")))))</f>
        <v/>
      </c>
    </row>
    <row r="485" spans="1:13" x14ac:dyDescent="0.25">
      <c r="A485" s="35" t="str">
        <f t="shared" si="35"/>
        <v/>
      </c>
      <c r="B485" s="35" t="str">
        <f>IF(BOM!A485="","",BOM!A485)</f>
        <v/>
      </c>
      <c r="C485" s="35" t="str">
        <f>IF(B485="","",BOM!B485)</f>
        <v/>
      </c>
      <c r="D485" s="35" t="str">
        <f>IF(B485="","",KT_DMTT_ChiTiet!E485)</f>
        <v/>
      </c>
      <c r="E485" s="36" t="str">
        <f>IF(B485="","",BOM!G485&amp;"")</f>
        <v/>
      </c>
      <c r="F485" s="39" t="str">
        <f>IF(B485="","",BOM!E485)</f>
        <v/>
      </c>
      <c r="G485" s="39" t="str">
        <f>IF(OR(B485="",E485="KXDDM"),"",BOM!F485)</f>
        <v/>
      </c>
      <c r="H485" s="39" t="str">
        <f>IF(OR(B485="",E485&lt;&gt;""),"",IFERROR(INDEX(KT_nguoc_theo_NL!$J$5:$J$304,MATCH(C485,KT_nguoc_theo_NL!$B$5:$B$304,0))/INDEX(KT_nguoc_theo_NL!$K$5:$K$304,MATCH(C485,KT_nguoc_theo_NL!$B$5:$B$304,0)),""))</f>
        <v/>
      </c>
      <c r="I485" s="39" t="str">
        <f t="shared" si="36"/>
        <v/>
      </c>
      <c r="J485" s="46" t="str">
        <f t="shared" si="37"/>
        <v/>
      </c>
      <c r="K485" s="46" t="str">
        <f t="shared" si="38"/>
        <v/>
      </c>
      <c r="L485" s="46" t="str">
        <f t="shared" si="39"/>
        <v/>
      </c>
      <c r="M485" s="35" t="str">
        <f>IF(B485="","",IF(E485="KXDDM","KXDDM – không ĐM",IF(E485&lt;&gt;"","Không KT ("&amp;E485&amp;")",IF(OR(K485="",L485=""),"Xem xét",IF(MAX(ABS(K485),ABS(L485))&lt;=ThongTin!$C$12,"OK","Xem xét")))))</f>
        <v/>
      </c>
    </row>
    <row r="486" spans="1:13" x14ac:dyDescent="0.25">
      <c r="A486" s="35" t="str">
        <f t="shared" si="35"/>
        <v/>
      </c>
      <c r="B486" s="35" t="str">
        <f>IF(BOM!A486="","",BOM!A486)</f>
        <v/>
      </c>
      <c r="C486" s="35" t="str">
        <f>IF(B486="","",BOM!B486)</f>
        <v/>
      </c>
      <c r="D486" s="35" t="str">
        <f>IF(B486="","",KT_DMTT_ChiTiet!E486)</f>
        <v/>
      </c>
      <c r="E486" s="36" t="str">
        <f>IF(B486="","",BOM!G486&amp;"")</f>
        <v/>
      </c>
      <c r="F486" s="39" t="str">
        <f>IF(B486="","",BOM!E486)</f>
        <v/>
      </c>
      <c r="G486" s="39" t="str">
        <f>IF(OR(B486="",E486="KXDDM"),"",BOM!F486)</f>
        <v/>
      </c>
      <c r="H486" s="39" t="str">
        <f>IF(OR(B486="",E486&lt;&gt;""),"",IFERROR(INDEX(KT_nguoc_theo_NL!$J$5:$J$304,MATCH(C486,KT_nguoc_theo_NL!$B$5:$B$304,0))/INDEX(KT_nguoc_theo_NL!$K$5:$K$304,MATCH(C486,KT_nguoc_theo_NL!$B$5:$B$304,0)),""))</f>
        <v/>
      </c>
      <c r="I486" s="39" t="str">
        <f t="shared" si="36"/>
        <v/>
      </c>
      <c r="J486" s="46" t="str">
        <f t="shared" si="37"/>
        <v/>
      </c>
      <c r="K486" s="46" t="str">
        <f t="shared" si="38"/>
        <v/>
      </c>
      <c r="L486" s="46" t="str">
        <f t="shared" si="39"/>
        <v/>
      </c>
      <c r="M486" s="35" t="str">
        <f>IF(B486="","",IF(E486="KXDDM","KXDDM – không ĐM",IF(E486&lt;&gt;"","Không KT ("&amp;E486&amp;")",IF(OR(K486="",L486=""),"Xem xét",IF(MAX(ABS(K486),ABS(L486))&lt;=ThongTin!$C$12,"OK","Xem xét")))))</f>
        <v/>
      </c>
    </row>
    <row r="487" spans="1:13" x14ac:dyDescent="0.25">
      <c r="A487" s="35" t="str">
        <f t="shared" si="35"/>
        <v/>
      </c>
      <c r="B487" s="35" t="str">
        <f>IF(BOM!A487="","",BOM!A487)</f>
        <v/>
      </c>
      <c r="C487" s="35" t="str">
        <f>IF(B487="","",BOM!B487)</f>
        <v/>
      </c>
      <c r="D487" s="35" t="str">
        <f>IF(B487="","",KT_DMTT_ChiTiet!E487)</f>
        <v/>
      </c>
      <c r="E487" s="36" t="str">
        <f>IF(B487="","",BOM!G487&amp;"")</f>
        <v/>
      </c>
      <c r="F487" s="39" t="str">
        <f>IF(B487="","",BOM!E487)</f>
        <v/>
      </c>
      <c r="G487" s="39" t="str">
        <f>IF(OR(B487="",E487="KXDDM"),"",BOM!F487)</f>
        <v/>
      </c>
      <c r="H487" s="39" t="str">
        <f>IF(OR(B487="",E487&lt;&gt;""),"",IFERROR(INDEX(KT_nguoc_theo_NL!$J$5:$J$304,MATCH(C487,KT_nguoc_theo_NL!$B$5:$B$304,0))/INDEX(KT_nguoc_theo_NL!$K$5:$K$304,MATCH(C487,KT_nguoc_theo_NL!$B$5:$B$304,0)),""))</f>
        <v/>
      </c>
      <c r="I487" s="39" t="str">
        <f t="shared" si="36"/>
        <v/>
      </c>
      <c r="J487" s="46" t="str">
        <f t="shared" si="37"/>
        <v/>
      </c>
      <c r="K487" s="46" t="str">
        <f t="shared" si="38"/>
        <v/>
      </c>
      <c r="L487" s="46" t="str">
        <f t="shared" si="39"/>
        <v/>
      </c>
      <c r="M487" s="35" t="str">
        <f>IF(B487="","",IF(E487="KXDDM","KXDDM – không ĐM",IF(E487&lt;&gt;"","Không KT ("&amp;E487&amp;")",IF(OR(K487="",L487=""),"Xem xét",IF(MAX(ABS(K487),ABS(L487))&lt;=ThongTin!$C$12,"OK","Xem xét")))))</f>
        <v/>
      </c>
    </row>
    <row r="488" spans="1:13" x14ac:dyDescent="0.25">
      <c r="A488" s="35" t="str">
        <f t="shared" si="35"/>
        <v/>
      </c>
      <c r="B488" s="35" t="str">
        <f>IF(BOM!A488="","",BOM!A488)</f>
        <v/>
      </c>
      <c r="C488" s="35" t="str">
        <f>IF(B488="","",BOM!B488)</f>
        <v/>
      </c>
      <c r="D488" s="35" t="str">
        <f>IF(B488="","",KT_DMTT_ChiTiet!E488)</f>
        <v/>
      </c>
      <c r="E488" s="36" t="str">
        <f>IF(B488="","",BOM!G488&amp;"")</f>
        <v/>
      </c>
      <c r="F488" s="39" t="str">
        <f>IF(B488="","",BOM!E488)</f>
        <v/>
      </c>
      <c r="G488" s="39" t="str">
        <f>IF(OR(B488="",E488="KXDDM"),"",BOM!F488)</f>
        <v/>
      </c>
      <c r="H488" s="39" t="str">
        <f>IF(OR(B488="",E488&lt;&gt;""),"",IFERROR(INDEX(KT_nguoc_theo_NL!$J$5:$J$304,MATCH(C488,KT_nguoc_theo_NL!$B$5:$B$304,0))/INDEX(KT_nguoc_theo_NL!$K$5:$K$304,MATCH(C488,KT_nguoc_theo_NL!$B$5:$B$304,0)),""))</f>
        <v/>
      </c>
      <c r="I488" s="39" t="str">
        <f t="shared" si="36"/>
        <v/>
      </c>
      <c r="J488" s="46" t="str">
        <f t="shared" si="37"/>
        <v/>
      </c>
      <c r="K488" s="46" t="str">
        <f t="shared" si="38"/>
        <v/>
      </c>
      <c r="L488" s="46" t="str">
        <f t="shared" si="39"/>
        <v/>
      </c>
      <c r="M488" s="35" t="str">
        <f>IF(B488="","",IF(E488="KXDDM","KXDDM – không ĐM",IF(E488&lt;&gt;"","Không KT ("&amp;E488&amp;")",IF(OR(K488="",L488=""),"Xem xét",IF(MAX(ABS(K488),ABS(L488))&lt;=ThongTin!$C$12,"OK","Xem xét")))))</f>
        <v/>
      </c>
    </row>
    <row r="489" spans="1:13" x14ac:dyDescent="0.25">
      <c r="A489" s="35" t="str">
        <f t="shared" si="35"/>
        <v/>
      </c>
      <c r="B489" s="35" t="str">
        <f>IF(BOM!A489="","",BOM!A489)</f>
        <v/>
      </c>
      <c r="C489" s="35" t="str">
        <f>IF(B489="","",BOM!B489)</f>
        <v/>
      </c>
      <c r="D489" s="35" t="str">
        <f>IF(B489="","",KT_DMTT_ChiTiet!E489)</f>
        <v/>
      </c>
      <c r="E489" s="36" t="str">
        <f>IF(B489="","",BOM!G489&amp;"")</f>
        <v/>
      </c>
      <c r="F489" s="39" t="str">
        <f>IF(B489="","",BOM!E489)</f>
        <v/>
      </c>
      <c r="G489" s="39" t="str">
        <f>IF(OR(B489="",E489="KXDDM"),"",BOM!F489)</f>
        <v/>
      </c>
      <c r="H489" s="39" t="str">
        <f>IF(OR(B489="",E489&lt;&gt;""),"",IFERROR(INDEX(KT_nguoc_theo_NL!$J$5:$J$304,MATCH(C489,KT_nguoc_theo_NL!$B$5:$B$304,0))/INDEX(KT_nguoc_theo_NL!$K$5:$K$304,MATCH(C489,KT_nguoc_theo_NL!$B$5:$B$304,0)),""))</f>
        <v/>
      </c>
      <c r="I489" s="39" t="str">
        <f t="shared" si="36"/>
        <v/>
      </c>
      <c r="J489" s="46" t="str">
        <f t="shared" si="37"/>
        <v/>
      </c>
      <c r="K489" s="46" t="str">
        <f t="shared" si="38"/>
        <v/>
      </c>
      <c r="L489" s="46" t="str">
        <f t="shared" si="39"/>
        <v/>
      </c>
      <c r="M489" s="35" t="str">
        <f>IF(B489="","",IF(E489="KXDDM","KXDDM – không ĐM",IF(E489&lt;&gt;"","Không KT ("&amp;E489&amp;")",IF(OR(K489="",L489=""),"Xem xét",IF(MAX(ABS(K489),ABS(L489))&lt;=ThongTin!$C$12,"OK","Xem xét")))))</f>
        <v/>
      </c>
    </row>
    <row r="490" spans="1:13" x14ac:dyDescent="0.25">
      <c r="A490" s="35" t="str">
        <f t="shared" si="35"/>
        <v/>
      </c>
      <c r="B490" s="35" t="str">
        <f>IF(BOM!A490="","",BOM!A490)</f>
        <v/>
      </c>
      <c r="C490" s="35" t="str">
        <f>IF(B490="","",BOM!B490)</f>
        <v/>
      </c>
      <c r="D490" s="35" t="str">
        <f>IF(B490="","",KT_DMTT_ChiTiet!E490)</f>
        <v/>
      </c>
      <c r="E490" s="36" t="str">
        <f>IF(B490="","",BOM!G490&amp;"")</f>
        <v/>
      </c>
      <c r="F490" s="39" t="str">
        <f>IF(B490="","",BOM!E490)</f>
        <v/>
      </c>
      <c r="G490" s="39" t="str">
        <f>IF(OR(B490="",E490="KXDDM"),"",BOM!F490)</f>
        <v/>
      </c>
      <c r="H490" s="39" t="str">
        <f>IF(OR(B490="",E490&lt;&gt;""),"",IFERROR(INDEX(KT_nguoc_theo_NL!$J$5:$J$304,MATCH(C490,KT_nguoc_theo_NL!$B$5:$B$304,0))/INDEX(KT_nguoc_theo_NL!$K$5:$K$304,MATCH(C490,KT_nguoc_theo_NL!$B$5:$B$304,0)),""))</f>
        <v/>
      </c>
      <c r="I490" s="39" t="str">
        <f t="shared" si="36"/>
        <v/>
      </c>
      <c r="J490" s="46" t="str">
        <f t="shared" si="37"/>
        <v/>
      </c>
      <c r="K490" s="46" t="str">
        <f t="shared" si="38"/>
        <v/>
      </c>
      <c r="L490" s="46" t="str">
        <f t="shared" si="39"/>
        <v/>
      </c>
      <c r="M490" s="35" t="str">
        <f>IF(B490="","",IF(E490="KXDDM","KXDDM – không ĐM",IF(E490&lt;&gt;"","Không KT ("&amp;E490&amp;")",IF(OR(K490="",L490=""),"Xem xét",IF(MAX(ABS(K490),ABS(L490))&lt;=ThongTin!$C$12,"OK","Xem xét")))))</f>
        <v/>
      </c>
    </row>
    <row r="491" spans="1:13" x14ac:dyDescent="0.25">
      <c r="A491" s="35" t="str">
        <f t="shared" si="35"/>
        <v/>
      </c>
      <c r="B491" s="35" t="str">
        <f>IF(BOM!A491="","",BOM!A491)</f>
        <v/>
      </c>
      <c r="C491" s="35" t="str">
        <f>IF(B491="","",BOM!B491)</f>
        <v/>
      </c>
      <c r="D491" s="35" t="str">
        <f>IF(B491="","",KT_DMTT_ChiTiet!E491)</f>
        <v/>
      </c>
      <c r="E491" s="36" t="str">
        <f>IF(B491="","",BOM!G491&amp;"")</f>
        <v/>
      </c>
      <c r="F491" s="39" t="str">
        <f>IF(B491="","",BOM!E491)</f>
        <v/>
      </c>
      <c r="G491" s="39" t="str">
        <f>IF(OR(B491="",E491="KXDDM"),"",BOM!F491)</f>
        <v/>
      </c>
      <c r="H491" s="39" t="str">
        <f>IF(OR(B491="",E491&lt;&gt;""),"",IFERROR(INDEX(KT_nguoc_theo_NL!$J$5:$J$304,MATCH(C491,KT_nguoc_theo_NL!$B$5:$B$304,0))/INDEX(KT_nguoc_theo_NL!$K$5:$K$304,MATCH(C491,KT_nguoc_theo_NL!$B$5:$B$304,0)),""))</f>
        <v/>
      </c>
      <c r="I491" s="39" t="str">
        <f t="shared" si="36"/>
        <v/>
      </c>
      <c r="J491" s="46" t="str">
        <f t="shared" si="37"/>
        <v/>
      </c>
      <c r="K491" s="46" t="str">
        <f t="shared" si="38"/>
        <v/>
      </c>
      <c r="L491" s="46" t="str">
        <f t="shared" si="39"/>
        <v/>
      </c>
      <c r="M491" s="35" t="str">
        <f>IF(B491="","",IF(E491="KXDDM","KXDDM – không ĐM",IF(E491&lt;&gt;"","Không KT ("&amp;E491&amp;")",IF(OR(K491="",L491=""),"Xem xét",IF(MAX(ABS(K491),ABS(L491))&lt;=ThongTin!$C$12,"OK","Xem xét")))))</f>
        <v/>
      </c>
    </row>
    <row r="492" spans="1:13" x14ac:dyDescent="0.25">
      <c r="A492" s="35" t="str">
        <f t="shared" si="35"/>
        <v/>
      </c>
      <c r="B492" s="35" t="str">
        <f>IF(BOM!A492="","",BOM!A492)</f>
        <v/>
      </c>
      <c r="C492" s="35" t="str">
        <f>IF(B492="","",BOM!B492)</f>
        <v/>
      </c>
      <c r="D492" s="35" t="str">
        <f>IF(B492="","",KT_DMTT_ChiTiet!E492)</f>
        <v/>
      </c>
      <c r="E492" s="36" t="str">
        <f>IF(B492="","",BOM!G492&amp;"")</f>
        <v/>
      </c>
      <c r="F492" s="39" t="str">
        <f>IF(B492="","",BOM!E492)</f>
        <v/>
      </c>
      <c r="G492" s="39" t="str">
        <f>IF(OR(B492="",E492="KXDDM"),"",BOM!F492)</f>
        <v/>
      </c>
      <c r="H492" s="39" t="str">
        <f>IF(OR(B492="",E492&lt;&gt;""),"",IFERROR(INDEX(KT_nguoc_theo_NL!$J$5:$J$304,MATCH(C492,KT_nguoc_theo_NL!$B$5:$B$304,0))/INDEX(KT_nguoc_theo_NL!$K$5:$K$304,MATCH(C492,KT_nguoc_theo_NL!$B$5:$B$304,0)),""))</f>
        <v/>
      </c>
      <c r="I492" s="39" t="str">
        <f t="shared" si="36"/>
        <v/>
      </c>
      <c r="J492" s="46" t="str">
        <f t="shared" si="37"/>
        <v/>
      </c>
      <c r="K492" s="46" t="str">
        <f t="shared" si="38"/>
        <v/>
      </c>
      <c r="L492" s="46" t="str">
        <f t="shared" si="39"/>
        <v/>
      </c>
      <c r="M492" s="35" t="str">
        <f>IF(B492="","",IF(E492="KXDDM","KXDDM – không ĐM",IF(E492&lt;&gt;"","Không KT ("&amp;E492&amp;")",IF(OR(K492="",L492=""),"Xem xét",IF(MAX(ABS(K492),ABS(L492))&lt;=ThongTin!$C$12,"OK","Xem xét")))))</f>
        <v/>
      </c>
    </row>
    <row r="493" spans="1:13" x14ac:dyDescent="0.25">
      <c r="A493" s="35" t="str">
        <f t="shared" si="35"/>
        <v/>
      </c>
      <c r="B493" s="35" t="str">
        <f>IF(BOM!A493="","",BOM!A493)</f>
        <v/>
      </c>
      <c r="C493" s="35" t="str">
        <f>IF(B493="","",BOM!B493)</f>
        <v/>
      </c>
      <c r="D493" s="35" t="str">
        <f>IF(B493="","",KT_DMTT_ChiTiet!E493)</f>
        <v/>
      </c>
      <c r="E493" s="36" t="str">
        <f>IF(B493="","",BOM!G493&amp;"")</f>
        <v/>
      </c>
      <c r="F493" s="39" t="str">
        <f>IF(B493="","",BOM!E493)</f>
        <v/>
      </c>
      <c r="G493" s="39" t="str">
        <f>IF(OR(B493="",E493="KXDDM"),"",BOM!F493)</f>
        <v/>
      </c>
      <c r="H493" s="39" t="str">
        <f>IF(OR(B493="",E493&lt;&gt;""),"",IFERROR(INDEX(KT_nguoc_theo_NL!$J$5:$J$304,MATCH(C493,KT_nguoc_theo_NL!$B$5:$B$304,0))/INDEX(KT_nguoc_theo_NL!$K$5:$K$304,MATCH(C493,KT_nguoc_theo_NL!$B$5:$B$304,0)),""))</f>
        <v/>
      </c>
      <c r="I493" s="39" t="str">
        <f t="shared" si="36"/>
        <v/>
      </c>
      <c r="J493" s="46" t="str">
        <f t="shared" si="37"/>
        <v/>
      </c>
      <c r="K493" s="46" t="str">
        <f t="shared" si="38"/>
        <v/>
      </c>
      <c r="L493" s="46" t="str">
        <f t="shared" si="39"/>
        <v/>
      </c>
      <c r="M493" s="35" t="str">
        <f>IF(B493="","",IF(E493="KXDDM","KXDDM – không ĐM",IF(E493&lt;&gt;"","Không KT ("&amp;E493&amp;")",IF(OR(K493="",L493=""),"Xem xét",IF(MAX(ABS(K493),ABS(L493))&lt;=ThongTin!$C$12,"OK","Xem xét")))))</f>
        <v/>
      </c>
    </row>
    <row r="494" spans="1:13" x14ac:dyDescent="0.25">
      <c r="A494" s="35" t="str">
        <f t="shared" si="35"/>
        <v/>
      </c>
      <c r="B494" s="35" t="str">
        <f>IF(BOM!A494="","",BOM!A494)</f>
        <v/>
      </c>
      <c r="C494" s="35" t="str">
        <f>IF(B494="","",BOM!B494)</f>
        <v/>
      </c>
      <c r="D494" s="35" t="str">
        <f>IF(B494="","",KT_DMTT_ChiTiet!E494)</f>
        <v/>
      </c>
      <c r="E494" s="36" t="str">
        <f>IF(B494="","",BOM!G494&amp;"")</f>
        <v/>
      </c>
      <c r="F494" s="39" t="str">
        <f>IF(B494="","",BOM!E494)</f>
        <v/>
      </c>
      <c r="G494" s="39" t="str">
        <f>IF(OR(B494="",E494="KXDDM"),"",BOM!F494)</f>
        <v/>
      </c>
      <c r="H494" s="39" t="str">
        <f>IF(OR(B494="",E494&lt;&gt;""),"",IFERROR(INDEX(KT_nguoc_theo_NL!$J$5:$J$304,MATCH(C494,KT_nguoc_theo_NL!$B$5:$B$304,0))/INDEX(KT_nguoc_theo_NL!$K$5:$K$304,MATCH(C494,KT_nguoc_theo_NL!$B$5:$B$304,0)),""))</f>
        <v/>
      </c>
      <c r="I494" s="39" t="str">
        <f t="shared" si="36"/>
        <v/>
      </c>
      <c r="J494" s="46" t="str">
        <f t="shared" si="37"/>
        <v/>
      </c>
      <c r="K494" s="46" t="str">
        <f t="shared" si="38"/>
        <v/>
      </c>
      <c r="L494" s="46" t="str">
        <f t="shared" si="39"/>
        <v/>
      </c>
      <c r="M494" s="35" t="str">
        <f>IF(B494="","",IF(E494="KXDDM","KXDDM – không ĐM",IF(E494&lt;&gt;"","Không KT ("&amp;E494&amp;")",IF(OR(K494="",L494=""),"Xem xét",IF(MAX(ABS(K494),ABS(L494))&lt;=ThongTin!$C$12,"OK","Xem xét")))))</f>
        <v/>
      </c>
    </row>
    <row r="495" spans="1:13" x14ac:dyDescent="0.25">
      <c r="A495" s="35" t="str">
        <f t="shared" si="35"/>
        <v/>
      </c>
      <c r="B495" s="35" t="str">
        <f>IF(BOM!A495="","",BOM!A495)</f>
        <v/>
      </c>
      <c r="C495" s="35" t="str">
        <f>IF(B495="","",BOM!B495)</f>
        <v/>
      </c>
      <c r="D495" s="35" t="str">
        <f>IF(B495="","",KT_DMTT_ChiTiet!E495)</f>
        <v/>
      </c>
      <c r="E495" s="36" t="str">
        <f>IF(B495="","",BOM!G495&amp;"")</f>
        <v/>
      </c>
      <c r="F495" s="39" t="str">
        <f>IF(B495="","",BOM!E495)</f>
        <v/>
      </c>
      <c r="G495" s="39" t="str">
        <f>IF(OR(B495="",E495="KXDDM"),"",BOM!F495)</f>
        <v/>
      </c>
      <c r="H495" s="39" t="str">
        <f>IF(OR(B495="",E495&lt;&gt;""),"",IFERROR(INDEX(KT_nguoc_theo_NL!$J$5:$J$304,MATCH(C495,KT_nguoc_theo_NL!$B$5:$B$304,0))/INDEX(KT_nguoc_theo_NL!$K$5:$K$304,MATCH(C495,KT_nguoc_theo_NL!$B$5:$B$304,0)),""))</f>
        <v/>
      </c>
      <c r="I495" s="39" t="str">
        <f t="shared" si="36"/>
        <v/>
      </c>
      <c r="J495" s="46" t="str">
        <f t="shared" si="37"/>
        <v/>
      </c>
      <c r="K495" s="46" t="str">
        <f t="shared" si="38"/>
        <v/>
      </c>
      <c r="L495" s="46" t="str">
        <f t="shared" si="39"/>
        <v/>
      </c>
      <c r="M495" s="35" t="str">
        <f>IF(B495="","",IF(E495="KXDDM","KXDDM – không ĐM",IF(E495&lt;&gt;"","Không KT ("&amp;E495&amp;")",IF(OR(K495="",L495=""),"Xem xét",IF(MAX(ABS(K495),ABS(L495))&lt;=ThongTin!$C$12,"OK","Xem xét")))))</f>
        <v/>
      </c>
    </row>
    <row r="496" spans="1:13" x14ac:dyDescent="0.25">
      <c r="A496" s="35" t="str">
        <f t="shared" si="35"/>
        <v/>
      </c>
      <c r="B496" s="35" t="str">
        <f>IF(BOM!A496="","",BOM!A496)</f>
        <v/>
      </c>
      <c r="C496" s="35" t="str">
        <f>IF(B496="","",BOM!B496)</f>
        <v/>
      </c>
      <c r="D496" s="35" t="str">
        <f>IF(B496="","",KT_DMTT_ChiTiet!E496)</f>
        <v/>
      </c>
      <c r="E496" s="36" t="str">
        <f>IF(B496="","",BOM!G496&amp;"")</f>
        <v/>
      </c>
      <c r="F496" s="39" t="str">
        <f>IF(B496="","",BOM!E496)</f>
        <v/>
      </c>
      <c r="G496" s="39" t="str">
        <f>IF(OR(B496="",E496="KXDDM"),"",BOM!F496)</f>
        <v/>
      </c>
      <c r="H496" s="39" t="str">
        <f>IF(OR(B496="",E496&lt;&gt;""),"",IFERROR(INDEX(KT_nguoc_theo_NL!$J$5:$J$304,MATCH(C496,KT_nguoc_theo_NL!$B$5:$B$304,0))/INDEX(KT_nguoc_theo_NL!$K$5:$K$304,MATCH(C496,KT_nguoc_theo_NL!$B$5:$B$304,0)),""))</f>
        <v/>
      </c>
      <c r="I496" s="39" t="str">
        <f t="shared" si="36"/>
        <v/>
      </c>
      <c r="J496" s="46" t="str">
        <f t="shared" si="37"/>
        <v/>
      </c>
      <c r="K496" s="46" t="str">
        <f t="shared" si="38"/>
        <v/>
      </c>
      <c r="L496" s="46" t="str">
        <f t="shared" si="39"/>
        <v/>
      </c>
      <c r="M496" s="35" t="str">
        <f>IF(B496="","",IF(E496="KXDDM","KXDDM – không ĐM",IF(E496&lt;&gt;"","Không KT ("&amp;E496&amp;")",IF(OR(K496="",L496=""),"Xem xét",IF(MAX(ABS(K496),ABS(L496))&lt;=ThongTin!$C$12,"OK","Xem xét")))))</f>
        <v/>
      </c>
    </row>
    <row r="497" spans="1:13" x14ac:dyDescent="0.25">
      <c r="A497" s="35" t="str">
        <f t="shared" si="35"/>
        <v/>
      </c>
      <c r="B497" s="35" t="str">
        <f>IF(BOM!A497="","",BOM!A497)</f>
        <v/>
      </c>
      <c r="C497" s="35" t="str">
        <f>IF(B497="","",BOM!B497)</f>
        <v/>
      </c>
      <c r="D497" s="35" t="str">
        <f>IF(B497="","",KT_DMTT_ChiTiet!E497)</f>
        <v/>
      </c>
      <c r="E497" s="36" t="str">
        <f>IF(B497="","",BOM!G497&amp;"")</f>
        <v/>
      </c>
      <c r="F497" s="39" t="str">
        <f>IF(B497="","",BOM!E497)</f>
        <v/>
      </c>
      <c r="G497" s="39" t="str">
        <f>IF(OR(B497="",E497="KXDDM"),"",BOM!F497)</f>
        <v/>
      </c>
      <c r="H497" s="39" t="str">
        <f>IF(OR(B497="",E497&lt;&gt;""),"",IFERROR(INDEX(KT_nguoc_theo_NL!$J$5:$J$304,MATCH(C497,KT_nguoc_theo_NL!$B$5:$B$304,0))/INDEX(KT_nguoc_theo_NL!$K$5:$K$304,MATCH(C497,KT_nguoc_theo_NL!$B$5:$B$304,0)),""))</f>
        <v/>
      </c>
      <c r="I497" s="39" t="str">
        <f t="shared" si="36"/>
        <v/>
      </c>
      <c r="J497" s="46" t="str">
        <f t="shared" si="37"/>
        <v/>
      </c>
      <c r="K497" s="46" t="str">
        <f t="shared" si="38"/>
        <v/>
      </c>
      <c r="L497" s="46" t="str">
        <f t="shared" si="39"/>
        <v/>
      </c>
      <c r="M497" s="35" t="str">
        <f>IF(B497="","",IF(E497="KXDDM","KXDDM – không ĐM",IF(E497&lt;&gt;"","Không KT ("&amp;E497&amp;")",IF(OR(K497="",L497=""),"Xem xét",IF(MAX(ABS(K497),ABS(L497))&lt;=ThongTin!$C$12,"OK","Xem xét")))))</f>
        <v/>
      </c>
    </row>
    <row r="498" spans="1:13" x14ac:dyDescent="0.25">
      <c r="A498" s="35" t="str">
        <f t="shared" si="35"/>
        <v/>
      </c>
      <c r="B498" s="35" t="str">
        <f>IF(BOM!A498="","",BOM!A498)</f>
        <v/>
      </c>
      <c r="C498" s="35" t="str">
        <f>IF(B498="","",BOM!B498)</f>
        <v/>
      </c>
      <c r="D498" s="35" t="str">
        <f>IF(B498="","",KT_DMTT_ChiTiet!E498)</f>
        <v/>
      </c>
      <c r="E498" s="36" t="str">
        <f>IF(B498="","",BOM!G498&amp;"")</f>
        <v/>
      </c>
      <c r="F498" s="39" t="str">
        <f>IF(B498="","",BOM!E498)</f>
        <v/>
      </c>
      <c r="G498" s="39" t="str">
        <f>IF(OR(B498="",E498="KXDDM"),"",BOM!F498)</f>
        <v/>
      </c>
      <c r="H498" s="39" t="str">
        <f>IF(OR(B498="",E498&lt;&gt;""),"",IFERROR(INDEX(KT_nguoc_theo_NL!$J$5:$J$304,MATCH(C498,KT_nguoc_theo_NL!$B$5:$B$304,0))/INDEX(KT_nguoc_theo_NL!$K$5:$K$304,MATCH(C498,KT_nguoc_theo_NL!$B$5:$B$304,0)),""))</f>
        <v/>
      </c>
      <c r="I498" s="39" t="str">
        <f t="shared" si="36"/>
        <v/>
      </c>
      <c r="J498" s="46" t="str">
        <f t="shared" si="37"/>
        <v/>
      </c>
      <c r="K498" s="46" t="str">
        <f t="shared" si="38"/>
        <v/>
      </c>
      <c r="L498" s="46" t="str">
        <f t="shared" si="39"/>
        <v/>
      </c>
      <c r="M498" s="35" t="str">
        <f>IF(B498="","",IF(E498="KXDDM","KXDDM – không ĐM",IF(E498&lt;&gt;"","Không KT ("&amp;E498&amp;")",IF(OR(K498="",L498=""),"Xem xét",IF(MAX(ABS(K498),ABS(L498))&lt;=ThongTin!$C$12,"OK","Xem xét")))))</f>
        <v/>
      </c>
    </row>
    <row r="499" spans="1:13" x14ac:dyDescent="0.25">
      <c r="A499" s="35" t="str">
        <f t="shared" si="35"/>
        <v/>
      </c>
      <c r="B499" s="35" t="str">
        <f>IF(BOM!A499="","",BOM!A499)</f>
        <v/>
      </c>
      <c r="C499" s="35" t="str">
        <f>IF(B499="","",BOM!B499)</f>
        <v/>
      </c>
      <c r="D499" s="35" t="str">
        <f>IF(B499="","",KT_DMTT_ChiTiet!E499)</f>
        <v/>
      </c>
      <c r="E499" s="36" t="str">
        <f>IF(B499="","",BOM!G499&amp;"")</f>
        <v/>
      </c>
      <c r="F499" s="39" t="str">
        <f>IF(B499="","",BOM!E499)</f>
        <v/>
      </c>
      <c r="G499" s="39" t="str">
        <f>IF(OR(B499="",E499="KXDDM"),"",BOM!F499)</f>
        <v/>
      </c>
      <c r="H499" s="39" t="str">
        <f>IF(OR(B499="",E499&lt;&gt;""),"",IFERROR(INDEX(KT_nguoc_theo_NL!$J$5:$J$304,MATCH(C499,KT_nguoc_theo_NL!$B$5:$B$304,0))/INDEX(KT_nguoc_theo_NL!$K$5:$K$304,MATCH(C499,KT_nguoc_theo_NL!$B$5:$B$304,0)),""))</f>
        <v/>
      </c>
      <c r="I499" s="39" t="str">
        <f t="shared" si="36"/>
        <v/>
      </c>
      <c r="J499" s="46" t="str">
        <f t="shared" si="37"/>
        <v/>
      </c>
      <c r="K499" s="46" t="str">
        <f t="shared" si="38"/>
        <v/>
      </c>
      <c r="L499" s="46" t="str">
        <f t="shared" si="39"/>
        <v/>
      </c>
      <c r="M499" s="35" t="str">
        <f>IF(B499="","",IF(E499="KXDDM","KXDDM – không ĐM",IF(E499&lt;&gt;"","Không KT ("&amp;E499&amp;")",IF(OR(K499="",L499=""),"Xem xét",IF(MAX(ABS(K499),ABS(L499))&lt;=ThongTin!$C$12,"OK","Xem xét")))))</f>
        <v/>
      </c>
    </row>
    <row r="500" spans="1:13" x14ac:dyDescent="0.25">
      <c r="A500" s="35" t="str">
        <f t="shared" si="35"/>
        <v/>
      </c>
      <c r="B500" s="35" t="str">
        <f>IF(BOM!A500="","",BOM!A500)</f>
        <v/>
      </c>
      <c r="C500" s="35" t="str">
        <f>IF(B500="","",BOM!B500)</f>
        <v/>
      </c>
      <c r="D500" s="35" t="str">
        <f>IF(B500="","",KT_DMTT_ChiTiet!E500)</f>
        <v/>
      </c>
      <c r="E500" s="36" t="str">
        <f>IF(B500="","",BOM!G500&amp;"")</f>
        <v/>
      </c>
      <c r="F500" s="39" t="str">
        <f>IF(B500="","",BOM!E500)</f>
        <v/>
      </c>
      <c r="G500" s="39" t="str">
        <f>IF(OR(B500="",E500="KXDDM"),"",BOM!F500)</f>
        <v/>
      </c>
      <c r="H500" s="39" t="str">
        <f>IF(OR(B500="",E500&lt;&gt;""),"",IFERROR(INDEX(KT_nguoc_theo_NL!$J$5:$J$304,MATCH(C500,KT_nguoc_theo_NL!$B$5:$B$304,0))/INDEX(KT_nguoc_theo_NL!$K$5:$K$304,MATCH(C500,KT_nguoc_theo_NL!$B$5:$B$304,0)),""))</f>
        <v/>
      </c>
      <c r="I500" s="39" t="str">
        <f t="shared" si="36"/>
        <v/>
      </c>
      <c r="J500" s="46" t="str">
        <f t="shared" si="37"/>
        <v/>
      </c>
      <c r="K500" s="46" t="str">
        <f t="shared" si="38"/>
        <v/>
      </c>
      <c r="L500" s="46" t="str">
        <f t="shared" si="39"/>
        <v/>
      </c>
      <c r="M500" s="35" t="str">
        <f>IF(B500="","",IF(E500="KXDDM","KXDDM – không ĐM",IF(E500&lt;&gt;"","Không KT ("&amp;E500&amp;")",IF(OR(K500="",L500=""),"Xem xét",IF(MAX(ABS(K500),ABS(L500))&lt;=ThongTin!$C$12,"OK","Xem xét")))))</f>
        <v/>
      </c>
    </row>
    <row r="501" spans="1:13" x14ac:dyDescent="0.25">
      <c r="A501" s="35" t="str">
        <f t="shared" si="35"/>
        <v/>
      </c>
      <c r="B501" s="35" t="str">
        <f>IF(BOM!A501="","",BOM!A501)</f>
        <v/>
      </c>
      <c r="C501" s="35" t="str">
        <f>IF(B501="","",BOM!B501)</f>
        <v/>
      </c>
      <c r="D501" s="35" t="str">
        <f>IF(B501="","",KT_DMTT_ChiTiet!E501)</f>
        <v/>
      </c>
      <c r="E501" s="36" t="str">
        <f>IF(B501="","",BOM!G501&amp;"")</f>
        <v/>
      </c>
      <c r="F501" s="39" t="str">
        <f>IF(B501="","",BOM!E501)</f>
        <v/>
      </c>
      <c r="G501" s="39" t="str">
        <f>IF(OR(B501="",E501="KXDDM"),"",BOM!F501)</f>
        <v/>
      </c>
      <c r="H501" s="39" t="str">
        <f>IF(OR(B501="",E501&lt;&gt;""),"",IFERROR(INDEX(KT_nguoc_theo_NL!$J$5:$J$304,MATCH(C501,KT_nguoc_theo_NL!$B$5:$B$304,0))/INDEX(KT_nguoc_theo_NL!$K$5:$K$304,MATCH(C501,KT_nguoc_theo_NL!$B$5:$B$304,0)),""))</f>
        <v/>
      </c>
      <c r="I501" s="39" t="str">
        <f t="shared" si="36"/>
        <v/>
      </c>
      <c r="J501" s="46" t="str">
        <f t="shared" si="37"/>
        <v/>
      </c>
      <c r="K501" s="46" t="str">
        <f t="shared" si="38"/>
        <v/>
      </c>
      <c r="L501" s="46" t="str">
        <f t="shared" si="39"/>
        <v/>
      </c>
      <c r="M501" s="35" t="str">
        <f>IF(B501="","",IF(E501="KXDDM","KXDDM – không ĐM",IF(E501&lt;&gt;"","Không KT ("&amp;E501&amp;")",IF(OR(K501="",L501=""),"Xem xét",IF(MAX(ABS(K501),ABS(L501))&lt;=ThongTin!$C$12,"OK","Xem xét")))))</f>
        <v/>
      </c>
    </row>
    <row r="502" spans="1:13" x14ac:dyDescent="0.25">
      <c r="A502" s="35" t="str">
        <f t="shared" si="35"/>
        <v/>
      </c>
      <c r="B502" s="35" t="str">
        <f>IF(BOM!A502="","",BOM!A502)</f>
        <v/>
      </c>
      <c r="C502" s="35" t="str">
        <f>IF(B502="","",BOM!B502)</f>
        <v/>
      </c>
      <c r="D502" s="35" t="str">
        <f>IF(B502="","",KT_DMTT_ChiTiet!E502)</f>
        <v/>
      </c>
      <c r="E502" s="36" t="str">
        <f>IF(B502="","",BOM!G502&amp;"")</f>
        <v/>
      </c>
      <c r="F502" s="39" t="str">
        <f>IF(B502="","",BOM!E502)</f>
        <v/>
      </c>
      <c r="G502" s="39" t="str">
        <f>IF(OR(B502="",E502="KXDDM"),"",BOM!F502)</f>
        <v/>
      </c>
      <c r="H502" s="39" t="str">
        <f>IF(OR(B502="",E502&lt;&gt;""),"",IFERROR(INDEX(KT_nguoc_theo_NL!$J$5:$J$304,MATCH(C502,KT_nguoc_theo_NL!$B$5:$B$304,0))/INDEX(KT_nguoc_theo_NL!$K$5:$K$304,MATCH(C502,KT_nguoc_theo_NL!$B$5:$B$304,0)),""))</f>
        <v/>
      </c>
      <c r="I502" s="39" t="str">
        <f t="shared" si="36"/>
        <v/>
      </c>
      <c r="J502" s="46" t="str">
        <f t="shared" si="37"/>
        <v/>
      </c>
      <c r="K502" s="46" t="str">
        <f t="shared" si="38"/>
        <v/>
      </c>
      <c r="L502" s="46" t="str">
        <f t="shared" si="39"/>
        <v/>
      </c>
      <c r="M502" s="35" t="str">
        <f>IF(B502="","",IF(E502="KXDDM","KXDDM – không ĐM",IF(E502&lt;&gt;"","Không KT ("&amp;E502&amp;")",IF(OR(K502="",L502=""),"Xem xét",IF(MAX(ABS(K502),ABS(L502))&lt;=ThongTin!$C$12,"OK","Xem xét")))))</f>
        <v/>
      </c>
    </row>
    <row r="503" spans="1:13" x14ac:dyDescent="0.25">
      <c r="A503" s="35" t="str">
        <f t="shared" si="35"/>
        <v/>
      </c>
      <c r="B503" s="35" t="str">
        <f>IF(BOM!A503="","",BOM!A503)</f>
        <v/>
      </c>
      <c r="C503" s="35" t="str">
        <f>IF(B503="","",BOM!B503)</f>
        <v/>
      </c>
      <c r="D503" s="35" t="str">
        <f>IF(B503="","",KT_DMTT_ChiTiet!E503)</f>
        <v/>
      </c>
      <c r="E503" s="36" t="str">
        <f>IF(B503="","",BOM!G503&amp;"")</f>
        <v/>
      </c>
      <c r="F503" s="39" t="str">
        <f>IF(B503="","",BOM!E503)</f>
        <v/>
      </c>
      <c r="G503" s="39" t="str">
        <f>IF(OR(B503="",E503="KXDDM"),"",BOM!F503)</f>
        <v/>
      </c>
      <c r="H503" s="39" t="str">
        <f>IF(OR(B503="",E503&lt;&gt;""),"",IFERROR(INDEX(KT_nguoc_theo_NL!$J$5:$J$304,MATCH(C503,KT_nguoc_theo_NL!$B$5:$B$304,0))/INDEX(KT_nguoc_theo_NL!$K$5:$K$304,MATCH(C503,KT_nguoc_theo_NL!$B$5:$B$304,0)),""))</f>
        <v/>
      </c>
      <c r="I503" s="39" t="str">
        <f t="shared" si="36"/>
        <v/>
      </c>
      <c r="J503" s="46" t="str">
        <f t="shared" si="37"/>
        <v/>
      </c>
      <c r="K503" s="46" t="str">
        <f t="shared" si="38"/>
        <v/>
      </c>
      <c r="L503" s="46" t="str">
        <f t="shared" si="39"/>
        <v/>
      </c>
      <c r="M503" s="35" t="str">
        <f>IF(B503="","",IF(E503="KXDDM","KXDDM – không ĐM",IF(E503&lt;&gt;"","Không KT ("&amp;E503&amp;")",IF(OR(K503="",L503=""),"Xem xét",IF(MAX(ABS(K503),ABS(L503))&lt;=ThongTin!$C$12,"OK","Xem xét")))))</f>
        <v/>
      </c>
    </row>
    <row r="504" spans="1:13" x14ac:dyDescent="0.25">
      <c r="A504" s="35" t="str">
        <f t="shared" si="35"/>
        <v/>
      </c>
      <c r="B504" s="35" t="str">
        <f>IF(BOM!A504="","",BOM!A504)</f>
        <v/>
      </c>
      <c r="C504" s="35" t="str">
        <f>IF(B504="","",BOM!B504)</f>
        <v/>
      </c>
      <c r="D504" s="35" t="str">
        <f>IF(B504="","",KT_DMTT_ChiTiet!E504)</f>
        <v/>
      </c>
      <c r="E504" s="36" t="str">
        <f>IF(B504="","",BOM!G504&amp;"")</f>
        <v/>
      </c>
      <c r="F504" s="39" t="str">
        <f>IF(B504="","",BOM!E504)</f>
        <v/>
      </c>
      <c r="G504" s="39" t="str">
        <f>IF(OR(B504="",E504="KXDDM"),"",BOM!F504)</f>
        <v/>
      </c>
      <c r="H504" s="39" t="str">
        <f>IF(OR(B504="",E504&lt;&gt;""),"",IFERROR(INDEX(KT_nguoc_theo_NL!$J$5:$J$304,MATCH(C504,KT_nguoc_theo_NL!$B$5:$B$304,0))/INDEX(KT_nguoc_theo_NL!$K$5:$K$304,MATCH(C504,KT_nguoc_theo_NL!$B$5:$B$304,0)),""))</f>
        <v/>
      </c>
      <c r="I504" s="39" t="str">
        <f t="shared" si="36"/>
        <v/>
      </c>
      <c r="J504" s="46" t="str">
        <f t="shared" si="37"/>
        <v/>
      </c>
      <c r="K504" s="46" t="str">
        <f t="shared" si="38"/>
        <v/>
      </c>
      <c r="L504" s="46" t="str">
        <f t="shared" si="39"/>
        <v/>
      </c>
      <c r="M504" s="35" t="str">
        <f>IF(B504="","",IF(E504="KXDDM","KXDDM – không ĐM",IF(E504&lt;&gt;"","Không KT ("&amp;E504&amp;")",IF(OR(K504="",L504=""),"Xem xét",IF(MAX(ABS(K504),ABS(L504))&lt;=ThongTin!$C$12,"OK","Xem xét")))))</f>
        <v/>
      </c>
    </row>
    <row r="505" spans="1:13" x14ac:dyDescent="0.25">
      <c r="A505" s="35" t="str">
        <f t="shared" si="35"/>
        <v/>
      </c>
      <c r="B505" s="35" t="str">
        <f>IF(BOM!A505="","",BOM!A505)</f>
        <v/>
      </c>
      <c r="C505" s="35" t="str">
        <f>IF(B505="","",BOM!B505)</f>
        <v/>
      </c>
      <c r="D505" s="35" t="str">
        <f>IF(B505="","",KT_DMTT_ChiTiet!E505)</f>
        <v/>
      </c>
      <c r="E505" s="36" t="str">
        <f>IF(B505="","",BOM!G505&amp;"")</f>
        <v/>
      </c>
      <c r="F505" s="39" t="str">
        <f>IF(B505="","",BOM!E505)</f>
        <v/>
      </c>
      <c r="G505" s="39" t="str">
        <f>IF(OR(B505="",E505="KXDDM"),"",BOM!F505)</f>
        <v/>
      </c>
      <c r="H505" s="39" t="str">
        <f>IF(OR(B505="",E505&lt;&gt;""),"",IFERROR(INDEX(KT_nguoc_theo_NL!$J$5:$J$304,MATCH(C505,KT_nguoc_theo_NL!$B$5:$B$304,0))/INDEX(KT_nguoc_theo_NL!$K$5:$K$304,MATCH(C505,KT_nguoc_theo_NL!$B$5:$B$304,0)),""))</f>
        <v/>
      </c>
      <c r="I505" s="39" t="str">
        <f t="shared" si="36"/>
        <v/>
      </c>
      <c r="J505" s="46" t="str">
        <f t="shared" si="37"/>
        <v/>
      </c>
      <c r="K505" s="46" t="str">
        <f t="shared" si="38"/>
        <v/>
      </c>
      <c r="L505" s="46" t="str">
        <f t="shared" si="39"/>
        <v/>
      </c>
      <c r="M505" s="35" t="str">
        <f>IF(B505="","",IF(E505="KXDDM","KXDDM – không ĐM",IF(E505&lt;&gt;"","Không KT ("&amp;E505&amp;")",IF(OR(K505="",L505=""),"Xem xét",IF(MAX(ABS(K505),ABS(L505))&lt;=ThongTin!$C$12,"OK","Xem xét")))))</f>
        <v/>
      </c>
    </row>
    <row r="506" spans="1:13" x14ac:dyDescent="0.25">
      <c r="A506" s="35" t="str">
        <f t="shared" si="35"/>
        <v/>
      </c>
      <c r="B506" s="35" t="str">
        <f>IF(BOM!A506="","",BOM!A506)</f>
        <v/>
      </c>
      <c r="C506" s="35" t="str">
        <f>IF(B506="","",BOM!B506)</f>
        <v/>
      </c>
      <c r="D506" s="35" t="str">
        <f>IF(B506="","",KT_DMTT_ChiTiet!E506)</f>
        <v/>
      </c>
      <c r="E506" s="36" t="str">
        <f>IF(B506="","",BOM!G506&amp;"")</f>
        <v/>
      </c>
      <c r="F506" s="39" t="str">
        <f>IF(B506="","",BOM!E506)</f>
        <v/>
      </c>
      <c r="G506" s="39" t="str">
        <f>IF(OR(B506="",E506="KXDDM"),"",BOM!F506)</f>
        <v/>
      </c>
      <c r="H506" s="39" t="str">
        <f>IF(OR(B506="",E506&lt;&gt;""),"",IFERROR(INDEX(KT_nguoc_theo_NL!$J$5:$J$304,MATCH(C506,KT_nguoc_theo_NL!$B$5:$B$304,0))/INDEX(KT_nguoc_theo_NL!$K$5:$K$304,MATCH(C506,KT_nguoc_theo_NL!$B$5:$B$304,0)),""))</f>
        <v/>
      </c>
      <c r="I506" s="39" t="str">
        <f t="shared" si="36"/>
        <v/>
      </c>
      <c r="J506" s="46" t="str">
        <f t="shared" si="37"/>
        <v/>
      </c>
      <c r="K506" s="46" t="str">
        <f t="shared" si="38"/>
        <v/>
      </c>
      <c r="L506" s="46" t="str">
        <f t="shared" si="39"/>
        <v/>
      </c>
      <c r="M506" s="35" t="str">
        <f>IF(B506="","",IF(E506="KXDDM","KXDDM – không ĐM",IF(E506&lt;&gt;"","Không KT ("&amp;E506&amp;")",IF(OR(K506="",L506=""),"Xem xét",IF(MAX(ABS(K506),ABS(L506))&lt;=ThongTin!$C$12,"OK","Xem xét")))))</f>
        <v/>
      </c>
    </row>
    <row r="507" spans="1:13" x14ac:dyDescent="0.25">
      <c r="A507" s="35" t="str">
        <f t="shared" si="35"/>
        <v/>
      </c>
      <c r="B507" s="35" t="str">
        <f>IF(BOM!A507="","",BOM!A507)</f>
        <v/>
      </c>
      <c r="C507" s="35" t="str">
        <f>IF(B507="","",BOM!B507)</f>
        <v/>
      </c>
      <c r="D507" s="35" t="str">
        <f>IF(B507="","",KT_DMTT_ChiTiet!E507)</f>
        <v/>
      </c>
      <c r="E507" s="36" t="str">
        <f>IF(B507="","",BOM!G507&amp;"")</f>
        <v/>
      </c>
      <c r="F507" s="39" t="str">
        <f>IF(B507="","",BOM!E507)</f>
        <v/>
      </c>
      <c r="G507" s="39" t="str">
        <f>IF(OR(B507="",E507="KXDDM"),"",BOM!F507)</f>
        <v/>
      </c>
      <c r="H507" s="39" t="str">
        <f>IF(OR(B507="",E507&lt;&gt;""),"",IFERROR(INDEX(KT_nguoc_theo_NL!$J$5:$J$304,MATCH(C507,KT_nguoc_theo_NL!$B$5:$B$304,0))/INDEX(KT_nguoc_theo_NL!$K$5:$K$304,MATCH(C507,KT_nguoc_theo_NL!$B$5:$B$304,0)),""))</f>
        <v/>
      </c>
      <c r="I507" s="39" t="str">
        <f t="shared" si="36"/>
        <v/>
      </c>
      <c r="J507" s="46" t="str">
        <f t="shared" si="37"/>
        <v/>
      </c>
      <c r="K507" s="46" t="str">
        <f t="shared" si="38"/>
        <v/>
      </c>
      <c r="L507" s="46" t="str">
        <f t="shared" si="39"/>
        <v/>
      </c>
      <c r="M507" s="35" t="str">
        <f>IF(B507="","",IF(E507="KXDDM","KXDDM – không ĐM",IF(E507&lt;&gt;"","Không KT ("&amp;E507&amp;")",IF(OR(K507="",L507=""),"Xem xét",IF(MAX(ABS(K507),ABS(L507))&lt;=ThongTin!$C$12,"OK","Xem xét")))))</f>
        <v/>
      </c>
    </row>
    <row r="508" spans="1:13" x14ac:dyDescent="0.25">
      <c r="A508" s="35" t="str">
        <f t="shared" si="35"/>
        <v/>
      </c>
      <c r="B508" s="35" t="str">
        <f>IF(BOM!A508="","",BOM!A508)</f>
        <v/>
      </c>
      <c r="C508" s="35" t="str">
        <f>IF(B508="","",BOM!B508)</f>
        <v/>
      </c>
      <c r="D508" s="35" t="str">
        <f>IF(B508="","",KT_DMTT_ChiTiet!E508)</f>
        <v/>
      </c>
      <c r="E508" s="36" t="str">
        <f>IF(B508="","",BOM!G508&amp;"")</f>
        <v/>
      </c>
      <c r="F508" s="39" t="str">
        <f>IF(B508="","",BOM!E508)</f>
        <v/>
      </c>
      <c r="G508" s="39" t="str">
        <f>IF(OR(B508="",E508="KXDDM"),"",BOM!F508)</f>
        <v/>
      </c>
      <c r="H508" s="39" t="str">
        <f>IF(OR(B508="",E508&lt;&gt;""),"",IFERROR(INDEX(KT_nguoc_theo_NL!$J$5:$J$304,MATCH(C508,KT_nguoc_theo_NL!$B$5:$B$304,0))/INDEX(KT_nguoc_theo_NL!$K$5:$K$304,MATCH(C508,KT_nguoc_theo_NL!$B$5:$B$304,0)),""))</f>
        <v/>
      </c>
      <c r="I508" s="39" t="str">
        <f t="shared" si="36"/>
        <v/>
      </c>
      <c r="J508" s="46" t="str">
        <f t="shared" si="37"/>
        <v/>
      </c>
      <c r="K508" s="46" t="str">
        <f t="shared" si="38"/>
        <v/>
      </c>
      <c r="L508" s="46" t="str">
        <f t="shared" si="39"/>
        <v/>
      </c>
      <c r="M508" s="35" t="str">
        <f>IF(B508="","",IF(E508="KXDDM","KXDDM – không ĐM",IF(E508&lt;&gt;"","Không KT ("&amp;E508&amp;")",IF(OR(K508="",L508=""),"Xem xét",IF(MAX(ABS(K508),ABS(L508))&lt;=ThongTin!$C$12,"OK","Xem xét")))))</f>
        <v/>
      </c>
    </row>
    <row r="509" spans="1:13" x14ac:dyDescent="0.25">
      <c r="A509" s="35" t="str">
        <f t="shared" si="35"/>
        <v/>
      </c>
      <c r="B509" s="35" t="str">
        <f>IF(BOM!A509="","",BOM!A509)</f>
        <v/>
      </c>
      <c r="C509" s="35" t="str">
        <f>IF(B509="","",BOM!B509)</f>
        <v/>
      </c>
      <c r="D509" s="35" t="str">
        <f>IF(B509="","",KT_DMTT_ChiTiet!E509)</f>
        <v/>
      </c>
      <c r="E509" s="36" t="str">
        <f>IF(B509="","",BOM!G509&amp;"")</f>
        <v/>
      </c>
      <c r="F509" s="39" t="str">
        <f>IF(B509="","",BOM!E509)</f>
        <v/>
      </c>
      <c r="G509" s="39" t="str">
        <f>IF(OR(B509="",E509="KXDDM"),"",BOM!F509)</f>
        <v/>
      </c>
      <c r="H509" s="39" t="str">
        <f>IF(OR(B509="",E509&lt;&gt;""),"",IFERROR(INDEX(KT_nguoc_theo_NL!$J$5:$J$304,MATCH(C509,KT_nguoc_theo_NL!$B$5:$B$304,0))/INDEX(KT_nguoc_theo_NL!$K$5:$K$304,MATCH(C509,KT_nguoc_theo_NL!$B$5:$B$304,0)),""))</f>
        <v/>
      </c>
      <c r="I509" s="39" t="str">
        <f t="shared" si="36"/>
        <v/>
      </c>
      <c r="J509" s="46" t="str">
        <f t="shared" si="37"/>
        <v/>
      </c>
      <c r="K509" s="46" t="str">
        <f t="shared" si="38"/>
        <v/>
      </c>
      <c r="L509" s="46" t="str">
        <f t="shared" si="39"/>
        <v/>
      </c>
      <c r="M509" s="35" t="str">
        <f>IF(B509="","",IF(E509="KXDDM","KXDDM – không ĐM",IF(E509&lt;&gt;"","Không KT ("&amp;E509&amp;")",IF(OR(K509="",L509=""),"Xem xét",IF(MAX(ABS(K509),ABS(L509))&lt;=ThongTin!$C$12,"OK","Xem xét")))))</f>
        <v/>
      </c>
    </row>
    <row r="510" spans="1:13" x14ac:dyDescent="0.25">
      <c r="A510" s="35" t="str">
        <f t="shared" si="35"/>
        <v/>
      </c>
      <c r="B510" s="35" t="str">
        <f>IF(BOM!A510="","",BOM!A510)</f>
        <v/>
      </c>
      <c r="C510" s="35" t="str">
        <f>IF(B510="","",BOM!B510)</f>
        <v/>
      </c>
      <c r="D510" s="35" t="str">
        <f>IF(B510="","",KT_DMTT_ChiTiet!E510)</f>
        <v/>
      </c>
      <c r="E510" s="36" t="str">
        <f>IF(B510="","",BOM!G510&amp;"")</f>
        <v/>
      </c>
      <c r="F510" s="39" t="str">
        <f>IF(B510="","",BOM!E510)</f>
        <v/>
      </c>
      <c r="G510" s="39" t="str">
        <f>IF(OR(B510="",E510="KXDDM"),"",BOM!F510)</f>
        <v/>
      </c>
      <c r="H510" s="39" t="str">
        <f>IF(OR(B510="",E510&lt;&gt;""),"",IFERROR(INDEX(KT_nguoc_theo_NL!$J$5:$J$304,MATCH(C510,KT_nguoc_theo_NL!$B$5:$B$304,0))/INDEX(KT_nguoc_theo_NL!$K$5:$K$304,MATCH(C510,KT_nguoc_theo_NL!$B$5:$B$304,0)),""))</f>
        <v/>
      </c>
      <c r="I510" s="39" t="str">
        <f t="shared" si="36"/>
        <v/>
      </c>
      <c r="J510" s="46" t="str">
        <f t="shared" si="37"/>
        <v/>
      </c>
      <c r="K510" s="46" t="str">
        <f t="shared" si="38"/>
        <v/>
      </c>
      <c r="L510" s="46" t="str">
        <f t="shared" si="39"/>
        <v/>
      </c>
      <c r="M510" s="35" t="str">
        <f>IF(B510="","",IF(E510="KXDDM","KXDDM – không ĐM",IF(E510&lt;&gt;"","Không KT ("&amp;E510&amp;")",IF(OR(K510="",L510=""),"Xem xét",IF(MAX(ABS(K510),ABS(L510))&lt;=ThongTin!$C$12,"OK","Xem xét")))))</f>
        <v/>
      </c>
    </row>
    <row r="511" spans="1:13" x14ac:dyDescent="0.25">
      <c r="A511" s="35" t="str">
        <f t="shared" si="35"/>
        <v/>
      </c>
      <c r="B511" s="35" t="str">
        <f>IF(BOM!A511="","",BOM!A511)</f>
        <v/>
      </c>
      <c r="C511" s="35" t="str">
        <f>IF(B511="","",BOM!B511)</f>
        <v/>
      </c>
      <c r="D511" s="35" t="str">
        <f>IF(B511="","",KT_DMTT_ChiTiet!E511)</f>
        <v/>
      </c>
      <c r="E511" s="36" t="str">
        <f>IF(B511="","",BOM!G511&amp;"")</f>
        <v/>
      </c>
      <c r="F511" s="39" t="str">
        <f>IF(B511="","",BOM!E511)</f>
        <v/>
      </c>
      <c r="G511" s="39" t="str">
        <f>IF(OR(B511="",E511="KXDDM"),"",BOM!F511)</f>
        <v/>
      </c>
      <c r="H511" s="39" t="str">
        <f>IF(OR(B511="",E511&lt;&gt;""),"",IFERROR(INDEX(KT_nguoc_theo_NL!$J$5:$J$304,MATCH(C511,KT_nguoc_theo_NL!$B$5:$B$304,0))/INDEX(KT_nguoc_theo_NL!$K$5:$K$304,MATCH(C511,KT_nguoc_theo_NL!$B$5:$B$304,0)),""))</f>
        <v/>
      </c>
      <c r="I511" s="39" t="str">
        <f t="shared" si="36"/>
        <v/>
      </c>
      <c r="J511" s="46" t="str">
        <f t="shared" si="37"/>
        <v/>
      </c>
      <c r="K511" s="46" t="str">
        <f t="shared" si="38"/>
        <v/>
      </c>
      <c r="L511" s="46" t="str">
        <f t="shared" si="39"/>
        <v/>
      </c>
      <c r="M511" s="35" t="str">
        <f>IF(B511="","",IF(E511="KXDDM","KXDDM – không ĐM",IF(E511&lt;&gt;"","Không KT ("&amp;E511&amp;")",IF(OR(K511="",L511=""),"Xem xét",IF(MAX(ABS(K511),ABS(L511))&lt;=ThongTin!$C$12,"OK","Xem xét")))))</f>
        <v/>
      </c>
    </row>
    <row r="512" spans="1:13" x14ac:dyDescent="0.25">
      <c r="A512" s="35" t="str">
        <f t="shared" si="35"/>
        <v/>
      </c>
      <c r="B512" s="35" t="str">
        <f>IF(BOM!A512="","",BOM!A512)</f>
        <v/>
      </c>
      <c r="C512" s="35" t="str">
        <f>IF(B512="","",BOM!B512)</f>
        <v/>
      </c>
      <c r="D512" s="35" t="str">
        <f>IF(B512="","",KT_DMTT_ChiTiet!E512)</f>
        <v/>
      </c>
      <c r="E512" s="36" t="str">
        <f>IF(B512="","",BOM!G512&amp;"")</f>
        <v/>
      </c>
      <c r="F512" s="39" t="str">
        <f>IF(B512="","",BOM!E512)</f>
        <v/>
      </c>
      <c r="G512" s="39" t="str">
        <f>IF(OR(B512="",E512="KXDDM"),"",BOM!F512)</f>
        <v/>
      </c>
      <c r="H512" s="39" t="str">
        <f>IF(OR(B512="",E512&lt;&gt;""),"",IFERROR(INDEX(KT_nguoc_theo_NL!$J$5:$J$304,MATCH(C512,KT_nguoc_theo_NL!$B$5:$B$304,0))/INDEX(KT_nguoc_theo_NL!$K$5:$K$304,MATCH(C512,KT_nguoc_theo_NL!$B$5:$B$304,0)),""))</f>
        <v/>
      </c>
      <c r="I512" s="39" t="str">
        <f t="shared" si="36"/>
        <v/>
      </c>
      <c r="J512" s="46" t="str">
        <f t="shared" si="37"/>
        <v/>
      </c>
      <c r="K512" s="46" t="str">
        <f t="shared" si="38"/>
        <v/>
      </c>
      <c r="L512" s="46" t="str">
        <f t="shared" si="39"/>
        <v/>
      </c>
      <c r="M512" s="35" t="str">
        <f>IF(B512="","",IF(E512="KXDDM","KXDDM – không ĐM",IF(E512&lt;&gt;"","Không KT ("&amp;E512&amp;")",IF(OR(K512="",L512=""),"Xem xét",IF(MAX(ABS(K512),ABS(L512))&lt;=ThongTin!$C$12,"OK","Xem xét")))))</f>
        <v/>
      </c>
    </row>
    <row r="513" spans="1:13" x14ac:dyDescent="0.25">
      <c r="A513" s="35" t="str">
        <f t="shared" si="35"/>
        <v/>
      </c>
      <c r="B513" s="35" t="str">
        <f>IF(BOM!A513="","",BOM!A513)</f>
        <v/>
      </c>
      <c r="C513" s="35" t="str">
        <f>IF(B513="","",BOM!B513)</f>
        <v/>
      </c>
      <c r="D513" s="35" t="str">
        <f>IF(B513="","",KT_DMTT_ChiTiet!E513)</f>
        <v/>
      </c>
      <c r="E513" s="36" t="str">
        <f>IF(B513="","",BOM!G513&amp;"")</f>
        <v/>
      </c>
      <c r="F513" s="39" t="str">
        <f>IF(B513="","",BOM!E513)</f>
        <v/>
      </c>
      <c r="G513" s="39" t="str">
        <f>IF(OR(B513="",E513="KXDDM"),"",BOM!F513)</f>
        <v/>
      </c>
      <c r="H513" s="39" t="str">
        <f>IF(OR(B513="",E513&lt;&gt;""),"",IFERROR(INDEX(KT_nguoc_theo_NL!$J$5:$J$304,MATCH(C513,KT_nguoc_theo_NL!$B$5:$B$304,0))/INDEX(KT_nguoc_theo_NL!$K$5:$K$304,MATCH(C513,KT_nguoc_theo_NL!$B$5:$B$304,0)),""))</f>
        <v/>
      </c>
      <c r="I513" s="39" t="str">
        <f t="shared" si="36"/>
        <v/>
      </c>
      <c r="J513" s="46" t="str">
        <f t="shared" si="37"/>
        <v/>
      </c>
      <c r="K513" s="46" t="str">
        <f t="shared" si="38"/>
        <v/>
      </c>
      <c r="L513" s="46" t="str">
        <f t="shared" si="39"/>
        <v/>
      </c>
      <c r="M513" s="35" t="str">
        <f>IF(B513="","",IF(E513="KXDDM","KXDDM – không ĐM",IF(E513&lt;&gt;"","Không KT ("&amp;E513&amp;")",IF(OR(K513="",L513=""),"Xem xét",IF(MAX(ABS(K513),ABS(L513))&lt;=ThongTin!$C$12,"OK","Xem xét")))))</f>
        <v/>
      </c>
    </row>
    <row r="514" spans="1:13" x14ac:dyDescent="0.25">
      <c r="A514" s="35" t="str">
        <f t="shared" si="35"/>
        <v/>
      </c>
      <c r="B514" s="35" t="str">
        <f>IF(BOM!A514="","",BOM!A514)</f>
        <v/>
      </c>
      <c r="C514" s="35" t="str">
        <f>IF(B514="","",BOM!B514)</f>
        <v/>
      </c>
      <c r="D514" s="35" t="str">
        <f>IF(B514="","",KT_DMTT_ChiTiet!E514)</f>
        <v/>
      </c>
      <c r="E514" s="36" t="str">
        <f>IF(B514="","",BOM!G514&amp;"")</f>
        <v/>
      </c>
      <c r="F514" s="39" t="str">
        <f>IF(B514="","",BOM!E514)</f>
        <v/>
      </c>
      <c r="G514" s="39" t="str">
        <f>IF(OR(B514="",E514="KXDDM"),"",BOM!F514)</f>
        <v/>
      </c>
      <c r="H514" s="39" t="str">
        <f>IF(OR(B514="",E514&lt;&gt;""),"",IFERROR(INDEX(KT_nguoc_theo_NL!$J$5:$J$304,MATCH(C514,KT_nguoc_theo_NL!$B$5:$B$304,0))/INDEX(KT_nguoc_theo_NL!$K$5:$K$304,MATCH(C514,KT_nguoc_theo_NL!$B$5:$B$304,0)),""))</f>
        <v/>
      </c>
      <c r="I514" s="39" t="str">
        <f t="shared" si="36"/>
        <v/>
      </c>
      <c r="J514" s="46" t="str">
        <f t="shared" si="37"/>
        <v/>
      </c>
      <c r="K514" s="46" t="str">
        <f t="shared" si="38"/>
        <v/>
      </c>
      <c r="L514" s="46" t="str">
        <f t="shared" si="39"/>
        <v/>
      </c>
      <c r="M514" s="35" t="str">
        <f>IF(B514="","",IF(E514="KXDDM","KXDDM – không ĐM",IF(E514&lt;&gt;"","Không KT ("&amp;E514&amp;")",IF(OR(K514="",L514=""),"Xem xét",IF(MAX(ABS(K514),ABS(L514))&lt;=ThongTin!$C$12,"OK","Xem xét")))))</f>
        <v/>
      </c>
    </row>
    <row r="515" spans="1:13" x14ac:dyDescent="0.25">
      <c r="A515" s="35" t="str">
        <f t="shared" si="35"/>
        <v/>
      </c>
      <c r="B515" s="35" t="str">
        <f>IF(BOM!A515="","",BOM!A515)</f>
        <v/>
      </c>
      <c r="C515" s="35" t="str">
        <f>IF(B515="","",BOM!B515)</f>
        <v/>
      </c>
      <c r="D515" s="35" t="str">
        <f>IF(B515="","",KT_DMTT_ChiTiet!E515)</f>
        <v/>
      </c>
      <c r="E515" s="36" t="str">
        <f>IF(B515="","",BOM!G515&amp;"")</f>
        <v/>
      </c>
      <c r="F515" s="39" t="str">
        <f>IF(B515="","",BOM!E515)</f>
        <v/>
      </c>
      <c r="G515" s="39" t="str">
        <f>IF(OR(B515="",E515="KXDDM"),"",BOM!F515)</f>
        <v/>
      </c>
      <c r="H515" s="39" t="str">
        <f>IF(OR(B515="",E515&lt;&gt;""),"",IFERROR(INDEX(KT_nguoc_theo_NL!$J$5:$J$304,MATCH(C515,KT_nguoc_theo_NL!$B$5:$B$304,0))/INDEX(KT_nguoc_theo_NL!$K$5:$K$304,MATCH(C515,KT_nguoc_theo_NL!$B$5:$B$304,0)),""))</f>
        <v/>
      </c>
      <c r="I515" s="39" t="str">
        <f t="shared" si="36"/>
        <v/>
      </c>
      <c r="J515" s="46" t="str">
        <f t="shared" si="37"/>
        <v/>
      </c>
      <c r="K515" s="46" t="str">
        <f t="shared" si="38"/>
        <v/>
      </c>
      <c r="L515" s="46" t="str">
        <f t="shared" si="39"/>
        <v/>
      </c>
      <c r="M515" s="35" t="str">
        <f>IF(B515="","",IF(E515="KXDDM","KXDDM – không ĐM",IF(E515&lt;&gt;"","Không KT ("&amp;E515&amp;")",IF(OR(K515="",L515=""),"Xem xét",IF(MAX(ABS(K515),ABS(L515))&lt;=ThongTin!$C$12,"OK","Xem xét")))))</f>
        <v/>
      </c>
    </row>
    <row r="516" spans="1:13" x14ac:dyDescent="0.25">
      <c r="A516" s="35" t="str">
        <f t="shared" si="35"/>
        <v/>
      </c>
      <c r="B516" s="35" t="str">
        <f>IF(BOM!A516="","",BOM!A516)</f>
        <v/>
      </c>
      <c r="C516" s="35" t="str">
        <f>IF(B516="","",BOM!B516)</f>
        <v/>
      </c>
      <c r="D516" s="35" t="str">
        <f>IF(B516="","",KT_DMTT_ChiTiet!E516)</f>
        <v/>
      </c>
      <c r="E516" s="36" t="str">
        <f>IF(B516="","",BOM!G516&amp;"")</f>
        <v/>
      </c>
      <c r="F516" s="39" t="str">
        <f>IF(B516="","",BOM!E516)</f>
        <v/>
      </c>
      <c r="G516" s="39" t="str">
        <f>IF(OR(B516="",E516="KXDDM"),"",BOM!F516)</f>
        <v/>
      </c>
      <c r="H516" s="39" t="str">
        <f>IF(OR(B516="",E516&lt;&gt;""),"",IFERROR(INDEX(KT_nguoc_theo_NL!$J$5:$J$304,MATCH(C516,KT_nguoc_theo_NL!$B$5:$B$304,0))/INDEX(KT_nguoc_theo_NL!$K$5:$K$304,MATCH(C516,KT_nguoc_theo_NL!$B$5:$B$304,0)),""))</f>
        <v/>
      </c>
      <c r="I516" s="39" t="str">
        <f t="shared" si="36"/>
        <v/>
      </c>
      <c r="J516" s="46" t="str">
        <f t="shared" si="37"/>
        <v/>
      </c>
      <c r="K516" s="46" t="str">
        <f t="shared" si="38"/>
        <v/>
      </c>
      <c r="L516" s="46" t="str">
        <f t="shared" si="39"/>
        <v/>
      </c>
      <c r="M516" s="35" t="str">
        <f>IF(B516="","",IF(E516="KXDDM","KXDDM – không ĐM",IF(E516&lt;&gt;"","Không KT ("&amp;E516&amp;")",IF(OR(K516="",L516=""),"Xem xét",IF(MAX(ABS(K516),ABS(L516))&lt;=ThongTin!$C$12,"OK","Xem xét")))))</f>
        <v/>
      </c>
    </row>
    <row r="517" spans="1:13" x14ac:dyDescent="0.25">
      <c r="A517" s="35" t="str">
        <f t="shared" ref="A517:A580" si="40">IF(B517="","",ROW()-4)</f>
        <v/>
      </c>
      <c r="B517" s="35" t="str">
        <f>IF(BOM!A517="","",BOM!A517)</f>
        <v/>
      </c>
      <c r="C517" s="35" t="str">
        <f>IF(B517="","",BOM!B517)</f>
        <v/>
      </c>
      <c r="D517" s="35" t="str">
        <f>IF(B517="","",KT_DMTT_ChiTiet!E517)</f>
        <v/>
      </c>
      <c r="E517" s="36" t="str">
        <f>IF(B517="","",BOM!G517&amp;"")</f>
        <v/>
      </c>
      <c r="F517" s="39" t="str">
        <f>IF(B517="","",BOM!E517)</f>
        <v/>
      </c>
      <c r="G517" s="39" t="str">
        <f>IF(OR(B517="",E517="KXDDM"),"",BOM!F517)</f>
        <v/>
      </c>
      <c r="H517" s="39" t="str">
        <f>IF(OR(B517="",E517&lt;&gt;""),"",IFERROR(INDEX(KT_nguoc_theo_NL!$J$5:$J$304,MATCH(C517,KT_nguoc_theo_NL!$B$5:$B$304,0))/INDEX(KT_nguoc_theo_NL!$K$5:$K$304,MATCH(C517,KT_nguoc_theo_NL!$B$5:$B$304,0)),""))</f>
        <v/>
      </c>
      <c r="I517" s="39" t="str">
        <f t="shared" ref="I517:I580" si="41">IF(OR(H517="",G517=""),"",G517*H517)</f>
        <v/>
      </c>
      <c r="J517" s="46" t="str">
        <f t="shared" ref="J517:J580" si="42">IF(OR(I517="",I517=0),"",(G517-I517)/I517)</f>
        <v/>
      </c>
      <c r="K517" s="46" t="str">
        <f t="shared" ref="K517:K580" si="43">IF(OR(G517="",F517="",F517=0),"",(G517-F517)/F517)</f>
        <v/>
      </c>
      <c r="L517" s="46" t="str">
        <f t="shared" ref="L517:L580" si="44">IF(OR(I517="",F517="",F517=0),"",(I517-F517)/F517)</f>
        <v/>
      </c>
      <c r="M517" s="35" t="str">
        <f>IF(B517="","",IF(E517="KXDDM","KXDDM – không ĐM",IF(E517&lt;&gt;"","Không KT ("&amp;E517&amp;")",IF(OR(K517="",L517=""),"Xem xét",IF(MAX(ABS(K517),ABS(L517))&lt;=ThongTin!$C$12,"OK","Xem xét")))))</f>
        <v/>
      </c>
    </row>
    <row r="518" spans="1:13" x14ac:dyDescent="0.25">
      <c r="A518" s="35" t="str">
        <f t="shared" si="40"/>
        <v/>
      </c>
      <c r="B518" s="35" t="str">
        <f>IF(BOM!A518="","",BOM!A518)</f>
        <v/>
      </c>
      <c r="C518" s="35" t="str">
        <f>IF(B518="","",BOM!B518)</f>
        <v/>
      </c>
      <c r="D518" s="35" t="str">
        <f>IF(B518="","",KT_DMTT_ChiTiet!E518)</f>
        <v/>
      </c>
      <c r="E518" s="36" t="str">
        <f>IF(B518="","",BOM!G518&amp;"")</f>
        <v/>
      </c>
      <c r="F518" s="39" t="str">
        <f>IF(B518="","",BOM!E518)</f>
        <v/>
      </c>
      <c r="G518" s="39" t="str">
        <f>IF(OR(B518="",E518="KXDDM"),"",BOM!F518)</f>
        <v/>
      </c>
      <c r="H518" s="39" t="str">
        <f>IF(OR(B518="",E518&lt;&gt;""),"",IFERROR(INDEX(KT_nguoc_theo_NL!$J$5:$J$304,MATCH(C518,KT_nguoc_theo_NL!$B$5:$B$304,0))/INDEX(KT_nguoc_theo_NL!$K$5:$K$304,MATCH(C518,KT_nguoc_theo_NL!$B$5:$B$304,0)),""))</f>
        <v/>
      </c>
      <c r="I518" s="39" t="str">
        <f t="shared" si="41"/>
        <v/>
      </c>
      <c r="J518" s="46" t="str">
        <f t="shared" si="42"/>
        <v/>
      </c>
      <c r="K518" s="46" t="str">
        <f t="shared" si="43"/>
        <v/>
      </c>
      <c r="L518" s="46" t="str">
        <f t="shared" si="44"/>
        <v/>
      </c>
      <c r="M518" s="35" t="str">
        <f>IF(B518="","",IF(E518="KXDDM","KXDDM – không ĐM",IF(E518&lt;&gt;"","Không KT ("&amp;E518&amp;")",IF(OR(K518="",L518=""),"Xem xét",IF(MAX(ABS(K518),ABS(L518))&lt;=ThongTin!$C$12,"OK","Xem xét")))))</f>
        <v/>
      </c>
    </row>
    <row r="519" spans="1:13" x14ac:dyDescent="0.25">
      <c r="A519" s="35" t="str">
        <f t="shared" si="40"/>
        <v/>
      </c>
      <c r="B519" s="35" t="str">
        <f>IF(BOM!A519="","",BOM!A519)</f>
        <v/>
      </c>
      <c r="C519" s="35" t="str">
        <f>IF(B519="","",BOM!B519)</f>
        <v/>
      </c>
      <c r="D519" s="35" t="str">
        <f>IF(B519="","",KT_DMTT_ChiTiet!E519)</f>
        <v/>
      </c>
      <c r="E519" s="36" t="str">
        <f>IF(B519="","",BOM!G519&amp;"")</f>
        <v/>
      </c>
      <c r="F519" s="39" t="str">
        <f>IF(B519="","",BOM!E519)</f>
        <v/>
      </c>
      <c r="G519" s="39" t="str">
        <f>IF(OR(B519="",E519="KXDDM"),"",BOM!F519)</f>
        <v/>
      </c>
      <c r="H519" s="39" t="str">
        <f>IF(OR(B519="",E519&lt;&gt;""),"",IFERROR(INDEX(KT_nguoc_theo_NL!$J$5:$J$304,MATCH(C519,KT_nguoc_theo_NL!$B$5:$B$304,0))/INDEX(KT_nguoc_theo_NL!$K$5:$K$304,MATCH(C519,KT_nguoc_theo_NL!$B$5:$B$304,0)),""))</f>
        <v/>
      </c>
      <c r="I519" s="39" t="str">
        <f t="shared" si="41"/>
        <v/>
      </c>
      <c r="J519" s="46" t="str">
        <f t="shared" si="42"/>
        <v/>
      </c>
      <c r="K519" s="46" t="str">
        <f t="shared" si="43"/>
        <v/>
      </c>
      <c r="L519" s="46" t="str">
        <f t="shared" si="44"/>
        <v/>
      </c>
      <c r="M519" s="35" t="str">
        <f>IF(B519="","",IF(E519="KXDDM","KXDDM – không ĐM",IF(E519&lt;&gt;"","Không KT ("&amp;E519&amp;")",IF(OR(K519="",L519=""),"Xem xét",IF(MAX(ABS(K519),ABS(L519))&lt;=ThongTin!$C$12,"OK","Xem xét")))))</f>
        <v/>
      </c>
    </row>
    <row r="520" spans="1:13" x14ac:dyDescent="0.25">
      <c r="A520" s="35" t="str">
        <f t="shared" si="40"/>
        <v/>
      </c>
      <c r="B520" s="35" t="str">
        <f>IF(BOM!A520="","",BOM!A520)</f>
        <v/>
      </c>
      <c r="C520" s="35" t="str">
        <f>IF(B520="","",BOM!B520)</f>
        <v/>
      </c>
      <c r="D520" s="35" t="str">
        <f>IF(B520="","",KT_DMTT_ChiTiet!E520)</f>
        <v/>
      </c>
      <c r="E520" s="36" t="str">
        <f>IF(B520="","",BOM!G520&amp;"")</f>
        <v/>
      </c>
      <c r="F520" s="39" t="str">
        <f>IF(B520="","",BOM!E520)</f>
        <v/>
      </c>
      <c r="G520" s="39" t="str">
        <f>IF(OR(B520="",E520="KXDDM"),"",BOM!F520)</f>
        <v/>
      </c>
      <c r="H520" s="39" t="str">
        <f>IF(OR(B520="",E520&lt;&gt;""),"",IFERROR(INDEX(KT_nguoc_theo_NL!$J$5:$J$304,MATCH(C520,KT_nguoc_theo_NL!$B$5:$B$304,0))/INDEX(KT_nguoc_theo_NL!$K$5:$K$304,MATCH(C520,KT_nguoc_theo_NL!$B$5:$B$304,0)),""))</f>
        <v/>
      </c>
      <c r="I520" s="39" t="str">
        <f t="shared" si="41"/>
        <v/>
      </c>
      <c r="J520" s="46" t="str">
        <f t="shared" si="42"/>
        <v/>
      </c>
      <c r="K520" s="46" t="str">
        <f t="shared" si="43"/>
        <v/>
      </c>
      <c r="L520" s="46" t="str">
        <f t="shared" si="44"/>
        <v/>
      </c>
      <c r="M520" s="35" t="str">
        <f>IF(B520="","",IF(E520="KXDDM","KXDDM – không ĐM",IF(E520&lt;&gt;"","Không KT ("&amp;E520&amp;")",IF(OR(K520="",L520=""),"Xem xét",IF(MAX(ABS(K520),ABS(L520))&lt;=ThongTin!$C$12,"OK","Xem xét")))))</f>
        <v/>
      </c>
    </row>
    <row r="521" spans="1:13" x14ac:dyDescent="0.25">
      <c r="A521" s="35" t="str">
        <f t="shared" si="40"/>
        <v/>
      </c>
      <c r="B521" s="35" t="str">
        <f>IF(BOM!A521="","",BOM!A521)</f>
        <v/>
      </c>
      <c r="C521" s="35" t="str">
        <f>IF(B521="","",BOM!B521)</f>
        <v/>
      </c>
      <c r="D521" s="35" t="str">
        <f>IF(B521="","",KT_DMTT_ChiTiet!E521)</f>
        <v/>
      </c>
      <c r="E521" s="36" t="str">
        <f>IF(B521="","",BOM!G521&amp;"")</f>
        <v/>
      </c>
      <c r="F521" s="39" t="str">
        <f>IF(B521="","",BOM!E521)</f>
        <v/>
      </c>
      <c r="G521" s="39" t="str">
        <f>IF(OR(B521="",E521="KXDDM"),"",BOM!F521)</f>
        <v/>
      </c>
      <c r="H521" s="39" t="str">
        <f>IF(OR(B521="",E521&lt;&gt;""),"",IFERROR(INDEX(KT_nguoc_theo_NL!$J$5:$J$304,MATCH(C521,KT_nguoc_theo_NL!$B$5:$B$304,0))/INDEX(KT_nguoc_theo_NL!$K$5:$K$304,MATCH(C521,KT_nguoc_theo_NL!$B$5:$B$304,0)),""))</f>
        <v/>
      </c>
      <c r="I521" s="39" t="str">
        <f t="shared" si="41"/>
        <v/>
      </c>
      <c r="J521" s="46" t="str">
        <f t="shared" si="42"/>
        <v/>
      </c>
      <c r="K521" s="46" t="str">
        <f t="shared" si="43"/>
        <v/>
      </c>
      <c r="L521" s="46" t="str">
        <f t="shared" si="44"/>
        <v/>
      </c>
      <c r="M521" s="35" t="str">
        <f>IF(B521="","",IF(E521="KXDDM","KXDDM – không ĐM",IF(E521&lt;&gt;"","Không KT ("&amp;E521&amp;")",IF(OR(K521="",L521=""),"Xem xét",IF(MAX(ABS(K521),ABS(L521))&lt;=ThongTin!$C$12,"OK","Xem xét")))))</f>
        <v/>
      </c>
    </row>
    <row r="522" spans="1:13" x14ac:dyDescent="0.25">
      <c r="A522" s="35" t="str">
        <f t="shared" si="40"/>
        <v/>
      </c>
      <c r="B522" s="35" t="str">
        <f>IF(BOM!A522="","",BOM!A522)</f>
        <v/>
      </c>
      <c r="C522" s="35" t="str">
        <f>IF(B522="","",BOM!B522)</f>
        <v/>
      </c>
      <c r="D522" s="35" t="str">
        <f>IF(B522="","",KT_DMTT_ChiTiet!E522)</f>
        <v/>
      </c>
      <c r="E522" s="36" t="str">
        <f>IF(B522="","",BOM!G522&amp;"")</f>
        <v/>
      </c>
      <c r="F522" s="39" t="str">
        <f>IF(B522="","",BOM!E522)</f>
        <v/>
      </c>
      <c r="G522" s="39" t="str">
        <f>IF(OR(B522="",E522="KXDDM"),"",BOM!F522)</f>
        <v/>
      </c>
      <c r="H522" s="39" t="str">
        <f>IF(OR(B522="",E522&lt;&gt;""),"",IFERROR(INDEX(KT_nguoc_theo_NL!$J$5:$J$304,MATCH(C522,KT_nguoc_theo_NL!$B$5:$B$304,0))/INDEX(KT_nguoc_theo_NL!$K$5:$K$304,MATCH(C522,KT_nguoc_theo_NL!$B$5:$B$304,0)),""))</f>
        <v/>
      </c>
      <c r="I522" s="39" t="str">
        <f t="shared" si="41"/>
        <v/>
      </c>
      <c r="J522" s="46" t="str">
        <f t="shared" si="42"/>
        <v/>
      </c>
      <c r="K522" s="46" t="str">
        <f t="shared" si="43"/>
        <v/>
      </c>
      <c r="L522" s="46" t="str">
        <f t="shared" si="44"/>
        <v/>
      </c>
      <c r="M522" s="35" t="str">
        <f>IF(B522="","",IF(E522="KXDDM","KXDDM – không ĐM",IF(E522&lt;&gt;"","Không KT ("&amp;E522&amp;")",IF(OR(K522="",L522=""),"Xem xét",IF(MAX(ABS(K522),ABS(L522))&lt;=ThongTin!$C$12,"OK","Xem xét")))))</f>
        <v/>
      </c>
    </row>
    <row r="523" spans="1:13" x14ac:dyDescent="0.25">
      <c r="A523" s="35" t="str">
        <f t="shared" si="40"/>
        <v/>
      </c>
      <c r="B523" s="35" t="str">
        <f>IF(BOM!A523="","",BOM!A523)</f>
        <v/>
      </c>
      <c r="C523" s="35" t="str">
        <f>IF(B523="","",BOM!B523)</f>
        <v/>
      </c>
      <c r="D523" s="35" t="str">
        <f>IF(B523="","",KT_DMTT_ChiTiet!E523)</f>
        <v/>
      </c>
      <c r="E523" s="36" t="str">
        <f>IF(B523="","",BOM!G523&amp;"")</f>
        <v/>
      </c>
      <c r="F523" s="39" t="str">
        <f>IF(B523="","",BOM!E523)</f>
        <v/>
      </c>
      <c r="G523" s="39" t="str">
        <f>IF(OR(B523="",E523="KXDDM"),"",BOM!F523)</f>
        <v/>
      </c>
      <c r="H523" s="39" t="str">
        <f>IF(OR(B523="",E523&lt;&gt;""),"",IFERROR(INDEX(KT_nguoc_theo_NL!$J$5:$J$304,MATCH(C523,KT_nguoc_theo_NL!$B$5:$B$304,0))/INDEX(KT_nguoc_theo_NL!$K$5:$K$304,MATCH(C523,KT_nguoc_theo_NL!$B$5:$B$304,0)),""))</f>
        <v/>
      </c>
      <c r="I523" s="39" t="str">
        <f t="shared" si="41"/>
        <v/>
      </c>
      <c r="J523" s="46" t="str">
        <f t="shared" si="42"/>
        <v/>
      </c>
      <c r="K523" s="46" t="str">
        <f t="shared" si="43"/>
        <v/>
      </c>
      <c r="L523" s="46" t="str">
        <f t="shared" si="44"/>
        <v/>
      </c>
      <c r="M523" s="35" t="str">
        <f>IF(B523="","",IF(E523="KXDDM","KXDDM – không ĐM",IF(E523&lt;&gt;"","Không KT ("&amp;E523&amp;")",IF(OR(K523="",L523=""),"Xem xét",IF(MAX(ABS(K523),ABS(L523))&lt;=ThongTin!$C$12,"OK","Xem xét")))))</f>
        <v/>
      </c>
    </row>
    <row r="524" spans="1:13" x14ac:dyDescent="0.25">
      <c r="A524" s="35" t="str">
        <f t="shared" si="40"/>
        <v/>
      </c>
      <c r="B524" s="35" t="str">
        <f>IF(BOM!A524="","",BOM!A524)</f>
        <v/>
      </c>
      <c r="C524" s="35" t="str">
        <f>IF(B524="","",BOM!B524)</f>
        <v/>
      </c>
      <c r="D524" s="35" t="str">
        <f>IF(B524="","",KT_DMTT_ChiTiet!E524)</f>
        <v/>
      </c>
      <c r="E524" s="36" t="str">
        <f>IF(B524="","",BOM!G524&amp;"")</f>
        <v/>
      </c>
      <c r="F524" s="39" t="str">
        <f>IF(B524="","",BOM!E524)</f>
        <v/>
      </c>
      <c r="G524" s="39" t="str">
        <f>IF(OR(B524="",E524="KXDDM"),"",BOM!F524)</f>
        <v/>
      </c>
      <c r="H524" s="39" t="str">
        <f>IF(OR(B524="",E524&lt;&gt;""),"",IFERROR(INDEX(KT_nguoc_theo_NL!$J$5:$J$304,MATCH(C524,KT_nguoc_theo_NL!$B$5:$B$304,0))/INDEX(KT_nguoc_theo_NL!$K$5:$K$304,MATCH(C524,KT_nguoc_theo_NL!$B$5:$B$304,0)),""))</f>
        <v/>
      </c>
      <c r="I524" s="39" t="str">
        <f t="shared" si="41"/>
        <v/>
      </c>
      <c r="J524" s="46" t="str">
        <f t="shared" si="42"/>
        <v/>
      </c>
      <c r="K524" s="46" t="str">
        <f t="shared" si="43"/>
        <v/>
      </c>
      <c r="L524" s="46" t="str">
        <f t="shared" si="44"/>
        <v/>
      </c>
      <c r="M524" s="35" t="str">
        <f>IF(B524="","",IF(E524="KXDDM","KXDDM – không ĐM",IF(E524&lt;&gt;"","Không KT ("&amp;E524&amp;")",IF(OR(K524="",L524=""),"Xem xét",IF(MAX(ABS(K524),ABS(L524))&lt;=ThongTin!$C$12,"OK","Xem xét")))))</f>
        <v/>
      </c>
    </row>
    <row r="525" spans="1:13" x14ac:dyDescent="0.25">
      <c r="A525" s="35" t="str">
        <f t="shared" si="40"/>
        <v/>
      </c>
      <c r="B525" s="35" t="str">
        <f>IF(BOM!A525="","",BOM!A525)</f>
        <v/>
      </c>
      <c r="C525" s="35" t="str">
        <f>IF(B525="","",BOM!B525)</f>
        <v/>
      </c>
      <c r="D525" s="35" t="str">
        <f>IF(B525="","",KT_DMTT_ChiTiet!E525)</f>
        <v/>
      </c>
      <c r="E525" s="36" t="str">
        <f>IF(B525="","",BOM!G525&amp;"")</f>
        <v/>
      </c>
      <c r="F525" s="39" t="str">
        <f>IF(B525="","",BOM!E525)</f>
        <v/>
      </c>
      <c r="G525" s="39" t="str">
        <f>IF(OR(B525="",E525="KXDDM"),"",BOM!F525)</f>
        <v/>
      </c>
      <c r="H525" s="39" t="str">
        <f>IF(OR(B525="",E525&lt;&gt;""),"",IFERROR(INDEX(KT_nguoc_theo_NL!$J$5:$J$304,MATCH(C525,KT_nguoc_theo_NL!$B$5:$B$304,0))/INDEX(KT_nguoc_theo_NL!$K$5:$K$304,MATCH(C525,KT_nguoc_theo_NL!$B$5:$B$304,0)),""))</f>
        <v/>
      </c>
      <c r="I525" s="39" t="str">
        <f t="shared" si="41"/>
        <v/>
      </c>
      <c r="J525" s="46" t="str">
        <f t="shared" si="42"/>
        <v/>
      </c>
      <c r="K525" s="46" t="str">
        <f t="shared" si="43"/>
        <v/>
      </c>
      <c r="L525" s="46" t="str">
        <f t="shared" si="44"/>
        <v/>
      </c>
      <c r="M525" s="35" t="str">
        <f>IF(B525="","",IF(E525="KXDDM","KXDDM – không ĐM",IF(E525&lt;&gt;"","Không KT ("&amp;E525&amp;")",IF(OR(K525="",L525=""),"Xem xét",IF(MAX(ABS(K525),ABS(L525))&lt;=ThongTin!$C$12,"OK","Xem xét")))))</f>
        <v/>
      </c>
    </row>
    <row r="526" spans="1:13" x14ac:dyDescent="0.25">
      <c r="A526" s="35" t="str">
        <f t="shared" si="40"/>
        <v/>
      </c>
      <c r="B526" s="35" t="str">
        <f>IF(BOM!A526="","",BOM!A526)</f>
        <v/>
      </c>
      <c r="C526" s="35" t="str">
        <f>IF(B526="","",BOM!B526)</f>
        <v/>
      </c>
      <c r="D526" s="35" t="str">
        <f>IF(B526="","",KT_DMTT_ChiTiet!E526)</f>
        <v/>
      </c>
      <c r="E526" s="36" t="str">
        <f>IF(B526="","",BOM!G526&amp;"")</f>
        <v/>
      </c>
      <c r="F526" s="39" t="str">
        <f>IF(B526="","",BOM!E526)</f>
        <v/>
      </c>
      <c r="G526" s="39" t="str">
        <f>IF(OR(B526="",E526="KXDDM"),"",BOM!F526)</f>
        <v/>
      </c>
      <c r="H526" s="39" t="str">
        <f>IF(OR(B526="",E526&lt;&gt;""),"",IFERROR(INDEX(KT_nguoc_theo_NL!$J$5:$J$304,MATCH(C526,KT_nguoc_theo_NL!$B$5:$B$304,0))/INDEX(KT_nguoc_theo_NL!$K$5:$K$304,MATCH(C526,KT_nguoc_theo_NL!$B$5:$B$304,0)),""))</f>
        <v/>
      </c>
      <c r="I526" s="39" t="str">
        <f t="shared" si="41"/>
        <v/>
      </c>
      <c r="J526" s="46" t="str">
        <f t="shared" si="42"/>
        <v/>
      </c>
      <c r="K526" s="46" t="str">
        <f t="shared" si="43"/>
        <v/>
      </c>
      <c r="L526" s="46" t="str">
        <f t="shared" si="44"/>
        <v/>
      </c>
      <c r="M526" s="35" t="str">
        <f>IF(B526="","",IF(E526="KXDDM","KXDDM – không ĐM",IF(E526&lt;&gt;"","Không KT ("&amp;E526&amp;")",IF(OR(K526="",L526=""),"Xem xét",IF(MAX(ABS(K526),ABS(L526))&lt;=ThongTin!$C$12,"OK","Xem xét")))))</f>
        <v/>
      </c>
    </row>
    <row r="527" spans="1:13" x14ac:dyDescent="0.25">
      <c r="A527" s="35" t="str">
        <f t="shared" si="40"/>
        <v/>
      </c>
      <c r="B527" s="35" t="str">
        <f>IF(BOM!A527="","",BOM!A527)</f>
        <v/>
      </c>
      <c r="C527" s="35" t="str">
        <f>IF(B527="","",BOM!B527)</f>
        <v/>
      </c>
      <c r="D527" s="35" t="str">
        <f>IF(B527="","",KT_DMTT_ChiTiet!E527)</f>
        <v/>
      </c>
      <c r="E527" s="36" t="str">
        <f>IF(B527="","",BOM!G527&amp;"")</f>
        <v/>
      </c>
      <c r="F527" s="39" t="str">
        <f>IF(B527="","",BOM!E527)</f>
        <v/>
      </c>
      <c r="G527" s="39" t="str">
        <f>IF(OR(B527="",E527="KXDDM"),"",BOM!F527)</f>
        <v/>
      </c>
      <c r="H527" s="39" t="str">
        <f>IF(OR(B527="",E527&lt;&gt;""),"",IFERROR(INDEX(KT_nguoc_theo_NL!$J$5:$J$304,MATCH(C527,KT_nguoc_theo_NL!$B$5:$B$304,0))/INDEX(KT_nguoc_theo_NL!$K$5:$K$304,MATCH(C527,KT_nguoc_theo_NL!$B$5:$B$304,0)),""))</f>
        <v/>
      </c>
      <c r="I527" s="39" t="str">
        <f t="shared" si="41"/>
        <v/>
      </c>
      <c r="J527" s="46" t="str">
        <f t="shared" si="42"/>
        <v/>
      </c>
      <c r="K527" s="46" t="str">
        <f t="shared" si="43"/>
        <v/>
      </c>
      <c r="L527" s="46" t="str">
        <f t="shared" si="44"/>
        <v/>
      </c>
      <c r="M527" s="35" t="str">
        <f>IF(B527="","",IF(E527="KXDDM","KXDDM – không ĐM",IF(E527&lt;&gt;"","Không KT ("&amp;E527&amp;")",IF(OR(K527="",L527=""),"Xem xét",IF(MAX(ABS(K527),ABS(L527))&lt;=ThongTin!$C$12,"OK","Xem xét")))))</f>
        <v/>
      </c>
    </row>
    <row r="528" spans="1:13" x14ac:dyDescent="0.25">
      <c r="A528" s="35" t="str">
        <f t="shared" si="40"/>
        <v/>
      </c>
      <c r="B528" s="35" t="str">
        <f>IF(BOM!A528="","",BOM!A528)</f>
        <v/>
      </c>
      <c r="C528" s="35" t="str">
        <f>IF(B528="","",BOM!B528)</f>
        <v/>
      </c>
      <c r="D528" s="35" t="str">
        <f>IF(B528="","",KT_DMTT_ChiTiet!E528)</f>
        <v/>
      </c>
      <c r="E528" s="36" t="str">
        <f>IF(B528="","",BOM!G528&amp;"")</f>
        <v/>
      </c>
      <c r="F528" s="39" t="str">
        <f>IF(B528="","",BOM!E528)</f>
        <v/>
      </c>
      <c r="G528" s="39" t="str">
        <f>IF(OR(B528="",E528="KXDDM"),"",BOM!F528)</f>
        <v/>
      </c>
      <c r="H528" s="39" t="str">
        <f>IF(OR(B528="",E528&lt;&gt;""),"",IFERROR(INDEX(KT_nguoc_theo_NL!$J$5:$J$304,MATCH(C528,KT_nguoc_theo_NL!$B$5:$B$304,0))/INDEX(KT_nguoc_theo_NL!$K$5:$K$304,MATCH(C528,KT_nguoc_theo_NL!$B$5:$B$304,0)),""))</f>
        <v/>
      </c>
      <c r="I528" s="39" t="str">
        <f t="shared" si="41"/>
        <v/>
      </c>
      <c r="J528" s="46" t="str">
        <f t="shared" si="42"/>
        <v/>
      </c>
      <c r="K528" s="46" t="str">
        <f t="shared" si="43"/>
        <v/>
      </c>
      <c r="L528" s="46" t="str">
        <f t="shared" si="44"/>
        <v/>
      </c>
      <c r="M528" s="35" t="str">
        <f>IF(B528="","",IF(E528="KXDDM","KXDDM – không ĐM",IF(E528&lt;&gt;"","Không KT ("&amp;E528&amp;")",IF(OR(K528="",L528=""),"Xem xét",IF(MAX(ABS(K528),ABS(L528))&lt;=ThongTin!$C$12,"OK","Xem xét")))))</f>
        <v/>
      </c>
    </row>
    <row r="529" spans="1:13" x14ac:dyDescent="0.25">
      <c r="A529" s="35" t="str">
        <f t="shared" si="40"/>
        <v/>
      </c>
      <c r="B529" s="35" t="str">
        <f>IF(BOM!A529="","",BOM!A529)</f>
        <v/>
      </c>
      <c r="C529" s="35" t="str">
        <f>IF(B529="","",BOM!B529)</f>
        <v/>
      </c>
      <c r="D529" s="35" t="str">
        <f>IF(B529="","",KT_DMTT_ChiTiet!E529)</f>
        <v/>
      </c>
      <c r="E529" s="36" t="str">
        <f>IF(B529="","",BOM!G529&amp;"")</f>
        <v/>
      </c>
      <c r="F529" s="39" t="str">
        <f>IF(B529="","",BOM!E529)</f>
        <v/>
      </c>
      <c r="G529" s="39" t="str">
        <f>IF(OR(B529="",E529="KXDDM"),"",BOM!F529)</f>
        <v/>
      </c>
      <c r="H529" s="39" t="str">
        <f>IF(OR(B529="",E529&lt;&gt;""),"",IFERROR(INDEX(KT_nguoc_theo_NL!$J$5:$J$304,MATCH(C529,KT_nguoc_theo_NL!$B$5:$B$304,0))/INDEX(KT_nguoc_theo_NL!$K$5:$K$304,MATCH(C529,KT_nguoc_theo_NL!$B$5:$B$304,0)),""))</f>
        <v/>
      </c>
      <c r="I529" s="39" t="str">
        <f t="shared" si="41"/>
        <v/>
      </c>
      <c r="J529" s="46" t="str">
        <f t="shared" si="42"/>
        <v/>
      </c>
      <c r="K529" s="46" t="str">
        <f t="shared" si="43"/>
        <v/>
      </c>
      <c r="L529" s="46" t="str">
        <f t="shared" si="44"/>
        <v/>
      </c>
      <c r="M529" s="35" t="str">
        <f>IF(B529="","",IF(E529="KXDDM","KXDDM – không ĐM",IF(E529&lt;&gt;"","Không KT ("&amp;E529&amp;")",IF(OR(K529="",L529=""),"Xem xét",IF(MAX(ABS(K529),ABS(L529))&lt;=ThongTin!$C$12,"OK","Xem xét")))))</f>
        <v/>
      </c>
    </row>
    <row r="530" spans="1:13" x14ac:dyDescent="0.25">
      <c r="A530" s="35" t="str">
        <f t="shared" si="40"/>
        <v/>
      </c>
      <c r="B530" s="35" t="str">
        <f>IF(BOM!A530="","",BOM!A530)</f>
        <v/>
      </c>
      <c r="C530" s="35" t="str">
        <f>IF(B530="","",BOM!B530)</f>
        <v/>
      </c>
      <c r="D530" s="35" t="str">
        <f>IF(B530="","",KT_DMTT_ChiTiet!E530)</f>
        <v/>
      </c>
      <c r="E530" s="36" t="str">
        <f>IF(B530="","",BOM!G530&amp;"")</f>
        <v/>
      </c>
      <c r="F530" s="39" t="str">
        <f>IF(B530="","",BOM!E530)</f>
        <v/>
      </c>
      <c r="G530" s="39" t="str">
        <f>IF(OR(B530="",E530="KXDDM"),"",BOM!F530)</f>
        <v/>
      </c>
      <c r="H530" s="39" t="str">
        <f>IF(OR(B530="",E530&lt;&gt;""),"",IFERROR(INDEX(KT_nguoc_theo_NL!$J$5:$J$304,MATCH(C530,KT_nguoc_theo_NL!$B$5:$B$304,0))/INDEX(KT_nguoc_theo_NL!$K$5:$K$304,MATCH(C530,KT_nguoc_theo_NL!$B$5:$B$304,0)),""))</f>
        <v/>
      </c>
      <c r="I530" s="39" t="str">
        <f t="shared" si="41"/>
        <v/>
      </c>
      <c r="J530" s="46" t="str">
        <f t="shared" si="42"/>
        <v/>
      </c>
      <c r="K530" s="46" t="str">
        <f t="shared" si="43"/>
        <v/>
      </c>
      <c r="L530" s="46" t="str">
        <f t="shared" si="44"/>
        <v/>
      </c>
      <c r="M530" s="35" t="str">
        <f>IF(B530="","",IF(E530="KXDDM","KXDDM – không ĐM",IF(E530&lt;&gt;"","Không KT ("&amp;E530&amp;")",IF(OR(K530="",L530=""),"Xem xét",IF(MAX(ABS(K530),ABS(L530))&lt;=ThongTin!$C$12,"OK","Xem xét")))))</f>
        <v/>
      </c>
    </row>
    <row r="531" spans="1:13" x14ac:dyDescent="0.25">
      <c r="A531" s="35" t="str">
        <f t="shared" si="40"/>
        <v/>
      </c>
      <c r="B531" s="35" t="str">
        <f>IF(BOM!A531="","",BOM!A531)</f>
        <v/>
      </c>
      <c r="C531" s="35" t="str">
        <f>IF(B531="","",BOM!B531)</f>
        <v/>
      </c>
      <c r="D531" s="35" t="str">
        <f>IF(B531="","",KT_DMTT_ChiTiet!E531)</f>
        <v/>
      </c>
      <c r="E531" s="36" t="str">
        <f>IF(B531="","",BOM!G531&amp;"")</f>
        <v/>
      </c>
      <c r="F531" s="39" t="str">
        <f>IF(B531="","",BOM!E531)</f>
        <v/>
      </c>
      <c r="G531" s="39" t="str">
        <f>IF(OR(B531="",E531="KXDDM"),"",BOM!F531)</f>
        <v/>
      </c>
      <c r="H531" s="39" t="str">
        <f>IF(OR(B531="",E531&lt;&gt;""),"",IFERROR(INDEX(KT_nguoc_theo_NL!$J$5:$J$304,MATCH(C531,KT_nguoc_theo_NL!$B$5:$B$304,0))/INDEX(KT_nguoc_theo_NL!$K$5:$K$304,MATCH(C531,KT_nguoc_theo_NL!$B$5:$B$304,0)),""))</f>
        <v/>
      </c>
      <c r="I531" s="39" t="str">
        <f t="shared" si="41"/>
        <v/>
      </c>
      <c r="J531" s="46" t="str">
        <f t="shared" si="42"/>
        <v/>
      </c>
      <c r="K531" s="46" t="str">
        <f t="shared" si="43"/>
        <v/>
      </c>
      <c r="L531" s="46" t="str">
        <f t="shared" si="44"/>
        <v/>
      </c>
      <c r="M531" s="35" t="str">
        <f>IF(B531="","",IF(E531="KXDDM","KXDDM – không ĐM",IF(E531&lt;&gt;"","Không KT ("&amp;E531&amp;")",IF(OR(K531="",L531=""),"Xem xét",IF(MAX(ABS(K531),ABS(L531))&lt;=ThongTin!$C$12,"OK","Xem xét")))))</f>
        <v/>
      </c>
    </row>
    <row r="532" spans="1:13" x14ac:dyDescent="0.25">
      <c r="A532" s="35" t="str">
        <f t="shared" si="40"/>
        <v/>
      </c>
      <c r="B532" s="35" t="str">
        <f>IF(BOM!A532="","",BOM!A532)</f>
        <v/>
      </c>
      <c r="C532" s="35" t="str">
        <f>IF(B532="","",BOM!B532)</f>
        <v/>
      </c>
      <c r="D532" s="35" t="str">
        <f>IF(B532="","",KT_DMTT_ChiTiet!E532)</f>
        <v/>
      </c>
      <c r="E532" s="36" t="str">
        <f>IF(B532="","",BOM!G532&amp;"")</f>
        <v/>
      </c>
      <c r="F532" s="39" t="str">
        <f>IF(B532="","",BOM!E532)</f>
        <v/>
      </c>
      <c r="G532" s="39" t="str">
        <f>IF(OR(B532="",E532="KXDDM"),"",BOM!F532)</f>
        <v/>
      </c>
      <c r="H532" s="39" t="str">
        <f>IF(OR(B532="",E532&lt;&gt;""),"",IFERROR(INDEX(KT_nguoc_theo_NL!$J$5:$J$304,MATCH(C532,KT_nguoc_theo_NL!$B$5:$B$304,0))/INDEX(KT_nguoc_theo_NL!$K$5:$K$304,MATCH(C532,KT_nguoc_theo_NL!$B$5:$B$304,0)),""))</f>
        <v/>
      </c>
      <c r="I532" s="39" t="str">
        <f t="shared" si="41"/>
        <v/>
      </c>
      <c r="J532" s="46" t="str">
        <f t="shared" si="42"/>
        <v/>
      </c>
      <c r="K532" s="46" t="str">
        <f t="shared" si="43"/>
        <v/>
      </c>
      <c r="L532" s="46" t="str">
        <f t="shared" si="44"/>
        <v/>
      </c>
      <c r="M532" s="35" t="str">
        <f>IF(B532="","",IF(E532="KXDDM","KXDDM – không ĐM",IF(E532&lt;&gt;"","Không KT ("&amp;E532&amp;")",IF(OR(K532="",L532=""),"Xem xét",IF(MAX(ABS(K532),ABS(L532))&lt;=ThongTin!$C$12,"OK","Xem xét")))))</f>
        <v/>
      </c>
    </row>
    <row r="533" spans="1:13" x14ac:dyDescent="0.25">
      <c r="A533" s="35" t="str">
        <f t="shared" si="40"/>
        <v/>
      </c>
      <c r="B533" s="35" t="str">
        <f>IF(BOM!A533="","",BOM!A533)</f>
        <v/>
      </c>
      <c r="C533" s="35" t="str">
        <f>IF(B533="","",BOM!B533)</f>
        <v/>
      </c>
      <c r="D533" s="35" t="str">
        <f>IF(B533="","",KT_DMTT_ChiTiet!E533)</f>
        <v/>
      </c>
      <c r="E533" s="36" t="str">
        <f>IF(B533="","",BOM!G533&amp;"")</f>
        <v/>
      </c>
      <c r="F533" s="39" t="str">
        <f>IF(B533="","",BOM!E533)</f>
        <v/>
      </c>
      <c r="G533" s="39" t="str">
        <f>IF(OR(B533="",E533="KXDDM"),"",BOM!F533)</f>
        <v/>
      </c>
      <c r="H533" s="39" t="str">
        <f>IF(OR(B533="",E533&lt;&gt;""),"",IFERROR(INDEX(KT_nguoc_theo_NL!$J$5:$J$304,MATCH(C533,KT_nguoc_theo_NL!$B$5:$B$304,0))/INDEX(KT_nguoc_theo_NL!$K$5:$K$304,MATCH(C533,KT_nguoc_theo_NL!$B$5:$B$304,0)),""))</f>
        <v/>
      </c>
      <c r="I533" s="39" t="str">
        <f t="shared" si="41"/>
        <v/>
      </c>
      <c r="J533" s="46" t="str">
        <f t="shared" si="42"/>
        <v/>
      </c>
      <c r="K533" s="46" t="str">
        <f t="shared" si="43"/>
        <v/>
      </c>
      <c r="L533" s="46" t="str">
        <f t="shared" si="44"/>
        <v/>
      </c>
      <c r="M533" s="35" t="str">
        <f>IF(B533="","",IF(E533="KXDDM","KXDDM – không ĐM",IF(E533&lt;&gt;"","Không KT ("&amp;E533&amp;")",IF(OR(K533="",L533=""),"Xem xét",IF(MAX(ABS(K533),ABS(L533))&lt;=ThongTin!$C$12,"OK","Xem xét")))))</f>
        <v/>
      </c>
    </row>
    <row r="534" spans="1:13" x14ac:dyDescent="0.25">
      <c r="A534" s="35" t="str">
        <f t="shared" si="40"/>
        <v/>
      </c>
      <c r="B534" s="35" t="str">
        <f>IF(BOM!A534="","",BOM!A534)</f>
        <v/>
      </c>
      <c r="C534" s="35" t="str">
        <f>IF(B534="","",BOM!B534)</f>
        <v/>
      </c>
      <c r="D534" s="35" t="str">
        <f>IF(B534="","",KT_DMTT_ChiTiet!E534)</f>
        <v/>
      </c>
      <c r="E534" s="36" t="str">
        <f>IF(B534="","",BOM!G534&amp;"")</f>
        <v/>
      </c>
      <c r="F534" s="39" t="str">
        <f>IF(B534="","",BOM!E534)</f>
        <v/>
      </c>
      <c r="G534" s="39" t="str">
        <f>IF(OR(B534="",E534="KXDDM"),"",BOM!F534)</f>
        <v/>
      </c>
      <c r="H534" s="39" t="str">
        <f>IF(OR(B534="",E534&lt;&gt;""),"",IFERROR(INDEX(KT_nguoc_theo_NL!$J$5:$J$304,MATCH(C534,KT_nguoc_theo_NL!$B$5:$B$304,0))/INDEX(KT_nguoc_theo_NL!$K$5:$K$304,MATCH(C534,KT_nguoc_theo_NL!$B$5:$B$304,0)),""))</f>
        <v/>
      </c>
      <c r="I534" s="39" t="str">
        <f t="shared" si="41"/>
        <v/>
      </c>
      <c r="J534" s="46" t="str">
        <f t="shared" si="42"/>
        <v/>
      </c>
      <c r="K534" s="46" t="str">
        <f t="shared" si="43"/>
        <v/>
      </c>
      <c r="L534" s="46" t="str">
        <f t="shared" si="44"/>
        <v/>
      </c>
      <c r="M534" s="35" t="str">
        <f>IF(B534="","",IF(E534="KXDDM","KXDDM – không ĐM",IF(E534&lt;&gt;"","Không KT ("&amp;E534&amp;")",IF(OR(K534="",L534=""),"Xem xét",IF(MAX(ABS(K534),ABS(L534))&lt;=ThongTin!$C$12,"OK","Xem xét")))))</f>
        <v/>
      </c>
    </row>
    <row r="535" spans="1:13" x14ac:dyDescent="0.25">
      <c r="A535" s="35" t="str">
        <f t="shared" si="40"/>
        <v/>
      </c>
      <c r="B535" s="35" t="str">
        <f>IF(BOM!A535="","",BOM!A535)</f>
        <v/>
      </c>
      <c r="C535" s="35" t="str">
        <f>IF(B535="","",BOM!B535)</f>
        <v/>
      </c>
      <c r="D535" s="35" t="str">
        <f>IF(B535="","",KT_DMTT_ChiTiet!E535)</f>
        <v/>
      </c>
      <c r="E535" s="36" t="str">
        <f>IF(B535="","",BOM!G535&amp;"")</f>
        <v/>
      </c>
      <c r="F535" s="39" t="str">
        <f>IF(B535="","",BOM!E535)</f>
        <v/>
      </c>
      <c r="G535" s="39" t="str">
        <f>IF(OR(B535="",E535="KXDDM"),"",BOM!F535)</f>
        <v/>
      </c>
      <c r="H535" s="39" t="str">
        <f>IF(OR(B535="",E535&lt;&gt;""),"",IFERROR(INDEX(KT_nguoc_theo_NL!$J$5:$J$304,MATCH(C535,KT_nguoc_theo_NL!$B$5:$B$304,0))/INDEX(KT_nguoc_theo_NL!$K$5:$K$304,MATCH(C535,KT_nguoc_theo_NL!$B$5:$B$304,0)),""))</f>
        <v/>
      </c>
      <c r="I535" s="39" t="str">
        <f t="shared" si="41"/>
        <v/>
      </c>
      <c r="J535" s="46" t="str">
        <f t="shared" si="42"/>
        <v/>
      </c>
      <c r="K535" s="46" t="str">
        <f t="shared" si="43"/>
        <v/>
      </c>
      <c r="L535" s="46" t="str">
        <f t="shared" si="44"/>
        <v/>
      </c>
      <c r="M535" s="35" t="str">
        <f>IF(B535="","",IF(E535="KXDDM","KXDDM – không ĐM",IF(E535&lt;&gt;"","Không KT ("&amp;E535&amp;")",IF(OR(K535="",L535=""),"Xem xét",IF(MAX(ABS(K535),ABS(L535))&lt;=ThongTin!$C$12,"OK","Xem xét")))))</f>
        <v/>
      </c>
    </row>
    <row r="536" spans="1:13" x14ac:dyDescent="0.25">
      <c r="A536" s="35" t="str">
        <f t="shared" si="40"/>
        <v/>
      </c>
      <c r="B536" s="35" t="str">
        <f>IF(BOM!A536="","",BOM!A536)</f>
        <v/>
      </c>
      <c r="C536" s="35" t="str">
        <f>IF(B536="","",BOM!B536)</f>
        <v/>
      </c>
      <c r="D536" s="35" t="str">
        <f>IF(B536="","",KT_DMTT_ChiTiet!E536)</f>
        <v/>
      </c>
      <c r="E536" s="36" t="str">
        <f>IF(B536="","",BOM!G536&amp;"")</f>
        <v/>
      </c>
      <c r="F536" s="39" t="str">
        <f>IF(B536="","",BOM!E536)</f>
        <v/>
      </c>
      <c r="G536" s="39" t="str">
        <f>IF(OR(B536="",E536="KXDDM"),"",BOM!F536)</f>
        <v/>
      </c>
      <c r="H536" s="39" t="str">
        <f>IF(OR(B536="",E536&lt;&gt;""),"",IFERROR(INDEX(KT_nguoc_theo_NL!$J$5:$J$304,MATCH(C536,KT_nguoc_theo_NL!$B$5:$B$304,0))/INDEX(KT_nguoc_theo_NL!$K$5:$K$304,MATCH(C536,KT_nguoc_theo_NL!$B$5:$B$304,0)),""))</f>
        <v/>
      </c>
      <c r="I536" s="39" t="str">
        <f t="shared" si="41"/>
        <v/>
      </c>
      <c r="J536" s="46" t="str">
        <f t="shared" si="42"/>
        <v/>
      </c>
      <c r="K536" s="46" t="str">
        <f t="shared" si="43"/>
        <v/>
      </c>
      <c r="L536" s="46" t="str">
        <f t="shared" si="44"/>
        <v/>
      </c>
      <c r="M536" s="35" t="str">
        <f>IF(B536="","",IF(E536="KXDDM","KXDDM – không ĐM",IF(E536&lt;&gt;"","Không KT ("&amp;E536&amp;")",IF(OR(K536="",L536=""),"Xem xét",IF(MAX(ABS(K536),ABS(L536))&lt;=ThongTin!$C$12,"OK","Xem xét")))))</f>
        <v/>
      </c>
    </row>
    <row r="537" spans="1:13" x14ac:dyDescent="0.25">
      <c r="A537" s="35" t="str">
        <f t="shared" si="40"/>
        <v/>
      </c>
      <c r="B537" s="35" t="str">
        <f>IF(BOM!A537="","",BOM!A537)</f>
        <v/>
      </c>
      <c r="C537" s="35" t="str">
        <f>IF(B537="","",BOM!B537)</f>
        <v/>
      </c>
      <c r="D537" s="35" t="str">
        <f>IF(B537="","",KT_DMTT_ChiTiet!E537)</f>
        <v/>
      </c>
      <c r="E537" s="36" t="str">
        <f>IF(B537="","",BOM!G537&amp;"")</f>
        <v/>
      </c>
      <c r="F537" s="39" t="str">
        <f>IF(B537="","",BOM!E537)</f>
        <v/>
      </c>
      <c r="G537" s="39" t="str">
        <f>IF(OR(B537="",E537="KXDDM"),"",BOM!F537)</f>
        <v/>
      </c>
      <c r="H537" s="39" t="str">
        <f>IF(OR(B537="",E537&lt;&gt;""),"",IFERROR(INDEX(KT_nguoc_theo_NL!$J$5:$J$304,MATCH(C537,KT_nguoc_theo_NL!$B$5:$B$304,0))/INDEX(KT_nguoc_theo_NL!$K$5:$K$304,MATCH(C537,KT_nguoc_theo_NL!$B$5:$B$304,0)),""))</f>
        <v/>
      </c>
      <c r="I537" s="39" t="str">
        <f t="shared" si="41"/>
        <v/>
      </c>
      <c r="J537" s="46" t="str">
        <f t="shared" si="42"/>
        <v/>
      </c>
      <c r="K537" s="46" t="str">
        <f t="shared" si="43"/>
        <v/>
      </c>
      <c r="L537" s="46" t="str">
        <f t="shared" si="44"/>
        <v/>
      </c>
      <c r="M537" s="35" t="str">
        <f>IF(B537="","",IF(E537="KXDDM","KXDDM – không ĐM",IF(E537&lt;&gt;"","Không KT ("&amp;E537&amp;")",IF(OR(K537="",L537=""),"Xem xét",IF(MAX(ABS(K537),ABS(L537))&lt;=ThongTin!$C$12,"OK","Xem xét")))))</f>
        <v/>
      </c>
    </row>
    <row r="538" spans="1:13" x14ac:dyDescent="0.25">
      <c r="A538" s="35" t="str">
        <f t="shared" si="40"/>
        <v/>
      </c>
      <c r="B538" s="35" t="str">
        <f>IF(BOM!A538="","",BOM!A538)</f>
        <v/>
      </c>
      <c r="C538" s="35" t="str">
        <f>IF(B538="","",BOM!B538)</f>
        <v/>
      </c>
      <c r="D538" s="35" t="str">
        <f>IF(B538="","",KT_DMTT_ChiTiet!E538)</f>
        <v/>
      </c>
      <c r="E538" s="36" t="str">
        <f>IF(B538="","",BOM!G538&amp;"")</f>
        <v/>
      </c>
      <c r="F538" s="39" t="str">
        <f>IF(B538="","",BOM!E538)</f>
        <v/>
      </c>
      <c r="G538" s="39" t="str">
        <f>IF(OR(B538="",E538="KXDDM"),"",BOM!F538)</f>
        <v/>
      </c>
      <c r="H538" s="39" t="str">
        <f>IF(OR(B538="",E538&lt;&gt;""),"",IFERROR(INDEX(KT_nguoc_theo_NL!$J$5:$J$304,MATCH(C538,KT_nguoc_theo_NL!$B$5:$B$304,0))/INDEX(KT_nguoc_theo_NL!$K$5:$K$304,MATCH(C538,KT_nguoc_theo_NL!$B$5:$B$304,0)),""))</f>
        <v/>
      </c>
      <c r="I538" s="39" t="str">
        <f t="shared" si="41"/>
        <v/>
      </c>
      <c r="J538" s="46" t="str">
        <f t="shared" si="42"/>
        <v/>
      </c>
      <c r="K538" s="46" t="str">
        <f t="shared" si="43"/>
        <v/>
      </c>
      <c r="L538" s="46" t="str">
        <f t="shared" si="44"/>
        <v/>
      </c>
      <c r="M538" s="35" t="str">
        <f>IF(B538="","",IF(E538="KXDDM","KXDDM – không ĐM",IF(E538&lt;&gt;"","Không KT ("&amp;E538&amp;")",IF(OR(K538="",L538=""),"Xem xét",IF(MAX(ABS(K538),ABS(L538))&lt;=ThongTin!$C$12,"OK","Xem xét")))))</f>
        <v/>
      </c>
    </row>
    <row r="539" spans="1:13" x14ac:dyDescent="0.25">
      <c r="A539" s="35" t="str">
        <f t="shared" si="40"/>
        <v/>
      </c>
      <c r="B539" s="35" t="str">
        <f>IF(BOM!A539="","",BOM!A539)</f>
        <v/>
      </c>
      <c r="C539" s="35" t="str">
        <f>IF(B539="","",BOM!B539)</f>
        <v/>
      </c>
      <c r="D539" s="35" t="str">
        <f>IF(B539="","",KT_DMTT_ChiTiet!E539)</f>
        <v/>
      </c>
      <c r="E539" s="36" t="str">
        <f>IF(B539="","",BOM!G539&amp;"")</f>
        <v/>
      </c>
      <c r="F539" s="39" t="str">
        <f>IF(B539="","",BOM!E539)</f>
        <v/>
      </c>
      <c r="G539" s="39" t="str">
        <f>IF(OR(B539="",E539="KXDDM"),"",BOM!F539)</f>
        <v/>
      </c>
      <c r="H539" s="39" t="str">
        <f>IF(OR(B539="",E539&lt;&gt;""),"",IFERROR(INDEX(KT_nguoc_theo_NL!$J$5:$J$304,MATCH(C539,KT_nguoc_theo_NL!$B$5:$B$304,0))/INDEX(KT_nguoc_theo_NL!$K$5:$K$304,MATCH(C539,KT_nguoc_theo_NL!$B$5:$B$304,0)),""))</f>
        <v/>
      </c>
      <c r="I539" s="39" t="str">
        <f t="shared" si="41"/>
        <v/>
      </c>
      <c r="J539" s="46" t="str">
        <f t="shared" si="42"/>
        <v/>
      </c>
      <c r="K539" s="46" t="str">
        <f t="shared" si="43"/>
        <v/>
      </c>
      <c r="L539" s="46" t="str">
        <f t="shared" si="44"/>
        <v/>
      </c>
      <c r="M539" s="35" t="str">
        <f>IF(B539="","",IF(E539="KXDDM","KXDDM – không ĐM",IF(E539&lt;&gt;"","Không KT ("&amp;E539&amp;")",IF(OR(K539="",L539=""),"Xem xét",IF(MAX(ABS(K539),ABS(L539))&lt;=ThongTin!$C$12,"OK","Xem xét")))))</f>
        <v/>
      </c>
    </row>
    <row r="540" spans="1:13" x14ac:dyDescent="0.25">
      <c r="A540" s="35" t="str">
        <f t="shared" si="40"/>
        <v/>
      </c>
      <c r="B540" s="35" t="str">
        <f>IF(BOM!A540="","",BOM!A540)</f>
        <v/>
      </c>
      <c r="C540" s="35" t="str">
        <f>IF(B540="","",BOM!B540)</f>
        <v/>
      </c>
      <c r="D540" s="35" t="str">
        <f>IF(B540="","",KT_DMTT_ChiTiet!E540)</f>
        <v/>
      </c>
      <c r="E540" s="36" t="str">
        <f>IF(B540="","",BOM!G540&amp;"")</f>
        <v/>
      </c>
      <c r="F540" s="39" t="str">
        <f>IF(B540="","",BOM!E540)</f>
        <v/>
      </c>
      <c r="G540" s="39" t="str">
        <f>IF(OR(B540="",E540="KXDDM"),"",BOM!F540)</f>
        <v/>
      </c>
      <c r="H540" s="39" t="str">
        <f>IF(OR(B540="",E540&lt;&gt;""),"",IFERROR(INDEX(KT_nguoc_theo_NL!$J$5:$J$304,MATCH(C540,KT_nguoc_theo_NL!$B$5:$B$304,0))/INDEX(KT_nguoc_theo_NL!$K$5:$K$304,MATCH(C540,KT_nguoc_theo_NL!$B$5:$B$304,0)),""))</f>
        <v/>
      </c>
      <c r="I540" s="39" t="str">
        <f t="shared" si="41"/>
        <v/>
      </c>
      <c r="J540" s="46" t="str">
        <f t="shared" si="42"/>
        <v/>
      </c>
      <c r="K540" s="46" t="str">
        <f t="shared" si="43"/>
        <v/>
      </c>
      <c r="L540" s="46" t="str">
        <f t="shared" si="44"/>
        <v/>
      </c>
      <c r="M540" s="35" t="str">
        <f>IF(B540="","",IF(E540="KXDDM","KXDDM – không ĐM",IF(E540&lt;&gt;"","Không KT ("&amp;E540&amp;")",IF(OR(K540="",L540=""),"Xem xét",IF(MAX(ABS(K540),ABS(L540))&lt;=ThongTin!$C$12,"OK","Xem xét")))))</f>
        <v/>
      </c>
    </row>
    <row r="541" spans="1:13" x14ac:dyDescent="0.25">
      <c r="A541" s="35" t="str">
        <f t="shared" si="40"/>
        <v/>
      </c>
      <c r="B541" s="35" t="str">
        <f>IF(BOM!A541="","",BOM!A541)</f>
        <v/>
      </c>
      <c r="C541" s="35" t="str">
        <f>IF(B541="","",BOM!B541)</f>
        <v/>
      </c>
      <c r="D541" s="35" t="str">
        <f>IF(B541="","",KT_DMTT_ChiTiet!E541)</f>
        <v/>
      </c>
      <c r="E541" s="36" t="str">
        <f>IF(B541="","",BOM!G541&amp;"")</f>
        <v/>
      </c>
      <c r="F541" s="39" t="str">
        <f>IF(B541="","",BOM!E541)</f>
        <v/>
      </c>
      <c r="G541" s="39" t="str">
        <f>IF(OR(B541="",E541="KXDDM"),"",BOM!F541)</f>
        <v/>
      </c>
      <c r="H541" s="39" t="str">
        <f>IF(OR(B541="",E541&lt;&gt;""),"",IFERROR(INDEX(KT_nguoc_theo_NL!$J$5:$J$304,MATCH(C541,KT_nguoc_theo_NL!$B$5:$B$304,0))/INDEX(KT_nguoc_theo_NL!$K$5:$K$304,MATCH(C541,KT_nguoc_theo_NL!$B$5:$B$304,0)),""))</f>
        <v/>
      </c>
      <c r="I541" s="39" t="str">
        <f t="shared" si="41"/>
        <v/>
      </c>
      <c r="J541" s="46" t="str">
        <f t="shared" si="42"/>
        <v/>
      </c>
      <c r="K541" s="46" t="str">
        <f t="shared" si="43"/>
        <v/>
      </c>
      <c r="L541" s="46" t="str">
        <f t="shared" si="44"/>
        <v/>
      </c>
      <c r="M541" s="35" t="str">
        <f>IF(B541="","",IF(E541="KXDDM","KXDDM – không ĐM",IF(E541&lt;&gt;"","Không KT ("&amp;E541&amp;")",IF(OR(K541="",L541=""),"Xem xét",IF(MAX(ABS(K541),ABS(L541))&lt;=ThongTin!$C$12,"OK","Xem xét")))))</f>
        <v/>
      </c>
    </row>
    <row r="542" spans="1:13" x14ac:dyDescent="0.25">
      <c r="A542" s="35" t="str">
        <f t="shared" si="40"/>
        <v/>
      </c>
      <c r="B542" s="35" t="str">
        <f>IF(BOM!A542="","",BOM!A542)</f>
        <v/>
      </c>
      <c r="C542" s="35" t="str">
        <f>IF(B542="","",BOM!B542)</f>
        <v/>
      </c>
      <c r="D542" s="35" t="str">
        <f>IF(B542="","",KT_DMTT_ChiTiet!E542)</f>
        <v/>
      </c>
      <c r="E542" s="36" t="str">
        <f>IF(B542="","",BOM!G542&amp;"")</f>
        <v/>
      </c>
      <c r="F542" s="39" t="str">
        <f>IF(B542="","",BOM!E542)</f>
        <v/>
      </c>
      <c r="G542" s="39" t="str">
        <f>IF(OR(B542="",E542="KXDDM"),"",BOM!F542)</f>
        <v/>
      </c>
      <c r="H542" s="39" t="str">
        <f>IF(OR(B542="",E542&lt;&gt;""),"",IFERROR(INDEX(KT_nguoc_theo_NL!$J$5:$J$304,MATCH(C542,KT_nguoc_theo_NL!$B$5:$B$304,0))/INDEX(KT_nguoc_theo_NL!$K$5:$K$304,MATCH(C542,KT_nguoc_theo_NL!$B$5:$B$304,0)),""))</f>
        <v/>
      </c>
      <c r="I542" s="39" t="str">
        <f t="shared" si="41"/>
        <v/>
      </c>
      <c r="J542" s="46" t="str">
        <f t="shared" si="42"/>
        <v/>
      </c>
      <c r="K542" s="46" t="str">
        <f t="shared" si="43"/>
        <v/>
      </c>
      <c r="L542" s="46" t="str">
        <f t="shared" si="44"/>
        <v/>
      </c>
      <c r="M542" s="35" t="str">
        <f>IF(B542="","",IF(E542="KXDDM","KXDDM – không ĐM",IF(E542&lt;&gt;"","Không KT ("&amp;E542&amp;")",IF(OR(K542="",L542=""),"Xem xét",IF(MAX(ABS(K542),ABS(L542))&lt;=ThongTin!$C$12,"OK","Xem xét")))))</f>
        <v/>
      </c>
    </row>
    <row r="543" spans="1:13" x14ac:dyDescent="0.25">
      <c r="A543" s="35" t="str">
        <f t="shared" si="40"/>
        <v/>
      </c>
      <c r="B543" s="35" t="str">
        <f>IF(BOM!A543="","",BOM!A543)</f>
        <v/>
      </c>
      <c r="C543" s="35" t="str">
        <f>IF(B543="","",BOM!B543)</f>
        <v/>
      </c>
      <c r="D543" s="35" t="str">
        <f>IF(B543="","",KT_DMTT_ChiTiet!E543)</f>
        <v/>
      </c>
      <c r="E543" s="36" t="str">
        <f>IF(B543="","",BOM!G543&amp;"")</f>
        <v/>
      </c>
      <c r="F543" s="39" t="str">
        <f>IF(B543="","",BOM!E543)</f>
        <v/>
      </c>
      <c r="G543" s="39" t="str">
        <f>IF(OR(B543="",E543="KXDDM"),"",BOM!F543)</f>
        <v/>
      </c>
      <c r="H543" s="39" t="str">
        <f>IF(OR(B543="",E543&lt;&gt;""),"",IFERROR(INDEX(KT_nguoc_theo_NL!$J$5:$J$304,MATCH(C543,KT_nguoc_theo_NL!$B$5:$B$304,0))/INDEX(KT_nguoc_theo_NL!$K$5:$K$304,MATCH(C543,KT_nguoc_theo_NL!$B$5:$B$304,0)),""))</f>
        <v/>
      </c>
      <c r="I543" s="39" t="str">
        <f t="shared" si="41"/>
        <v/>
      </c>
      <c r="J543" s="46" t="str">
        <f t="shared" si="42"/>
        <v/>
      </c>
      <c r="K543" s="46" t="str">
        <f t="shared" si="43"/>
        <v/>
      </c>
      <c r="L543" s="46" t="str">
        <f t="shared" si="44"/>
        <v/>
      </c>
      <c r="M543" s="35" t="str">
        <f>IF(B543="","",IF(E543="KXDDM","KXDDM – không ĐM",IF(E543&lt;&gt;"","Không KT ("&amp;E543&amp;")",IF(OR(K543="",L543=""),"Xem xét",IF(MAX(ABS(K543),ABS(L543))&lt;=ThongTin!$C$12,"OK","Xem xét")))))</f>
        <v/>
      </c>
    </row>
    <row r="544" spans="1:13" x14ac:dyDescent="0.25">
      <c r="A544" s="35" t="str">
        <f t="shared" si="40"/>
        <v/>
      </c>
      <c r="B544" s="35" t="str">
        <f>IF(BOM!A544="","",BOM!A544)</f>
        <v/>
      </c>
      <c r="C544" s="35" t="str">
        <f>IF(B544="","",BOM!B544)</f>
        <v/>
      </c>
      <c r="D544" s="35" t="str">
        <f>IF(B544="","",KT_DMTT_ChiTiet!E544)</f>
        <v/>
      </c>
      <c r="E544" s="36" t="str">
        <f>IF(B544="","",BOM!G544&amp;"")</f>
        <v/>
      </c>
      <c r="F544" s="39" t="str">
        <f>IF(B544="","",BOM!E544)</f>
        <v/>
      </c>
      <c r="G544" s="39" t="str">
        <f>IF(OR(B544="",E544="KXDDM"),"",BOM!F544)</f>
        <v/>
      </c>
      <c r="H544" s="39" t="str">
        <f>IF(OR(B544="",E544&lt;&gt;""),"",IFERROR(INDEX(KT_nguoc_theo_NL!$J$5:$J$304,MATCH(C544,KT_nguoc_theo_NL!$B$5:$B$304,0))/INDEX(KT_nguoc_theo_NL!$K$5:$K$304,MATCH(C544,KT_nguoc_theo_NL!$B$5:$B$304,0)),""))</f>
        <v/>
      </c>
      <c r="I544" s="39" t="str">
        <f t="shared" si="41"/>
        <v/>
      </c>
      <c r="J544" s="46" t="str">
        <f t="shared" si="42"/>
        <v/>
      </c>
      <c r="K544" s="46" t="str">
        <f t="shared" si="43"/>
        <v/>
      </c>
      <c r="L544" s="46" t="str">
        <f t="shared" si="44"/>
        <v/>
      </c>
      <c r="M544" s="35" t="str">
        <f>IF(B544="","",IF(E544="KXDDM","KXDDM – không ĐM",IF(E544&lt;&gt;"","Không KT ("&amp;E544&amp;")",IF(OR(K544="",L544=""),"Xem xét",IF(MAX(ABS(K544),ABS(L544))&lt;=ThongTin!$C$12,"OK","Xem xét")))))</f>
        <v/>
      </c>
    </row>
    <row r="545" spans="1:13" x14ac:dyDescent="0.25">
      <c r="A545" s="35" t="str">
        <f t="shared" si="40"/>
        <v/>
      </c>
      <c r="B545" s="35" t="str">
        <f>IF(BOM!A545="","",BOM!A545)</f>
        <v/>
      </c>
      <c r="C545" s="35" t="str">
        <f>IF(B545="","",BOM!B545)</f>
        <v/>
      </c>
      <c r="D545" s="35" t="str">
        <f>IF(B545="","",KT_DMTT_ChiTiet!E545)</f>
        <v/>
      </c>
      <c r="E545" s="36" t="str">
        <f>IF(B545="","",BOM!G545&amp;"")</f>
        <v/>
      </c>
      <c r="F545" s="39" t="str">
        <f>IF(B545="","",BOM!E545)</f>
        <v/>
      </c>
      <c r="G545" s="39" t="str">
        <f>IF(OR(B545="",E545="KXDDM"),"",BOM!F545)</f>
        <v/>
      </c>
      <c r="H545" s="39" t="str">
        <f>IF(OR(B545="",E545&lt;&gt;""),"",IFERROR(INDEX(KT_nguoc_theo_NL!$J$5:$J$304,MATCH(C545,KT_nguoc_theo_NL!$B$5:$B$304,0))/INDEX(KT_nguoc_theo_NL!$K$5:$K$304,MATCH(C545,KT_nguoc_theo_NL!$B$5:$B$304,0)),""))</f>
        <v/>
      </c>
      <c r="I545" s="39" t="str">
        <f t="shared" si="41"/>
        <v/>
      </c>
      <c r="J545" s="46" t="str">
        <f t="shared" si="42"/>
        <v/>
      </c>
      <c r="K545" s="46" t="str">
        <f t="shared" si="43"/>
        <v/>
      </c>
      <c r="L545" s="46" t="str">
        <f t="shared" si="44"/>
        <v/>
      </c>
      <c r="M545" s="35" t="str">
        <f>IF(B545="","",IF(E545="KXDDM","KXDDM – không ĐM",IF(E545&lt;&gt;"","Không KT ("&amp;E545&amp;")",IF(OR(K545="",L545=""),"Xem xét",IF(MAX(ABS(K545),ABS(L545))&lt;=ThongTin!$C$12,"OK","Xem xét")))))</f>
        <v/>
      </c>
    </row>
    <row r="546" spans="1:13" x14ac:dyDescent="0.25">
      <c r="A546" s="35" t="str">
        <f t="shared" si="40"/>
        <v/>
      </c>
      <c r="B546" s="35" t="str">
        <f>IF(BOM!A546="","",BOM!A546)</f>
        <v/>
      </c>
      <c r="C546" s="35" t="str">
        <f>IF(B546="","",BOM!B546)</f>
        <v/>
      </c>
      <c r="D546" s="35" t="str">
        <f>IF(B546="","",KT_DMTT_ChiTiet!E546)</f>
        <v/>
      </c>
      <c r="E546" s="36" t="str">
        <f>IF(B546="","",BOM!G546&amp;"")</f>
        <v/>
      </c>
      <c r="F546" s="39" t="str">
        <f>IF(B546="","",BOM!E546)</f>
        <v/>
      </c>
      <c r="G546" s="39" t="str">
        <f>IF(OR(B546="",E546="KXDDM"),"",BOM!F546)</f>
        <v/>
      </c>
      <c r="H546" s="39" t="str">
        <f>IF(OR(B546="",E546&lt;&gt;""),"",IFERROR(INDEX(KT_nguoc_theo_NL!$J$5:$J$304,MATCH(C546,KT_nguoc_theo_NL!$B$5:$B$304,0))/INDEX(KT_nguoc_theo_NL!$K$5:$K$304,MATCH(C546,KT_nguoc_theo_NL!$B$5:$B$304,0)),""))</f>
        <v/>
      </c>
      <c r="I546" s="39" t="str">
        <f t="shared" si="41"/>
        <v/>
      </c>
      <c r="J546" s="46" t="str">
        <f t="shared" si="42"/>
        <v/>
      </c>
      <c r="K546" s="46" t="str">
        <f t="shared" si="43"/>
        <v/>
      </c>
      <c r="L546" s="46" t="str">
        <f t="shared" si="44"/>
        <v/>
      </c>
      <c r="M546" s="35" t="str">
        <f>IF(B546="","",IF(E546="KXDDM","KXDDM – không ĐM",IF(E546&lt;&gt;"","Không KT ("&amp;E546&amp;")",IF(OR(K546="",L546=""),"Xem xét",IF(MAX(ABS(K546),ABS(L546))&lt;=ThongTin!$C$12,"OK","Xem xét")))))</f>
        <v/>
      </c>
    </row>
    <row r="547" spans="1:13" x14ac:dyDescent="0.25">
      <c r="A547" s="35" t="str">
        <f t="shared" si="40"/>
        <v/>
      </c>
      <c r="B547" s="35" t="str">
        <f>IF(BOM!A547="","",BOM!A547)</f>
        <v/>
      </c>
      <c r="C547" s="35" t="str">
        <f>IF(B547="","",BOM!B547)</f>
        <v/>
      </c>
      <c r="D547" s="35" t="str">
        <f>IF(B547="","",KT_DMTT_ChiTiet!E547)</f>
        <v/>
      </c>
      <c r="E547" s="36" t="str">
        <f>IF(B547="","",BOM!G547&amp;"")</f>
        <v/>
      </c>
      <c r="F547" s="39" t="str">
        <f>IF(B547="","",BOM!E547)</f>
        <v/>
      </c>
      <c r="G547" s="39" t="str">
        <f>IF(OR(B547="",E547="KXDDM"),"",BOM!F547)</f>
        <v/>
      </c>
      <c r="H547" s="39" t="str">
        <f>IF(OR(B547="",E547&lt;&gt;""),"",IFERROR(INDEX(KT_nguoc_theo_NL!$J$5:$J$304,MATCH(C547,KT_nguoc_theo_NL!$B$5:$B$304,0))/INDEX(KT_nguoc_theo_NL!$K$5:$K$304,MATCH(C547,KT_nguoc_theo_NL!$B$5:$B$304,0)),""))</f>
        <v/>
      </c>
      <c r="I547" s="39" t="str">
        <f t="shared" si="41"/>
        <v/>
      </c>
      <c r="J547" s="46" t="str">
        <f t="shared" si="42"/>
        <v/>
      </c>
      <c r="K547" s="46" t="str">
        <f t="shared" si="43"/>
        <v/>
      </c>
      <c r="L547" s="46" t="str">
        <f t="shared" si="44"/>
        <v/>
      </c>
      <c r="M547" s="35" t="str">
        <f>IF(B547="","",IF(E547="KXDDM","KXDDM – không ĐM",IF(E547&lt;&gt;"","Không KT ("&amp;E547&amp;")",IF(OR(K547="",L547=""),"Xem xét",IF(MAX(ABS(K547),ABS(L547))&lt;=ThongTin!$C$12,"OK","Xem xét")))))</f>
        <v/>
      </c>
    </row>
    <row r="548" spans="1:13" x14ac:dyDescent="0.25">
      <c r="A548" s="35" t="str">
        <f t="shared" si="40"/>
        <v/>
      </c>
      <c r="B548" s="35" t="str">
        <f>IF(BOM!A548="","",BOM!A548)</f>
        <v/>
      </c>
      <c r="C548" s="35" t="str">
        <f>IF(B548="","",BOM!B548)</f>
        <v/>
      </c>
      <c r="D548" s="35" t="str">
        <f>IF(B548="","",KT_DMTT_ChiTiet!E548)</f>
        <v/>
      </c>
      <c r="E548" s="36" t="str">
        <f>IF(B548="","",BOM!G548&amp;"")</f>
        <v/>
      </c>
      <c r="F548" s="39" t="str">
        <f>IF(B548="","",BOM!E548)</f>
        <v/>
      </c>
      <c r="G548" s="39" t="str">
        <f>IF(OR(B548="",E548="KXDDM"),"",BOM!F548)</f>
        <v/>
      </c>
      <c r="H548" s="39" t="str">
        <f>IF(OR(B548="",E548&lt;&gt;""),"",IFERROR(INDEX(KT_nguoc_theo_NL!$J$5:$J$304,MATCH(C548,KT_nguoc_theo_NL!$B$5:$B$304,0))/INDEX(KT_nguoc_theo_NL!$K$5:$K$304,MATCH(C548,KT_nguoc_theo_NL!$B$5:$B$304,0)),""))</f>
        <v/>
      </c>
      <c r="I548" s="39" t="str">
        <f t="shared" si="41"/>
        <v/>
      </c>
      <c r="J548" s="46" t="str">
        <f t="shared" si="42"/>
        <v/>
      </c>
      <c r="K548" s="46" t="str">
        <f t="shared" si="43"/>
        <v/>
      </c>
      <c r="L548" s="46" t="str">
        <f t="shared" si="44"/>
        <v/>
      </c>
      <c r="M548" s="35" t="str">
        <f>IF(B548="","",IF(E548="KXDDM","KXDDM – không ĐM",IF(E548&lt;&gt;"","Không KT ("&amp;E548&amp;")",IF(OR(K548="",L548=""),"Xem xét",IF(MAX(ABS(K548),ABS(L548))&lt;=ThongTin!$C$12,"OK","Xem xét")))))</f>
        <v/>
      </c>
    </row>
    <row r="549" spans="1:13" x14ac:dyDescent="0.25">
      <c r="A549" s="35" t="str">
        <f t="shared" si="40"/>
        <v/>
      </c>
      <c r="B549" s="35" t="str">
        <f>IF(BOM!A549="","",BOM!A549)</f>
        <v/>
      </c>
      <c r="C549" s="35" t="str">
        <f>IF(B549="","",BOM!B549)</f>
        <v/>
      </c>
      <c r="D549" s="35" t="str">
        <f>IF(B549="","",KT_DMTT_ChiTiet!E549)</f>
        <v/>
      </c>
      <c r="E549" s="36" t="str">
        <f>IF(B549="","",BOM!G549&amp;"")</f>
        <v/>
      </c>
      <c r="F549" s="39" t="str">
        <f>IF(B549="","",BOM!E549)</f>
        <v/>
      </c>
      <c r="G549" s="39" t="str">
        <f>IF(OR(B549="",E549="KXDDM"),"",BOM!F549)</f>
        <v/>
      </c>
      <c r="H549" s="39" t="str">
        <f>IF(OR(B549="",E549&lt;&gt;""),"",IFERROR(INDEX(KT_nguoc_theo_NL!$J$5:$J$304,MATCH(C549,KT_nguoc_theo_NL!$B$5:$B$304,0))/INDEX(KT_nguoc_theo_NL!$K$5:$K$304,MATCH(C549,KT_nguoc_theo_NL!$B$5:$B$304,0)),""))</f>
        <v/>
      </c>
      <c r="I549" s="39" t="str">
        <f t="shared" si="41"/>
        <v/>
      </c>
      <c r="J549" s="46" t="str">
        <f t="shared" si="42"/>
        <v/>
      </c>
      <c r="K549" s="46" t="str">
        <f t="shared" si="43"/>
        <v/>
      </c>
      <c r="L549" s="46" t="str">
        <f t="shared" si="44"/>
        <v/>
      </c>
      <c r="M549" s="35" t="str">
        <f>IF(B549="","",IF(E549="KXDDM","KXDDM – không ĐM",IF(E549&lt;&gt;"","Không KT ("&amp;E549&amp;")",IF(OR(K549="",L549=""),"Xem xét",IF(MAX(ABS(K549),ABS(L549))&lt;=ThongTin!$C$12,"OK","Xem xét")))))</f>
        <v/>
      </c>
    </row>
    <row r="550" spans="1:13" x14ac:dyDescent="0.25">
      <c r="A550" s="35" t="str">
        <f t="shared" si="40"/>
        <v/>
      </c>
      <c r="B550" s="35" t="str">
        <f>IF(BOM!A550="","",BOM!A550)</f>
        <v/>
      </c>
      <c r="C550" s="35" t="str">
        <f>IF(B550="","",BOM!B550)</f>
        <v/>
      </c>
      <c r="D550" s="35" t="str">
        <f>IF(B550="","",KT_DMTT_ChiTiet!E550)</f>
        <v/>
      </c>
      <c r="E550" s="36" t="str">
        <f>IF(B550="","",BOM!G550&amp;"")</f>
        <v/>
      </c>
      <c r="F550" s="39" t="str">
        <f>IF(B550="","",BOM!E550)</f>
        <v/>
      </c>
      <c r="G550" s="39" t="str">
        <f>IF(OR(B550="",E550="KXDDM"),"",BOM!F550)</f>
        <v/>
      </c>
      <c r="H550" s="39" t="str">
        <f>IF(OR(B550="",E550&lt;&gt;""),"",IFERROR(INDEX(KT_nguoc_theo_NL!$J$5:$J$304,MATCH(C550,KT_nguoc_theo_NL!$B$5:$B$304,0))/INDEX(KT_nguoc_theo_NL!$K$5:$K$304,MATCH(C550,KT_nguoc_theo_NL!$B$5:$B$304,0)),""))</f>
        <v/>
      </c>
      <c r="I550" s="39" t="str">
        <f t="shared" si="41"/>
        <v/>
      </c>
      <c r="J550" s="46" t="str">
        <f t="shared" si="42"/>
        <v/>
      </c>
      <c r="K550" s="46" t="str">
        <f t="shared" si="43"/>
        <v/>
      </c>
      <c r="L550" s="46" t="str">
        <f t="shared" si="44"/>
        <v/>
      </c>
      <c r="M550" s="35" t="str">
        <f>IF(B550="","",IF(E550="KXDDM","KXDDM – không ĐM",IF(E550&lt;&gt;"","Không KT ("&amp;E550&amp;")",IF(OR(K550="",L550=""),"Xem xét",IF(MAX(ABS(K550),ABS(L550))&lt;=ThongTin!$C$12,"OK","Xem xét")))))</f>
        <v/>
      </c>
    </row>
    <row r="551" spans="1:13" x14ac:dyDescent="0.25">
      <c r="A551" s="35" t="str">
        <f t="shared" si="40"/>
        <v/>
      </c>
      <c r="B551" s="35" t="str">
        <f>IF(BOM!A551="","",BOM!A551)</f>
        <v/>
      </c>
      <c r="C551" s="35" t="str">
        <f>IF(B551="","",BOM!B551)</f>
        <v/>
      </c>
      <c r="D551" s="35" t="str">
        <f>IF(B551="","",KT_DMTT_ChiTiet!E551)</f>
        <v/>
      </c>
      <c r="E551" s="36" t="str">
        <f>IF(B551="","",BOM!G551&amp;"")</f>
        <v/>
      </c>
      <c r="F551" s="39" t="str">
        <f>IF(B551="","",BOM!E551)</f>
        <v/>
      </c>
      <c r="G551" s="39" t="str">
        <f>IF(OR(B551="",E551="KXDDM"),"",BOM!F551)</f>
        <v/>
      </c>
      <c r="H551" s="39" t="str">
        <f>IF(OR(B551="",E551&lt;&gt;""),"",IFERROR(INDEX(KT_nguoc_theo_NL!$J$5:$J$304,MATCH(C551,KT_nguoc_theo_NL!$B$5:$B$304,0))/INDEX(KT_nguoc_theo_NL!$K$5:$K$304,MATCH(C551,KT_nguoc_theo_NL!$B$5:$B$304,0)),""))</f>
        <v/>
      </c>
      <c r="I551" s="39" t="str">
        <f t="shared" si="41"/>
        <v/>
      </c>
      <c r="J551" s="46" t="str">
        <f t="shared" si="42"/>
        <v/>
      </c>
      <c r="K551" s="46" t="str">
        <f t="shared" si="43"/>
        <v/>
      </c>
      <c r="L551" s="46" t="str">
        <f t="shared" si="44"/>
        <v/>
      </c>
      <c r="M551" s="35" t="str">
        <f>IF(B551="","",IF(E551="KXDDM","KXDDM – không ĐM",IF(E551&lt;&gt;"","Không KT ("&amp;E551&amp;")",IF(OR(K551="",L551=""),"Xem xét",IF(MAX(ABS(K551),ABS(L551))&lt;=ThongTin!$C$12,"OK","Xem xét")))))</f>
        <v/>
      </c>
    </row>
    <row r="552" spans="1:13" x14ac:dyDescent="0.25">
      <c r="A552" s="35" t="str">
        <f t="shared" si="40"/>
        <v/>
      </c>
      <c r="B552" s="35" t="str">
        <f>IF(BOM!A552="","",BOM!A552)</f>
        <v/>
      </c>
      <c r="C552" s="35" t="str">
        <f>IF(B552="","",BOM!B552)</f>
        <v/>
      </c>
      <c r="D552" s="35" t="str">
        <f>IF(B552="","",KT_DMTT_ChiTiet!E552)</f>
        <v/>
      </c>
      <c r="E552" s="36" t="str">
        <f>IF(B552="","",BOM!G552&amp;"")</f>
        <v/>
      </c>
      <c r="F552" s="39" t="str">
        <f>IF(B552="","",BOM!E552)</f>
        <v/>
      </c>
      <c r="G552" s="39" t="str">
        <f>IF(OR(B552="",E552="KXDDM"),"",BOM!F552)</f>
        <v/>
      </c>
      <c r="H552" s="39" t="str">
        <f>IF(OR(B552="",E552&lt;&gt;""),"",IFERROR(INDEX(KT_nguoc_theo_NL!$J$5:$J$304,MATCH(C552,KT_nguoc_theo_NL!$B$5:$B$304,0))/INDEX(KT_nguoc_theo_NL!$K$5:$K$304,MATCH(C552,KT_nguoc_theo_NL!$B$5:$B$304,0)),""))</f>
        <v/>
      </c>
      <c r="I552" s="39" t="str">
        <f t="shared" si="41"/>
        <v/>
      </c>
      <c r="J552" s="46" t="str">
        <f t="shared" si="42"/>
        <v/>
      </c>
      <c r="K552" s="46" t="str">
        <f t="shared" si="43"/>
        <v/>
      </c>
      <c r="L552" s="46" t="str">
        <f t="shared" si="44"/>
        <v/>
      </c>
      <c r="M552" s="35" t="str">
        <f>IF(B552="","",IF(E552="KXDDM","KXDDM – không ĐM",IF(E552&lt;&gt;"","Không KT ("&amp;E552&amp;")",IF(OR(K552="",L552=""),"Xem xét",IF(MAX(ABS(K552),ABS(L552))&lt;=ThongTin!$C$12,"OK","Xem xét")))))</f>
        <v/>
      </c>
    </row>
    <row r="553" spans="1:13" x14ac:dyDescent="0.25">
      <c r="A553" s="35" t="str">
        <f t="shared" si="40"/>
        <v/>
      </c>
      <c r="B553" s="35" t="str">
        <f>IF(BOM!A553="","",BOM!A553)</f>
        <v/>
      </c>
      <c r="C553" s="35" t="str">
        <f>IF(B553="","",BOM!B553)</f>
        <v/>
      </c>
      <c r="D553" s="35" t="str">
        <f>IF(B553="","",KT_DMTT_ChiTiet!E553)</f>
        <v/>
      </c>
      <c r="E553" s="36" t="str">
        <f>IF(B553="","",BOM!G553&amp;"")</f>
        <v/>
      </c>
      <c r="F553" s="39" t="str">
        <f>IF(B553="","",BOM!E553)</f>
        <v/>
      </c>
      <c r="G553" s="39" t="str">
        <f>IF(OR(B553="",E553="KXDDM"),"",BOM!F553)</f>
        <v/>
      </c>
      <c r="H553" s="39" t="str">
        <f>IF(OR(B553="",E553&lt;&gt;""),"",IFERROR(INDEX(KT_nguoc_theo_NL!$J$5:$J$304,MATCH(C553,KT_nguoc_theo_NL!$B$5:$B$304,0))/INDEX(KT_nguoc_theo_NL!$K$5:$K$304,MATCH(C553,KT_nguoc_theo_NL!$B$5:$B$304,0)),""))</f>
        <v/>
      </c>
      <c r="I553" s="39" t="str">
        <f t="shared" si="41"/>
        <v/>
      </c>
      <c r="J553" s="46" t="str">
        <f t="shared" si="42"/>
        <v/>
      </c>
      <c r="K553" s="46" t="str">
        <f t="shared" si="43"/>
        <v/>
      </c>
      <c r="L553" s="46" t="str">
        <f t="shared" si="44"/>
        <v/>
      </c>
      <c r="M553" s="35" t="str">
        <f>IF(B553="","",IF(E553="KXDDM","KXDDM – không ĐM",IF(E553&lt;&gt;"","Không KT ("&amp;E553&amp;")",IF(OR(K553="",L553=""),"Xem xét",IF(MAX(ABS(K553),ABS(L553))&lt;=ThongTin!$C$12,"OK","Xem xét")))))</f>
        <v/>
      </c>
    </row>
    <row r="554" spans="1:13" x14ac:dyDescent="0.25">
      <c r="A554" s="35" t="str">
        <f t="shared" si="40"/>
        <v/>
      </c>
      <c r="B554" s="35" t="str">
        <f>IF(BOM!A554="","",BOM!A554)</f>
        <v/>
      </c>
      <c r="C554" s="35" t="str">
        <f>IF(B554="","",BOM!B554)</f>
        <v/>
      </c>
      <c r="D554" s="35" t="str">
        <f>IF(B554="","",KT_DMTT_ChiTiet!E554)</f>
        <v/>
      </c>
      <c r="E554" s="36" t="str">
        <f>IF(B554="","",BOM!G554&amp;"")</f>
        <v/>
      </c>
      <c r="F554" s="39" t="str">
        <f>IF(B554="","",BOM!E554)</f>
        <v/>
      </c>
      <c r="G554" s="39" t="str">
        <f>IF(OR(B554="",E554="KXDDM"),"",BOM!F554)</f>
        <v/>
      </c>
      <c r="H554" s="39" t="str">
        <f>IF(OR(B554="",E554&lt;&gt;""),"",IFERROR(INDEX(KT_nguoc_theo_NL!$J$5:$J$304,MATCH(C554,KT_nguoc_theo_NL!$B$5:$B$304,0))/INDEX(KT_nguoc_theo_NL!$K$5:$K$304,MATCH(C554,KT_nguoc_theo_NL!$B$5:$B$304,0)),""))</f>
        <v/>
      </c>
      <c r="I554" s="39" t="str">
        <f t="shared" si="41"/>
        <v/>
      </c>
      <c r="J554" s="46" t="str">
        <f t="shared" si="42"/>
        <v/>
      </c>
      <c r="K554" s="46" t="str">
        <f t="shared" si="43"/>
        <v/>
      </c>
      <c r="L554" s="46" t="str">
        <f t="shared" si="44"/>
        <v/>
      </c>
      <c r="M554" s="35" t="str">
        <f>IF(B554="","",IF(E554="KXDDM","KXDDM – không ĐM",IF(E554&lt;&gt;"","Không KT ("&amp;E554&amp;")",IF(OR(K554="",L554=""),"Xem xét",IF(MAX(ABS(K554),ABS(L554))&lt;=ThongTin!$C$12,"OK","Xem xét")))))</f>
        <v/>
      </c>
    </row>
    <row r="555" spans="1:13" x14ac:dyDescent="0.25">
      <c r="A555" s="35" t="str">
        <f t="shared" si="40"/>
        <v/>
      </c>
      <c r="B555" s="35" t="str">
        <f>IF(BOM!A555="","",BOM!A555)</f>
        <v/>
      </c>
      <c r="C555" s="35" t="str">
        <f>IF(B555="","",BOM!B555)</f>
        <v/>
      </c>
      <c r="D555" s="35" t="str">
        <f>IF(B555="","",KT_DMTT_ChiTiet!E555)</f>
        <v/>
      </c>
      <c r="E555" s="36" t="str">
        <f>IF(B555="","",BOM!G555&amp;"")</f>
        <v/>
      </c>
      <c r="F555" s="39" t="str">
        <f>IF(B555="","",BOM!E555)</f>
        <v/>
      </c>
      <c r="G555" s="39" t="str">
        <f>IF(OR(B555="",E555="KXDDM"),"",BOM!F555)</f>
        <v/>
      </c>
      <c r="H555" s="39" t="str">
        <f>IF(OR(B555="",E555&lt;&gt;""),"",IFERROR(INDEX(KT_nguoc_theo_NL!$J$5:$J$304,MATCH(C555,KT_nguoc_theo_NL!$B$5:$B$304,0))/INDEX(KT_nguoc_theo_NL!$K$5:$K$304,MATCH(C555,KT_nguoc_theo_NL!$B$5:$B$304,0)),""))</f>
        <v/>
      </c>
      <c r="I555" s="39" t="str">
        <f t="shared" si="41"/>
        <v/>
      </c>
      <c r="J555" s="46" t="str">
        <f t="shared" si="42"/>
        <v/>
      </c>
      <c r="K555" s="46" t="str">
        <f t="shared" si="43"/>
        <v/>
      </c>
      <c r="L555" s="46" t="str">
        <f t="shared" si="44"/>
        <v/>
      </c>
      <c r="M555" s="35" t="str">
        <f>IF(B555="","",IF(E555="KXDDM","KXDDM – không ĐM",IF(E555&lt;&gt;"","Không KT ("&amp;E555&amp;")",IF(OR(K555="",L555=""),"Xem xét",IF(MAX(ABS(K555),ABS(L555))&lt;=ThongTin!$C$12,"OK","Xem xét")))))</f>
        <v/>
      </c>
    </row>
    <row r="556" spans="1:13" x14ac:dyDescent="0.25">
      <c r="A556" s="35" t="str">
        <f t="shared" si="40"/>
        <v/>
      </c>
      <c r="B556" s="35" t="str">
        <f>IF(BOM!A556="","",BOM!A556)</f>
        <v/>
      </c>
      <c r="C556" s="35" t="str">
        <f>IF(B556="","",BOM!B556)</f>
        <v/>
      </c>
      <c r="D556" s="35" t="str">
        <f>IF(B556="","",KT_DMTT_ChiTiet!E556)</f>
        <v/>
      </c>
      <c r="E556" s="36" t="str">
        <f>IF(B556="","",BOM!G556&amp;"")</f>
        <v/>
      </c>
      <c r="F556" s="39" t="str">
        <f>IF(B556="","",BOM!E556)</f>
        <v/>
      </c>
      <c r="G556" s="39" t="str">
        <f>IF(OR(B556="",E556="KXDDM"),"",BOM!F556)</f>
        <v/>
      </c>
      <c r="H556" s="39" t="str">
        <f>IF(OR(B556="",E556&lt;&gt;""),"",IFERROR(INDEX(KT_nguoc_theo_NL!$J$5:$J$304,MATCH(C556,KT_nguoc_theo_NL!$B$5:$B$304,0))/INDEX(KT_nguoc_theo_NL!$K$5:$K$304,MATCH(C556,KT_nguoc_theo_NL!$B$5:$B$304,0)),""))</f>
        <v/>
      </c>
      <c r="I556" s="39" t="str">
        <f t="shared" si="41"/>
        <v/>
      </c>
      <c r="J556" s="46" t="str">
        <f t="shared" si="42"/>
        <v/>
      </c>
      <c r="K556" s="46" t="str">
        <f t="shared" si="43"/>
        <v/>
      </c>
      <c r="L556" s="46" t="str">
        <f t="shared" si="44"/>
        <v/>
      </c>
      <c r="M556" s="35" t="str">
        <f>IF(B556="","",IF(E556="KXDDM","KXDDM – không ĐM",IF(E556&lt;&gt;"","Không KT ("&amp;E556&amp;")",IF(OR(K556="",L556=""),"Xem xét",IF(MAX(ABS(K556),ABS(L556))&lt;=ThongTin!$C$12,"OK","Xem xét")))))</f>
        <v/>
      </c>
    </row>
    <row r="557" spans="1:13" x14ac:dyDescent="0.25">
      <c r="A557" s="35" t="str">
        <f t="shared" si="40"/>
        <v/>
      </c>
      <c r="B557" s="35" t="str">
        <f>IF(BOM!A557="","",BOM!A557)</f>
        <v/>
      </c>
      <c r="C557" s="35" t="str">
        <f>IF(B557="","",BOM!B557)</f>
        <v/>
      </c>
      <c r="D557" s="35" t="str">
        <f>IF(B557="","",KT_DMTT_ChiTiet!E557)</f>
        <v/>
      </c>
      <c r="E557" s="36" t="str">
        <f>IF(B557="","",BOM!G557&amp;"")</f>
        <v/>
      </c>
      <c r="F557" s="39" t="str">
        <f>IF(B557="","",BOM!E557)</f>
        <v/>
      </c>
      <c r="G557" s="39" t="str">
        <f>IF(OR(B557="",E557="KXDDM"),"",BOM!F557)</f>
        <v/>
      </c>
      <c r="H557" s="39" t="str">
        <f>IF(OR(B557="",E557&lt;&gt;""),"",IFERROR(INDEX(KT_nguoc_theo_NL!$J$5:$J$304,MATCH(C557,KT_nguoc_theo_NL!$B$5:$B$304,0))/INDEX(KT_nguoc_theo_NL!$K$5:$K$304,MATCH(C557,KT_nguoc_theo_NL!$B$5:$B$304,0)),""))</f>
        <v/>
      </c>
      <c r="I557" s="39" t="str">
        <f t="shared" si="41"/>
        <v/>
      </c>
      <c r="J557" s="46" t="str">
        <f t="shared" si="42"/>
        <v/>
      </c>
      <c r="K557" s="46" t="str">
        <f t="shared" si="43"/>
        <v/>
      </c>
      <c r="L557" s="46" t="str">
        <f t="shared" si="44"/>
        <v/>
      </c>
      <c r="M557" s="35" t="str">
        <f>IF(B557="","",IF(E557="KXDDM","KXDDM – không ĐM",IF(E557&lt;&gt;"","Không KT ("&amp;E557&amp;")",IF(OR(K557="",L557=""),"Xem xét",IF(MAX(ABS(K557),ABS(L557))&lt;=ThongTin!$C$12,"OK","Xem xét")))))</f>
        <v/>
      </c>
    </row>
    <row r="558" spans="1:13" x14ac:dyDescent="0.25">
      <c r="A558" s="35" t="str">
        <f t="shared" si="40"/>
        <v/>
      </c>
      <c r="B558" s="35" t="str">
        <f>IF(BOM!A558="","",BOM!A558)</f>
        <v/>
      </c>
      <c r="C558" s="35" t="str">
        <f>IF(B558="","",BOM!B558)</f>
        <v/>
      </c>
      <c r="D558" s="35" t="str">
        <f>IF(B558="","",KT_DMTT_ChiTiet!E558)</f>
        <v/>
      </c>
      <c r="E558" s="36" t="str">
        <f>IF(B558="","",BOM!G558&amp;"")</f>
        <v/>
      </c>
      <c r="F558" s="39" t="str">
        <f>IF(B558="","",BOM!E558)</f>
        <v/>
      </c>
      <c r="G558" s="39" t="str">
        <f>IF(OR(B558="",E558="KXDDM"),"",BOM!F558)</f>
        <v/>
      </c>
      <c r="H558" s="39" t="str">
        <f>IF(OR(B558="",E558&lt;&gt;""),"",IFERROR(INDEX(KT_nguoc_theo_NL!$J$5:$J$304,MATCH(C558,KT_nguoc_theo_NL!$B$5:$B$304,0))/INDEX(KT_nguoc_theo_NL!$K$5:$K$304,MATCH(C558,KT_nguoc_theo_NL!$B$5:$B$304,0)),""))</f>
        <v/>
      </c>
      <c r="I558" s="39" t="str">
        <f t="shared" si="41"/>
        <v/>
      </c>
      <c r="J558" s="46" t="str">
        <f t="shared" si="42"/>
        <v/>
      </c>
      <c r="K558" s="46" t="str">
        <f t="shared" si="43"/>
        <v/>
      </c>
      <c r="L558" s="46" t="str">
        <f t="shared" si="44"/>
        <v/>
      </c>
      <c r="M558" s="35" t="str">
        <f>IF(B558="","",IF(E558="KXDDM","KXDDM – không ĐM",IF(E558&lt;&gt;"","Không KT ("&amp;E558&amp;")",IF(OR(K558="",L558=""),"Xem xét",IF(MAX(ABS(K558),ABS(L558))&lt;=ThongTin!$C$12,"OK","Xem xét")))))</f>
        <v/>
      </c>
    </row>
    <row r="559" spans="1:13" x14ac:dyDescent="0.25">
      <c r="A559" s="35" t="str">
        <f t="shared" si="40"/>
        <v/>
      </c>
      <c r="B559" s="35" t="str">
        <f>IF(BOM!A559="","",BOM!A559)</f>
        <v/>
      </c>
      <c r="C559" s="35" t="str">
        <f>IF(B559="","",BOM!B559)</f>
        <v/>
      </c>
      <c r="D559" s="35" t="str">
        <f>IF(B559="","",KT_DMTT_ChiTiet!E559)</f>
        <v/>
      </c>
      <c r="E559" s="36" t="str">
        <f>IF(B559="","",BOM!G559&amp;"")</f>
        <v/>
      </c>
      <c r="F559" s="39" t="str">
        <f>IF(B559="","",BOM!E559)</f>
        <v/>
      </c>
      <c r="G559" s="39" t="str">
        <f>IF(OR(B559="",E559="KXDDM"),"",BOM!F559)</f>
        <v/>
      </c>
      <c r="H559" s="39" t="str">
        <f>IF(OR(B559="",E559&lt;&gt;""),"",IFERROR(INDEX(KT_nguoc_theo_NL!$J$5:$J$304,MATCH(C559,KT_nguoc_theo_NL!$B$5:$B$304,0))/INDEX(KT_nguoc_theo_NL!$K$5:$K$304,MATCH(C559,KT_nguoc_theo_NL!$B$5:$B$304,0)),""))</f>
        <v/>
      </c>
      <c r="I559" s="39" t="str">
        <f t="shared" si="41"/>
        <v/>
      </c>
      <c r="J559" s="46" t="str">
        <f t="shared" si="42"/>
        <v/>
      </c>
      <c r="K559" s="46" t="str">
        <f t="shared" si="43"/>
        <v/>
      </c>
      <c r="L559" s="46" t="str">
        <f t="shared" si="44"/>
        <v/>
      </c>
      <c r="M559" s="35" t="str">
        <f>IF(B559="","",IF(E559="KXDDM","KXDDM – không ĐM",IF(E559&lt;&gt;"","Không KT ("&amp;E559&amp;")",IF(OR(K559="",L559=""),"Xem xét",IF(MAX(ABS(K559),ABS(L559))&lt;=ThongTin!$C$12,"OK","Xem xét")))))</f>
        <v/>
      </c>
    </row>
    <row r="560" spans="1:13" x14ac:dyDescent="0.25">
      <c r="A560" s="35" t="str">
        <f t="shared" si="40"/>
        <v/>
      </c>
      <c r="B560" s="35" t="str">
        <f>IF(BOM!A560="","",BOM!A560)</f>
        <v/>
      </c>
      <c r="C560" s="35" t="str">
        <f>IF(B560="","",BOM!B560)</f>
        <v/>
      </c>
      <c r="D560" s="35" t="str">
        <f>IF(B560="","",KT_DMTT_ChiTiet!E560)</f>
        <v/>
      </c>
      <c r="E560" s="36" t="str">
        <f>IF(B560="","",BOM!G560&amp;"")</f>
        <v/>
      </c>
      <c r="F560" s="39" t="str">
        <f>IF(B560="","",BOM!E560)</f>
        <v/>
      </c>
      <c r="G560" s="39" t="str">
        <f>IF(OR(B560="",E560="KXDDM"),"",BOM!F560)</f>
        <v/>
      </c>
      <c r="H560" s="39" t="str">
        <f>IF(OR(B560="",E560&lt;&gt;""),"",IFERROR(INDEX(KT_nguoc_theo_NL!$J$5:$J$304,MATCH(C560,KT_nguoc_theo_NL!$B$5:$B$304,0))/INDEX(KT_nguoc_theo_NL!$K$5:$K$304,MATCH(C560,KT_nguoc_theo_NL!$B$5:$B$304,0)),""))</f>
        <v/>
      </c>
      <c r="I560" s="39" t="str">
        <f t="shared" si="41"/>
        <v/>
      </c>
      <c r="J560" s="46" t="str">
        <f t="shared" si="42"/>
        <v/>
      </c>
      <c r="K560" s="46" t="str">
        <f t="shared" si="43"/>
        <v/>
      </c>
      <c r="L560" s="46" t="str">
        <f t="shared" si="44"/>
        <v/>
      </c>
      <c r="M560" s="35" t="str">
        <f>IF(B560="","",IF(E560="KXDDM","KXDDM – không ĐM",IF(E560&lt;&gt;"","Không KT ("&amp;E560&amp;")",IF(OR(K560="",L560=""),"Xem xét",IF(MAX(ABS(K560),ABS(L560))&lt;=ThongTin!$C$12,"OK","Xem xét")))))</f>
        <v/>
      </c>
    </row>
    <row r="561" spans="1:13" x14ac:dyDescent="0.25">
      <c r="A561" s="35" t="str">
        <f t="shared" si="40"/>
        <v/>
      </c>
      <c r="B561" s="35" t="str">
        <f>IF(BOM!A561="","",BOM!A561)</f>
        <v/>
      </c>
      <c r="C561" s="35" t="str">
        <f>IF(B561="","",BOM!B561)</f>
        <v/>
      </c>
      <c r="D561" s="35" t="str">
        <f>IF(B561="","",KT_DMTT_ChiTiet!E561)</f>
        <v/>
      </c>
      <c r="E561" s="36" t="str">
        <f>IF(B561="","",BOM!G561&amp;"")</f>
        <v/>
      </c>
      <c r="F561" s="39" t="str">
        <f>IF(B561="","",BOM!E561)</f>
        <v/>
      </c>
      <c r="G561" s="39" t="str">
        <f>IF(OR(B561="",E561="KXDDM"),"",BOM!F561)</f>
        <v/>
      </c>
      <c r="H561" s="39" t="str">
        <f>IF(OR(B561="",E561&lt;&gt;""),"",IFERROR(INDEX(KT_nguoc_theo_NL!$J$5:$J$304,MATCH(C561,KT_nguoc_theo_NL!$B$5:$B$304,0))/INDEX(KT_nguoc_theo_NL!$K$5:$K$304,MATCH(C561,KT_nguoc_theo_NL!$B$5:$B$304,0)),""))</f>
        <v/>
      </c>
      <c r="I561" s="39" t="str">
        <f t="shared" si="41"/>
        <v/>
      </c>
      <c r="J561" s="46" t="str">
        <f t="shared" si="42"/>
        <v/>
      </c>
      <c r="K561" s="46" t="str">
        <f t="shared" si="43"/>
        <v/>
      </c>
      <c r="L561" s="46" t="str">
        <f t="shared" si="44"/>
        <v/>
      </c>
      <c r="M561" s="35" t="str">
        <f>IF(B561="","",IF(E561="KXDDM","KXDDM – không ĐM",IF(E561&lt;&gt;"","Không KT ("&amp;E561&amp;")",IF(OR(K561="",L561=""),"Xem xét",IF(MAX(ABS(K561),ABS(L561))&lt;=ThongTin!$C$12,"OK","Xem xét")))))</f>
        <v/>
      </c>
    </row>
    <row r="562" spans="1:13" x14ac:dyDescent="0.25">
      <c r="A562" s="35" t="str">
        <f t="shared" si="40"/>
        <v/>
      </c>
      <c r="B562" s="35" t="str">
        <f>IF(BOM!A562="","",BOM!A562)</f>
        <v/>
      </c>
      <c r="C562" s="35" t="str">
        <f>IF(B562="","",BOM!B562)</f>
        <v/>
      </c>
      <c r="D562" s="35" t="str">
        <f>IF(B562="","",KT_DMTT_ChiTiet!E562)</f>
        <v/>
      </c>
      <c r="E562" s="36" t="str">
        <f>IF(B562="","",BOM!G562&amp;"")</f>
        <v/>
      </c>
      <c r="F562" s="39" t="str">
        <f>IF(B562="","",BOM!E562)</f>
        <v/>
      </c>
      <c r="G562" s="39" t="str">
        <f>IF(OR(B562="",E562="KXDDM"),"",BOM!F562)</f>
        <v/>
      </c>
      <c r="H562" s="39" t="str">
        <f>IF(OR(B562="",E562&lt;&gt;""),"",IFERROR(INDEX(KT_nguoc_theo_NL!$J$5:$J$304,MATCH(C562,KT_nguoc_theo_NL!$B$5:$B$304,0))/INDEX(KT_nguoc_theo_NL!$K$5:$K$304,MATCH(C562,KT_nguoc_theo_NL!$B$5:$B$304,0)),""))</f>
        <v/>
      </c>
      <c r="I562" s="39" t="str">
        <f t="shared" si="41"/>
        <v/>
      </c>
      <c r="J562" s="46" t="str">
        <f t="shared" si="42"/>
        <v/>
      </c>
      <c r="K562" s="46" t="str">
        <f t="shared" si="43"/>
        <v/>
      </c>
      <c r="L562" s="46" t="str">
        <f t="shared" si="44"/>
        <v/>
      </c>
      <c r="M562" s="35" t="str">
        <f>IF(B562="","",IF(E562="KXDDM","KXDDM – không ĐM",IF(E562&lt;&gt;"","Không KT ("&amp;E562&amp;")",IF(OR(K562="",L562=""),"Xem xét",IF(MAX(ABS(K562),ABS(L562))&lt;=ThongTin!$C$12,"OK","Xem xét")))))</f>
        <v/>
      </c>
    </row>
    <row r="563" spans="1:13" x14ac:dyDescent="0.25">
      <c r="A563" s="35" t="str">
        <f t="shared" si="40"/>
        <v/>
      </c>
      <c r="B563" s="35" t="str">
        <f>IF(BOM!A563="","",BOM!A563)</f>
        <v/>
      </c>
      <c r="C563" s="35" t="str">
        <f>IF(B563="","",BOM!B563)</f>
        <v/>
      </c>
      <c r="D563" s="35" t="str">
        <f>IF(B563="","",KT_DMTT_ChiTiet!E563)</f>
        <v/>
      </c>
      <c r="E563" s="36" t="str">
        <f>IF(B563="","",BOM!G563&amp;"")</f>
        <v/>
      </c>
      <c r="F563" s="39" t="str">
        <f>IF(B563="","",BOM!E563)</f>
        <v/>
      </c>
      <c r="G563" s="39" t="str">
        <f>IF(OR(B563="",E563="KXDDM"),"",BOM!F563)</f>
        <v/>
      </c>
      <c r="H563" s="39" t="str">
        <f>IF(OR(B563="",E563&lt;&gt;""),"",IFERROR(INDEX(KT_nguoc_theo_NL!$J$5:$J$304,MATCH(C563,KT_nguoc_theo_NL!$B$5:$B$304,0))/INDEX(KT_nguoc_theo_NL!$K$5:$K$304,MATCH(C563,KT_nguoc_theo_NL!$B$5:$B$304,0)),""))</f>
        <v/>
      </c>
      <c r="I563" s="39" t="str">
        <f t="shared" si="41"/>
        <v/>
      </c>
      <c r="J563" s="46" t="str">
        <f t="shared" si="42"/>
        <v/>
      </c>
      <c r="K563" s="46" t="str">
        <f t="shared" si="43"/>
        <v/>
      </c>
      <c r="L563" s="46" t="str">
        <f t="shared" si="44"/>
        <v/>
      </c>
      <c r="M563" s="35" t="str">
        <f>IF(B563="","",IF(E563="KXDDM","KXDDM – không ĐM",IF(E563&lt;&gt;"","Không KT ("&amp;E563&amp;")",IF(OR(K563="",L563=""),"Xem xét",IF(MAX(ABS(K563),ABS(L563))&lt;=ThongTin!$C$12,"OK","Xem xét")))))</f>
        <v/>
      </c>
    </row>
    <row r="564" spans="1:13" x14ac:dyDescent="0.25">
      <c r="A564" s="35" t="str">
        <f t="shared" si="40"/>
        <v/>
      </c>
      <c r="B564" s="35" t="str">
        <f>IF(BOM!A564="","",BOM!A564)</f>
        <v/>
      </c>
      <c r="C564" s="35" t="str">
        <f>IF(B564="","",BOM!B564)</f>
        <v/>
      </c>
      <c r="D564" s="35" t="str">
        <f>IF(B564="","",KT_DMTT_ChiTiet!E564)</f>
        <v/>
      </c>
      <c r="E564" s="36" t="str">
        <f>IF(B564="","",BOM!G564&amp;"")</f>
        <v/>
      </c>
      <c r="F564" s="39" t="str">
        <f>IF(B564="","",BOM!E564)</f>
        <v/>
      </c>
      <c r="G564" s="39" t="str">
        <f>IF(OR(B564="",E564="KXDDM"),"",BOM!F564)</f>
        <v/>
      </c>
      <c r="H564" s="39" t="str">
        <f>IF(OR(B564="",E564&lt;&gt;""),"",IFERROR(INDEX(KT_nguoc_theo_NL!$J$5:$J$304,MATCH(C564,KT_nguoc_theo_NL!$B$5:$B$304,0))/INDEX(KT_nguoc_theo_NL!$K$5:$K$304,MATCH(C564,KT_nguoc_theo_NL!$B$5:$B$304,0)),""))</f>
        <v/>
      </c>
      <c r="I564" s="39" t="str">
        <f t="shared" si="41"/>
        <v/>
      </c>
      <c r="J564" s="46" t="str">
        <f t="shared" si="42"/>
        <v/>
      </c>
      <c r="K564" s="46" t="str">
        <f t="shared" si="43"/>
        <v/>
      </c>
      <c r="L564" s="46" t="str">
        <f t="shared" si="44"/>
        <v/>
      </c>
      <c r="M564" s="35" t="str">
        <f>IF(B564="","",IF(E564="KXDDM","KXDDM – không ĐM",IF(E564&lt;&gt;"","Không KT ("&amp;E564&amp;")",IF(OR(K564="",L564=""),"Xem xét",IF(MAX(ABS(K564),ABS(L564))&lt;=ThongTin!$C$12,"OK","Xem xét")))))</f>
        <v/>
      </c>
    </row>
    <row r="565" spans="1:13" x14ac:dyDescent="0.25">
      <c r="A565" s="35" t="str">
        <f t="shared" si="40"/>
        <v/>
      </c>
      <c r="B565" s="35" t="str">
        <f>IF(BOM!A565="","",BOM!A565)</f>
        <v/>
      </c>
      <c r="C565" s="35" t="str">
        <f>IF(B565="","",BOM!B565)</f>
        <v/>
      </c>
      <c r="D565" s="35" t="str">
        <f>IF(B565="","",KT_DMTT_ChiTiet!E565)</f>
        <v/>
      </c>
      <c r="E565" s="36" t="str">
        <f>IF(B565="","",BOM!G565&amp;"")</f>
        <v/>
      </c>
      <c r="F565" s="39" t="str">
        <f>IF(B565="","",BOM!E565)</f>
        <v/>
      </c>
      <c r="G565" s="39" t="str">
        <f>IF(OR(B565="",E565="KXDDM"),"",BOM!F565)</f>
        <v/>
      </c>
      <c r="H565" s="39" t="str">
        <f>IF(OR(B565="",E565&lt;&gt;""),"",IFERROR(INDEX(KT_nguoc_theo_NL!$J$5:$J$304,MATCH(C565,KT_nguoc_theo_NL!$B$5:$B$304,0))/INDEX(KT_nguoc_theo_NL!$K$5:$K$304,MATCH(C565,KT_nguoc_theo_NL!$B$5:$B$304,0)),""))</f>
        <v/>
      </c>
      <c r="I565" s="39" t="str">
        <f t="shared" si="41"/>
        <v/>
      </c>
      <c r="J565" s="46" t="str">
        <f t="shared" si="42"/>
        <v/>
      </c>
      <c r="K565" s="46" t="str">
        <f t="shared" si="43"/>
        <v/>
      </c>
      <c r="L565" s="46" t="str">
        <f t="shared" si="44"/>
        <v/>
      </c>
      <c r="M565" s="35" t="str">
        <f>IF(B565="","",IF(E565="KXDDM","KXDDM – không ĐM",IF(E565&lt;&gt;"","Không KT ("&amp;E565&amp;")",IF(OR(K565="",L565=""),"Xem xét",IF(MAX(ABS(K565),ABS(L565))&lt;=ThongTin!$C$12,"OK","Xem xét")))))</f>
        <v/>
      </c>
    </row>
    <row r="566" spans="1:13" x14ac:dyDescent="0.25">
      <c r="A566" s="35" t="str">
        <f t="shared" si="40"/>
        <v/>
      </c>
      <c r="B566" s="35" t="str">
        <f>IF(BOM!A566="","",BOM!A566)</f>
        <v/>
      </c>
      <c r="C566" s="35" t="str">
        <f>IF(B566="","",BOM!B566)</f>
        <v/>
      </c>
      <c r="D566" s="35" t="str">
        <f>IF(B566="","",KT_DMTT_ChiTiet!E566)</f>
        <v/>
      </c>
      <c r="E566" s="36" t="str">
        <f>IF(B566="","",BOM!G566&amp;"")</f>
        <v/>
      </c>
      <c r="F566" s="39" t="str">
        <f>IF(B566="","",BOM!E566)</f>
        <v/>
      </c>
      <c r="G566" s="39" t="str">
        <f>IF(OR(B566="",E566="KXDDM"),"",BOM!F566)</f>
        <v/>
      </c>
      <c r="H566" s="39" t="str">
        <f>IF(OR(B566="",E566&lt;&gt;""),"",IFERROR(INDEX(KT_nguoc_theo_NL!$J$5:$J$304,MATCH(C566,KT_nguoc_theo_NL!$B$5:$B$304,0))/INDEX(KT_nguoc_theo_NL!$K$5:$K$304,MATCH(C566,KT_nguoc_theo_NL!$B$5:$B$304,0)),""))</f>
        <v/>
      </c>
      <c r="I566" s="39" t="str">
        <f t="shared" si="41"/>
        <v/>
      </c>
      <c r="J566" s="46" t="str">
        <f t="shared" si="42"/>
        <v/>
      </c>
      <c r="K566" s="46" t="str">
        <f t="shared" si="43"/>
        <v/>
      </c>
      <c r="L566" s="46" t="str">
        <f t="shared" si="44"/>
        <v/>
      </c>
      <c r="M566" s="35" t="str">
        <f>IF(B566="","",IF(E566="KXDDM","KXDDM – không ĐM",IF(E566&lt;&gt;"","Không KT ("&amp;E566&amp;")",IF(OR(K566="",L566=""),"Xem xét",IF(MAX(ABS(K566),ABS(L566))&lt;=ThongTin!$C$12,"OK","Xem xét")))))</f>
        <v/>
      </c>
    </row>
    <row r="567" spans="1:13" x14ac:dyDescent="0.25">
      <c r="A567" s="35" t="str">
        <f t="shared" si="40"/>
        <v/>
      </c>
      <c r="B567" s="35" t="str">
        <f>IF(BOM!A567="","",BOM!A567)</f>
        <v/>
      </c>
      <c r="C567" s="35" t="str">
        <f>IF(B567="","",BOM!B567)</f>
        <v/>
      </c>
      <c r="D567" s="35" t="str">
        <f>IF(B567="","",KT_DMTT_ChiTiet!E567)</f>
        <v/>
      </c>
      <c r="E567" s="36" t="str">
        <f>IF(B567="","",BOM!G567&amp;"")</f>
        <v/>
      </c>
      <c r="F567" s="39" t="str">
        <f>IF(B567="","",BOM!E567)</f>
        <v/>
      </c>
      <c r="G567" s="39" t="str">
        <f>IF(OR(B567="",E567="KXDDM"),"",BOM!F567)</f>
        <v/>
      </c>
      <c r="H567" s="39" t="str">
        <f>IF(OR(B567="",E567&lt;&gt;""),"",IFERROR(INDEX(KT_nguoc_theo_NL!$J$5:$J$304,MATCH(C567,KT_nguoc_theo_NL!$B$5:$B$304,0))/INDEX(KT_nguoc_theo_NL!$K$5:$K$304,MATCH(C567,KT_nguoc_theo_NL!$B$5:$B$304,0)),""))</f>
        <v/>
      </c>
      <c r="I567" s="39" t="str">
        <f t="shared" si="41"/>
        <v/>
      </c>
      <c r="J567" s="46" t="str">
        <f t="shared" si="42"/>
        <v/>
      </c>
      <c r="K567" s="46" t="str">
        <f t="shared" si="43"/>
        <v/>
      </c>
      <c r="L567" s="46" t="str">
        <f t="shared" si="44"/>
        <v/>
      </c>
      <c r="M567" s="35" t="str">
        <f>IF(B567="","",IF(E567="KXDDM","KXDDM – không ĐM",IF(E567&lt;&gt;"","Không KT ("&amp;E567&amp;")",IF(OR(K567="",L567=""),"Xem xét",IF(MAX(ABS(K567),ABS(L567))&lt;=ThongTin!$C$12,"OK","Xem xét")))))</f>
        <v/>
      </c>
    </row>
    <row r="568" spans="1:13" x14ac:dyDescent="0.25">
      <c r="A568" s="35" t="str">
        <f t="shared" si="40"/>
        <v/>
      </c>
      <c r="B568" s="35" t="str">
        <f>IF(BOM!A568="","",BOM!A568)</f>
        <v/>
      </c>
      <c r="C568" s="35" t="str">
        <f>IF(B568="","",BOM!B568)</f>
        <v/>
      </c>
      <c r="D568" s="35" t="str">
        <f>IF(B568="","",KT_DMTT_ChiTiet!E568)</f>
        <v/>
      </c>
      <c r="E568" s="36" t="str">
        <f>IF(B568="","",BOM!G568&amp;"")</f>
        <v/>
      </c>
      <c r="F568" s="39" t="str">
        <f>IF(B568="","",BOM!E568)</f>
        <v/>
      </c>
      <c r="G568" s="39" t="str">
        <f>IF(OR(B568="",E568="KXDDM"),"",BOM!F568)</f>
        <v/>
      </c>
      <c r="H568" s="39" t="str">
        <f>IF(OR(B568="",E568&lt;&gt;""),"",IFERROR(INDEX(KT_nguoc_theo_NL!$J$5:$J$304,MATCH(C568,KT_nguoc_theo_NL!$B$5:$B$304,0))/INDEX(KT_nguoc_theo_NL!$K$5:$K$304,MATCH(C568,KT_nguoc_theo_NL!$B$5:$B$304,0)),""))</f>
        <v/>
      </c>
      <c r="I568" s="39" t="str">
        <f t="shared" si="41"/>
        <v/>
      </c>
      <c r="J568" s="46" t="str">
        <f t="shared" si="42"/>
        <v/>
      </c>
      <c r="K568" s="46" t="str">
        <f t="shared" si="43"/>
        <v/>
      </c>
      <c r="L568" s="46" t="str">
        <f t="shared" si="44"/>
        <v/>
      </c>
      <c r="M568" s="35" t="str">
        <f>IF(B568="","",IF(E568="KXDDM","KXDDM – không ĐM",IF(E568&lt;&gt;"","Không KT ("&amp;E568&amp;")",IF(OR(K568="",L568=""),"Xem xét",IF(MAX(ABS(K568),ABS(L568))&lt;=ThongTin!$C$12,"OK","Xem xét")))))</f>
        <v/>
      </c>
    </row>
    <row r="569" spans="1:13" x14ac:dyDescent="0.25">
      <c r="A569" s="35" t="str">
        <f t="shared" si="40"/>
        <v/>
      </c>
      <c r="B569" s="35" t="str">
        <f>IF(BOM!A569="","",BOM!A569)</f>
        <v/>
      </c>
      <c r="C569" s="35" t="str">
        <f>IF(B569="","",BOM!B569)</f>
        <v/>
      </c>
      <c r="D569" s="35" t="str">
        <f>IF(B569="","",KT_DMTT_ChiTiet!E569)</f>
        <v/>
      </c>
      <c r="E569" s="36" t="str">
        <f>IF(B569="","",BOM!G569&amp;"")</f>
        <v/>
      </c>
      <c r="F569" s="39" t="str">
        <f>IF(B569="","",BOM!E569)</f>
        <v/>
      </c>
      <c r="G569" s="39" t="str">
        <f>IF(OR(B569="",E569="KXDDM"),"",BOM!F569)</f>
        <v/>
      </c>
      <c r="H569" s="39" t="str">
        <f>IF(OR(B569="",E569&lt;&gt;""),"",IFERROR(INDEX(KT_nguoc_theo_NL!$J$5:$J$304,MATCH(C569,KT_nguoc_theo_NL!$B$5:$B$304,0))/INDEX(KT_nguoc_theo_NL!$K$5:$K$304,MATCH(C569,KT_nguoc_theo_NL!$B$5:$B$304,0)),""))</f>
        <v/>
      </c>
      <c r="I569" s="39" t="str">
        <f t="shared" si="41"/>
        <v/>
      </c>
      <c r="J569" s="46" t="str">
        <f t="shared" si="42"/>
        <v/>
      </c>
      <c r="K569" s="46" t="str">
        <f t="shared" si="43"/>
        <v/>
      </c>
      <c r="L569" s="46" t="str">
        <f t="shared" si="44"/>
        <v/>
      </c>
      <c r="M569" s="35" t="str">
        <f>IF(B569="","",IF(E569="KXDDM","KXDDM – không ĐM",IF(E569&lt;&gt;"","Không KT ("&amp;E569&amp;")",IF(OR(K569="",L569=""),"Xem xét",IF(MAX(ABS(K569),ABS(L569))&lt;=ThongTin!$C$12,"OK","Xem xét")))))</f>
        <v/>
      </c>
    </row>
    <row r="570" spans="1:13" x14ac:dyDescent="0.25">
      <c r="A570" s="35" t="str">
        <f t="shared" si="40"/>
        <v/>
      </c>
      <c r="B570" s="35" t="str">
        <f>IF(BOM!A570="","",BOM!A570)</f>
        <v/>
      </c>
      <c r="C570" s="35" t="str">
        <f>IF(B570="","",BOM!B570)</f>
        <v/>
      </c>
      <c r="D570" s="35" t="str">
        <f>IF(B570="","",KT_DMTT_ChiTiet!E570)</f>
        <v/>
      </c>
      <c r="E570" s="36" t="str">
        <f>IF(B570="","",BOM!G570&amp;"")</f>
        <v/>
      </c>
      <c r="F570" s="39" t="str">
        <f>IF(B570="","",BOM!E570)</f>
        <v/>
      </c>
      <c r="G570" s="39" t="str">
        <f>IF(OR(B570="",E570="KXDDM"),"",BOM!F570)</f>
        <v/>
      </c>
      <c r="H570" s="39" t="str">
        <f>IF(OR(B570="",E570&lt;&gt;""),"",IFERROR(INDEX(KT_nguoc_theo_NL!$J$5:$J$304,MATCH(C570,KT_nguoc_theo_NL!$B$5:$B$304,0))/INDEX(KT_nguoc_theo_NL!$K$5:$K$304,MATCH(C570,KT_nguoc_theo_NL!$B$5:$B$304,0)),""))</f>
        <v/>
      </c>
      <c r="I570" s="39" t="str">
        <f t="shared" si="41"/>
        <v/>
      </c>
      <c r="J570" s="46" t="str">
        <f t="shared" si="42"/>
        <v/>
      </c>
      <c r="K570" s="46" t="str">
        <f t="shared" si="43"/>
        <v/>
      </c>
      <c r="L570" s="46" t="str">
        <f t="shared" si="44"/>
        <v/>
      </c>
      <c r="M570" s="35" t="str">
        <f>IF(B570="","",IF(E570="KXDDM","KXDDM – không ĐM",IF(E570&lt;&gt;"","Không KT ("&amp;E570&amp;")",IF(OR(K570="",L570=""),"Xem xét",IF(MAX(ABS(K570),ABS(L570))&lt;=ThongTin!$C$12,"OK","Xem xét")))))</f>
        <v/>
      </c>
    </row>
    <row r="571" spans="1:13" x14ac:dyDescent="0.25">
      <c r="A571" s="35" t="str">
        <f t="shared" si="40"/>
        <v/>
      </c>
      <c r="B571" s="35" t="str">
        <f>IF(BOM!A571="","",BOM!A571)</f>
        <v/>
      </c>
      <c r="C571" s="35" t="str">
        <f>IF(B571="","",BOM!B571)</f>
        <v/>
      </c>
      <c r="D571" s="35" t="str">
        <f>IF(B571="","",KT_DMTT_ChiTiet!E571)</f>
        <v/>
      </c>
      <c r="E571" s="36" t="str">
        <f>IF(B571="","",BOM!G571&amp;"")</f>
        <v/>
      </c>
      <c r="F571" s="39" t="str">
        <f>IF(B571="","",BOM!E571)</f>
        <v/>
      </c>
      <c r="G571" s="39" t="str">
        <f>IF(OR(B571="",E571="KXDDM"),"",BOM!F571)</f>
        <v/>
      </c>
      <c r="H571" s="39" t="str">
        <f>IF(OR(B571="",E571&lt;&gt;""),"",IFERROR(INDEX(KT_nguoc_theo_NL!$J$5:$J$304,MATCH(C571,KT_nguoc_theo_NL!$B$5:$B$304,0))/INDEX(KT_nguoc_theo_NL!$K$5:$K$304,MATCH(C571,KT_nguoc_theo_NL!$B$5:$B$304,0)),""))</f>
        <v/>
      </c>
      <c r="I571" s="39" t="str">
        <f t="shared" si="41"/>
        <v/>
      </c>
      <c r="J571" s="46" t="str">
        <f t="shared" si="42"/>
        <v/>
      </c>
      <c r="K571" s="46" t="str">
        <f t="shared" si="43"/>
        <v/>
      </c>
      <c r="L571" s="46" t="str">
        <f t="shared" si="44"/>
        <v/>
      </c>
      <c r="M571" s="35" t="str">
        <f>IF(B571="","",IF(E571="KXDDM","KXDDM – không ĐM",IF(E571&lt;&gt;"","Không KT ("&amp;E571&amp;")",IF(OR(K571="",L571=""),"Xem xét",IF(MAX(ABS(K571),ABS(L571))&lt;=ThongTin!$C$12,"OK","Xem xét")))))</f>
        <v/>
      </c>
    </row>
    <row r="572" spans="1:13" x14ac:dyDescent="0.25">
      <c r="A572" s="35" t="str">
        <f t="shared" si="40"/>
        <v/>
      </c>
      <c r="B572" s="35" t="str">
        <f>IF(BOM!A572="","",BOM!A572)</f>
        <v/>
      </c>
      <c r="C572" s="35" t="str">
        <f>IF(B572="","",BOM!B572)</f>
        <v/>
      </c>
      <c r="D572" s="35" t="str">
        <f>IF(B572="","",KT_DMTT_ChiTiet!E572)</f>
        <v/>
      </c>
      <c r="E572" s="36" t="str">
        <f>IF(B572="","",BOM!G572&amp;"")</f>
        <v/>
      </c>
      <c r="F572" s="39" t="str">
        <f>IF(B572="","",BOM!E572)</f>
        <v/>
      </c>
      <c r="G572" s="39" t="str">
        <f>IF(OR(B572="",E572="KXDDM"),"",BOM!F572)</f>
        <v/>
      </c>
      <c r="H572" s="39" t="str">
        <f>IF(OR(B572="",E572&lt;&gt;""),"",IFERROR(INDEX(KT_nguoc_theo_NL!$J$5:$J$304,MATCH(C572,KT_nguoc_theo_NL!$B$5:$B$304,0))/INDEX(KT_nguoc_theo_NL!$K$5:$K$304,MATCH(C572,KT_nguoc_theo_NL!$B$5:$B$304,0)),""))</f>
        <v/>
      </c>
      <c r="I572" s="39" t="str">
        <f t="shared" si="41"/>
        <v/>
      </c>
      <c r="J572" s="46" t="str">
        <f t="shared" si="42"/>
        <v/>
      </c>
      <c r="K572" s="46" t="str">
        <f t="shared" si="43"/>
        <v/>
      </c>
      <c r="L572" s="46" t="str">
        <f t="shared" si="44"/>
        <v/>
      </c>
      <c r="M572" s="35" t="str">
        <f>IF(B572="","",IF(E572="KXDDM","KXDDM – không ĐM",IF(E572&lt;&gt;"","Không KT ("&amp;E572&amp;")",IF(OR(K572="",L572=""),"Xem xét",IF(MAX(ABS(K572),ABS(L572))&lt;=ThongTin!$C$12,"OK","Xem xét")))))</f>
        <v/>
      </c>
    </row>
    <row r="573" spans="1:13" x14ac:dyDescent="0.25">
      <c r="A573" s="35" t="str">
        <f t="shared" si="40"/>
        <v/>
      </c>
      <c r="B573" s="35" t="str">
        <f>IF(BOM!A573="","",BOM!A573)</f>
        <v/>
      </c>
      <c r="C573" s="35" t="str">
        <f>IF(B573="","",BOM!B573)</f>
        <v/>
      </c>
      <c r="D573" s="35" t="str">
        <f>IF(B573="","",KT_DMTT_ChiTiet!E573)</f>
        <v/>
      </c>
      <c r="E573" s="36" t="str">
        <f>IF(B573="","",BOM!G573&amp;"")</f>
        <v/>
      </c>
      <c r="F573" s="39" t="str">
        <f>IF(B573="","",BOM!E573)</f>
        <v/>
      </c>
      <c r="G573" s="39" t="str">
        <f>IF(OR(B573="",E573="KXDDM"),"",BOM!F573)</f>
        <v/>
      </c>
      <c r="H573" s="39" t="str">
        <f>IF(OR(B573="",E573&lt;&gt;""),"",IFERROR(INDEX(KT_nguoc_theo_NL!$J$5:$J$304,MATCH(C573,KT_nguoc_theo_NL!$B$5:$B$304,0))/INDEX(KT_nguoc_theo_NL!$K$5:$K$304,MATCH(C573,KT_nguoc_theo_NL!$B$5:$B$304,0)),""))</f>
        <v/>
      </c>
      <c r="I573" s="39" t="str">
        <f t="shared" si="41"/>
        <v/>
      </c>
      <c r="J573" s="46" t="str">
        <f t="shared" si="42"/>
        <v/>
      </c>
      <c r="K573" s="46" t="str">
        <f t="shared" si="43"/>
        <v/>
      </c>
      <c r="L573" s="46" t="str">
        <f t="shared" si="44"/>
        <v/>
      </c>
      <c r="M573" s="35" t="str">
        <f>IF(B573="","",IF(E573="KXDDM","KXDDM – không ĐM",IF(E573&lt;&gt;"","Không KT ("&amp;E573&amp;")",IF(OR(K573="",L573=""),"Xem xét",IF(MAX(ABS(K573),ABS(L573))&lt;=ThongTin!$C$12,"OK","Xem xét")))))</f>
        <v/>
      </c>
    </row>
    <row r="574" spans="1:13" x14ac:dyDescent="0.25">
      <c r="A574" s="35" t="str">
        <f t="shared" si="40"/>
        <v/>
      </c>
      <c r="B574" s="35" t="str">
        <f>IF(BOM!A574="","",BOM!A574)</f>
        <v/>
      </c>
      <c r="C574" s="35" t="str">
        <f>IF(B574="","",BOM!B574)</f>
        <v/>
      </c>
      <c r="D574" s="35" t="str">
        <f>IF(B574="","",KT_DMTT_ChiTiet!E574)</f>
        <v/>
      </c>
      <c r="E574" s="36" t="str">
        <f>IF(B574="","",BOM!G574&amp;"")</f>
        <v/>
      </c>
      <c r="F574" s="39" t="str">
        <f>IF(B574="","",BOM!E574)</f>
        <v/>
      </c>
      <c r="G574" s="39" t="str">
        <f>IF(OR(B574="",E574="KXDDM"),"",BOM!F574)</f>
        <v/>
      </c>
      <c r="H574" s="39" t="str">
        <f>IF(OR(B574="",E574&lt;&gt;""),"",IFERROR(INDEX(KT_nguoc_theo_NL!$J$5:$J$304,MATCH(C574,KT_nguoc_theo_NL!$B$5:$B$304,0))/INDEX(KT_nguoc_theo_NL!$K$5:$K$304,MATCH(C574,KT_nguoc_theo_NL!$B$5:$B$304,0)),""))</f>
        <v/>
      </c>
      <c r="I574" s="39" t="str">
        <f t="shared" si="41"/>
        <v/>
      </c>
      <c r="J574" s="46" t="str">
        <f t="shared" si="42"/>
        <v/>
      </c>
      <c r="K574" s="46" t="str">
        <f t="shared" si="43"/>
        <v/>
      </c>
      <c r="L574" s="46" t="str">
        <f t="shared" si="44"/>
        <v/>
      </c>
      <c r="M574" s="35" t="str">
        <f>IF(B574="","",IF(E574="KXDDM","KXDDM – không ĐM",IF(E574&lt;&gt;"","Không KT ("&amp;E574&amp;")",IF(OR(K574="",L574=""),"Xem xét",IF(MAX(ABS(K574),ABS(L574))&lt;=ThongTin!$C$12,"OK","Xem xét")))))</f>
        <v/>
      </c>
    </row>
    <row r="575" spans="1:13" x14ac:dyDescent="0.25">
      <c r="A575" s="35" t="str">
        <f t="shared" si="40"/>
        <v/>
      </c>
      <c r="B575" s="35" t="str">
        <f>IF(BOM!A575="","",BOM!A575)</f>
        <v/>
      </c>
      <c r="C575" s="35" t="str">
        <f>IF(B575="","",BOM!B575)</f>
        <v/>
      </c>
      <c r="D575" s="35" t="str">
        <f>IF(B575="","",KT_DMTT_ChiTiet!E575)</f>
        <v/>
      </c>
      <c r="E575" s="36" t="str">
        <f>IF(B575="","",BOM!G575&amp;"")</f>
        <v/>
      </c>
      <c r="F575" s="39" t="str">
        <f>IF(B575="","",BOM!E575)</f>
        <v/>
      </c>
      <c r="G575" s="39" t="str">
        <f>IF(OR(B575="",E575="KXDDM"),"",BOM!F575)</f>
        <v/>
      </c>
      <c r="H575" s="39" t="str">
        <f>IF(OR(B575="",E575&lt;&gt;""),"",IFERROR(INDEX(KT_nguoc_theo_NL!$J$5:$J$304,MATCH(C575,KT_nguoc_theo_NL!$B$5:$B$304,0))/INDEX(KT_nguoc_theo_NL!$K$5:$K$304,MATCH(C575,KT_nguoc_theo_NL!$B$5:$B$304,0)),""))</f>
        <v/>
      </c>
      <c r="I575" s="39" t="str">
        <f t="shared" si="41"/>
        <v/>
      </c>
      <c r="J575" s="46" t="str">
        <f t="shared" si="42"/>
        <v/>
      </c>
      <c r="K575" s="46" t="str">
        <f t="shared" si="43"/>
        <v/>
      </c>
      <c r="L575" s="46" t="str">
        <f t="shared" si="44"/>
        <v/>
      </c>
      <c r="M575" s="35" t="str">
        <f>IF(B575="","",IF(E575="KXDDM","KXDDM – không ĐM",IF(E575&lt;&gt;"","Không KT ("&amp;E575&amp;")",IF(OR(K575="",L575=""),"Xem xét",IF(MAX(ABS(K575),ABS(L575))&lt;=ThongTin!$C$12,"OK","Xem xét")))))</f>
        <v/>
      </c>
    </row>
    <row r="576" spans="1:13" x14ac:dyDescent="0.25">
      <c r="A576" s="35" t="str">
        <f t="shared" si="40"/>
        <v/>
      </c>
      <c r="B576" s="35" t="str">
        <f>IF(BOM!A576="","",BOM!A576)</f>
        <v/>
      </c>
      <c r="C576" s="35" t="str">
        <f>IF(B576="","",BOM!B576)</f>
        <v/>
      </c>
      <c r="D576" s="35" t="str">
        <f>IF(B576="","",KT_DMTT_ChiTiet!E576)</f>
        <v/>
      </c>
      <c r="E576" s="36" t="str">
        <f>IF(B576="","",BOM!G576&amp;"")</f>
        <v/>
      </c>
      <c r="F576" s="39" t="str">
        <f>IF(B576="","",BOM!E576)</f>
        <v/>
      </c>
      <c r="G576" s="39" t="str">
        <f>IF(OR(B576="",E576="KXDDM"),"",BOM!F576)</f>
        <v/>
      </c>
      <c r="H576" s="39" t="str">
        <f>IF(OR(B576="",E576&lt;&gt;""),"",IFERROR(INDEX(KT_nguoc_theo_NL!$J$5:$J$304,MATCH(C576,KT_nguoc_theo_NL!$B$5:$B$304,0))/INDEX(KT_nguoc_theo_NL!$K$5:$K$304,MATCH(C576,KT_nguoc_theo_NL!$B$5:$B$304,0)),""))</f>
        <v/>
      </c>
      <c r="I576" s="39" t="str">
        <f t="shared" si="41"/>
        <v/>
      </c>
      <c r="J576" s="46" t="str">
        <f t="shared" si="42"/>
        <v/>
      </c>
      <c r="K576" s="46" t="str">
        <f t="shared" si="43"/>
        <v/>
      </c>
      <c r="L576" s="46" t="str">
        <f t="shared" si="44"/>
        <v/>
      </c>
      <c r="M576" s="35" t="str">
        <f>IF(B576="","",IF(E576="KXDDM","KXDDM – không ĐM",IF(E576&lt;&gt;"","Không KT ("&amp;E576&amp;")",IF(OR(K576="",L576=""),"Xem xét",IF(MAX(ABS(K576),ABS(L576))&lt;=ThongTin!$C$12,"OK","Xem xét")))))</f>
        <v/>
      </c>
    </row>
    <row r="577" spans="1:13" x14ac:dyDescent="0.25">
      <c r="A577" s="35" t="str">
        <f t="shared" si="40"/>
        <v/>
      </c>
      <c r="B577" s="35" t="str">
        <f>IF(BOM!A577="","",BOM!A577)</f>
        <v/>
      </c>
      <c r="C577" s="35" t="str">
        <f>IF(B577="","",BOM!B577)</f>
        <v/>
      </c>
      <c r="D577" s="35" t="str">
        <f>IF(B577="","",KT_DMTT_ChiTiet!E577)</f>
        <v/>
      </c>
      <c r="E577" s="36" t="str">
        <f>IF(B577="","",BOM!G577&amp;"")</f>
        <v/>
      </c>
      <c r="F577" s="39" t="str">
        <f>IF(B577="","",BOM!E577)</f>
        <v/>
      </c>
      <c r="G577" s="39" t="str">
        <f>IF(OR(B577="",E577="KXDDM"),"",BOM!F577)</f>
        <v/>
      </c>
      <c r="H577" s="39" t="str">
        <f>IF(OR(B577="",E577&lt;&gt;""),"",IFERROR(INDEX(KT_nguoc_theo_NL!$J$5:$J$304,MATCH(C577,KT_nguoc_theo_NL!$B$5:$B$304,0))/INDEX(KT_nguoc_theo_NL!$K$5:$K$304,MATCH(C577,KT_nguoc_theo_NL!$B$5:$B$304,0)),""))</f>
        <v/>
      </c>
      <c r="I577" s="39" t="str">
        <f t="shared" si="41"/>
        <v/>
      </c>
      <c r="J577" s="46" t="str">
        <f t="shared" si="42"/>
        <v/>
      </c>
      <c r="K577" s="46" t="str">
        <f t="shared" si="43"/>
        <v/>
      </c>
      <c r="L577" s="46" t="str">
        <f t="shared" si="44"/>
        <v/>
      </c>
      <c r="M577" s="35" t="str">
        <f>IF(B577="","",IF(E577="KXDDM","KXDDM – không ĐM",IF(E577&lt;&gt;"","Không KT ("&amp;E577&amp;")",IF(OR(K577="",L577=""),"Xem xét",IF(MAX(ABS(K577),ABS(L577))&lt;=ThongTin!$C$12,"OK","Xem xét")))))</f>
        <v/>
      </c>
    </row>
    <row r="578" spans="1:13" x14ac:dyDescent="0.25">
      <c r="A578" s="35" t="str">
        <f t="shared" si="40"/>
        <v/>
      </c>
      <c r="B578" s="35" t="str">
        <f>IF(BOM!A578="","",BOM!A578)</f>
        <v/>
      </c>
      <c r="C578" s="35" t="str">
        <f>IF(B578="","",BOM!B578)</f>
        <v/>
      </c>
      <c r="D578" s="35" t="str">
        <f>IF(B578="","",KT_DMTT_ChiTiet!E578)</f>
        <v/>
      </c>
      <c r="E578" s="36" t="str">
        <f>IF(B578="","",BOM!G578&amp;"")</f>
        <v/>
      </c>
      <c r="F578" s="39" t="str">
        <f>IF(B578="","",BOM!E578)</f>
        <v/>
      </c>
      <c r="G578" s="39" t="str">
        <f>IF(OR(B578="",E578="KXDDM"),"",BOM!F578)</f>
        <v/>
      </c>
      <c r="H578" s="39" t="str">
        <f>IF(OR(B578="",E578&lt;&gt;""),"",IFERROR(INDEX(KT_nguoc_theo_NL!$J$5:$J$304,MATCH(C578,KT_nguoc_theo_NL!$B$5:$B$304,0))/INDEX(KT_nguoc_theo_NL!$K$5:$K$304,MATCH(C578,KT_nguoc_theo_NL!$B$5:$B$304,0)),""))</f>
        <v/>
      </c>
      <c r="I578" s="39" t="str">
        <f t="shared" si="41"/>
        <v/>
      </c>
      <c r="J578" s="46" t="str">
        <f t="shared" si="42"/>
        <v/>
      </c>
      <c r="K578" s="46" t="str">
        <f t="shared" si="43"/>
        <v/>
      </c>
      <c r="L578" s="46" t="str">
        <f t="shared" si="44"/>
        <v/>
      </c>
      <c r="M578" s="35" t="str">
        <f>IF(B578="","",IF(E578="KXDDM","KXDDM – không ĐM",IF(E578&lt;&gt;"","Không KT ("&amp;E578&amp;")",IF(OR(K578="",L578=""),"Xem xét",IF(MAX(ABS(K578),ABS(L578))&lt;=ThongTin!$C$12,"OK","Xem xét")))))</f>
        <v/>
      </c>
    </row>
    <row r="579" spans="1:13" x14ac:dyDescent="0.25">
      <c r="A579" s="35" t="str">
        <f t="shared" si="40"/>
        <v/>
      </c>
      <c r="B579" s="35" t="str">
        <f>IF(BOM!A579="","",BOM!A579)</f>
        <v/>
      </c>
      <c r="C579" s="35" t="str">
        <f>IF(B579="","",BOM!B579)</f>
        <v/>
      </c>
      <c r="D579" s="35" t="str">
        <f>IF(B579="","",KT_DMTT_ChiTiet!E579)</f>
        <v/>
      </c>
      <c r="E579" s="36" t="str">
        <f>IF(B579="","",BOM!G579&amp;"")</f>
        <v/>
      </c>
      <c r="F579" s="39" t="str">
        <f>IF(B579="","",BOM!E579)</f>
        <v/>
      </c>
      <c r="G579" s="39" t="str">
        <f>IF(OR(B579="",E579="KXDDM"),"",BOM!F579)</f>
        <v/>
      </c>
      <c r="H579" s="39" t="str">
        <f>IF(OR(B579="",E579&lt;&gt;""),"",IFERROR(INDEX(KT_nguoc_theo_NL!$J$5:$J$304,MATCH(C579,KT_nguoc_theo_NL!$B$5:$B$304,0))/INDEX(KT_nguoc_theo_NL!$K$5:$K$304,MATCH(C579,KT_nguoc_theo_NL!$B$5:$B$304,0)),""))</f>
        <v/>
      </c>
      <c r="I579" s="39" t="str">
        <f t="shared" si="41"/>
        <v/>
      </c>
      <c r="J579" s="46" t="str">
        <f t="shared" si="42"/>
        <v/>
      </c>
      <c r="K579" s="46" t="str">
        <f t="shared" si="43"/>
        <v/>
      </c>
      <c r="L579" s="46" t="str">
        <f t="shared" si="44"/>
        <v/>
      </c>
      <c r="M579" s="35" t="str">
        <f>IF(B579="","",IF(E579="KXDDM","KXDDM – không ĐM",IF(E579&lt;&gt;"","Không KT ("&amp;E579&amp;")",IF(OR(K579="",L579=""),"Xem xét",IF(MAX(ABS(K579),ABS(L579))&lt;=ThongTin!$C$12,"OK","Xem xét")))))</f>
        <v/>
      </c>
    </row>
    <row r="580" spans="1:13" x14ac:dyDescent="0.25">
      <c r="A580" s="35" t="str">
        <f t="shared" si="40"/>
        <v/>
      </c>
      <c r="B580" s="35" t="str">
        <f>IF(BOM!A580="","",BOM!A580)</f>
        <v/>
      </c>
      <c r="C580" s="35" t="str">
        <f>IF(B580="","",BOM!B580)</f>
        <v/>
      </c>
      <c r="D580" s="35" t="str">
        <f>IF(B580="","",KT_DMTT_ChiTiet!E580)</f>
        <v/>
      </c>
      <c r="E580" s="36" t="str">
        <f>IF(B580="","",BOM!G580&amp;"")</f>
        <v/>
      </c>
      <c r="F580" s="39" t="str">
        <f>IF(B580="","",BOM!E580)</f>
        <v/>
      </c>
      <c r="G580" s="39" t="str">
        <f>IF(OR(B580="",E580="KXDDM"),"",BOM!F580)</f>
        <v/>
      </c>
      <c r="H580" s="39" t="str">
        <f>IF(OR(B580="",E580&lt;&gt;""),"",IFERROR(INDEX(KT_nguoc_theo_NL!$J$5:$J$304,MATCH(C580,KT_nguoc_theo_NL!$B$5:$B$304,0))/INDEX(KT_nguoc_theo_NL!$K$5:$K$304,MATCH(C580,KT_nguoc_theo_NL!$B$5:$B$304,0)),""))</f>
        <v/>
      </c>
      <c r="I580" s="39" t="str">
        <f t="shared" si="41"/>
        <v/>
      </c>
      <c r="J580" s="46" t="str">
        <f t="shared" si="42"/>
        <v/>
      </c>
      <c r="K580" s="46" t="str">
        <f t="shared" si="43"/>
        <v/>
      </c>
      <c r="L580" s="46" t="str">
        <f t="shared" si="44"/>
        <v/>
      </c>
      <c r="M580" s="35" t="str">
        <f>IF(B580="","",IF(E580="KXDDM","KXDDM – không ĐM",IF(E580&lt;&gt;"","Không KT ("&amp;E580&amp;")",IF(OR(K580="",L580=""),"Xem xét",IF(MAX(ABS(K580),ABS(L580))&lt;=ThongTin!$C$12,"OK","Xem xét")))))</f>
        <v/>
      </c>
    </row>
    <row r="581" spans="1:13" x14ac:dyDescent="0.25">
      <c r="A581" s="35" t="str">
        <f t="shared" ref="A581:A644" si="45">IF(B581="","",ROW()-4)</f>
        <v/>
      </c>
      <c r="B581" s="35" t="str">
        <f>IF(BOM!A581="","",BOM!A581)</f>
        <v/>
      </c>
      <c r="C581" s="35" t="str">
        <f>IF(B581="","",BOM!B581)</f>
        <v/>
      </c>
      <c r="D581" s="35" t="str">
        <f>IF(B581="","",KT_DMTT_ChiTiet!E581)</f>
        <v/>
      </c>
      <c r="E581" s="36" t="str">
        <f>IF(B581="","",BOM!G581&amp;"")</f>
        <v/>
      </c>
      <c r="F581" s="39" t="str">
        <f>IF(B581="","",BOM!E581)</f>
        <v/>
      </c>
      <c r="G581" s="39" t="str">
        <f>IF(OR(B581="",E581="KXDDM"),"",BOM!F581)</f>
        <v/>
      </c>
      <c r="H581" s="39" t="str">
        <f>IF(OR(B581="",E581&lt;&gt;""),"",IFERROR(INDEX(KT_nguoc_theo_NL!$J$5:$J$304,MATCH(C581,KT_nguoc_theo_NL!$B$5:$B$304,0))/INDEX(KT_nguoc_theo_NL!$K$5:$K$304,MATCH(C581,KT_nguoc_theo_NL!$B$5:$B$304,0)),""))</f>
        <v/>
      </c>
      <c r="I581" s="39" t="str">
        <f t="shared" ref="I581:I644" si="46">IF(OR(H581="",G581=""),"",G581*H581)</f>
        <v/>
      </c>
      <c r="J581" s="46" t="str">
        <f t="shared" ref="J581:J644" si="47">IF(OR(I581="",I581=0),"",(G581-I581)/I581)</f>
        <v/>
      </c>
      <c r="K581" s="46" t="str">
        <f t="shared" ref="K581:K644" si="48">IF(OR(G581="",F581="",F581=0),"",(G581-F581)/F581)</f>
        <v/>
      </c>
      <c r="L581" s="46" t="str">
        <f t="shared" ref="L581:L644" si="49">IF(OR(I581="",F581="",F581=0),"",(I581-F581)/F581)</f>
        <v/>
      </c>
      <c r="M581" s="35" t="str">
        <f>IF(B581="","",IF(E581="KXDDM","KXDDM – không ĐM",IF(E581&lt;&gt;"","Không KT ("&amp;E581&amp;")",IF(OR(K581="",L581=""),"Xem xét",IF(MAX(ABS(K581),ABS(L581))&lt;=ThongTin!$C$12,"OK","Xem xét")))))</f>
        <v/>
      </c>
    </row>
    <row r="582" spans="1:13" x14ac:dyDescent="0.25">
      <c r="A582" s="35" t="str">
        <f t="shared" si="45"/>
        <v/>
      </c>
      <c r="B582" s="35" t="str">
        <f>IF(BOM!A582="","",BOM!A582)</f>
        <v/>
      </c>
      <c r="C582" s="35" t="str">
        <f>IF(B582="","",BOM!B582)</f>
        <v/>
      </c>
      <c r="D582" s="35" t="str">
        <f>IF(B582="","",KT_DMTT_ChiTiet!E582)</f>
        <v/>
      </c>
      <c r="E582" s="36" t="str">
        <f>IF(B582="","",BOM!G582&amp;"")</f>
        <v/>
      </c>
      <c r="F582" s="39" t="str">
        <f>IF(B582="","",BOM!E582)</f>
        <v/>
      </c>
      <c r="G582" s="39" t="str">
        <f>IF(OR(B582="",E582="KXDDM"),"",BOM!F582)</f>
        <v/>
      </c>
      <c r="H582" s="39" t="str">
        <f>IF(OR(B582="",E582&lt;&gt;""),"",IFERROR(INDEX(KT_nguoc_theo_NL!$J$5:$J$304,MATCH(C582,KT_nguoc_theo_NL!$B$5:$B$304,0))/INDEX(KT_nguoc_theo_NL!$K$5:$K$304,MATCH(C582,KT_nguoc_theo_NL!$B$5:$B$304,0)),""))</f>
        <v/>
      </c>
      <c r="I582" s="39" t="str">
        <f t="shared" si="46"/>
        <v/>
      </c>
      <c r="J582" s="46" t="str">
        <f t="shared" si="47"/>
        <v/>
      </c>
      <c r="K582" s="46" t="str">
        <f t="shared" si="48"/>
        <v/>
      </c>
      <c r="L582" s="46" t="str">
        <f t="shared" si="49"/>
        <v/>
      </c>
      <c r="M582" s="35" t="str">
        <f>IF(B582="","",IF(E582="KXDDM","KXDDM – không ĐM",IF(E582&lt;&gt;"","Không KT ("&amp;E582&amp;")",IF(OR(K582="",L582=""),"Xem xét",IF(MAX(ABS(K582),ABS(L582))&lt;=ThongTin!$C$12,"OK","Xem xét")))))</f>
        <v/>
      </c>
    </row>
    <row r="583" spans="1:13" x14ac:dyDescent="0.25">
      <c r="A583" s="35" t="str">
        <f t="shared" si="45"/>
        <v/>
      </c>
      <c r="B583" s="35" t="str">
        <f>IF(BOM!A583="","",BOM!A583)</f>
        <v/>
      </c>
      <c r="C583" s="35" t="str">
        <f>IF(B583="","",BOM!B583)</f>
        <v/>
      </c>
      <c r="D583" s="35" t="str">
        <f>IF(B583="","",KT_DMTT_ChiTiet!E583)</f>
        <v/>
      </c>
      <c r="E583" s="36" t="str">
        <f>IF(B583="","",BOM!G583&amp;"")</f>
        <v/>
      </c>
      <c r="F583" s="39" t="str">
        <f>IF(B583="","",BOM!E583)</f>
        <v/>
      </c>
      <c r="G583" s="39" t="str">
        <f>IF(OR(B583="",E583="KXDDM"),"",BOM!F583)</f>
        <v/>
      </c>
      <c r="H583" s="39" t="str">
        <f>IF(OR(B583="",E583&lt;&gt;""),"",IFERROR(INDEX(KT_nguoc_theo_NL!$J$5:$J$304,MATCH(C583,KT_nguoc_theo_NL!$B$5:$B$304,0))/INDEX(KT_nguoc_theo_NL!$K$5:$K$304,MATCH(C583,KT_nguoc_theo_NL!$B$5:$B$304,0)),""))</f>
        <v/>
      </c>
      <c r="I583" s="39" t="str">
        <f t="shared" si="46"/>
        <v/>
      </c>
      <c r="J583" s="46" t="str">
        <f t="shared" si="47"/>
        <v/>
      </c>
      <c r="K583" s="46" t="str">
        <f t="shared" si="48"/>
        <v/>
      </c>
      <c r="L583" s="46" t="str">
        <f t="shared" si="49"/>
        <v/>
      </c>
      <c r="M583" s="35" t="str">
        <f>IF(B583="","",IF(E583="KXDDM","KXDDM – không ĐM",IF(E583&lt;&gt;"","Không KT ("&amp;E583&amp;")",IF(OR(K583="",L583=""),"Xem xét",IF(MAX(ABS(K583),ABS(L583))&lt;=ThongTin!$C$12,"OK","Xem xét")))))</f>
        <v/>
      </c>
    </row>
    <row r="584" spans="1:13" x14ac:dyDescent="0.25">
      <c r="A584" s="35" t="str">
        <f t="shared" si="45"/>
        <v/>
      </c>
      <c r="B584" s="35" t="str">
        <f>IF(BOM!A584="","",BOM!A584)</f>
        <v/>
      </c>
      <c r="C584" s="35" t="str">
        <f>IF(B584="","",BOM!B584)</f>
        <v/>
      </c>
      <c r="D584" s="35" t="str">
        <f>IF(B584="","",KT_DMTT_ChiTiet!E584)</f>
        <v/>
      </c>
      <c r="E584" s="36" t="str">
        <f>IF(B584="","",BOM!G584&amp;"")</f>
        <v/>
      </c>
      <c r="F584" s="39" t="str">
        <f>IF(B584="","",BOM!E584)</f>
        <v/>
      </c>
      <c r="G584" s="39" t="str">
        <f>IF(OR(B584="",E584="KXDDM"),"",BOM!F584)</f>
        <v/>
      </c>
      <c r="H584" s="39" t="str">
        <f>IF(OR(B584="",E584&lt;&gt;""),"",IFERROR(INDEX(KT_nguoc_theo_NL!$J$5:$J$304,MATCH(C584,KT_nguoc_theo_NL!$B$5:$B$304,0))/INDEX(KT_nguoc_theo_NL!$K$5:$K$304,MATCH(C584,KT_nguoc_theo_NL!$B$5:$B$304,0)),""))</f>
        <v/>
      </c>
      <c r="I584" s="39" t="str">
        <f t="shared" si="46"/>
        <v/>
      </c>
      <c r="J584" s="46" t="str">
        <f t="shared" si="47"/>
        <v/>
      </c>
      <c r="K584" s="46" t="str">
        <f t="shared" si="48"/>
        <v/>
      </c>
      <c r="L584" s="46" t="str">
        <f t="shared" si="49"/>
        <v/>
      </c>
      <c r="M584" s="35" t="str">
        <f>IF(B584="","",IF(E584="KXDDM","KXDDM – không ĐM",IF(E584&lt;&gt;"","Không KT ("&amp;E584&amp;")",IF(OR(K584="",L584=""),"Xem xét",IF(MAX(ABS(K584),ABS(L584))&lt;=ThongTin!$C$12,"OK","Xem xét")))))</f>
        <v/>
      </c>
    </row>
    <row r="585" spans="1:13" x14ac:dyDescent="0.25">
      <c r="A585" s="35" t="str">
        <f t="shared" si="45"/>
        <v/>
      </c>
      <c r="B585" s="35" t="str">
        <f>IF(BOM!A585="","",BOM!A585)</f>
        <v/>
      </c>
      <c r="C585" s="35" t="str">
        <f>IF(B585="","",BOM!B585)</f>
        <v/>
      </c>
      <c r="D585" s="35" t="str">
        <f>IF(B585="","",KT_DMTT_ChiTiet!E585)</f>
        <v/>
      </c>
      <c r="E585" s="36" t="str">
        <f>IF(B585="","",BOM!G585&amp;"")</f>
        <v/>
      </c>
      <c r="F585" s="39" t="str">
        <f>IF(B585="","",BOM!E585)</f>
        <v/>
      </c>
      <c r="G585" s="39" t="str">
        <f>IF(OR(B585="",E585="KXDDM"),"",BOM!F585)</f>
        <v/>
      </c>
      <c r="H585" s="39" t="str">
        <f>IF(OR(B585="",E585&lt;&gt;""),"",IFERROR(INDEX(KT_nguoc_theo_NL!$J$5:$J$304,MATCH(C585,KT_nguoc_theo_NL!$B$5:$B$304,0))/INDEX(KT_nguoc_theo_NL!$K$5:$K$304,MATCH(C585,KT_nguoc_theo_NL!$B$5:$B$304,0)),""))</f>
        <v/>
      </c>
      <c r="I585" s="39" t="str">
        <f t="shared" si="46"/>
        <v/>
      </c>
      <c r="J585" s="46" t="str">
        <f t="shared" si="47"/>
        <v/>
      </c>
      <c r="K585" s="46" t="str">
        <f t="shared" si="48"/>
        <v/>
      </c>
      <c r="L585" s="46" t="str">
        <f t="shared" si="49"/>
        <v/>
      </c>
      <c r="M585" s="35" t="str">
        <f>IF(B585="","",IF(E585="KXDDM","KXDDM – không ĐM",IF(E585&lt;&gt;"","Không KT ("&amp;E585&amp;")",IF(OR(K585="",L585=""),"Xem xét",IF(MAX(ABS(K585),ABS(L585))&lt;=ThongTin!$C$12,"OK","Xem xét")))))</f>
        <v/>
      </c>
    </row>
    <row r="586" spans="1:13" x14ac:dyDescent="0.25">
      <c r="A586" s="35" t="str">
        <f t="shared" si="45"/>
        <v/>
      </c>
      <c r="B586" s="35" t="str">
        <f>IF(BOM!A586="","",BOM!A586)</f>
        <v/>
      </c>
      <c r="C586" s="35" t="str">
        <f>IF(B586="","",BOM!B586)</f>
        <v/>
      </c>
      <c r="D586" s="35" t="str">
        <f>IF(B586="","",KT_DMTT_ChiTiet!E586)</f>
        <v/>
      </c>
      <c r="E586" s="36" t="str">
        <f>IF(B586="","",BOM!G586&amp;"")</f>
        <v/>
      </c>
      <c r="F586" s="39" t="str">
        <f>IF(B586="","",BOM!E586)</f>
        <v/>
      </c>
      <c r="G586" s="39" t="str">
        <f>IF(OR(B586="",E586="KXDDM"),"",BOM!F586)</f>
        <v/>
      </c>
      <c r="H586" s="39" t="str">
        <f>IF(OR(B586="",E586&lt;&gt;""),"",IFERROR(INDEX(KT_nguoc_theo_NL!$J$5:$J$304,MATCH(C586,KT_nguoc_theo_NL!$B$5:$B$304,0))/INDEX(KT_nguoc_theo_NL!$K$5:$K$304,MATCH(C586,KT_nguoc_theo_NL!$B$5:$B$304,0)),""))</f>
        <v/>
      </c>
      <c r="I586" s="39" t="str">
        <f t="shared" si="46"/>
        <v/>
      </c>
      <c r="J586" s="46" t="str">
        <f t="shared" si="47"/>
        <v/>
      </c>
      <c r="K586" s="46" t="str">
        <f t="shared" si="48"/>
        <v/>
      </c>
      <c r="L586" s="46" t="str">
        <f t="shared" si="49"/>
        <v/>
      </c>
      <c r="M586" s="35" t="str">
        <f>IF(B586="","",IF(E586="KXDDM","KXDDM – không ĐM",IF(E586&lt;&gt;"","Không KT ("&amp;E586&amp;")",IF(OR(K586="",L586=""),"Xem xét",IF(MAX(ABS(K586),ABS(L586))&lt;=ThongTin!$C$12,"OK","Xem xét")))))</f>
        <v/>
      </c>
    </row>
    <row r="587" spans="1:13" x14ac:dyDescent="0.25">
      <c r="A587" s="35" t="str">
        <f t="shared" si="45"/>
        <v/>
      </c>
      <c r="B587" s="35" t="str">
        <f>IF(BOM!A587="","",BOM!A587)</f>
        <v/>
      </c>
      <c r="C587" s="35" t="str">
        <f>IF(B587="","",BOM!B587)</f>
        <v/>
      </c>
      <c r="D587" s="35" t="str">
        <f>IF(B587="","",KT_DMTT_ChiTiet!E587)</f>
        <v/>
      </c>
      <c r="E587" s="36" t="str">
        <f>IF(B587="","",BOM!G587&amp;"")</f>
        <v/>
      </c>
      <c r="F587" s="39" t="str">
        <f>IF(B587="","",BOM!E587)</f>
        <v/>
      </c>
      <c r="G587" s="39" t="str">
        <f>IF(OR(B587="",E587="KXDDM"),"",BOM!F587)</f>
        <v/>
      </c>
      <c r="H587" s="39" t="str">
        <f>IF(OR(B587="",E587&lt;&gt;""),"",IFERROR(INDEX(KT_nguoc_theo_NL!$J$5:$J$304,MATCH(C587,KT_nguoc_theo_NL!$B$5:$B$304,0))/INDEX(KT_nguoc_theo_NL!$K$5:$K$304,MATCH(C587,KT_nguoc_theo_NL!$B$5:$B$304,0)),""))</f>
        <v/>
      </c>
      <c r="I587" s="39" t="str">
        <f t="shared" si="46"/>
        <v/>
      </c>
      <c r="J587" s="46" t="str">
        <f t="shared" si="47"/>
        <v/>
      </c>
      <c r="K587" s="46" t="str">
        <f t="shared" si="48"/>
        <v/>
      </c>
      <c r="L587" s="46" t="str">
        <f t="shared" si="49"/>
        <v/>
      </c>
      <c r="M587" s="35" t="str">
        <f>IF(B587="","",IF(E587="KXDDM","KXDDM – không ĐM",IF(E587&lt;&gt;"","Không KT ("&amp;E587&amp;")",IF(OR(K587="",L587=""),"Xem xét",IF(MAX(ABS(K587),ABS(L587))&lt;=ThongTin!$C$12,"OK","Xem xét")))))</f>
        <v/>
      </c>
    </row>
    <row r="588" spans="1:13" x14ac:dyDescent="0.25">
      <c r="A588" s="35" t="str">
        <f t="shared" si="45"/>
        <v/>
      </c>
      <c r="B588" s="35" t="str">
        <f>IF(BOM!A588="","",BOM!A588)</f>
        <v/>
      </c>
      <c r="C588" s="35" t="str">
        <f>IF(B588="","",BOM!B588)</f>
        <v/>
      </c>
      <c r="D588" s="35" t="str">
        <f>IF(B588="","",KT_DMTT_ChiTiet!E588)</f>
        <v/>
      </c>
      <c r="E588" s="36" t="str">
        <f>IF(B588="","",BOM!G588&amp;"")</f>
        <v/>
      </c>
      <c r="F588" s="39" t="str">
        <f>IF(B588="","",BOM!E588)</f>
        <v/>
      </c>
      <c r="G588" s="39" t="str">
        <f>IF(OR(B588="",E588="KXDDM"),"",BOM!F588)</f>
        <v/>
      </c>
      <c r="H588" s="39" t="str">
        <f>IF(OR(B588="",E588&lt;&gt;""),"",IFERROR(INDEX(KT_nguoc_theo_NL!$J$5:$J$304,MATCH(C588,KT_nguoc_theo_NL!$B$5:$B$304,0))/INDEX(KT_nguoc_theo_NL!$K$5:$K$304,MATCH(C588,KT_nguoc_theo_NL!$B$5:$B$304,0)),""))</f>
        <v/>
      </c>
      <c r="I588" s="39" t="str">
        <f t="shared" si="46"/>
        <v/>
      </c>
      <c r="J588" s="46" t="str">
        <f t="shared" si="47"/>
        <v/>
      </c>
      <c r="K588" s="46" t="str">
        <f t="shared" si="48"/>
        <v/>
      </c>
      <c r="L588" s="46" t="str">
        <f t="shared" si="49"/>
        <v/>
      </c>
      <c r="M588" s="35" t="str">
        <f>IF(B588="","",IF(E588="KXDDM","KXDDM – không ĐM",IF(E588&lt;&gt;"","Không KT ("&amp;E588&amp;")",IF(OR(K588="",L588=""),"Xem xét",IF(MAX(ABS(K588),ABS(L588))&lt;=ThongTin!$C$12,"OK","Xem xét")))))</f>
        <v/>
      </c>
    </row>
    <row r="589" spans="1:13" x14ac:dyDescent="0.25">
      <c r="A589" s="35" t="str">
        <f t="shared" si="45"/>
        <v/>
      </c>
      <c r="B589" s="35" t="str">
        <f>IF(BOM!A589="","",BOM!A589)</f>
        <v/>
      </c>
      <c r="C589" s="35" t="str">
        <f>IF(B589="","",BOM!B589)</f>
        <v/>
      </c>
      <c r="D589" s="35" t="str">
        <f>IF(B589="","",KT_DMTT_ChiTiet!E589)</f>
        <v/>
      </c>
      <c r="E589" s="36" t="str">
        <f>IF(B589="","",BOM!G589&amp;"")</f>
        <v/>
      </c>
      <c r="F589" s="39" t="str">
        <f>IF(B589="","",BOM!E589)</f>
        <v/>
      </c>
      <c r="G589" s="39" t="str">
        <f>IF(OR(B589="",E589="KXDDM"),"",BOM!F589)</f>
        <v/>
      </c>
      <c r="H589" s="39" t="str">
        <f>IF(OR(B589="",E589&lt;&gt;""),"",IFERROR(INDEX(KT_nguoc_theo_NL!$J$5:$J$304,MATCH(C589,KT_nguoc_theo_NL!$B$5:$B$304,0))/INDEX(KT_nguoc_theo_NL!$K$5:$K$304,MATCH(C589,KT_nguoc_theo_NL!$B$5:$B$304,0)),""))</f>
        <v/>
      </c>
      <c r="I589" s="39" t="str">
        <f t="shared" si="46"/>
        <v/>
      </c>
      <c r="J589" s="46" t="str">
        <f t="shared" si="47"/>
        <v/>
      </c>
      <c r="K589" s="46" t="str">
        <f t="shared" si="48"/>
        <v/>
      </c>
      <c r="L589" s="46" t="str">
        <f t="shared" si="49"/>
        <v/>
      </c>
      <c r="M589" s="35" t="str">
        <f>IF(B589="","",IF(E589="KXDDM","KXDDM – không ĐM",IF(E589&lt;&gt;"","Không KT ("&amp;E589&amp;")",IF(OR(K589="",L589=""),"Xem xét",IF(MAX(ABS(K589),ABS(L589))&lt;=ThongTin!$C$12,"OK","Xem xét")))))</f>
        <v/>
      </c>
    </row>
    <row r="590" spans="1:13" x14ac:dyDescent="0.25">
      <c r="A590" s="35" t="str">
        <f t="shared" si="45"/>
        <v/>
      </c>
      <c r="B590" s="35" t="str">
        <f>IF(BOM!A590="","",BOM!A590)</f>
        <v/>
      </c>
      <c r="C590" s="35" t="str">
        <f>IF(B590="","",BOM!B590)</f>
        <v/>
      </c>
      <c r="D590" s="35" t="str">
        <f>IF(B590="","",KT_DMTT_ChiTiet!E590)</f>
        <v/>
      </c>
      <c r="E590" s="36" t="str">
        <f>IF(B590="","",BOM!G590&amp;"")</f>
        <v/>
      </c>
      <c r="F590" s="39" t="str">
        <f>IF(B590="","",BOM!E590)</f>
        <v/>
      </c>
      <c r="G590" s="39" t="str">
        <f>IF(OR(B590="",E590="KXDDM"),"",BOM!F590)</f>
        <v/>
      </c>
      <c r="H590" s="39" t="str">
        <f>IF(OR(B590="",E590&lt;&gt;""),"",IFERROR(INDEX(KT_nguoc_theo_NL!$J$5:$J$304,MATCH(C590,KT_nguoc_theo_NL!$B$5:$B$304,0))/INDEX(KT_nguoc_theo_NL!$K$5:$K$304,MATCH(C590,KT_nguoc_theo_NL!$B$5:$B$304,0)),""))</f>
        <v/>
      </c>
      <c r="I590" s="39" t="str">
        <f t="shared" si="46"/>
        <v/>
      </c>
      <c r="J590" s="46" t="str">
        <f t="shared" si="47"/>
        <v/>
      </c>
      <c r="K590" s="46" t="str">
        <f t="shared" si="48"/>
        <v/>
      </c>
      <c r="L590" s="46" t="str">
        <f t="shared" si="49"/>
        <v/>
      </c>
      <c r="M590" s="35" t="str">
        <f>IF(B590="","",IF(E590="KXDDM","KXDDM – không ĐM",IF(E590&lt;&gt;"","Không KT ("&amp;E590&amp;")",IF(OR(K590="",L590=""),"Xem xét",IF(MAX(ABS(K590),ABS(L590))&lt;=ThongTin!$C$12,"OK","Xem xét")))))</f>
        <v/>
      </c>
    </row>
    <row r="591" spans="1:13" x14ac:dyDescent="0.25">
      <c r="A591" s="35" t="str">
        <f t="shared" si="45"/>
        <v/>
      </c>
      <c r="B591" s="35" t="str">
        <f>IF(BOM!A591="","",BOM!A591)</f>
        <v/>
      </c>
      <c r="C591" s="35" t="str">
        <f>IF(B591="","",BOM!B591)</f>
        <v/>
      </c>
      <c r="D591" s="35" t="str">
        <f>IF(B591="","",KT_DMTT_ChiTiet!E591)</f>
        <v/>
      </c>
      <c r="E591" s="36" t="str">
        <f>IF(B591="","",BOM!G591&amp;"")</f>
        <v/>
      </c>
      <c r="F591" s="39" t="str">
        <f>IF(B591="","",BOM!E591)</f>
        <v/>
      </c>
      <c r="G591" s="39" t="str">
        <f>IF(OR(B591="",E591="KXDDM"),"",BOM!F591)</f>
        <v/>
      </c>
      <c r="H591" s="39" t="str">
        <f>IF(OR(B591="",E591&lt;&gt;""),"",IFERROR(INDEX(KT_nguoc_theo_NL!$J$5:$J$304,MATCH(C591,KT_nguoc_theo_NL!$B$5:$B$304,0))/INDEX(KT_nguoc_theo_NL!$K$5:$K$304,MATCH(C591,KT_nguoc_theo_NL!$B$5:$B$304,0)),""))</f>
        <v/>
      </c>
      <c r="I591" s="39" t="str">
        <f t="shared" si="46"/>
        <v/>
      </c>
      <c r="J591" s="46" t="str">
        <f t="shared" si="47"/>
        <v/>
      </c>
      <c r="K591" s="46" t="str">
        <f t="shared" si="48"/>
        <v/>
      </c>
      <c r="L591" s="46" t="str">
        <f t="shared" si="49"/>
        <v/>
      </c>
      <c r="M591" s="35" t="str">
        <f>IF(B591="","",IF(E591="KXDDM","KXDDM – không ĐM",IF(E591&lt;&gt;"","Không KT ("&amp;E591&amp;")",IF(OR(K591="",L591=""),"Xem xét",IF(MAX(ABS(K591),ABS(L591))&lt;=ThongTin!$C$12,"OK","Xem xét")))))</f>
        <v/>
      </c>
    </row>
    <row r="592" spans="1:13" x14ac:dyDescent="0.25">
      <c r="A592" s="35" t="str">
        <f t="shared" si="45"/>
        <v/>
      </c>
      <c r="B592" s="35" t="str">
        <f>IF(BOM!A592="","",BOM!A592)</f>
        <v/>
      </c>
      <c r="C592" s="35" t="str">
        <f>IF(B592="","",BOM!B592)</f>
        <v/>
      </c>
      <c r="D592" s="35" t="str">
        <f>IF(B592="","",KT_DMTT_ChiTiet!E592)</f>
        <v/>
      </c>
      <c r="E592" s="36" t="str">
        <f>IF(B592="","",BOM!G592&amp;"")</f>
        <v/>
      </c>
      <c r="F592" s="39" t="str">
        <f>IF(B592="","",BOM!E592)</f>
        <v/>
      </c>
      <c r="G592" s="39" t="str">
        <f>IF(OR(B592="",E592="KXDDM"),"",BOM!F592)</f>
        <v/>
      </c>
      <c r="H592" s="39" t="str">
        <f>IF(OR(B592="",E592&lt;&gt;""),"",IFERROR(INDEX(KT_nguoc_theo_NL!$J$5:$J$304,MATCH(C592,KT_nguoc_theo_NL!$B$5:$B$304,0))/INDEX(KT_nguoc_theo_NL!$K$5:$K$304,MATCH(C592,KT_nguoc_theo_NL!$B$5:$B$304,0)),""))</f>
        <v/>
      </c>
      <c r="I592" s="39" t="str">
        <f t="shared" si="46"/>
        <v/>
      </c>
      <c r="J592" s="46" t="str">
        <f t="shared" si="47"/>
        <v/>
      </c>
      <c r="K592" s="46" t="str">
        <f t="shared" si="48"/>
        <v/>
      </c>
      <c r="L592" s="46" t="str">
        <f t="shared" si="49"/>
        <v/>
      </c>
      <c r="M592" s="35" t="str">
        <f>IF(B592="","",IF(E592="KXDDM","KXDDM – không ĐM",IF(E592&lt;&gt;"","Không KT ("&amp;E592&amp;")",IF(OR(K592="",L592=""),"Xem xét",IF(MAX(ABS(K592),ABS(L592))&lt;=ThongTin!$C$12,"OK","Xem xét")))))</f>
        <v/>
      </c>
    </row>
    <row r="593" spans="1:13" x14ac:dyDescent="0.25">
      <c r="A593" s="35" t="str">
        <f t="shared" si="45"/>
        <v/>
      </c>
      <c r="B593" s="35" t="str">
        <f>IF(BOM!A593="","",BOM!A593)</f>
        <v/>
      </c>
      <c r="C593" s="35" t="str">
        <f>IF(B593="","",BOM!B593)</f>
        <v/>
      </c>
      <c r="D593" s="35" t="str">
        <f>IF(B593="","",KT_DMTT_ChiTiet!E593)</f>
        <v/>
      </c>
      <c r="E593" s="36" t="str">
        <f>IF(B593="","",BOM!G593&amp;"")</f>
        <v/>
      </c>
      <c r="F593" s="39" t="str">
        <f>IF(B593="","",BOM!E593)</f>
        <v/>
      </c>
      <c r="G593" s="39" t="str">
        <f>IF(OR(B593="",E593="KXDDM"),"",BOM!F593)</f>
        <v/>
      </c>
      <c r="H593" s="39" t="str">
        <f>IF(OR(B593="",E593&lt;&gt;""),"",IFERROR(INDEX(KT_nguoc_theo_NL!$J$5:$J$304,MATCH(C593,KT_nguoc_theo_NL!$B$5:$B$304,0))/INDEX(KT_nguoc_theo_NL!$K$5:$K$304,MATCH(C593,KT_nguoc_theo_NL!$B$5:$B$304,0)),""))</f>
        <v/>
      </c>
      <c r="I593" s="39" t="str">
        <f t="shared" si="46"/>
        <v/>
      </c>
      <c r="J593" s="46" t="str">
        <f t="shared" si="47"/>
        <v/>
      </c>
      <c r="K593" s="46" t="str">
        <f t="shared" si="48"/>
        <v/>
      </c>
      <c r="L593" s="46" t="str">
        <f t="shared" si="49"/>
        <v/>
      </c>
      <c r="M593" s="35" t="str">
        <f>IF(B593="","",IF(E593="KXDDM","KXDDM – không ĐM",IF(E593&lt;&gt;"","Không KT ("&amp;E593&amp;")",IF(OR(K593="",L593=""),"Xem xét",IF(MAX(ABS(K593),ABS(L593))&lt;=ThongTin!$C$12,"OK","Xem xét")))))</f>
        <v/>
      </c>
    </row>
    <row r="594" spans="1:13" x14ac:dyDescent="0.25">
      <c r="A594" s="35" t="str">
        <f t="shared" si="45"/>
        <v/>
      </c>
      <c r="B594" s="35" t="str">
        <f>IF(BOM!A594="","",BOM!A594)</f>
        <v/>
      </c>
      <c r="C594" s="35" t="str">
        <f>IF(B594="","",BOM!B594)</f>
        <v/>
      </c>
      <c r="D594" s="35" t="str">
        <f>IF(B594="","",KT_DMTT_ChiTiet!E594)</f>
        <v/>
      </c>
      <c r="E594" s="36" t="str">
        <f>IF(B594="","",BOM!G594&amp;"")</f>
        <v/>
      </c>
      <c r="F594" s="39" t="str">
        <f>IF(B594="","",BOM!E594)</f>
        <v/>
      </c>
      <c r="G594" s="39" t="str">
        <f>IF(OR(B594="",E594="KXDDM"),"",BOM!F594)</f>
        <v/>
      </c>
      <c r="H594" s="39" t="str">
        <f>IF(OR(B594="",E594&lt;&gt;""),"",IFERROR(INDEX(KT_nguoc_theo_NL!$J$5:$J$304,MATCH(C594,KT_nguoc_theo_NL!$B$5:$B$304,0))/INDEX(KT_nguoc_theo_NL!$K$5:$K$304,MATCH(C594,KT_nguoc_theo_NL!$B$5:$B$304,0)),""))</f>
        <v/>
      </c>
      <c r="I594" s="39" t="str">
        <f t="shared" si="46"/>
        <v/>
      </c>
      <c r="J594" s="46" t="str">
        <f t="shared" si="47"/>
        <v/>
      </c>
      <c r="K594" s="46" t="str">
        <f t="shared" si="48"/>
        <v/>
      </c>
      <c r="L594" s="46" t="str">
        <f t="shared" si="49"/>
        <v/>
      </c>
      <c r="M594" s="35" t="str">
        <f>IF(B594="","",IF(E594="KXDDM","KXDDM – không ĐM",IF(E594&lt;&gt;"","Không KT ("&amp;E594&amp;")",IF(OR(K594="",L594=""),"Xem xét",IF(MAX(ABS(K594),ABS(L594))&lt;=ThongTin!$C$12,"OK","Xem xét")))))</f>
        <v/>
      </c>
    </row>
    <row r="595" spans="1:13" x14ac:dyDescent="0.25">
      <c r="A595" s="35" t="str">
        <f t="shared" si="45"/>
        <v/>
      </c>
      <c r="B595" s="35" t="str">
        <f>IF(BOM!A595="","",BOM!A595)</f>
        <v/>
      </c>
      <c r="C595" s="35" t="str">
        <f>IF(B595="","",BOM!B595)</f>
        <v/>
      </c>
      <c r="D595" s="35" t="str">
        <f>IF(B595="","",KT_DMTT_ChiTiet!E595)</f>
        <v/>
      </c>
      <c r="E595" s="36" t="str">
        <f>IF(B595="","",BOM!G595&amp;"")</f>
        <v/>
      </c>
      <c r="F595" s="39" t="str">
        <f>IF(B595="","",BOM!E595)</f>
        <v/>
      </c>
      <c r="G595" s="39" t="str">
        <f>IF(OR(B595="",E595="KXDDM"),"",BOM!F595)</f>
        <v/>
      </c>
      <c r="H595" s="39" t="str">
        <f>IF(OR(B595="",E595&lt;&gt;""),"",IFERROR(INDEX(KT_nguoc_theo_NL!$J$5:$J$304,MATCH(C595,KT_nguoc_theo_NL!$B$5:$B$304,0))/INDEX(KT_nguoc_theo_NL!$K$5:$K$304,MATCH(C595,KT_nguoc_theo_NL!$B$5:$B$304,0)),""))</f>
        <v/>
      </c>
      <c r="I595" s="39" t="str">
        <f t="shared" si="46"/>
        <v/>
      </c>
      <c r="J595" s="46" t="str">
        <f t="shared" si="47"/>
        <v/>
      </c>
      <c r="K595" s="46" t="str">
        <f t="shared" si="48"/>
        <v/>
      </c>
      <c r="L595" s="46" t="str">
        <f t="shared" si="49"/>
        <v/>
      </c>
      <c r="M595" s="35" t="str">
        <f>IF(B595="","",IF(E595="KXDDM","KXDDM – không ĐM",IF(E595&lt;&gt;"","Không KT ("&amp;E595&amp;")",IF(OR(K595="",L595=""),"Xem xét",IF(MAX(ABS(K595),ABS(L595))&lt;=ThongTin!$C$12,"OK","Xem xét")))))</f>
        <v/>
      </c>
    </row>
    <row r="596" spans="1:13" x14ac:dyDescent="0.25">
      <c r="A596" s="35" t="str">
        <f t="shared" si="45"/>
        <v/>
      </c>
      <c r="B596" s="35" t="str">
        <f>IF(BOM!A596="","",BOM!A596)</f>
        <v/>
      </c>
      <c r="C596" s="35" t="str">
        <f>IF(B596="","",BOM!B596)</f>
        <v/>
      </c>
      <c r="D596" s="35" t="str">
        <f>IF(B596="","",KT_DMTT_ChiTiet!E596)</f>
        <v/>
      </c>
      <c r="E596" s="36" t="str">
        <f>IF(B596="","",BOM!G596&amp;"")</f>
        <v/>
      </c>
      <c r="F596" s="39" t="str">
        <f>IF(B596="","",BOM!E596)</f>
        <v/>
      </c>
      <c r="G596" s="39" t="str">
        <f>IF(OR(B596="",E596="KXDDM"),"",BOM!F596)</f>
        <v/>
      </c>
      <c r="H596" s="39" t="str">
        <f>IF(OR(B596="",E596&lt;&gt;""),"",IFERROR(INDEX(KT_nguoc_theo_NL!$J$5:$J$304,MATCH(C596,KT_nguoc_theo_NL!$B$5:$B$304,0))/INDEX(KT_nguoc_theo_NL!$K$5:$K$304,MATCH(C596,KT_nguoc_theo_NL!$B$5:$B$304,0)),""))</f>
        <v/>
      </c>
      <c r="I596" s="39" t="str">
        <f t="shared" si="46"/>
        <v/>
      </c>
      <c r="J596" s="46" t="str">
        <f t="shared" si="47"/>
        <v/>
      </c>
      <c r="K596" s="46" t="str">
        <f t="shared" si="48"/>
        <v/>
      </c>
      <c r="L596" s="46" t="str">
        <f t="shared" si="49"/>
        <v/>
      </c>
      <c r="M596" s="35" t="str">
        <f>IF(B596="","",IF(E596="KXDDM","KXDDM – không ĐM",IF(E596&lt;&gt;"","Không KT ("&amp;E596&amp;")",IF(OR(K596="",L596=""),"Xem xét",IF(MAX(ABS(K596),ABS(L596))&lt;=ThongTin!$C$12,"OK","Xem xét")))))</f>
        <v/>
      </c>
    </row>
    <row r="597" spans="1:13" x14ac:dyDescent="0.25">
      <c r="A597" s="35" t="str">
        <f t="shared" si="45"/>
        <v/>
      </c>
      <c r="B597" s="35" t="str">
        <f>IF(BOM!A597="","",BOM!A597)</f>
        <v/>
      </c>
      <c r="C597" s="35" t="str">
        <f>IF(B597="","",BOM!B597)</f>
        <v/>
      </c>
      <c r="D597" s="35" t="str">
        <f>IF(B597="","",KT_DMTT_ChiTiet!E597)</f>
        <v/>
      </c>
      <c r="E597" s="36" t="str">
        <f>IF(B597="","",BOM!G597&amp;"")</f>
        <v/>
      </c>
      <c r="F597" s="39" t="str">
        <f>IF(B597="","",BOM!E597)</f>
        <v/>
      </c>
      <c r="G597" s="39" t="str">
        <f>IF(OR(B597="",E597="KXDDM"),"",BOM!F597)</f>
        <v/>
      </c>
      <c r="H597" s="39" t="str">
        <f>IF(OR(B597="",E597&lt;&gt;""),"",IFERROR(INDEX(KT_nguoc_theo_NL!$J$5:$J$304,MATCH(C597,KT_nguoc_theo_NL!$B$5:$B$304,0))/INDEX(KT_nguoc_theo_NL!$K$5:$K$304,MATCH(C597,KT_nguoc_theo_NL!$B$5:$B$304,0)),""))</f>
        <v/>
      </c>
      <c r="I597" s="39" t="str">
        <f t="shared" si="46"/>
        <v/>
      </c>
      <c r="J597" s="46" t="str">
        <f t="shared" si="47"/>
        <v/>
      </c>
      <c r="K597" s="46" t="str">
        <f t="shared" si="48"/>
        <v/>
      </c>
      <c r="L597" s="46" t="str">
        <f t="shared" si="49"/>
        <v/>
      </c>
      <c r="M597" s="35" t="str">
        <f>IF(B597="","",IF(E597="KXDDM","KXDDM – không ĐM",IF(E597&lt;&gt;"","Không KT ("&amp;E597&amp;")",IF(OR(K597="",L597=""),"Xem xét",IF(MAX(ABS(K597),ABS(L597))&lt;=ThongTin!$C$12,"OK","Xem xét")))))</f>
        <v/>
      </c>
    </row>
    <row r="598" spans="1:13" x14ac:dyDescent="0.25">
      <c r="A598" s="35" t="str">
        <f t="shared" si="45"/>
        <v/>
      </c>
      <c r="B598" s="35" t="str">
        <f>IF(BOM!A598="","",BOM!A598)</f>
        <v/>
      </c>
      <c r="C598" s="35" t="str">
        <f>IF(B598="","",BOM!B598)</f>
        <v/>
      </c>
      <c r="D598" s="35" t="str">
        <f>IF(B598="","",KT_DMTT_ChiTiet!E598)</f>
        <v/>
      </c>
      <c r="E598" s="36" t="str">
        <f>IF(B598="","",BOM!G598&amp;"")</f>
        <v/>
      </c>
      <c r="F598" s="39" t="str">
        <f>IF(B598="","",BOM!E598)</f>
        <v/>
      </c>
      <c r="G598" s="39" t="str">
        <f>IF(OR(B598="",E598="KXDDM"),"",BOM!F598)</f>
        <v/>
      </c>
      <c r="H598" s="39" t="str">
        <f>IF(OR(B598="",E598&lt;&gt;""),"",IFERROR(INDEX(KT_nguoc_theo_NL!$J$5:$J$304,MATCH(C598,KT_nguoc_theo_NL!$B$5:$B$304,0))/INDEX(KT_nguoc_theo_NL!$K$5:$K$304,MATCH(C598,KT_nguoc_theo_NL!$B$5:$B$304,0)),""))</f>
        <v/>
      </c>
      <c r="I598" s="39" t="str">
        <f t="shared" si="46"/>
        <v/>
      </c>
      <c r="J598" s="46" t="str">
        <f t="shared" si="47"/>
        <v/>
      </c>
      <c r="K598" s="46" t="str">
        <f t="shared" si="48"/>
        <v/>
      </c>
      <c r="L598" s="46" t="str">
        <f t="shared" si="49"/>
        <v/>
      </c>
      <c r="M598" s="35" t="str">
        <f>IF(B598="","",IF(E598="KXDDM","KXDDM – không ĐM",IF(E598&lt;&gt;"","Không KT ("&amp;E598&amp;")",IF(OR(K598="",L598=""),"Xem xét",IF(MAX(ABS(K598),ABS(L598))&lt;=ThongTin!$C$12,"OK","Xem xét")))))</f>
        <v/>
      </c>
    </row>
    <row r="599" spans="1:13" x14ac:dyDescent="0.25">
      <c r="A599" s="35" t="str">
        <f t="shared" si="45"/>
        <v/>
      </c>
      <c r="B599" s="35" t="str">
        <f>IF(BOM!A599="","",BOM!A599)</f>
        <v/>
      </c>
      <c r="C599" s="35" t="str">
        <f>IF(B599="","",BOM!B599)</f>
        <v/>
      </c>
      <c r="D599" s="35" t="str">
        <f>IF(B599="","",KT_DMTT_ChiTiet!E599)</f>
        <v/>
      </c>
      <c r="E599" s="36" t="str">
        <f>IF(B599="","",BOM!G599&amp;"")</f>
        <v/>
      </c>
      <c r="F599" s="39" t="str">
        <f>IF(B599="","",BOM!E599)</f>
        <v/>
      </c>
      <c r="G599" s="39" t="str">
        <f>IF(OR(B599="",E599="KXDDM"),"",BOM!F599)</f>
        <v/>
      </c>
      <c r="H599" s="39" t="str">
        <f>IF(OR(B599="",E599&lt;&gt;""),"",IFERROR(INDEX(KT_nguoc_theo_NL!$J$5:$J$304,MATCH(C599,KT_nguoc_theo_NL!$B$5:$B$304,0))/INDEX(KT_nguoc_theo_NL!$K$5:$K$304,MATCH(C599,KT_nguoc_theo_NL!$B$5:$B$304,0)),""))</f>
        <v/>
      </c>
      <c r="I599" s="39" t="str">
        <f t="shared" si="46"/>
        <v/>
      </c>
      <c r="J599" s="46" t="str">
        <f t="shared" si="47"/>
        <v/>
      </c>
      <c r="K599" s="46" t="str">
        <f t="shared" si="48"/>
        <v/>
      </c>
      <c r="L599" s="46" t="str">
        <f t="shared" si="49"/>
        <v/>
      </c>
      <c r="M599" s="35" t="str">
        <f>IF(B599="","",IF(E599="KXDDM","KXDDM – không ĐM",IF(E599&lt;&gt;"","Không KT ("&amp;E599&amp;")",IF(OR(K599="",L599=""),"Xem xét",IF(MAX(ABS(K599),ABS(L599))&lt;=ThongTin!$C$12,"OK","Xem xét")))))</f>
        <v/>
      </c>
    </row>
    <row r="600" spans="1:13" x14ac:dyDescent="0.25">
      <c r="A600" s="35" t="str">
        <f t="shared" si="45"/>
        <v/>
      </c>
      <c r="B600" s="35" t="str">
        <f>IF(BOM!A600="","",BOM!A600)</f>
        <v/>
      </c>
      <c r="C600" s="35" t="str">
        <f>IF(B600="","",BOM!B600)</f>
        <v/>
      </c>
      <c r="D600" s="35" t="str">
        <f>IF(B600="","",KT_DMTT_ChiTiet!E600)</f>
        <v/>
      </c>
      <c r="E600" s="36" t="str">
        <f>IF(B600="","",BOM!G600&amp;"")</f>
        <v/>
      </c>
      <c r="F600" s="39" t="str">
        <f>IF(B600="","",BOM!E600)</f>
        <v/>
      </c>
      <c r="G600" s="39" t="str">
        <f>IF(OR(B600="",E600="KXDDM"),"",BOM!F600)</f>
        <v/>
      </c>
      <c r="H600" s="39" t="str">
        <f>IF(OR(B600="",E600&lt;&gt;""),"",IFERROR(INDEX(KT_nguoc_theo_NL!$J$5:$J$304,MATCH(C600,KT_nguoc_theo_NL!$B$5:$B$304,0))/INDEX(KT_nguoc_theo_NL!$K$5:$K$304,MATCH(C600,KT_nguoc_theo_NL!$B$5:$B$304,0)),""))</f>
        <v/>
      </c>
      <c r="I600" s="39" t="str">
        <f t="shared" si="46"/>
        <v/>
      </c>
      <c r="J600" s="46" t="str">
        <f t="shared" si="47"/>
        <v/>
      </c>
      <c r="K600" s="46" t="str">
        <f t="shared" si="48"/>
        <v/>
      </c>
      <c r="L600" s="46" t="str">
        <f t="shared" si="49"/>
        <v/>
      </c>
      <c r="M600" s="35" t="str">
        <f>IF(B600="","",IF(E600="KXDDM","KXDDM – không ĐM",IF(E600&lt;&gt;"","Không KT ("&amp;E600&amp;")",IF(OR(K600="",L600=""),"Xem xét",IF(MAX(ABS(K600),ABS(L600))&lt;=ThongTin!$C$12,"OK","Xem xét")))))</f>
        <v/>
      </c>
    </row>
    <row r="601" spans="1:13" x14ac:dyDescent="0.25">
      <c r="A601" s="35" t="str">
        <f t="shared" si="45"/>
        <v/>
      </c>
      <c r="B601" s="35" t="str">
        <f>IF(BOM!A601="","",BOM!A601)</f>
        <v/>
      </c>
      <c r="C601" s="35" t="str">
        <f>IF(B601="","",BOM!B601)</f>
        <v/>
      </c>
      <c r="D601" s="35" t="str">
        <f>IF(B601="","",KT_DMTT_ChiTiet!E601)</f>
        <v/>
      </c>
      <c r="E601" s="36" t="str">
        <f>IF(B601="","",BOM!G601&amp;"")</f>
        <v/>
      </c>
      <c r="F601" s="39" t="str">
        <f>IF(B601="","",BOM!E601)</f>
        <v/>
      </c>
      <c r="G601" s="39" t="str">
        <f>IF(OR(B601="",E601="KXDDM"),"",BOM!F601)</f>
        <v/>
      </c>
      <c r="H601" s="39" t="str">
        <f>IF(OR(B601="",E601&lt;&gt;""),"",IFERROR(INDEX(KT_nguoc_theo_NL!$J$5:$J$304,MATCH(C601,KT_nguoc_theo_NL!$B$5:$B$304,0))/INDEX(KT_nguoc_theo_NL!$K$5:$K$304,MATCH(C601,KT_nguoc_theo_NL!$B$5:$B$304,0)),""))</f>
        <v/>
      </c>
      <c r="I601" s="39" t="str">
        <f t="shared" si="46"/>
        <v/>
      </c>
      <c r="J601" s="46" t="str">
        <f t="shared" si="47"/>
        <v/>
      </c>
      <c r="K601" s="46" t="str">
        <f t="shared" si="48"/>
        <v/>
      </c>
      <c r="L601" s="46" t="str">
        <f t="shared" si="49"/>
        <v/>
      </c>
      <c r="M601" s="35" t="str">
        <f>IF(B601="","",IF(E601="KXDDM","KXDDM – không ĐM",IF(E601&lt;&gt;"","Không KT ("&amp;E601&amp;")",IF(OR(K601="",L601=""),"Xem xét",IF(MAX(ABS(K601),ABS(L601))&lt;=ThongTin!$C$12,"OK","Xem xét")))))</f>
        <v/>
      </c>
    </row>
    <row r="602" spans="1:13" x14ac:dyDescent="0.25">
      <c r="A602" s="35" t="str">
        <f t="shared" si="45"/>
        <v/>
      </c>
      <c r="B602" s="35" t="str">
        <f>IF(BOM!A602="","",BOM!A602)</f>
        <v/>
      </c>
      <c r="C602" s="35" t="str">
        <f>IF(B602="","",BOM!B602)</f>
        <v/>
      </c>
      <c r="D602" s="35" t="str">
        <f>IF(B602="","",KT_DMTT_ChiTiet!E602)</f>
        <v/>
      </c>
      <c r="E602" s="36" t="str">
        <f>IF(B602="","",BOM!G602&amp;"")</f>
        <v/>
      </c>
      <c r="F602" s="39" t="str">
        <f>IF(B602="","",BOM!E602)</f>
        <v/>
      </c>
      <c r="G602" s="39" t="str">
        <f>IF(OR(B602="",E602="KXDDM"),"",BOM!F602)</f>
        <v/>
      </c>
      <c r="H602" s="39" t="str">
        <f>IF(OR(B602="",E602&lt;&gt;""),"",IFERROR(INDEX(KT_nguoc_theo_NL!$J$5:$J$304,MATCH(C602,KT_nguoc_theo_NL!$B$5:$B$304,0))/INDEX(KT_nguoc_theo_NL!$K$5:$K$304,MATCH(C602,KT_nguoc_theo_NL!$B$5:$B$304,0)),""))</f>
        <v/>
      </c>
      <c r="I602" s="39" t="str">
        <f t="shared" si="46"/>
        <v/>
      </c>
      <c r="J602" s="46" t="str">
        <f t="shared" si="47"/>
        <v/>
      </c>
      <c r="K602" s="46" t="str">
        <f t="shared" si="48"/>
        <v/>
      </c>
      <c r="L602" s="46" t="str">
        <f t="shared" si="49"/>
        <v/>
      </c>
      <c r="M602" s="35" t="str">
        <f>IF(B602="","",IF(E602="KXDDM","KXDDM – không ĐM",IF(E602&lt;&gt;"","Không KT ("&amp;E602&amp;")",IF(OR(K602="",L602=""),"Xem xét",IF(MAX(ABS(K602),ABS(L602))&lt;=ThongTin!$C$12,"OK","Xem xét")))))</f>
        <v/>
      </c>
    </row>
    <row r="603" spans="1:13" x14ac:dyDescent="0.25">
      <c r="A603" s="35" t="str">
        <f t="shared" si="45"/>
        <v/>
      </c>
      <c r="B603" s="35" t="str">
        <f>IF(BOM!A603="","",BOM!A603)</f>
        <v/>
      </c>
      <c r="C603" s="35" t="str">
        <f>IF(B603="","",BOM!B603)</f>
        <v/>
      </c>
      <c r="D603" s="35" t="str">
        <f>IF(B603="","",KT_DMTT_ChiTiet!E603)</f>
        <v/>
      </c>
      <c r="E603" s="36" t="str">
        <f>IF(B603="","",BOM!G603&amp;"")</f>
        <v/>
      </c>
      <c r="F603" s="39" t="str">
        <f>IF(B603="","",BOM!E603)</f>
        <v/>
      </c>
      <c r="G603" s="39" t="str">
        <f>IF(OR(B603="",E603="KXDDM"),"",BOM!F603)</f>
        <v/>
      </c>
      <c r="H603" s="39" t="str">
        <f>IF(OR(B603="",E603&lt;&gt;""),"",IFERROR(INDEX(KT_nguoc_theo_NL!$J$5:$J$304,MATCH(C603,KT_nguoc_theo_NL!$B$5:$B$304,0))/INDEX(KT_nguoc_theo_NL!$K$5:$K$304,MATCH(C603,KT_nguoc_theo_NL!$B$5:$B$304,0)),""))</f>
        <v/>
      </c>
      <c r="I603" s="39" t="str">
        <f t="shared" si="46"/>
        <v/>
      </c>
      <c r="J603" s="46" t="str">
        <f t="shared" si="47"/>
        <v/>
      </c>
      <c r="K603" s="46" t="str">
        <f t="shared" si="48"/>
        <v/>
      </c>
      <c r="L603" s="46" t="str">
        <f t="shared" si="49"/>
        <v/>
      </c>
      <c r="M603" s="35" t="str">
        <f>IF(B603="","",IF(E603="KXDDM","KXDDM – không ĐM",IF(E603&lt;&gt;"","Không KT ("&amp;E603&amp;")",IF(OR(K603="",L603=""),"Xem xét",IF(MAX(ABS(K603),ABS(L603))&lt;=ThongTin!$C$12,"OK","Xem xét")))))</f>
        <v/>
      </c>
    </row>
    <row r="604" spans="1:13" x14ac:dyDescent="0.25">
      <c r="A604" s="35" t="str">
        <f t="shared" si="45"/>
        <v/>
      </c>
      <c r="B604" s="35" t="str">
        <f>IF(BOM!A604="","",BOM!A604)</f>
        <v/>
      </c>
      <c r="C604" s="35" t="str">
        <f>IF(B604="","",BOM!B604)</f>
        <v/>
      </c>
      <c r="D604" s="35" t="str">
        <f>IF(B604="","",KT_DMTT_ChiTiet!E604)</f>
        <v/>
      </c>
      <c r="E604" s="36" t="str">
        <f>IF(B604="","",BOM!G604&amp;"")</f>
        <v/>
      </c>
      <c r="F604" s="39" t="str">
        <f>IF(B604="","",BOM!E604)</f>
        <v/>
      </c>
      <c r="G604" s="39" t="str">
        <f>IF(OR(B604="",E604="KXDDM"),"",BOM!F604)</f>
        <v/>
      </c>
      <c r="H604" s="39" t="str">
        <f>IF(OR(B604="",E604&lt;&gt;""),"",IFERROR(INDEX(KT_nguoc_theo_NL!$J$5:$J$304,MATCH(C604,KT_nguoc_theo_NL!$B$5:$B$304,0))/INDEX(KT_nguoc_theo_NL!$K$5:$K$304,MATCH(C604,KT_nguoc_theo_NL!$B$5:$B$304,0)),""))</f>
        <v/>
      </c>
      <c r="I604" s="39" t="str">
        <f t="shared" si="46"/>
        <v/>
      </c>
      <c r="J604" s="46" t="str">
        <f t="shared" si="47"/>
        <v/>
      </c>
      <c r="K604" s="46" t="str">
        <f t="shared" si="48"/>
        <v/>
      </c>
      <c r="L604" s="46" t="str">
        <f t="shared" si="49"/>
        <v/>
      </c>
      <c r="M604" s="35" t="str">
        <f>IF(B604="","",IF(E604="KXDDM","KXDDM – không ĐM",IF(E604&lt;&gt;"","Không KT ("&amp;E604&amp;")",IF(OR(K604="",L604=""),"Xem xét",IF(MAX(ABS(K604),ABS(L604))&lt;=ThongTin!$C$12,"OK","Xem xét")))))</f>
        <v/>
      </c>
    </row>
    <row r="605" spans="1:13" x14ac:dyDescent="0.25">
      <c r="A605" s="35" t="str">
        <f t="shared" si="45"/>
        <v/>
      </c>
      <c r="B605" s="35" t="str">
        <f>IF(BOM!A605="","",BOM!A605)</f>
        <v/>
      </c>
      <c r="C605" s="35" t="str">
        <f>IF(B605="","",BOM!B605)</f>
        <v/>
      </c>
      <c r="D605" s="35" t="str">
        <f>IF(B605="","",KT_DMTT_ChiTiet!E605)</f>
        <v/>
      </c>
      <c r="E605" s="36" t="str">
        <f>IF(B605="","",BOM!G605&amp;"")</f>
        <v/>
      </c>
      <c r="F605" s="39" t="str">
        <f>IF(B605="","",BOM!E605)</f>
        <v/>
      </c>
      <c r="G605" s="39" t="str">
        <f>IF(OR(B605="",E605="KXDDM"),"",BOM!F605)</f>
        <v/>
      </c>
      <c r="H605" s="39" t="str">
        <f>IF(OR(B605="",E605&lt;&gt;""),"",IFERROR(INDEX(KT_nguoc_theo_NL!$J$5:$J$304,MATCH(C605,KT_nguoc_theo_NL!$B$5:$B$304,0))/INDEX(KT_nguoc_theo_NL!$K$5:$K$304,MATCH(C605,KT_nguoc_theo_NL!$B$5:$B$304,0)),""))</f>
        <v/>
      </c>
      <c r="I605" s="39" t="str">
        <f t="shared" si="46"/>
        <v/>
      </c>
      <c r="J605" s="46" t="str">
        <f t="shared" si="47"/>
        <v/>
      </c>
      <c r="K605" s="46" t="str">
        <f t="shared" si="48"/>
        <v/>
      </c>
      <c r="L605" s="46" t="str">
        <f t="shared" si="49"/>
        <v/>
      </c>
      <c r="M605" s="35" t="str">
        <f>IF(B605="","",IF(E605="KXDDM","KXDDM – không ĐM",IF(E605&lt;&gt;"","Không KT ("&amp;E605&amp;")",IF(OR(K605="",L605=""),"Xem xét",IF(MAX(ABS(K605),ABS(L605))&lt;=ThongTin!$C$12,"OK","Xem xét")))))</f>
        <v/>
      </c>
    </row>
    <row r="606" spans="1:13" x14ac:dyDescent="0.25">
      <c r="A606" s="35" t="str">
        <f t="shared" si="45"/>
        <v/>
      </c>
      <c r="B606" s="35" t="str">
        <f>IF(BOM!A606="","",BOM!A606)</f>
        <v/>
      </c>
      <c r="C606" s="35" t="str">
        <f>IF(B606="","",BOM!B606)</f>
        <v/>
      </c>
      <c r="D606" s="35" t="str">
        <f>IF(B606="","",KT_DMTT_ChiTiet!E606)</f>
        <v/>
      </c>
      <c r="E606" s="36" t="str">
        <f>IF(B606="","",BOM!G606&amp;"")</f>
        <v/>
      </c>
      <c r="F606" s="39" t="str">
        <f>IF(B606="","",BOM!E606)</f>
        <v/>
      </c>
      <c r="G606" s="39" t="str">
        <f>IF(OR(B606="",E606="KXDDM"),"",BOM!F606)</f>
        <v/>
      </c>
      <c r="H606" s="39" t="str">
        <f>IF(OR(B606="",E606&lt;&gt;""),"",IFERROR(INDEX(KT_nguoc_theo_NL!$J$5:$J$304,MATCH(C606,KT_nguoc_theo_NL!$B$5:$B$304,0))/INDEX(KT_nguoc_theo_NL!$K$5:$K$304,MATCH(C606,KT_nguoc_theo_NL!$B$5:$B$304,0)),""))</f>
        <v/>
      </c>
      <c r="I606" s="39" t="str">
        <f t="shared" si="46"/>
        <v/>
      </c>
      <c r="J606" s="46" t="str">
        <f t="shared" si="47"/>
        <v/>
      </c>
      <c r="K606" s="46" t="str">
        <f t="shared" si="48"/>
        <v/>
      </c>
      <c r="L606" s="46" t="str">
        <f t="shared" si="49"/>
        <v/>
      </c>
      <c r="M606" s="35" t="str">
        <f>IF(B606="","",IF(E606="KXDDM","KXDDM – không ĐM",IF(E606&lt;&gt;"","Không KT ("&amp;E606&amp;")",IF(OR(K606="",L606=""),"Xem xét",IF(MAX(ABS(K606),ABS(L606))&lt;=ThongTin!$C$12,"OK","Xem xét")))))</f>
        <v/>
      </c>
    </row>
    <row r="607" spans="1:13" x14ac:dyDescent="0.25">
      <c r="A607" s="35" t="str">
        <f t="shared" si="45"/>
        <v/>
      </c>
      <c r="B607" s="35" t="str">
        <f>IF(BOM!A607="","",BOM!A607)</f>
        <v/>
      </c>
      <c r="C607" s="35" t="str">
        <f>IF(B607="","",BOM!B607)</f>
        <v/>
      </c>
      <c r="D607" s="35" t="str">
        <f>IF(B607="","",KT_DMTT_ChiTiet!E607)</f>
        <v/>
      </c>
      <c r="E607" s="36" t="str">
        <f>IF(B607="","",BOM!G607&amp;"")</f>
        <v/>
      </c>
      <c r="F607" s="39" t="str">
        <f>IF(B607="","",BOM!E607)</f>
        <v/>
      </c>
      <c r="G607" s="39" t="str">
        <f>IF(OR(B607="",E607="KXDDM"),"",BOM!F607)</f>
        <v/>
      </c>
      <c r="H607" s="39" t="str">
        <f>IF(OR(B607="",E607&lt;&gt;""),"",IFERROR(INDEX(KT_nguoc_theo_NL!$J$5:$J$304,MATCH(C607,KT_nguoc_theo_NL!$B$5:$B$304,0))/INDEX(KT_nguoc_theo_NL!$K$5:$K$304,MATCH(C607,KT_nguoc_theo_NL!$B$5:$B$304,0)),""))</f>
        <v/>
      </c>
      <c r="I607" s="39" t="str">
        <f t="shared" si="46"/>
        <v/>
      </c>
      <c r="J607" s="46" t="str">
        <f t="shared" si="47"/>
        <v/>
      </c>
      <c r="K607" s="46" t="str">
        <f t="shared" si="48"/>
        <v/>
      </c>
      <c r="L607" s="46" t="str">
        <f t="shared" si="49"/>
        <v/>
      </c>
      <c r="M607" s="35" t="str">
        <f>IF(B607="","",IF(E607="KXDDM","KXDDM – không ĐM",IF(E607&lt;&gt;"","Không KT ("&amp;E607&amp;")",IF(OR(K607="",L607=""),"Xem xét",IF(MAX(ABS(K607),ABS(L607))&lt;=ThongTin!$C$12,"OK","Xem xét")))))</f>
        <v/>
      </c>
    </row>
    <row r="608" spans="1:13" x14ac:dyDescent="0.25">
      <c r="A608" s="35" t="str">
        <f t="shared" si="45"/>
        <v/>
      </c>
      <c r="B608" s="35" t="str">
        <f>IF(BOM!A608="","",BOM!A608)</f>
        <v/>
      </c>
      <c r="C608" s="35" t="str">
        <f>IF(B608="","",BOM!B608)</f>
        <v/>
      </c>
      <c r="D608" s="35" t="str">
        <f>IF(B608="","",KT_DMTT_ChiTiet!E608)</f>
        <v/>
      </c>
      <c r="E608" s="36" t="str">
        <f>IF(B608="","",BOM!G608&amp;"")</f>
        <v/>
      </c>
      <c r="F608" s="39" t="str">
        <f>IF(B608="","",BOM!E608)</f>
        <v/>
      </c>
      <c r="G608" s="39" t="str">
        <f>IF(OR(B608="",E608="KXDDM"),"",BOM!F608)</f>
        <v/>
      </c>
      <c r="H608" s="39" t="str">
        <f>IF(OR(B608="",E608&lt;&gt;""),"",IFERROR(INDEX(KT_nguoc_theo_NL!$J$5:$J$304,MATCH(C608,KT_nguoc_theo_NL!$B$5:$B$304,0))/INDEX(KT_nguoc_theo_NL!$K$5:$K$304,MATCH(C608,KT_nguoc_theo_NL!$B$5:$B$304,0)),""))</f>
        <v/>
      </c>
      <c r="I608" s="39" t="str">
        <f t="shared" si="46"/>
        <v/>
      </c>
      <c r="J608" s="46" t="str">
        <f t="shared" si="47"/>
        <v/>
      </c>
      <c r="K608" s="46" t="str">
        <f t="shared" si="48"/>
        <v/>
      </c>
      <c r="L608" s="46" t="str">
        <f t="shared" si="49"/>
        <v/>
      </c>
      <c r="M608" s="35" t="str">
        <f>IF(B608="","",IF(E608="KXDDM","KXDDM – không ĐM",IF(E608&lt;&gt;"","Không KT ("&amp;E608&amp;")",IF(OR(K608="",L608=""),"Xem xét",IF(MAX(ABS(K608),ABS(L608))&lt;=ThongTin!$C$12,"OK","Xem xét")))))</f>
        <v/>
      </c>
    </row>
    <row r="609" spans="1:13" x14ac:dyDescent="0.25">
      <c r="A609" s="35" t="str">
        <f t="shared" si="45"/>
        <v/>
      </c>
      <c r="B609" s="35" t="str">
        <f>IF(BOM!A609="","",BOM!A609)</f>
        <v/>
      </c>
      <c r="C609" s="35" t="str">
        <f>IF(B609="","",BOM!B609)</f>
        <v/>
      </c>
      <c r="D609" s="35" t="str">
        <f>IF(B609="","",KT_DMTT_ChiTiet!E609)</f>
        <v/>
      </c>
      <c r="E609" s="36" t="str">
        <f>IF(B609="","",BOM!G609&amp;"")</f>
        <v/>
      </c>
      <c r="F609" s="39" t="str">
        <f>IF(B609="","",BOM!E609)</f>
        <v/>
      </c>
      <c r="G609" s="39" t="str">
        <f>IF(OR(B609="",E609="KXDDM"),"",BOM!F609)</f>
        <v/>
      </c>
      <c r="H609" s="39" t="str">
        <f>IF(OR(B609="",E609&lt;&gt;""),"",IFERROR(INDEX(KT_nguoc_theo_NL!$J$5:$J$304,MATCH(C609,KT_nguoc_theo_NL!$B$5:$B$304,0))/INDEX(KT_nguoc_theo_NL!$K$5:$K$304,MATCH(C609,KT_nguoc_theo_NL!$B$5:$B$304,0)),""))</f>
        <v/>
      </c>
      <c r="I609" s="39" t="str">
        <f t="shared" si="46"/>
        <v/>
      </c>
      <c r="J609" s="46" t="str">
        <f t="shared" si="47"/>
        <v/>
      </c>
      <c r="K609" s="46" t="str">
        <f t="shared" si="48"/>
        <v/>
      </c>
      <c r="L609" s="46" t="str">
        <f t="shared" si="49"/>
        <v/>
      </c>
      <c r="M609" s="35" t="str">
        <f>IF(B609="","",IF(E609="KXDDM","KXDDM – không ĐM",IF(E609&lt;&gt;"","Không KT ("&amp;E609&amp;")",IF(OR(K609="",L609=""),"Xem xét",IF(MAX(ABS(K609),ABS(L609))&lt;=ThongTin!$C$12,"OK","Xem xét")))))</f>
        <v/>
      </c>
    </row>
    <row r="610" spans="1:13" x14ac:dyDescent="0.25">
      <c r="A610" s="35" t="str">
        <f t="shared" si="45"/>
        <v/>
      </c>
      <c r="B610" s="35" t="str">
        <f>IF(BOM!A610="","",BOM!A610)</f>
        <v/>
      </c>
      <c r="C610" s="35" t="str">
        <f>IF(B610="","",BOM!B610)</f>
        <v/>
      </c>
      <c r="D610" s="35" t="str">
        <f>IF(B610="","",KT_DMTT_ChiTiet!E610)</f>
        <v/>
      </c>
      <c r="E610" s="36" t="str">
        <f>IF(B610="","",BOM!G610&amp;"")</f>
        <v/>
      </c>
      <c r="F610" s="39" t="str">
        <f>IF(B610="","",BOM!E610)</f>
        <v/>
      </c>
      <c r="G610" s="39" t="str">
        <f>IF(OR(B610="",E610="KXDDM"),"",BOM!F610)</f>
        <v/>
      </c>
      <c r="H610" s="39" t="str">
        <f>IF(OR(B610="",E610&lt;&gt;""),"",IFERROR(INDEX(KT_nguoc_theo_NL!$J$5:$J$304,MATCH(C610,KT_nguoc_theo_NL!$B$5:$B$304,0))/INDEX(KT_nguoc_theo_NL!$K$5:$K$304,MATCH(C610,KT_nguoc_theo_NL!$B$5:$B$304,0)),""))</f>
        <v/>
      </c>
      <c r="I610" s="39" t="str">
        <f t="shared" si="46"/>
        <v/>
      </c>
      <c r="J610" s="46" t="str">
        <f t="shared" si="47"/>
        <v/>
      </c>
      <c r="K610" s="46" t="str">
        <f t="shared" si="48"/>
        <v/>
      </c>
      <c r="L610" s="46" t="str">
        <f t="shared" si="49"/>
        <v/>
      </c>
      <c r="M610" s="35" t="str">
        <f>IF(B610="","",IF(E610="KXDDM","KXDDM – không ĐM",IF(E610&lt;&gt;"","Không KT ("&amp;E610&amp;")",IF(OR(K610="",L610=""),"Xem xét",IF(MAX(ABS(K610),ABS(L610))&lt;=ThongTin!$C$12,"OK","Xem xét")))))</f>
        <v/>
      </c>
    </row>
    <row r="611" spans="1:13" x14ac:dyDescent="0.25">
      <c r="A611" s="35" t="str">
        <f t="shared" si="45"/>
        <v/>
      </c>
      <c r="B611" s="35" t="str">
        <f>IF(BOM!A611="","",BOM!A611)</f>
        <v/>
      </c>
      <c r="C611" s="35" t="str">
        <f>IF(B611="","",BOM!B611)</f>
        <v/>
      </c>
      <c r="D611" s="35" t="str">
        <f>IF(B611="","",KT_DMTT_ChiTiet!E611)</f>
        <v/>
      </c>
      <c r="E611" s="36" t="str">
        <f>IF(B611="","",BOM!G611&amp;"")</f>
        <v/>
      </c>
      <c r="F611" s="39" t="str">
        <f>IF(B611="","",BOM!E611)</f>
        <v/>
      </c>
      <c r="G611" s="39" t="str">
        <f>IF(OR(B611="",E611="KXDDM"),"",BOM!F611)</f>
        <v/>
      </c>
      <c r="H611" s="39" t="str">
        <f>IF(OR(B611="",E611&lt;&gt;""),"",IFERROR(INDEX(KT_nguoc_theo_NL!$J$5:$J$304,MATCH(C611,KT_nguoc_theo_NL!$B$5:$B$304,0))/INDEX(KT_nguoc_theo_NL!$K$5:$K$304,MATCH(C611,KT_nguoc_theo_NL!$B$5:$B$304,0)),""))</f>
        <v/>
      </c>
      <c r="I611" s="39" t="str">
        <f t="shared" si="46"/>
        <v/>
      </c>
      <c r="J611" s="46" t="str">
        <f t="shared" si="47"/>
        <v/>
      </c>
      <c r="K611" s="46" t="str">
        <f t="shared" si="48"/>
        <v/>
      </c>
      <c r="L611" s="46" t="str">
        <f t="shared" si="49"/>
        <v/>
      </c>
      <c r="M611" s="35" t="str">
        <f>IF(B611="","",IF(E611="KXDDM","KXDDM – không ĐM",IF(E611&lt;&gt;"","Không KT ("&amp;E611&amp;")",IF(OR(K611="",L611=""),"Xem xét",IF(MAX(ABS(K611),ABS(L611))&lt;=ThongTin!$C$12,"OK","Xem xét")))))</f>
        <v/>
      </c>
    </row>
    <row r="612" spans="1:13" x14ac:dyDescent="0.25">
      <c r="A612" s="35" t="str">
        <f t="shared" si="45"/>
        <v/>
      </c>
      <c r="B612" s="35" t="str">
        <f>IF(BOM!A612="","",BOM!A612)</f>
        <v/>
      </c>
      <c r="C612" s="35" t="str">
        <f>IF(B612="","",BOM!B612)</f>
        <v/>
      </c>
      <c r="D612" s="35" t="str">
        <f>IF(B612="","",KT_DMTT_ChiTiet!E612)</f>
        <v/>
      </c>
      <c r="E612" s="36" t="str">
        <f>IF(B612="","",BOM!G612&amp;"")</f>
        <v/>
      </c>
      <c r="F612" s="39" t="str">
        <f>IF(B612="","",BOM!E612)</f>
        <v/>
      </c>
      <c r="G612" s="39" t="str">
        <f>IF(OR(B612="",E612="KXDDM"),"",BOM!F612)</f>
        <v/>
      </c>
      <c r="H612" s="39" t="str">
        <f>IF(OR(B612="",E612&lt;&gt;""),"",IFERROR(INDEX(KT_nguoc_theo_NL!$J$5:$J$304,MATCH(C612,KT_nguoc_theo_NL!$B$5:$B$304,0))/INDEX(KT_nguoc_theo_NL!$K$5:$K$304,MATCH(C612,KT_nguoc_theo_NL!$B$5:$B$304,0)),""))</f>
        <v/>
      </c>
      <c r="I612" s="39" t="str">
        <f t="shared" si="46"/>
        <v/>
      </c>
      <c r="J612" s="46" t="str">
        <f t="shared" si="47"/>
        <v/>
      </c>
      <c r="K612" s="46" t="str">
        <f t="shared" si="48"/>
        <v/>
      </c>
      <c r="L612" s="46" t="str">
        <f t="shared" si="49"/>
        <v/>
      </c>
      <c r="M612" s="35" t="str">
        <f>IF(B612="","",IF(E612="KXDDM","KXDDM – không ĐM",IF(E612&lt;&gt;"","Không KT ("&amp;E612&amp;")",IF(OR(K612="",L612=""),"Xem xét",IF(MAX(ABS(K612),ABS(L612))&lt;=ThongTin!$C$12,"OK","Xem xét")))))</f>
        <v/>
      </c>
    </row>
    <row r="613" spans="1:13" x14ac:dyDescent="0.25">
      <c r="A613" s="35" t="str">
        <f t="shared" si="45"/>
        <v/>
      </c>
      <c r="B613" s="35" t="str">
        <f>IF(BOM!A613="","",BOM!A613)</f>
        <v/>
      </c>
      <c r="C613" s="35" t="str">
        <f>IF(B613="","",BOM!B613)</f>
        <v/>
      </c>
      <c r="D613" s="35" t="str">
        <f>IF(B613="","",KT_DMTT_ChiTiet!E613)</f>
        <v/>
      </c>
      <c r="E613" s="36" t="str">
        <f>IF(B613="","",BOM!G613&amp;"")</f>
        <v/>
      </c>
      <c r="F613" s="39" t="str">
        <f>IF(B613="","",BOM!E613)</f>
        <v/>
      </c>
      <c r="G613" s="39" t="str">
        <f>IF(OR(B613="",E613="KXDDM"),"",BOM!F613)</f>
        <v/>
      </c>
      <c r="H613" s="39" t="str">
        <f>IF(OR(B613="",E613&lt;&gt;""),"",IFERROR(INDEX(KT_nguoc_theo_NL!$J$5:$J$304,MATCH(C613,KT_nguoc_theo_NL!$B$5:$B$304,0))/INDEX(KT_nguoc_theo_NL!$K$5:$K$304,MATCH(C613,KT_nguoc_theo_NL!$B$5:$B$304,0)),""))</f>
        <v/>
      </c>
      <c r="I613" s="39" t="str">
        <f t="shared" si="46"/>
        <v/>
      </c>
      <c r="J613" s="46" t="str">
        <f t="shared" si="47"/>
        <v/>
      </c>
      <c r="K613" s="46" t="str">
        <f t="shared" si="48"/>
        <v/>
      </c>
      <c r="L613" s="46" t="str">
        <f t="shared" si="49"/>
        <v/>
      </c>
      <c r="M613" s="35" t="str">
        <f>IF(B613="","",IF(E613="KXDDM","KXDDM – không ĐM",IF(E613&lt;&gt;"","Không KT ("&amp;E613&amp;")",IF(OR(K613="",L613=""),"Xem xét",IF(MAX(ABS(K613),ABS(L613))&lt;=ThongTin!$C$12,"OK","Xem xét")))))</f>
        <v/>
      </c>
    </row>
    <row r="614" spans="1:13" x14ac:dyDescent="0.25">
      <c r="A614" s="35" t="str">
        <f t="shared" si="45"/>
        <v/>
      </c>
      <c r="B614" s="35" t="str">
        <f>IF(BOM!A614="","",BOM!A614)</f>
        <v/>
      </c>
      <c r="C614" s="35" t="str">
        <f>IF(B614="","",BOM!B614)</f>
        <v/>
      </c>
      <c r="D614" s="35" t="str">
        <f>IF(B614="","",KT_DMTT_ChiTiet!E614)</f>
        <v/>
      </c>
      <c r="E614" s="36" t="str">
        <f>IF(B614="","",BOM!G614&amp;"")</f>
        <v/>
      </c>
      <c r="F614" s="39" t="str">
        <f>IF(B614="","",BOM!E614)</f>
        <v/>
      </c>
      <c r="G614" s="39" t="str">
        <f>IF(OR(B614="",E614="KXDDM"),"",BOM!F614)</f>
        <v/>
      </c>
      <c r="H614" s="39" t="str">
        <f>IF(OR(B614="",E614&lt;&gt;""),"",IFERROR(INDEX(KT_nguoc_theo_NL!$J$5:$J$304,MATCH(C614,KT_nguoc_theo_NL!$B$5:$B$304,0))/INDEX(KT_nguoc_theo_NL!$K$5:$K$304,MATCH(C614,KT_nguoc_theo_NL!$B$5:$B$304,0)),""))</f>
        <v/>
      </c>
      <c r="I614" s="39" t="str">
        <f t="shared" si="46"/>
        <v/>
      </c>
      <c r="J614" s="46" t="str">
        <f t="shared" si="47"/>
        <v/>
      </c>
      <c r="K614" s="46" t="str">
        <f t="shared" si="48"/>
        <v/>
      </c>
      <c r="L614" s="46" t="str">
        <f t="shared" si="49"/>
        <v/>
      </c>
      <c r="M614" s="35" t="str">
        <f>IF(B614="","",IF(E614="KXDDM","KXDDM – không ĐM",IF(E614&lt;&gt;"","Không KT ("&amp;E614&amp;")",IF(OR(K614="",L614=""),"Xem xét",IF(MAX(ABS(K614),ABS(L614))&lt;=ThongTin!$C$12,"OK","Xem xét")))))</f>
        <v/>
      </c>
    </row>
    <row r="615" spans="1:13" x14ac:dyDescent="0.25">
      <c r="A615" s="35" t="str">
        <f t="shared" si="45"/>
        <v/>
      </c>
      <c r="B615" s="35" t="str">
        <f>IF(BOM!A615="","",BOM!A615)</f>
        <v/>
      </c>
      <c r="C615" s="35" t="str">
        <f>IF(B615="","",BOM!B615)</f>
        <v/>
      </c>
      <c r="D615" s="35" t="str">
        <f>IF(B615="","",KT_DMTT_ChiTiet!E615)</f>
        <v/>
      </c>
      <c r="E615" s="36" t="str">
        <f>IF(B615="","",BOM!G615&amp;"")</f>
        <v/>
      </c>
      <c r="F615" s="39" t="str">
        <f>IF(B615="","",BOM!E615)</f>
        <v/>
      </c>
      <c r="G615" s="39" t="str">
        <f>IF(OR(B615="",E615="KXDDM"),"",BOM!F615)</f>
        <v/>
      </c>
      <c r="H615" s="39" t="str">
        <f>IF(OR(B615="",E615&lt;&gt;""),"",IFERROR(INDEX(KT_nguoc_theo_NL!$J$5:$J$304,MATCH(C615,KT_nguoc_theo_NL!$B$5:$B$304,0))/INDEX(KT_nguoc_theo_NL!$K$5:$K$304,MATCH(C615,KT_nguoc_theo_NL!$B$5:$B$304,0)),""))</f>
        <v/>
      </c>
      <c r="I615" s="39" t="str">
        <f t="shared" si="46"/>
        <v/>
      </c>
      <c r="J615" s="46" t="str">
        <f t="shared" si="47"/>
        <v/>
      </c>
      <c r="K615" s="46" t="str">
        <f t="shared" si="48"/>
        <v/>
      </c>
      <c r="L615" s="46" t="str">
        <f t="shared" si="49"/>
        <v/>
      </c>
      <c r="M615" s="35" t="str">
        <f>IF(B615="","",IF(E615="KXDDM","KXDDM – không ĐM",IF(E615&lt;&gt;"","Không KT ("&amp;E615&amp;")",IF(OR(K615="",L615=""),"Xem xét",IF(MAX(ABS(K615),ABS(L615))&lt;=ThongTin!$C$12,"OK","Xem xét")))))</f>
        <v/>
      </c>
    </row>
    <row r="616" spans="1:13" x14ac:dyDescent="0.25">
      <c r="A616" s="35" t="str">
        <f t="shared" si="45"/>
        <v/>
      </c>
      <c r="B616" s="35" t="str">
        <f>IF(BOM!A616="","",BOM!A616)</f>
        <v/>
      </c>
      <c r="C616" s="35" t="str">
        <f>IF(B616="","",BOM!B616)</f>
        <v/>
      </c>
      <c r="D616" s="35" t="str">
        <f>IF(B616="","",KT_DMTT_ChiTiet!E616)</f>
        <v/>
      </c>
      <c r="E616" s="36" t="str">
        <f>IF(B616="","",BOM!G616&amp;"")</f>
        <v/>
      </c>
      <c r="F616" s="39" t="str">
        <f>IF(B616="","",BOM!E616)</f>
        <v/>
      </c>
      <c r="G616" s="39" t="str">
        <f>IF(OR(B616="",E616="KXDDM"),"",BOM!F616)</f>
        <v/>
      </c>
      <c r="H616" s="39" t="str">
        <f>IF(OR(B616="",E616&lt;&gt;""),"",IFERROR(INDEX(KT_nguoc_theo_NL!$J$5:$J$304,MATCH(C616,KT_nguoc_theo_NL!$B$5:$B$304,0))/INDEX(KT_nguoc_theo_NL!$K$5:$K$304,MATCH(C616,KT_nguoc_theo_NL!$B$5:$B$304,0)),""))</f>
        <v/>
      </c>
      <c r="I616" s="39" t="str">
        <f t="shared" si="46"/>
        <v/>
      </c>
      <c r="J616" s="46" t="str">
        <f t="shared" si="47"/>
        <v/>
      </c>
      <c r="K616" s="46" t="str">
        <f t="shared" si="48"/>
        <v/>
      </c>
      <c r="L616" s="46" t="str">
        <f t="shared" si="49"/>
        <v/>
      </c>
      <c r="M616" s="35" t="str">
        <f>IF(B616="","",IF(E616="KXDDM","KXDDM – không ĐM",IF(E616&lt;&gt;"","Không KT ("&amp;E616&amp;")",IF(OR(K616="",L616=""),"Xem xét",IF(MAX(ABS(K616),ABS(L616))&lt;=ThongTin!$C$12,"OK","Xem xét")))))</f>
        <v/>
      </c>
    </row>
    <row r="617" spans="1:13" x14ac:dyDescent="0.25">
      <c r="A617" s="35" t="str">
        <f t="shared" si="45"/>
        <v/>
      </c>
      <c r="B617" s="35" t="str">
        <f>IF(BOM!A617="","",BOM!A617)</f>
        <v/>
      </c>
      <c r="C617" s="35" t="str">
        <f>IF(B617="","",BOM!B617)</f>
        <v/>
      </c>
      <c r="D617" s="35" t="str">
        <f>IF(B617="","",KT_DMTT_ChiTiet!E617)</f>
        <v/>
      </c>
      <c r="E617" s="36" t="str">
        <f>IF(B617="","",BOM!G617&amp;"")</f>
        <v/>
      </c>
      <c r="F617" s="39" t="str">
        <f>IF(B617="","",BOM!E617)</f>
        <v/>
      </c>
      <c r="G617" s="39" t="str">
        <f>IF(OR(B617="",E617="KXDDM"),"",BOM!F617)</f>
        <v/>
      </c>
      <c r="H617" s="39" t="str">
        <f>IF(OR(B617="",E617&lt;&gt;""),"",IFERROR(INDEX(KT_nguoc_theo_NL!$J$5:$J$304,MATCH(C617,KT_nguoc_theo_NL!$B$5:$B$304,0))/INDEX(KT_nguoc_theo_NL!$K$5:$K$304,MATCH(C617,KT_nguoc_theo_NL!$B$5:$B$304,0)),""))</f>
        <v/>
      </c>
      <c r="I617" s="39" t="str">
        <f t="shared" si="46"/>
        <v/>
      </c>
      <c r="J617" s="46" t="str">
        <f t="shared" si="47"/>
        <v/>
      </c>
      <c r="K617" s="46" t="str">
        <f t="shared" si="48"/>
        <v/>
      </c>
      <c r="L617" s="46" t="str">
        <f t="shared" si="49"/>
        <v/>
      </c>
      <c r="M617" s="35" t="str">
        <f>IF(B617="","",IF(E617="KXDDM","KXDDM – không ĐM",IF(E617&lt;&gt;"","Không KT ("&amp;E617&amp;")",IF(OR(K617="",L617=""),"Xem xét",IF(MAX(ABS(K617),ABS(L617))&lt;=ThongTin!$C$12,"OK","Xem xét")))))</f>
        <v/>
      </c>
    </row>
    <row r="618" spans="1:13" x14ac:dyDescent="0.25">
      <c r="A618" s="35" t="str">
        <f t="shared" si="45"/>
        <v/>
      </c>
      <c r="B618" s="35" t="str">
        <f>IF(BOM!A618="","",BOM!A618)</f>
        <v/>
      </c>
      <c r="C618" s="35" t="str">
        <f>IF(B618="","",BOM!B618)</f>
        <v/>
      </c>
      <c r="D618" s="35" t="str">
        <f>IF(B618="","",KT_DMTT_ChiTiet!E618)</f>
        <v/>
      </c>
      <c r="E618" s="36" t="str">
        <f>IF(B618="","",BOM!G618&amp;"")</f>
        <v/>
      </c>
      <c r="F618" s="39" t="str">
        <f>IF(B618="","",BOM!E618)</f>
        <v/>
      </c>
      <c r="G618" s="39" t="str">
        <f>IF(OR(B618="",E618="KXDDM"),"",BOM!F618)</f>
        <v/>
      </c>
      <c r="H618" s="39" t="str">
        <f>IF(OR(B618="",E618&lt;&gt;""),"",IFERROR(INDEX(KT_nguoc_theo_NL!$J$5:$J$304,MATCH(C618,KT_nguoc_theo_NL!$B$5:$B$304,0))/INDEX(KT_nguoc_theo_NL!$K$5:$K$304,MATCH(C618,KT_nguoc_theo_NL!$B$5:$B$304,0)),""))</f>
        <v/>
      </c>
      <c r="I618" s="39" t="str">
        <f t="shared" si="46"/>
        <v/>
      </c>
      <c r="J618" s="46" t="str">
        <f t="shared" si="47"/>
        <v/>
      </c>
      <c r="K618" s="46" t="str">
        <f t="shared" si="48"/>
        <v/>
      </c>
      <c r="L618" s="46" t="str">
        <f t="shared" si="49"/>
        <v/>
      </c>
      <c r="M618" s="35" t="str">
        <f>IF(B618="","",IF(E618="KXDDM","KXDDM – không ĐM",IF(E618&lt;&gt;"","Không KT ("&amp;E618&amp;")",IF(OR(K618="",L618=""),"Xem xét",IF(MAX(ABS(K618),ABS(L618))&lt;=ThongTin!$C$12,"OK","Xem xét")))))</f>
        <v/>
      </c>
    </row>
    <row r="619" spans="1:13" x14ac:dyDescent="0.25">
      <c r="A619" s="35" t="str">
        <f t="shared" si="45"/>
        <v/>
      </c>
      <c r="B619" s="35" t="str">
        <f>IF(BOM!A619="","",BOM!A619)</f>
        <v/>
      </c>
      <c r="C619" s="35" t="str">
        <f>IF(B619="","",BOM!B619)</f>
        <v/>
      </c>
      <c r="D619" s="35" t="str">
        <f>IF(B619="","",KT_DMTT_ChiTiet!E619)</f>
        <v/>
      </c>
      <c r="E619" s="36" t="str">
        <f>IF(B619="","",BOM!G619&amp;"")</f>
        <v/>
      </c>
      <c r="F619" s="39" t="str">
        <f>IF(B619="","",BOM!E619)</f>
        <v/>
      </c>
      <c r="G619" s="39" t="str">
        <f>IF(OR(B619="",E619="KXDDM"),"",BOM!F619)</f>
        <v/>
      </c>
      <c r="H619" s="39" t="str">
        <f>IF(OR(B619="",E619&lt;&gt;""),"",IFERROR(INDEX(KT_nguoc_theo_NL!$J$5:$J$304,MATCH(C619,KT_nguoc_theo_NL!$B$5:$B$304,0))/INDEX(KT_nguoc_theo_NL!$K$5:$K$304,MATCH(C619,KT_nguoc_theo_NL!$B$5:$B$304,0)),""))</f>
        <v/>
      </c>
      <c r="I619" s="39" t="str">
        <f t="shared" si="46"/>
        <v/>
      </c>
      <c r="J619" s="46" t="str">
        <f t="shared" si="47"/>
        <v/>
      </c>
      <c r="K619" s="46" t="str">
        <f t="shared" si="48"/>
        <v/>
      </c>
      <c r="L619" s="46" t="str">
        <f t="shared" si="49"/>
        <v/>
      </c>
      <c r="M619" s="35" t="str">
        <f>IF(B619="","",IF(E619="KXDDM","KXDDM – không ĐM",IF(E619&lt;&gt;"","Không KT ("&amp;E619&amp;")",IF(OR(K619="",L619=""),"Xem xét",IF(MAX(ABS(K619),ABS(L619))&lt;=ThongTin!$C$12,"OK","Xem xét")))))</f>
        <v/>
      </c>
    </row>
    <row r="620" spans="1:13" x14ac:dyDescent="0.25">
      <c r="A620" s="35" t="str">
        <f t="shared" si="45"/>
        <v/>
      </c>
      <c r="B620" s="35" t="str">
        <f>IF(BOM!A620="","",BOM!A620)</f>
        <v/>
      </c>
      <c r="C620" s="35" t="str">
        <f>IF(B620="","",BOM!B620)</f>
        <v/>
      </c>
      <c r="D620" s="35" t="str">
        <f>IF(B620="","",KT_DMTT_ChiTiet!E620)</f>
        <v/>
      </c>
      <c r="E620" s="36" t="str">
        <f>IF(B620="","",BOM!G620&amp;"")</f>
        <v/>
      </c>
      <c r="F620" s="39" t="str">
        <f>IF(B620="","",BOM!E620)</f>
        <v/>
      </c>
      <c r="G620" s="39" t="str">
        <f>IF(OR(B620="",E620="KXDDM"),"",BOM!F620)</f>
        <v/>
      </c>
      <c r="H620" s="39" t="str">
        <f>IF(OR(B620="",E620&lt;&gt;""),"",IFERROR(INDEX(KT_nguoc_theo_NL!$J$5:$J$304,MATCH(C620,KT_nguoc_theo_NL!$B$5:$B$304,0))/INDEX(KT_nguoc_theo_NL!$K$5:$K$304,MATCH(C620,KT_nguoc_theo_NL!$B$5:$B$304,0)),""))</f>
        <v/>
      </c>
      <c r="I620" s="39" t="str">
        <f t="shared" si="46"/>
        <v/>
      </c>
      <c r="J620" s="46" t="str">
        <f t="shared" si="47"/>
        <v/>
      </c>
      <c r="K620" s="46" t="str">
        <f t="shared" si="48"/>
        <v/>
      </c>
      <c r="L620" s="46" t="str">
        <f t="shared" si="49"/>
        <v/>
      </c>
      <c r="M620" s="35" t="str">
        <f>IF(B620="","",IF(E620="KXDDM","KXDDM – không ĐM",IF(E620&lt;&gt;"","Không KT ("&amp;E620&amp;")",IF(OR(K620="",L620=""),"Xem xét",IF(MAX(ABS(K620),ABS(L620))&lt;=ThongTin!$C$12,"OK","Xem xét")))))</f>
        <v/>
      </c>
    </row>
    <row r="621" spans="1:13" x14ac:dyDescent="0.25">
      <c r="A621" s="35" t="str">
        <f t="shared" si="45"/>
        <v/>
      </c>
      <c r="B621" s="35" t="str">
        <f>IF(BOM!A621="","",BOM!A621)</f>
        <v/>
      </c>
      <c r="C621" s="35" t="str">
        <f>IF(B621="","",BOM!B621)</f>
        <v/>
      </c>
      <c r="D621" s="35" t="str">
        <f>IF(B621="","",KT_DMTT_ChiTiet!E621)</f>
        <v/>
      </c>
      <c r="E621" s="36" t="str">
        <f>IF(B621="","",BOM!G621&amp;"")</f>
        <v/>
      </c>
      <c r="F621" s="39" t="str">
        <f>IF(B621="","",BOM!E621)</f>
        <v/>
      </c>
      <c r="G621" s="39" t="str">
        <f>IF(OR(B621="",E621="KXDDM"),"",BOM!F621)</f>
        <v/>
      </c>
      <c r="H621" s="39" t="str">
        <f>IF(OR(B621="",E621&lt;&gt;""),"",IFERROR(INDEX(KT_nguoc_theo_NL!$J$5:$J$304,MATCH(C621,KT_nguoc_theo_NL!$B$5:$B$304,0))/INDEX(KT_nguoc_theo_NL!$K$5:$K$304,MATCH(C621,KT_nguoc_theo_NL!$B$5:$B$304,0)),""))</f>
        <v/>
      </c>
      <c r="I621" s="39" t="str">
        <f t="shared" si="46"/>
        <v/>
      </c>
      <c r="J621" s="46" t="str">
        <f t="shared" si="47"/>
        <v/>
      </c>
      <c r="K621" s="46" t="str">
        <f t="shared" si="48"/>
        <v/>
      </c>
      <c r="L621" s="46" t="str">
        <f t="shared" si="49"/>
        <v/>
      </c>
      <c r="M621" s="35" t="str">
        <f>IF(B621="","",IF(E621="KXDDM","KXDDM – không ĐM",IF(E621&lt;&gt;"","Không KT ("&amp;E621&amp;")",IF(OR(K621="",L621=""),"Xem xét",IF(MAX(ABS(K621),ABS(L621))&lt;=ThongTin!$C$12,"OK","Xem xét")))))</f>
        <v/>
      </c>
    </row>
    <row r="622" spans="1:13" x14ac:dyDescent="0.25">
      <c r="A622" s="35" t="str">
        <f t="shared" si="45"/>
        <v/>
      </c>
      <c r="B622" s="35" t="str">
        <f>IF(BOM!A622="","",BOM!A622)</f>
        <v/>
      </c>
      <c r="C622" s="35" t="str">
        <f>IF(B622="","",BOM!B622)</f>
        <v/>
      </c>
      <c r="D622" s="35" t="str">
        <f>IF(B622="","",KT_DMTT_ChiTiet!E622)</f>
        <v/>
      </c>
      <c r="E622" s="36" t="str">
        <f>IF(B622="","",BOM!G622&amp;"")</f>
        <v/>
      </c>
      <c r="F622" s="39" t="str">
        <f>IF(B622="","",BOM!E622)</f>
        <v/>
      </c>
      <c r="G622" s="39" t="str">
        <f>IF(OR(B622="",E622="KXDDM"),"",BOM!F622)</f>
        <v/>
      </c>
      <c r="H622" s="39" t="str">
        <f>IF(OR(B622="",E622&lt;&gt;""),"",IFERROR(INDEX(KT_nguoc_theo_NL!$J$5:$J$304,MATCH(C622,KT_nguoc_theo_NL!$B$5:$B$304,0))/INDEX(KT_nguoc_theo_NL!$K$5:$K$304,MATCH(C622,KT_nguoc_theo_NL!$B$5:$B$304,0)),""))</f>
        <v/>
      </c>
      <c r="I622" s="39" t="str">
        <f t="shared" si="46"/>
        <v/>
      </c>
      <c r="J622" s="46" t="str">
        <f t="shared" si="47"/>
        <v/>
      </c>
      <c r="K622" s="46" t="str">
        <f t="shared" si="48"/>
        <v/>
      </c>
      <c r="L622" s="46" t="str">
        <f t="shared" si="49"/>
        <v/>
      </c>
      <c r="M622" s="35" t="str">
        <f>IF(B622="","",IF(E622="KXDDM","KXDDM – không ĐM",IF(E622&lt;&gt;"","Không KT ("&amp;E622&amp;")",IF(OR(K622="",L622=""),"Xem xét",IF(MAX(ABS(K622),ABS(L622))&lt;=ThongTin!$C$12,"OK","Xem xét")))))</f>
        <v/>
      </c>
    </row>
    <row r="623" spans="1:13" x14ac:dyDescent="0.25">
      <c r="A623" s="35" t="str">
        <f t="shared" si="45"/>
        <v/>
      </c>
      <c r="B623" s="35" t="str">
        <f>IF(BOM!A623="","",BOM!A623)</f>
        <v/>
      </c>
      <c r="C623" s="35" t="str">
        <f>IF(B623="","",BOM!B623)</f>
        <v/>
      </c>
      <c r="D623" s="35" t="str">
        <f>IF(B623="","",KT_DMTT_ChiTiet!E623)</f>
        <v/>
      </c>
      <c r="E623" s="36" t="str">
        <f>IF(B623="","",BOM!G623&amp;"")</f>
        <v/>
      </c>
      <c r="F623" s="39" t="str">
        <f>IF(B623="","",BOM!E623)</f>
        <v/>
      </c>
      <c r="G623" s="39" t="str">
        <f>IF(OR(B623="",E623="KXDDM"),"",BOM!F623)</f>
        <v/>
      </c>
      <c r="H623" s="39" t="str">
        <f>IF(OR(B623="",E623&lt;&gt;""),"",IFERROR(INDEX(KT_nguoc_theo_NL!$J$5:$J$304,MATCH(C623,KT_nguoc_theo_NL!$B$5:$B$304,0))/INDEX(KT_nguoc_theo_NL!$K$5:$K$304,MATCH(C623,KT_nguoc_theo_NL!$B$5:$B$304,0)),""))</f>
        <v/>
      </c>
      <c r="I623" s="39" t="str">
        <f t="shared" si="46"/>
        <v/>
      </c>
      <c r="J623" s="46" t="str">
        <f t="shared" si="47"/>
        <v/>
      </c>
      <c r="K623" s="46" t="str">
        <f t="shared" si="48"/>
        <v/>
      </c>
      <c r="L623" s="46" t="str">
        <f t="shared" si="49"/>
        <v/>
      </c>
      <c r="M623" s="35" t="str">
        <f>IF(B623="","",IF(E623="KXDDM","KXDDM – không ĐM",IF(E623&lt;&gt;"","Không KT ("&amp;E623&amp;")",IF(OR(K623="",L623=""),"Xem xét",IF(MAX(ABS(K623),ABS(L623))&lt;=ThongTin!$C$12,"OK","Xem xét")))))</f>
        <v/>
      </c>
    </row>
    <row r="624" spans="1:13" x14ac:dyDescent="0.25">
      <c r="A624" s="35" t="str">
        <f t="shared" si="45"/>
        <v/>
      </c>
      <c r="B624" s="35" t="str">
        <f>IF(BOM!A624="","",BOM!A624)</f>
        <v/>
      </c>
      <c r="C624" s="35" t="str">
        <f>IF(B624="","",BOM!B624)</f>
        <v/>
      </c>
      <c r="D624" s="35" t="str">
        <f>IF(B624="","",KT_DMTT_ChiTiet!E624)</f>
        <v/>
      </c>
      <c r="E624" s="36" t="str">
        <f>IF(B624="","",BOM!G624&amp;"")</f>
        <v/>
      </c>
      <c r="F624" s="39" t="str">
        <f>IF(B624="","",BOM!E624)</f>
        <v/>
      </c>
      <c r="G624" s="39" t="str">
        <f>IF(OR(B624="",E624="KXDDM"),"",BOM!F624)</f>
        <v/>
      </c>
      <c r="H624" s="39" t="str">
        <f>IF(OR(B624="",E624&lt;&gt;""),"",IFERROR(INDEX(KT_nguoc_theo_NL!$J$5:$J$304,MATCH(C624,KT_nguoc_theo_NL!$B$5:$B$304,0))/INDEX(KT_nguoc_theo_NL!$K$5:$K$304,MATCH(C624,KT_nguoc_theo_NL!$B$5:$B$304,0)),""))</f>
        <v/>
      </c>
      <c r="I624" s="39" t="str">
        <f t="shared" si="46"/>
        <v/>
      </c>
      <c r="J624" s="46" t="str">
        <f t="shared" si="47"/>
        <v/>
      </c>
      <c r="K624" s="46" t="str">
        <f t="shared" si="48"/>
        <v/>
      </c>
      <c r="L624" s="46" t="str">
        <f t="shared" si="49"/>
        <v/>
      </c>
      <c r="M624" s="35" t="str">
        <f>IF(B624="","",IF(E624="KXDDM","KXDDM – không ĐM",IF(E624&lt;&gt;"","Không KT ("&amp;E624&amp;")",IF(OR(K624="",L624=""),"Xem xét",IF(MAX(ABS(K624),ABS(L624))&lt;=ThongTin!$C$12,"OK","Xem xét")))))</f>
        <v/>
      </c>
    </row>
    <row r="625" spans="1:13" x14ac:dyDescent="0.25">
      <c r="A625" s="35" t="str">
        <f t="shared" si="45"/>
        <v/>
      </c>
      <c r="B625" s="35" t="str">
        <f>IF(BOM!A625="","",BOM!A625)</f>
        <v/>
      </c>
      <c r="C625" s="35" t="str">
        <f>IF(B625="","",BOM!B625)</f>
        <v/>
      </c>
      <c r="D625" s="35" t="str">
        <f>IF(B625="","",KT_DMTT_ChiTiet!E625)</f>
        <v/>
      </c>
      <c r="E625" s="36" t="str">
        <f>IF(B625="","",BOM!G625&amp;"")</f>
        <v/>
      </c>
      <c r="F625" s="39" t="str">
        <f>IF(B625="","",BOM!E625)</f>
        <v/>
      </c>
      <c r="G625" s="39" t="str">
        <f>IF(OR(B625="",E625="KXDDM"),"",BOM!F625)</f>
        <v/>
      </c>
      <c r="H625" s="39" t="str">
        <f>IF(OR(B625="",E625&lt;&gt;""),"",IFERROR(INDEX(KT_nguoc_theo_NL!$J$5:$J$304,MATCH(C625,KT_nguoc_theo_NL!$B$5:$B$304,0))/INDEX(KT_nguoc_theo_NL!$K$5:$K$304,MATCH(C625,KT_nguoc_theo_NL!$B$5:$B$304,0)),""))</f>
        <v/>
      </c>
      <c r="I625" s="39" t="str">
        <f t="shared" si="46"/>
        <v/>
      </c>
      <c r="J625" s="46" t="str">
        <f t="shared" si="47"/>
        <v/>
      </c>
      <c r="K625" s="46" t="str">
        <f t="shared" si="48"/>
        <v/>
      </c>
      <c r="L625" s="46" t="str">
        <f t="shared" si="49"/>
        <v/>
      </c>
      <c r="M625" s="35" t="str">
        <f>IF(B625="","",IF(E625="KXDDM","KXDDM – không ĐM",IF(E625&lt;&gt;"","Không KT ("&amp;E625&amp;")",IF(OR(K625="",L625=""),"Xem xét",IF(MAX(ABS(K625),ABS(L625))&lt;=ThongTin!$C$12,"OK","Xem xét")))))</f>
        <v/>
      </c>
    </row>
    <row r="626" spans="1:13" x14ac:dyDescent="0.25">
      <c r="A626" s="35" t="str">
        <f t="shared" si="45"/>
        <v/>
      </c>
      <c r="B626" s="35" t="str">
        <f>IF(BOM!A626="","",BOM!A626)</f>
        <v/>
      </c>
      <c r="C626" s="35" t="str">
        <f>IF(B626="","",BOM!B626)</f>
        <v/>
      </c>
      <c r="D626" s="35" t="str">
        <f>IF(B626="","",KT_DMTT_ChiTiet!E626)</f>
        <v/>
      </c>
      <c r="E626" s="36" t="str">
        <f>IF(B626="","",BOM!G626&amp;"")</f>
        <v/>
      </c>
      <c r="F626" s="39" t="str">
        <f>IF(B626="","",BOM!E626)</f>
        <v/>
      </c>
      <c r="G626" s="39" t="str">
        <f>IF(OR(B626="",E626="KXDDM"),"",BOM!F626)</f>
        <v/>
      </c>
      <c r="H626" s="39" t="str">
        <f>IF(OR(B626="",E626&lt;&gt;""),"",IFERROR(INDEX(KT_nguoc_theo_NL!$J$5:$J$304,MATCH(C626,KT_nguoc_theo_NL!$B$5:$B$304,0))/INDEX(KT_nguoc_theo_NL!$K$5:$K$304,MATCH(C626,KT_nguoc_theo_NL!$B$5:$B$304,0)),""))</f>
        <v/>
      </c>
      <c r="I626" s="39" t="str">
        <f t="shared" si="46"/>
        <v/>
      </c>
      <c r="J626" s="46" t="str">
        <f t="shared" si="47"/>
        <v/>
      </c>
      <c r="K626" s="46" t="str">
        <f t="shared" si="48"/>
        <v/>
      </c>
      <c r="L626" s="46" t="str">
        <f t="shared" si="49"/>
        <v/>
      </c>
      <c r="M626" s="35" t="str">
        <f>IF(B626="","",IF(E626="KXDDM","KXDDM – không ĐM",IF(E626&lt;&gt;"","Không KT ("&amp;E626&amp;")",IF(OR(K626="",L626=""),"Xem xét",IF(MAX(ABS(K626),ABS(L626))&lt;=ThongTin!$C$12,"OK","Xem xét")))))</f>
        <v/>
      </c>
    </row>
    <row r="627" spans="1:13" x14ac:dyDescent="0.25">
      <c r="A627" s="35" t="str">
        <f t="shared" si="45"/>
        <v/>
      </c>
      <c r="B627" s="35" t="str">
        <f>IF(BOM!A627="","",BOM!A627)</f>
        <v/>
      </c>
      <c r="C627" s="35" t="str">
        <f>IF(B627="","",BOM!B627)</f>
        <v/>
      </c>
      <c r="D627" s="35" t="str">
        <f>IF(B627="","",KT_DMTT_ChiTiet!E627)</f>
        <v/>
      </c>
      <c r="E627" s="36" t="str">
        <f>IF(B627="","",BOM!G627&amp;"")</f>
        <v/>
      </c>
      <c r="F627" s="39" t="str">
        <f>IF(B627="","",BOM!E627)</f>
        <v/>
      </c>
      <c r="G627" s="39" t="str">
        <f>IF(OR(B627="",E627="KXDDM"),"",BOM!F627)</f>
        <v/>
      </c>
      <c r="H627" s="39" t="str">
        <f>IF(OR(B627="",E627&lt;&gt;""),"",IFERROR(INDEX(KT_nguoc_theo_NL!$J$5:$J$304,MATCH(C627,KT_nguoc_theo_NL!$B$5:$B$304,0))/INDEX(KT_nguoc_theo_NL!$K$5:$K$304,MATCH(C627,KT_nguoc_theo_NL!$B$5:$B$304,0)),""))</f>
        <v/>
      </c>
      <c r="I627" s="39" t="str">
        <f t="shared" si="46"/>
        <v/>
      </c>
      <c r="J627" s="46" t="str">
        <f t="shared" si="47"/>
        <v/>
      </c>
      <c r="K627" s="46" t="str">
        <f t="shared" si="48"/>
        <v/>
      </c>
      <c r="L627" s="46" t="str">
        <f t="shared" si="49"/>
        <v/>
      </c>
      <c r="M627" s="35" t="str">
        <f>IF(B627="","",IF(E627="KXDDM","KXDDM – không ĐM",IF(E627&lt;&gt;"","Không KT ("&amp;E627&amp;")",IF(OR(K627="",L627=""),"Xem xét",IF(MAX(ABS(K627),ABS(L627))&lt;=ThongTin!$C$12,"OK","Xem xét")))))</f>
        <v/>
      </c>
    </row>
    <row r="628" spans="1:13" x14ac:dyDescent="0.25">
      <c r="A628" s="35" t="str">
        <f t="shared" si="45"/>
        <v/>
      </c>
      <c r="B628" s="35" t="str">
        <f>IF(BOM!A628="","",BOM!A628)</f>
        <v/>
      </c>
      <c r="C628" s="35" t="str">
        <f>IF(B628="","",BOM!B628)</f>
        <v/>
      </c>
      <c r="D628" s="35" t="str">
        <f>IF(B628="","",KT_DMTT_ChiTiet!E628)</f>
        <v/>
      </c>
      <c r="E628" s="36" t="str">
        <f>IF(B628="","",BOM!G628&amp;"")</f>
        <v/>
      </c>
      <c r="F628" s="39" t="str">
        <f>IF(B628="","",BOM!E628)</f>
        <v/>
      </c>
      <c r="G628" s="39" t="str">
        <f>IF(OR(B628="",E628="KXDDM"),"",BOM!F628)</f>
        <v/>
      </c>
      <c r="H628" s="39" t="str">
        <f>IF(OR(B628="",E628&lt;&gt;""),"",IFERROR(INDEX(KT_nguoc_theo_NL!$J$5:$J$304,MATCH(C628,KT_nguoc_theo_NL!$B$5:$B$304,0))/INDEX(KT_nguoc_theo_NL!$K$5:$K$304,MATCH(C628,KT_nguoc_theo_NL!$B$5:$B$304,0)),""))</f>
        <v/>
      </c>
      <c r="I628" s="39" t="str">
        <f t="shared" si="46"/>
        <v/>
      </c>
      <c r="J628" s="46" t="str">
        <f t="shared" si="47"/>
        <v/>
      </c>
      <c r="K628" s="46" t="str">
        <f t="shared" si="48"/>
        <v/>
      </c>
      <c r="L628" s="46" t="str">
        <f t="shared" si="49"/>
        <v/>
      </c>
      <c r="M628" s="35" t="str">
        <f>IF(B628="","",IF(E628="KXDDM","KXDDM – không ĐM",IF(E628&lt;&gt;"","Không KT ("&amp;E628&amp;")",IF(OR(K628="",L628=""),"Xem xét",IF(MAX(ABS(K628),ABS(L628))&lt;=ThongTin!$C$12,"OK","Xem xét")))))</f>
        <v/>
      </c>
    </row>
    <row r="629" spans="1:13" x14ac:dyDescent="0.25">
      <c r="A629" s="35" t="str">
        <f t="shared" si="45"/>
        <v/>
      </c>
      <c r="B629" s="35" t="str">
        <f>IF(BOM!A629="","",BOM!A629)</f>
        <v/>
      </c>
      <c r="C629" s="35" t="str">
        <f>IF(B629="","",BOM!B629)</f>
        <v/>
      </c>
      <c r="D629" s="35" t="str">
        <f>IF(B629="","",KT_DMTT_ChiTiet!E629)</f>
        <v/>
      </c>
      <c r="E629" s="36" t="str">
        <f>IF(B629="","",BOM!G629&amp;"")</f>
        <v/>
      </c>
      <c r="F629" s="39" t="str">
        <f>IF(B629="","",BOM!E629)</f>
        <v/>
      </c>
      <c r="G629" s="39" t="str">
        <f>IF(OR(B629="",E629="KXDDM"),"",BOM!F629)</f>
        <v/>
      </c>
      <c r="H629" s="39" t="str">
        <f>IF(OR(B629="",E629&lt;&gt;""),"",IFERROR(INDEX(KT_nguoc_theo_NL!$J$5:$J$304,MATCH(C629,KT_nguoc_theo_NL!$B$5:$B$304,0))/INDEX(KT_nguoc_theo_NL!$K$5:$K$304,MATCH(C629,KT_nguoc_theo_NL!$B$5:$B$304,0)),""))</f>
        <v/>
      </c>
      <c r="I629" s="39" t="str">
        <f t="shared" si="46"/>
        <v/>
      </c>
      <c r="J629" s="46" t="str">
        <f t="shared" si="47"/>
        <v/>
      </c>
      <c r="K629" s="46" t="str">
        <f t="shared" si="48"/>
        <v/>
      </c>
      <c r="L629" s="46" t="str">
        <f t="shared" si="49"/>
        <v/>
      </c>
      <c r="M629" s="35" t="str">
        <f>IF(B629="","",IF(E629="KXDDM","KXDDM – không ĐM",IF(E629&lt;&gt;"","Không KT ("&amp;E629&amp;")",IF(OR(K629="",L629=""),"Xem xét",IF(MAX(ABS(K629),ABS(L629))&lt;=ThongTin!$C$12,"OK","Xem xét")))))</f>
        <v/>
      </c>
    </row>
    <row r="630" spans="1:13" x14ac:dyDescent="0.25">
      <c r="A630" s="35" t="str">
        <f t="shared" si="45"/>
        <v/>
      </c>
      <c r="B630" s="35" t="str">
        <f>IF(BOM!A630="","",BOM!A630)</f>
        <v/>
      </c>
      <c r="C630" s="35" t="str">
        <f>IF(B630="","",BOM!B630)</f>
        <v/>
      </c>
      <c r="D630" s="35" t="str">
        <f>IF(B630="","",KT_DMTT_ChiTiet!E630)</f>
        <v/>
      </c>
      <c r="E630" s="36" t="str">
        <f>IF(B630="","",BOM!G630&amp;"")</f>
        <v/>
      </c>
      <c r="F630" s="39" t="str">
        <f>IF(B630="","",BOM!E630)</f>
        <v/>
      </c>
      <c r="G630" s="39" t="str">
        <f>IF(OR(B630="",E630="KXDDM"),"",BOM!F630)</f>
        <v/>
      </c>
      <c r="H630" s="39" t="str">
        <f>IF(OR(B630="",E630&lt;&gt;""),"",IFERROR(INDEX(KT_nguoc_theo_NL!$J$5:$J$304,MATCH(C630,KT_nguoc_theo_NL!$B$5:$B$304,0))/INDEX(KT_nguoc_theo_NL!$K$5:$K$304,MATCH(C630,KT_nguoc_theo_NL!$B$5:$B$304,0)),""))</f>
        <v/>
      </c>
      <c r="I630" s="39" t="str">
        <f t="shared" si="46"/>
        <v/>
      </c>
      <c r="J630" s="46" t="str">
        <f t="shared" si="47"/>
        <v/>
      </c>
      <c r="K630" s="46" t="str">
        <f t="shared" si="48"/>
        <v/>
      </c>
      <c r="L630" s="46" t="str">
        <f t="shared" si="49"/>
        <v/>
      </c>
      <c r="M630" s="35" t="str">
        <f>IF(B630="","",IF(E630="KXDDM","KXDDM – không ĐM",IF(E630&lt;&gt;"","Không KT ("&amp;E630&amp;")",IF(OR(K630="",L630=""),"Xem xét",IF(MAX(ABS(K630),ABS(L630))&lt;=ThongTin!$C$12,"OK","Xem xét")))))</f>
        <v/>
      </c>
    </row>
    <row r="631" spans="1:13" x14ac:dyDescent="0.25">
      <c r="A631" s="35" t="str">
        <f t="shared" si="45"/>
        <v/>
      </c>
      <c r="B631" s="35" t="str">
        <f>IF(BOM!A631="","",BOM!A631)</f>
        <v/>
      </c>
      <c r="C631" s="35" t="str">
        <f>IF(B631="","",BOM!B631)</f>
        <v/>
      </c>
      <c r="D631" s="35" t="str">
        <f>IF(B631="","",KT_DMTT_ChiTiet!E631)</f>
        <v/>
      </c>
      <c r="E631" s="36" t="str">
        <f>IF(B631="","",BOM!G631&amp;"")</f>
        <v/>
      </c>
      <c r="F631" s="39" t="str">
        <f>IF(B631="","",BOM!E631)</f>
        <v/>
      </c>
      <c r="G631" s="39" t="str">
        <f>IF(OR(B631="",E631="KXDDM"),"",BOM!F631)</f>
        <v/>
      </c>
      <c r="H631" s="39" t="str">
        <f>IF(OR(B631="",E631&lt;&gt;""),"",IFERROR(INDEX(KT_nguoc_theo_NL!$J$5:$J$304,MATCH(C631,KT_nguoc_theo_NL!$B$5:$B$304,0))/INDEX(KT_nguoc_theo_NL!$K$5:$K$304,MATCH(C631,KT_nguoc_theo_NL!$B$5:$B$304,0)),""))</f>
        <v/>
      </c>
      <c r="I631" s="39" t="str">
        <f t="shared" si="46"/>
        <v/>
      </c>
      <c r="J631" s="46" t="str">
        <f t="shared" si="47"/>
        <v/>
      </c>
      <c r="K631" s="46" t="str">
        <f t="shared" si="48"/>
        <v/>
      </c>
      <c r="L631" s="46" t="str">
        <f t="shared" si="49"/>
        <v/>
      </c>
      <c r="M631" s="35" t="str">
        <f>IF(B631="","",IF(E631="KXDDM","KXDDM – không ĐM",IF(E631&lt;&gt;"","Không KT ("&amp;E631&amp;")",IF(OR(K631="",L631=""),"Xem xét",IF(MAX(ABS(K631),ABS(L631))&lt;=ThongTin!$C$12,"OK","Xem xét")))))</f>
        <v/>
      </c>
    </row>
    <row r="632" spans="1:13" x14ac:dyDescent="0.25">
      <c r="A632" s="35" t="str">
        <f t="shared" si="45"/>
        <v/>
      </c>
      <c r="B632" s="35" t="str">
        <f>IF(BOM!A632="","",BOM!A632)</f>
        <v/>
      </c>
      <c r="C632" s="35" t="str">
        <f>IF(B632="","",BOM!B632)</f>
        <v/>
      </c>
      <c r="D632" s="35" t="str">
        <f>IF(B632="","",KT_DMTT_ChiTiet!E632)</f>
        <v/>
      </c>
      <c r="E632" s="36" t="str">
        <f>IF(B632="","",BOM!G632&amp;"")</f>
        <v/>
      </c>
      <c r="F632" s="39" t="str">
        <f>IF(B632="","",BOM!E632)</f>
        <v/>
      </c>
      <c r="G632" s="39" t="str">
        <f>IF(OR(B632="",E632="KXDDM"),"",BOM!F632)</f>
        <v/>
      </c>
      <c r="H632" s="39" t="str">
        <f>IF(OR(B632="",E632&lt;&gt;""),"",IFERROR(INDEX(KT_nguoc_theo_NL!$J$5:$J$304,MATCH(C632,KT_nguoc_theo_NL!$B$5:$B$304,0))/INDEX(KT_nguoc_theo_NL!$K$5:$K$304,MATCH(C632,KT_nguoc_theo_NL!$B$5:$B$304,0)),""))</f>
        <v/>
      </c>
      <c r="I632" s="39" t="str">
        <f t="shared" si="46"/>
        <v/>
      </c>
      <c r="J632" s="46" t="str">
        <f t="shared" si="47"/>
        <v/>
      </c>
      <c r="K632" s="46" t="str">
        <f t="shared" si="48"/>
        <v/>
      </c>
      <c r="L632" s="46" t="str">
        <f t="shared" si="49"/>
        <v/>
      </c>
      <c r="M632" s="35" t="str">
        <f>IF(B632="","",IF(E632="KXDDM","KXDDM – không ĐM",IF(E632&lt;&gt;"","Không KT ("&amp;E632&amp;")",IF(OR(K632="",L632=""),"Xem xét",IF(MAX(ABS(K632),ABS(L632))&lt;=ThongTin!$C$12,"OK","Xem xét")))))</f>
        <v/>
      </c>
    </row>
    <row r="633" spans="1:13" x14ac:dyDescent="0.25">
      <c r="A633" s="35" t="str">
        <f t="shared" si="45"/>
        <v/>
      </c>
      <c r="B633" s="35" t="str">
        <f>IF(BOM!A633="","",BOM!A633)</f>
        <v/>
      </c>
      <c r="C633" s="35" t="str">
        <f>IF(B633="","",BOM!B633)</f>
        <v/>
      </c>
      <c r="D633" s="35" t="str">
        <f>IF(B633="","",KT_DMTT_ChiTiet!E633)</f>
        <v/>
      </c>
      <c r="E633" s="36" t="str">
        <f>IF(B633="","",BOM!G633&amp;"")</f>
        <v/>
      </c>
      <c r="F633" s="39" t="str">
        <f>IF(B633="","",BOM!E633)</f>
        <v/>
      </c>
      <c r="G633" s="39" t="str">
        <f>IF(OR(B633="",E633="KXDDM"),"",BOM!F633)</f>
        <v/>
      </c>
      <c r="H633" s="39" t="str">
        <f>IF(OR(B633="",E633&lt;&gt;""),"",IFERROR(INDEX(KT_nguoc_theo_NL!$J$5:$J$304,MATCH(C633,KT_nguoc_theo_NL!$B$5:$B$304,0))/INDEX(KT_nguoc_theo_NL!$K$5:$K$304,MATCH(C633,KT_nguoc_theo_NL!$B$5:$B$304,0)),""))</f>
        <v/>
      </c>
      <c r="I633" s="39" t="str">
        <f t="shared" si="46"/>
        <v/>
      </c>
      <c r="J633" s="46" t="str">
        <f t="shared" si="47"/>
        <v/>
      </c>
      <c r="K633" s="46" t="str">
        <f t="shared" si="48"/>
        <v/>
      </c>
      <c r="L633" s="46" t="str">
        <f t="shared" si="49"/>
        <v/>
      </c>
      <c r="M633" s="35" t="str">
        <f>IF(B633="","",IF(E633="KXDDM","KXDDM – không ĐM",IF(E633&lt;&gt;"","Không KT ("&amp;E633&amp;")",IF(OR(K633="",L633=""),"Xem xét",IF(MAX(ABS(K633),ABS(L633))&lt;=ThongTin!$C$12,"OK","Xem xét")))))</f>
        <v/>
      </c>
    </row>
    <row r="634" spans="1:13" x14ac:dyDescent="0.25">
      <c r="A634" s="35" t="str">
        <f t="shared" si="45"/>
        <v/>
      </c>
      <c r="B634" s="35" t="str">
        <f>IF(BOM!A634="","",BOM!A634)</f>
        <v/>
      </c>
      <c r="C634" s="35" t="str">
        <f>IF(B634="","",BOM!B634)</f>
        <v/>
      </c>
      <c r="D634" s="35" t="str">
        <f>IF(B634="","",KT_DMTT_ChiTiet!E634)</f>
        <v/>
      </c>
      <c r="E634" s="36" t="str">
        <f>IF(B634="","",BOM!G634&amp;"")</f>
        <v/>
      </c>
      <c r="F634" s="39" t="str">
        <f>IF(B634="","",BOM!E634)</f>
        <v/>
      </c>
      <c r="G634" s="39" t="str">
        <f>IF(OR(B634="",E634="KXDDM"),"",BOM!F634)</f>
        <v/>
      </c>
      <c r="H634" s="39" t="str">
        <f>IF(OR(B634="",E634&lt;&gt;""),"",IFERROR(INDEX(KT_nguoc_theo_NL!$J$5:$J$304,MATCH(C634,KT_nguoc_theo_NL!$B$5:$B$304,0))/INDEX(KT_nguoc_theo_NL!$K$5:$K$304,MATCH(C634,KT_nguoc_theo_NL!$B$5:$B$304,0)),""))</f>
        <v/>
      </c>
      <c r="I634" s="39" t="str">
        <f t="shared" si="46"/>
        <v/>
      </c>
      <c r="J634" s="46" t="str">
        <f t="shared" si="47"/>
        <v/>
      </c>
      <c r="K634" s="46" t="str">
        <f t="shared" si="48"/>
        <v/>
      </c>
      <c r="L634" s="46" t="str">
        <f t="shared" si="49"/>
        <v/>
      </c>
      <c r="M634" s="35" t="str">
        <f>IF(B634="","",IF(E634="KXDDM","KXDDM – không ĐM",IF(E634&lt;&gt;"","Không KT ("&amp;E634&amp;")",IF(OR(K634="",L634=""),"Xem xét",IF(MAX(ABS(K634),ABS(L634))&lt;=ThongTin!$C$12,"OK","Xem xét")))))</f>
        <v/>
      </c>
    </row>
    <row r="635" spans="1:13" x14ac:dyDescent="0.25">
      <c r="A635" s="35" t="str">
        <f t="shared" si="45"/>
        <v/>
      </c>
      <c r="B635" s="35" t="str">
        <f>IF(BOM!A635="","",BOM!A635)</f>
        <v/>
      </c>
      <c r="C635" s="35" t="str">
        <f>IF(B635="","",BOM!B635)</f>
        <v/>
      </c>
      <c r="D635" s="35" t="str">
        <f>IF(B635="","",KT_DMTT_ChiTiet!E635)</f>
        <v/>
      </c>
      <c r="E635" s="36" t="str">
        <f>IF(B635="","",BOM!G635&amp;"")</f>
        <v/>
      </c>
      <c r="F635" s="39" t="str">
        <f>IF(B635="","",BOM!E635)</f>
        <v/>
      </c>
      <c r="G635" s="39" t="str">
        <f>IF(OR(B635="",E635="KXDDM"),"",BOM!F635)</f>
        <v/>
      </c>
      <c r="H635" s="39" t="str">
        <f>IF(OR(B635="",E635&lt;&gt;""),"",IFERROR(INDEX(KT_nguoc_theo_NL!$J$5:$J$304,MATCH(C635,KT_nguoc_theo_NL!$B$5:$B$304,0))/INDEX(KT_nguoc_theo_NL!$K$5:$K$304,MATCH(C635,KT_nguoc_theo_NL!$B$5:$B$304,0)),""))</f>
        <v/>
      </c>
      <c r="I635" s="39" t="str">
        <f t="shared" si="46"/>
        <v/>
      </c>
      <c r="J635" s="46" t="str">
        <f t="shared" si="47"/>
        <v/>
      </c>
      <c r="K635" s="46" t="str">
        <f t="shared" si="48"/>
        <v/>
      </c>
      <c r="L635" s="46" t="str">
        <f t="shared" si="49"/>
        <v/>
      </c>
      <c r="M635" s="35" t="str">
        <f>IF(B635="","",IF(E635="KXDDM","KXDDM – không ĐM",IF(E635&lt;&gt;"","Không KT ("&amp;E635&amp;")",IF(OR(K635="",L635=""),"Xem xét",IF(MAX(ABS(K635),ABS(L635))&lt;=ThongTin!$C$12,"OK","Xem xét")))))</f>
        <v/>
      </c>
    </row>
    <row r="636" spans="1:13" x14ac:dyDescent="0.25">
      <c r="A636" s="35" t="str">
        <f t="shared" si="45"/>
        <v/>
      </c>
      <c r="B636" s="35" t="str">
        <f>IF(BOM!A636="","",BOM!A636)</f>
        <v/>
      </c>
      <c r="C636" s="35" t="str">
        <f>IF(B636="","",BOM!B636)</f>
        <v/>
      </c>
      <c r="D636" s="35" t="str">
        <f>IF(B636="","",KT_DMTT_ChiTiet!E636)</f>
        <v/>
      </c>
      <c r="E636" s="36" t="str">
        <f>IF(B636="","",BOM!G636&amp;"")</f>
        <v/>
      </c>
      <c r="F636" s="39" t="str">
        <f>IF(B636="","",BOM!E636)</f>
        <v/>
      </c>
      <c r="G636" s="39" t="str">
        <f>IF(OR(B636="",E636="KXDDM"),"",BOM!F636)</f>
        <v/>
      </c>
      <c r="H636" s="39" t="str">
        <f>IF(OR(B636="",E636&lt;&gt;""),"",IFERROR(INDEX(KT_nguoc_theo_NL!$J$5:$J$304,MATCH(C636,KT_nguoc_theo_NL!$B$5:$B$304,0))/INDEX(KT_nguoc_theo_NL!$K$5:$K$304,MATCH(C636,KT_nguoc_theo_NL!$B$5:$B$304,0)),""))</f>
        <v/>
      </c>
      <c r="I636" s="39" t="str">
        <f t="shared" si="46"/>
        <v/>
      </c>
      <c r="J636" s="46" t="str">
        <f t="shared" si="47"/>
        <v/>
      </c>
      <c r="K636" s="46" t="str">
        <f t="shared" si="48"/>
        <v/>
      </c>
      <c r="L636" s="46" t="str">
        <f t="shared" si="49"/>
        <v/>
      </c>
      <c r="M636" s="35" t="str">
        <f>IF(B636="","",IF(E636="KXDDM","KXDDM – không ĐM",IF(E636&lt;&gt;"","Không KT ("&amp;E636&amp;")",IF(OR(K636="",L636=""),"Xem xét",IF(MAX(ABS(K636),ABS(L636))&lt;=ThongTin!$C$12,"OK","Xem xét")))))</f>
        <v/>
      </c>
    </row>
    <row r="637" spans="1:13" x14ac:dyDescent="0.25">
      <c r="A637" s="35" t="str">
        <f t="shared" si="45"/>
        <v/>
      </c>
      <c r="B637" s="35" t="str">
        <f>IF(BOM!A637="","",BOM!A637)</f>
        <v/>
      </c>
      <c r="C637" s="35" t="str">
        <f>IF(B637="","",BOM!B637)</f>
        <v/>
      </c>
      <c r="D637" s="35" t="str">
        <f>IF(B637="","",KT_DMTT_ChiTiet!E637)</f>
        <v/>
      </c>
      <c r="E637" s="36" t="str">
        <f>IF(B637="","",BOM!G637&amp;"")</f>
        <v/>
      </c>
      <c r="F637" s="39" t="str">
        <f>IF(B637="","",BOM!E637)</f>
        <v/>
      </c>
      <c r="G637" s="39" t="str">
        <f>IF(OR(B637="",E637="KXDDM"),"",BOM!F637)</f>
        <v/>
      </c>
      <c r="H637" s="39" t="str">
        <f>IF(OR(B637="",E637&lt;&gt;""),"",IFERROR(INDEX(KT_nguoc_theo_NL!$J$5:$J$304,MATCH(C637,KT_nguoc_theo_NL!$B$5:$B$304,0))/INDEX(KT_nguoc_theo_NL!$K$5:$K$304,MATCH(C637,KT_nguoc_theo_NL!$B$5:$B$304,0)),""))</f>
        <v/>
      </c>
      <c r="I637" s="39" t="str">
        <f t="shared" si="46"/>
        <v/>
      </c>
      <c r="J637" s="46" t="str">
        <f t="shared" si="47"/>
        <v/>
      </c>
      <c r="K637" s="46" t="str">
        <f t="shared" si="48"/>
        <v/>
      </c>
      <c r="L637" s="46" t="str">
        <f t="shared" si="49"/>
        <v/>
      </c>
      <c r="M637" s="35" t="str">
        <f>IF(B637="","",IF(E637="KXDDM","KXDDM – không ĐM",IF(E637&lt;&gt;"","Không KT ("&amp;E637&amp;")",IF(OR(K637="",L637=""),"Xem xét",IF(MAX(ABS(K637),ABS(L637))&lt;=ThongTin!$C$12,"OK","Xem xét")))))</f>
        <v/>
      </c>
    </row>
    <row r="638" spans="1:13" x14ac:dyDescent="0.25">
      <c r="A638" s="35" t="str">
        <f t="shared" si="45"/>
        <v/>
      </c>
      <c r="B638" s="35" t="str">
        <f>IF(BOM!A638="","",BOM!A638)</f>
        <v/>
      </c>
      <c r="C638" s="35" t="str">
        <f>IF(B638="","",BOM!B638)</f>
        <v/>
      </c>
      <c r="D638" s="35" t="str">
        <f>IF(B638="","",KT_DMTT_ChiTiet!E638)</f>
        <v/>
      </c>
      <c r="E638" s="36" t="str">
        <f>IF(B638="","",BOM!G638&amp;"")</f>
        <v/>
      </c>
      <c r="F638" s="39" t="str">
        <f>IF(B638="","",BOM!E638)</f>
        <v/>
      </c>
      <c r="G638" s="39" t="str">
        <f>IF(OR(B638="",E638="KXDDM"),"",BOM!F638)</f>
        <v/>
      </c>
      <c r="H638" s="39" t="str">
        <f>IF(OR(B638="",E638&lt;&gt;""),"",IFERROR(INDEX(KT_nguoc_theo_NL!$J$5:$J$304,MATCH(C638,KT_nguoc_theo_NL!$B$5:$B$304,0))/INDEX(KT_nguoc_theo_NL!$K$5:$K$304,MATCH(C638,KT_nguoc_theo_NL!$B$5:$B$304,0)),""))</f>
        <v/>
      </c>
      <c r="I638" s="39" t="str">
        <f t="shared" si="46"/>
        <v/>
      </c>
      <c r="J638" s="46" t="str">
        <f t="shared" si="47"/>
        <v/>
      </c>
      <c r="K638" s="46" t="str">
        <f t="shared" si="48"/>
        <v/>
      </c>
      <c r="L638" s="46" t="str">
        <f t="shared" si="49"/>
        <v/>
      </c>
      <c r="M638" s="35" t="str">
        <f>IF(B638="","",IF(E638="KXDDM","KXDDM – không ĐM",IF(E638&lt;&gt;"","Không KT ("&amp;E638&amp;")",IF(OR(K638="",L638=""),"Xem xét",IF(MAX(ABS(K638),ABS(L638))&lt;=ThongTin!$C$12,"OK","Xem xét")))))</f>
        <v/>
      </c>
    </row>
    <row r="639" spans="1:13" x14ac:dyDescent="0.25">
      <c r="A639" s="35" t="str">
        <f t="shared" si="45"/>
        <v/>
      </c>
      <c r="B639" s="35" t="str">
        <f>IF(BOM!A639="","",BOM!A639)</f>
        <v/>
      </c>
      <c r="C639" s="35" t="str">
        <f>IF(B639="","",BOM!B639)</f>
        <v/>
      </c>
      <c r="D639" s="35" t="str">
        <f>IF(B639="","",KT_DMTT_ChiTiet!E639)</f>
        <v/>
      </c>
      <c r="E639" s="36" t="str">
        <f>IF(B639="","",BOM!G639&amp;"")</f>
        <v/>
      </c>
      <c r="F639" s="39" t="str">
        <f>IF(B639="","",BOM!E639)</f>
        <v/>
      </c>
      <c r="G639" s="39" t="str">
        <f>IF(OR(B639="",E639="KXDDM"),"",BOM!F639)</f>
        <v/>
      </c>
      <c r="H639" s="39" t="str">
        <f>IF(OR(B639="",E639&lt;&gt;""),"",IFERROR(INDEX(KT_nguoc_theo_NL!$J$5:$J$304,MATCH(C639,KT_nguoc_theo_NL!$B$5:$B$304,0))/INDEX(KT_nguoc_theo_NL!$K$5:$K$304,MATCH(C639,KT_nguoc_theo_NL!$B$5:$B$304,0)),""))</f>
        <v/>
      </c>
      <c r="I639" s="39" t="str">
        <f t="shared" si="46"/>
        <v/>
      </c>
      <c r="J639" s="46" t="str">
        <f t="shared" si="47"/>
        <v/>
      </c>
      <c r="K639" s="46" t="str">
        <f t="shared" si="48"/>
        <v/>
      </c>
      <c r="L639" s="46" t="str">
        <f t="shared" si="49"/>
        <v/>
      </c>
      <c r="M639" s="35" t="str">
        <f>IF(B639="","",IF(E639="KXDDM","KXDDM – không ĐM",IF(E639&lt;&gt;"","Không KT ("&amp;E639&amp;")",IF(OR(K639="",L639=""),"Xem xét",IF(MAX(ABS(K639),ABS(L639))&lt;=ThongTin!$C$12,"OK","Xem xét")))))</f>
        <v/>
      </c>
    </row>
    <row r="640" spans="1:13" x14ac:dyDescent="0.25">
      <c r="A640" s="35" t="str">
        <f t="shared" si="45"/>
        <v/>
      </c>
      <c r="B640" s="35" t="str">
        <f>IF(BOM!A640="","",BOM!A640)</f>
        <v/>
      </c>
      <c r="C640" s="35" t="str">
        <f>IF(B640="","",BOM!B640)</f>
        <v/>
      </c>
      <c r="D640" s="35" t="str">
        <f>IF(B640="","",KT_DMTT_ChiTiet!E640)</f>
        <v/>
      </c>
      <c r="E640" s="36" t="str">
        <f>IF(B640="","",BOM!G640&amp;"")</f>
        <v/>
      </c>
      <c r="F640" s="39" t="str">
        <f>IF(B640="","",BOM!E640)</f>
        <v/>
      </c>
      <c r="G640" s="39" t="str">
        <f>IF(OR(B640="",E640="KXDDM"),"",BOM!F640)</f>
        <v/>
      </c>
      <c r="H640" s="39" t="str">
        <f>IF(OR(B640="",E640&lt;&gt;""),"",IFERROR(INDEX(KT_nguoc_theo_NL!$J$5:$J$304,MATCH(C640,KT_nguoc_theo_NL!$B$5:$B$304,0))/INDEX(KT_nguoc_theo_NL!$K$5:$K$304,MATCH(C640,KT_nguoc_theo_NL!$B$5:$B$304,0)),""))</f>
        <v/>
      </c>
      <c r="I640" s="39" t="str">
        <f t="shared" si="46"/>
        <v/>
      </c>
      <c r="J640" s="46" t="str">
        <f t="shared" si="47"/>
        <v/>
      </c>
      <c r="K640" s="46" t="str">
        <f t="shared" si="48"/>
        <v/>
      </c>
      <c r="L640" s="46" t="str">
        <f t="shared" si="49"/>
        <v/>
      </c>
      <c r="M640" s="35" t="str">
        <f>IF(B640="","",IF(E640="KXDDM","KXDDM – không ĐM",IF(E640&lt;&gt;"","Không KT ("&amp;E640&amp;")",IF(OR(K640="",L640=""),"Xem xét",IF(MAX(ABS(K640),ABS(L640))&lt;=ThongTin!$C$12,"OK","Xem xét")))))</f>
        <v/>
      </c>
    </row>
    <row r="641" spans="1:13" x14ac:dyDescent="0.25">
      <c r="A641" s="35" t="str">
        <f t="shared" si="45"/>
        <v/>
      </c>
      <c r="B641" s="35" t="str">
        <f>IF(BOM!A641="","",BOM!A641)</f>
        <v/>
      </c>
      <c r="C641" s="35" t="str">
        <f>IF(B641="","",BOM!B641)</f>
        <v/>
      </c>
      <c r="D641" s="35" t="str">
        <f>IF(B641="","",KT_DMTT_ChiTiet!E641)</f>
        <v/>
      </c>
      <c r="E641" s="36" t="str">
        <f>IF(B641="","",BOM!G641&amp;"")</f>
        <v/>
      </c>
      <c r="F641" s="39" t="str">
        <f>IF(B641="","",BOM!E641)</f>
        <v/>
      </c>
      <c r="G641" s="39" t="str">
        <f>IF(OR(B641="",E641="KXDDM"),"",BOM!F641)</f>
        <v/>
      </c>
      <c r="H641" s="39" t="str">
        <f>IF(OR(B641="",E641&lt;&gt;""),"",IFERROR(INDEX(KT_nguoc_theo_NL!$J$5:$J$304,MATCH(C641,KT_nguoc_theo_NL!$B$5:$B$304,0))/INDEX(KT_nguoc_theo_NL!$K$5:$K$304,MATCH(C641,KT_nguoc_theo_NL!$B$5:$B$304,0)),""))</f>
        <v/>
      </c>
      <c r="I641" s="39" t="str">
        <f t="shared" si="46"/>
        <v/>
      </c>
      <c r="J641" s="46" t="str">
        <f t="shared" si="47"/>
        <v/>
      </c>
      <c r="K641" s="46" t="str">
        <f t="shared" si="48"/>
        <v/>
      </c>
      <c r="L641" s="46" t="str">
        <f t="shared" si="49"/>
        <v/>
      </c>
      <c r="M641" s="35" t="str">
        <f>IF(B641="","",IF(E641="KXDDM","KXDDM – không ĐM",IF(E641&lt;&gt;"","Không KT ("&amp;E641&amp;")",IF(OR(K641="",L641=""),"Xem xét",IF(MAX(ABS(K641),ABS(L641))&lt;=ThongTin!$C$12,"OK","Xem xét")))))</f>
        <v/>
      </c>
    </row>
    <row r="642" spans="1:13" x14ac:dyDescent="0.25">
      <c r="A642" s="35" t="str">
        <f t="shared" si="45"/>
        <v/>
      </c>
      <c r="B642" s="35" t="str">
        <f>IF(BOM!A642="","",BOM!A642)</f>
        <v/>
      </c>
      <c r="C642" s="35" t="str">
        <f>IF(B642="","",BOM!B642)</f>
        <v/>
      </c>
      <c r="D642" s="35" t="str">
        <f>IF(B642="","",KT_DMTT_ChiTiet!E642)</f>
        <v/>
      </c>
      <c r="E642" s="36" t="str">
        <f>IF(B642="","",BOM!G642&amp;"")</f>
        <v/>
      </c>
      <c r="F642" s="39" t="str">
        <f>IF(B642="","",BOM!E642)</f>
        <v/>
      </c>
      <c r="G642" s="39" t="str">
        <f>IF(OR(B642="",E642="KXDDM"),"",BOM!F642)</f>
        <v/>
      </c>
      <c r="H642" s="39" t="str">
        <f>IF(OR(B642="",E642&lt;&gt;""),"",IFERROR(INDEX(KT_nguoc_theo_NL!$J$5:$J$304,MATCH(C642,KT_nguoc_theo_NL!$B$5:$B$304,0))/INDEX(KT_nguoc_theo_NL!$K$5:$K$304,MATCH(C642,KT_nguoc_theo_NL!$B$5:$B$304,0)),""))</f>
        <v/>
      </c>
      <c r="I642" s="39" t="str">
        <f t="shared" si="46"/>
        <v/>
      </c>
      <c r="J642" s="46" t="str">
        <f t="shared" si="47"/>
        <v/>
      </c>
      <c r="K642" s="46" t="str">
        <f t="shared" si="48"/>
        <v/>
      </c>
      <c r="L642" s="46" t="str">
        <f t="shared" si="49"/>
        <v/>
      </c>
      <c r="M642" s="35" t="str">
        <f>IF(B642="","",IF(E642="KXDDM","KXDDM – không ĐM",IF(E642&lt;&gt;"","Không KT ("&amp;E642&amp;")",IF(OR(K642="",L642=""),"Xem xét",IF(MAX(ABS(K642),ABS(L642))&lt;=ThongTin!$C$12,"OK","Xem xét")))))</f>
        <v/>
      </c>
    </row>
    <row r="643" spans="1:13" x14ac:dyDescent="0.25">
      <c r="A643" s="35" t="str">
        <f t="shared" si="45"/>
        <v/>
      </c>
      <c r="B643" s="35" t="str">
        <f>IF(BOM!A643="","",BOM!A643)</f>
        <v/>
      </c>
      <c r="C643" s="35" t="str">
        <f>IF(B643="","",BOM!B643)</f>
        <v/>
      </c>
      <c r="D643" s="35" t="str">
        <f>IF(B643="","",KT_DMTT_ChiTiet!E643)</f>
        <v/>
      </c>
      <c r="E643" s="36" t="str">
        <f>IF(B643="","",BOM!G643&amp;"")</f>
        <v/>
      </c>
      <c r="F643" s="39" t="str">
        <f>IF(B643="","",BOM!E643)</f>
        <v/>
      </c>
      <c r="G643" s="39" t="str">
        <f>IF(OR(B643="",E643="KXDDM"),"",BOM!F643)</f>
        <v/>
      </c>
      <c r="H643" s="39" t="str">
        <f>IF(OR(B643="",E643&lt;&gt;""),"",IFERROR(INDEX(KT_nguoc_theo_NL!$J$5:$J$304,MATCH(C643,KT_nguoc_theo_NL!$B$5:$B$304,0))/INDEX(KT_nguoc_theo_NL!$K$5:$K$304,MATCH(C643,KT_nguoc_theo_NL!$B$5:$B$304,0)),""))</f>
        <v/>
      </c>
      <c r="I643" s="39" t="str">
        <f t="shared" si="46"/>
        <v/>
      </c>
      <c r="J643" s="46" t="str">
        <f t="shared" si="47"/>
        <v/>
      </c>
      <c r="K643" s="46" t="str">
        <f t="shared" si="48"/>
        <v/>
      </c>
      <c r="L643" s="46" t="str">
        <f t="shared" si="49"/>
        <v/>
      </c>
      <c r="M643" s="35" t="str">
        <f>IF(B643="","",IF(E643="KXDDM","KXDDM – không ĐM",IF(E643&lt;&gt;"","Không KT ("&amp;E643&amp;")",IF(OR(K643="",L643=""),"Xem xét",IF(MAX(ABS(K643),ABS(L643))&lt;=ThongTin!$C$12,"OK","Xem xét")))))</f>
        <v/>
      </c>
    </row>
    <row r="644" spans="1:13" x14ac:dyDescent="0.25">
      <c r="A644" s="35" t="str">
        <f t="shared" si="45"/>
        <v/>
      </c>
      <c r="B644" s="35" t="str">
        <f>IF(BOM!A644="","",BOM!A644)</f>
        <v/>
      </c>
      <c r="C644" s="35" t="str">
        <f>IF(B644="","",BOM!B644)</f>
        <v/>
      </c>
      <c r="D644" s="35" t="str">
        <f>IF(B644="","",KT_DMTT_ChiTiet!E644)</f>
        <v/>
      </c>
      <c r="E644" s="36" t="str">
        <f>IF(B644="","",BOM!G644&amp;"")</f>
        <v/>
      </c>
      <c r="F644" s="39" t="str">
        <f>IF(B644="","",BOM!E644)</f>
        <v/>
      </c>
      <c r="G644" s="39" t="str">
        <f>IF(OR(B644="",E644="KXDDM"),"",BOM!F644)</f>
        <v/>
      </c>
      <c r="H644" s="39" t="str">
        <f>IF(OR(B644="",E644&lt;&gt;""),"",IFERROR(INDEX(KT_nguoc_theo_NL!$J$5:$J$304,MATCH(C644,KT_nguoc_theo_NL!$B$5:$B$304,0))/INDEX(KT_nguoc_theo_NL!$K$5:$K$304,MATCH(C644,KT_nguoc_theo_NL!$B$5:$B$304,0)),""))</f>
        <v/>
      </c>
      <c r="I644" s="39" t="str">
        <f t="shared" si="46"/>
        <v/>
      </c>
      <c r="J644" s="46" t="str">
        <f t="shared" si="47"/>
        <v/>
      </c>
      <c r="K644" s="46" t="str">
        <f t="shared" si="48"/>
        <v/>
      </c>
      <c r="L644" s="46" t="str">
        <f t="shared" si="49"/>
        <v/>
      </c>
      <c r="M644" s="35" t="str">
        <f>IF(B644="","",IF(E644="KXDDM","KXDDM – không ĐM",IF(E644&lt;&gt;"","Không KT ("&amp;E644&amp;")",IF(OR(K644="",L644=""),"Xem xét",IF(MAX(ABS(K644),ABS(L644))&lt;=ThongTin!$C$12,"OK","Xem xét")))))</f>
        <v/>
      </c>
    </row>
    <row r="645" spans="1:13" x14ac:dyDescent="0.25">
      <c r="A645" s="35" t="str">
        <f t="shared" ref="A645:A708" si="50">IF(B645="","",ROW()-4)</f>
        <v/>
      </c>
      <c r="B645" s="35" t="str">
        <f>IF(BOM!A645="","",BOM!A645)</f>
        <v/>
      </c>
      <c r="C645" s="35" t="str">
        <f>IF(B645="","",BOM!B645)</f>
        <v/>
      </c>
      <c r="D645" s="35" t="str">
        <f>IF(B645="","",KT_DMTT_ChiTiet!E645)</f>
        <v/>
      </c>
      <c r="E645" s="36" t="str">
        <f>IF(B645="","",BOM!G645&amp;"")</f>
        <v/>
      </c>
      <c r="F645" s="39" t="str">
        <f>IF(B645="","",BOM!E645)</f>
        <v/>
      </c>
      <c r="G645" s="39" t="str">
        <f>IF(OR(B645="",E645="KXDDM"),"",BOM!F645)</f>
        <v/>
      </c>
      <c r="H645" s="39" t="str">
        <f>IF(OR(B645="",E645&lt;&gt;""),"",IFERROR(INDEX(KT_nguoc_theo_NL!$J$5:$J$304,MATCH(C645,KT_nguoc_theo_NL!$B$5:$B$304,0))/INDEX(KT_nguoc_theo_NL!$K$5:$K$304,MATCH(C645,KT_nguoc_theo_NL!$B$5:$B$304,0)),""))</f>
        <v/>
      </c>
      <c r="I645" s="39" t="str">
        <f t="shared" ref="I645:I708" si="51">IF(OR(H645="",G645=""),"",G645*H645)</f>
        <v/>
      </c>
      <c r="J645" s="46" t="str">
        <f t="shared" ref="J645:J708" si="52">IF(OR(I645="",I645=0),"",(G645-I645)/I645)</f>
        <v/>
      </c>
      <c r="K645" s="46" t="str">
        <f t="shared" ref="K645:K708" si="53">IF(OR(G645="",F645="",F645=0),"",(G645-F645)/F645)</f>
        <v/>
      </c>
      <c r="L645" s="46" t="str">
        <f t="shared" ref="L645:L708" si="54">IF(OR(I645="",F645="",F645=0),"",(I645-F645)/F645)</f>
        <v/>
      </c>
      <c r="M645" s="35" t="str">
        <f>IF(B645="","",IF(E645="KXDDM","KXDDM – không ĐM",IF(E645&lt;&gt;"","Không KT ("&amp;E645&amp;")",IF(OR(K645="",L645=""),"Xem xét",IF(MAX(ABS(K645),ABS(L645))&lt;=ThongTin!$C$12,"OK","Xem xét")))))</f>
        <v/>
      </c>
    </row>
    <row r="646" spans="1:13" x14ac:dyDescent="0.25">
      <c r="A646" s="35" t="str">
        <f t="shared" si="50"/>
        <v/>
      </c>
      <c r="B646" s="35" t="str">
        <f>IF(BOM!A646="","",BOM!A646)</f>
        <v/>
      </c>
      <c r="C646" s="35" t="str">
        <f>IF(B646="","",BOM!B646)</f>
        <v/>
      </c>
      <c r="D646" s="35" t="str">
        <f>IF(B646="","",KT_DMTT_ChiTiet!E646)</f>
        <v/>
      </c>
      <c r="E646" s="36" t="str">
        <f>IF(B646="","",BOM!G646&amp;"")</f>
        <v/>
      </c>
      <c r="F646" s="39" t="str">
        <f>IF(B646="","",BOM!E646)</f>
        <v/>
      </c>
      <c r="G646" s="39" t="str">
        <f>IF(OR(B646="",E646="KXDDM"),"",BOM!F646)</f>
        <v/>
      </c>
      <c r="H646" s="39" t="str">
        <f>IF(OR(B646="",E646&lt;&gt;""),"",IFERROR(INDEX(KT_nguoc_theo_NL!$J$5:$J$304,MATCH(C646,KT_nguoc_theo_NL!$B$5:$B$304,0))/INDEX(KT_nguoc_theo_NL!$K$5:$K$304,MATCH(C646,KT_nguoc_theo_NL!$B$5:$B$304,0)),""))</f>
        <v/>
      </c>
      <c r="I646" s="39" t="str">
        <f t="shared" si="51"/>
        <v/>
      </c>
      <c r="J646" s="46" t="str">
        <f t="shared" si="52"/>
        <v/>
      </c>
      <c r="K646" s="46" t="str">
        <f t="shared" si="53"/>
        <v/>
      </c>
      <c r="L646" s="46" t="str">
        <f t="shared" si="54"/>
        <v/>
      </c>
      <c r="M646" s="35" t="str">
        <f>IF(B646="","",IF(E646="KXDDM","KXDDM – không ĐM",IF(E646&lt;&gt;"","Không KT ("&amp;E646&amp;")",IF(OR(K646="",L646=""),"Xem xét",IF(MAX(ABS(K646),ABS(L646))&lt;=ThongTin!$C$12,"OK","Xem xét")))))</f>
        <v/>
      </c>
    </row>
    <row r="647" spans="1:13" x14ac:dyDescent="0.25">
      <c r="A647" s="35" t="str">
        <f t="shared" si="50"/>
        <v/>
      </c>
      <c r="B647" s="35" t="str">
        <f>IF(BOM!A647="","",BOM!A647)</f>
        <v/>
      </c>
      <c r="C647" s="35" t="str">
        <f>IF(B647="","",BOM!B647)</f>
        <v/>
      </c>
      <c r="D647" s="35" t="str">
        <f>IF(B647="","",KT_DMTT_ChiTiet!E647)</f>
        <v/>
      </c>
      <c r="E647" s="36" t="str">
        <f>IF(B647="","",BOM!G647&amp;"")</f>
        <v/>
      </c>
      <c r="F647" s="39" t="str">
        <f>IF(B647="","",BOM!E647)</f>
        <v/>
      </c>
      <c r="G647" s="39" t="str">
        <f>IF(OR(B647="",E647="KXDDM"),"",BOM!F647)</f>
        <v/>
      </c>
      <c r="H647" s="39" t="str">
        <f>IF(OR(B647="",E647&lt;&gt;""),"",IFERROR(INDEX(KT_nguoc_theo_NL!$J$5:$J$304,MATCH(C647,KT_nguoc_theo_NL!$B$5:$B$304,0))/INDEX(KT_nguoc_theo_NL!$K$5:$K$304,MATCH(C647,KT_nguoc_theo_NL!$B$5:$B$304,0)),""))</f>
        <v/>
      </c>
      <c r="I647" s="39" t="str">
        <f t="shared" si="51"/>
        <v/>
      </c>
      <c r="J647" s="46" t="str">
        <f t="shared" si="52"/>
        <v/>
      </c>
      <c r="K647" s="46" t="str">
        <f t="shared" si="53"/>
        <v/>
      </c>
      <c r="L647" s="46" t="str">
        <f t="shared" si="54"/>
        <v/>
      </c>
      <c r="M647" s="35" t="str">
        <f>IF(B647="","",IF(E647="KXDDM","KXDDM – không ĐM",IF(E647&lt;&gt;"","Không KT ("&amp;E647&amp;")",IF(OR(K647="",L647=""),"Xem xét",IF(MAX(ABS(K647),ABS(L647))&lt;=ThongTin!$C$12,"OK","Xem xét")))))</f>
        <v/>
      </c>
    </row>
    <row r="648" spans="1:13" x14ac:dyDescent="0.25">
      <c r="A648" s="35" t="str">
        <f t="shared" si="50"/>
        <v/>
      </c>
      <c r="B648" s="35" t="str">
        <f>IF(BOM!A648="","",BOM!A648)</f>
        <v/>
      </c>
      <c r="C648" s="35" t="str">
        <f>IF(B648="","",BOM!B648)</f>
        <v/>
      </c>
      <c r="D648" s="35" t="str">
        <f>IF(B648="","",KT_DMTT_ChiTiet!E648)</f>
        <v/>
      </c>
      <c r="E648" s="36" t="str">
        <f>IF(B648="","",BOM!G648&amp;"")</f>
        <v/>
      </c>
      <c r="F648" s="39" t="str">
        <f>IF(B648="","",BOM!E648)</f>
        <v/>
      </c>
      <c r="G648" s="39" t="str">
        <f>IF(OR(B648="",E648="KXDDM"),"",BOM!F648)</f>
        <v/>
      </c>
      <c r="H648" s="39" t="str">
        <f>IF(OR(B648="",E648&lt;&gt;""),"",IFERROR(INDEX(KT_nguoc_theo_NL!$J$5:$J$304,MATCH(C648,KT_nguoc_theo_NL!$B$5:$B$304,0))/INDEX(KT_nguoc_theo_NL!$K$5:$K$304,MATCH(C648,KT_nguoc_theo_NL!$B$5:$B$304,0)),""))</f>
        <v/>
      </c>
      <c r="I648" s="39" t="str">
        <f t="shared" si="51"/>
        <v/>
      </c>
      <c r="J648" s="46" t="str">
        <f t="shared" si="52"/>
        <v/>
      </c>
      <c r="K648" s="46" t="str">
        <f t="shared" si="53"/>
        <v/>
      </c>
      <c r="L648" s="46" t="str">
        <f t="shared" si="54"/>
        <v/>
      </c>
      <c r="M648" s="35" t="str">
        <f>IF(B648="","",IF(E648="KXDDM","KXDDM – không ĐM",IF(E648&lt;&gt;"","Không KT ("&amp;E648&amp;")",IF(OR(K648="",L648=""),"Xem xét",IF(MAX(ABS(K648),ABS(L648))&lt;=ThongTin!$C$12,"OK","Xem xét")))))</f>
        <v/>
      </c>
    </row>
    <row r="649" spans="1:13" x14ac:dyDescent="0.25">
      <c r="A649" s="35" t="str">
        <f t="shared" si="50"/>
        <v/>
      </c>
      <c r="B649" s="35" t="str">
        <f>IF(BOM!A649="","",BOM!A649)</f>
        <v/>
      </c>
      <c r="C649" s="35" t="str">
        <f>IF(B649="","",BOM!B649)</f>
        <v/>
      </c>
      <c r="D649" s="35" t="str">
        <f>IF(B649="","",KT_DMTT_ChiTiet!E649)</f>
        <v/>
      </c>
      <c r="E649" s="36" t="str">
        <f>IF(B649="","",BOM!G649&amp;"")</f>
        <v/>
      </c>
      <c r="F649" s="39" t="str">
        <f>IF(B649="","",BOM!E649)</f>
        <v/>
      </c>
      <c r="G649" s="39" t="str">
        <f>IF(OR(B649="",E649="KXDDM"),"",BOM!F649)</f>
        <v/>
      </c>
      <c r="H649" s="39" t="str">
        <f>IF(OR(B649="",E649&lt;&gt;""),"",IFERROR(INDEX(KT_nguoc_theo_NL!$J$5:$J$304,MATCH(C649,KT_nguoc_theo_NL!$B$5:$B$304,0))/INDEX(KT_nguoc_theo_NL!$K$5:$K$304,MATCH(C649,KT_nguoc_theo_NL!$B$5:$B$304,0)),""))</f>
        <v/>
      </c>
      <c r="I649" s="39" t="str">
        <f t="shared" si="51"/>
        <v/>
      </c>
      <c r="J649" s="46" t="str">
        <f t="shared" si="52"/>
        <v/>
      </c>
      <c r="K649" s="46" t="str">
        <f t="shared" si="53"/>
        <v/>
      </c>
      <c r="L649" s="46" t="str">
        <f t="shared" si="54"/>
        <v/>
      </c>
      <c r="M649" s="35" t="str">
        <f>IF(B649="","",IF(E649="KXDDM","KXDDM – không ĐM",IF(E649&lt;&gt;"","Không KT ("&amp;E649&amp;")",IF(OR(K649="",L649=""),"Xem xét",IF(MAX(ABS(K649),ABS(L649))&lt;=ThongTin!$C$12,"OK","Xem xét")))))</f>
        <v/>
      </c>
    </row>
    <row r="650" spans="1:13" x14ac:dyDescent="0.25">
      <c r="A650" s="35" t="str">
        <f t="shared" si="50"/>
        <v/>
      </c>
      <c r="B650" s="35" t="str">
        <f>IF(BOM!A650="","",BOM!A650)</f>
        <v/>
      </c>
      <c r="C650" s="35" t="str">
        <f>IF(B650="","",BOM!B650)</f>
        <v/>
      </c>
      <c r="D650" s="35" t="str">
        <f>IF(B650="","",KT_DMTT_ChiTiet!E650)</f>
        <v/>
      </c>
      <c r="E650" s="36" t="str">
        <f>IF(B650="","",BOM!G650&amp;"")</f>
        <v/>
      </c>
      <c r="F650" s="39" t="str">
        <f>IF(B650="","",BOM!E650)</f>
        <v/>
      </c>
      <c r="G650" s="39" t="str">
        <f>IF(OR(B650="",E650="KXDDM"),"",BOM!F650)</f>
        <v/>
      </c>
      <c r="H650" s="39" t="str">
        <f>IF(OR(B650="",E650&lt;&gt;""),"",IFERROR(INDEX(KT_nguoc_theo_NL!$J$5:$J$304,MATCH(C650,KT_nguoc_theo_NL!$B$5:$B$304,0))/INDEX(KT_nguoc_theo_NL!$K$5:$K$304,MATCH(C650,KT_nguoc_theo_NL!$B$5:$B$304,0)),""))</f>
        <v/>
      </c>
      <c r="I650" s="39" t="str">
        <f t="shared" si="51"/>
        <v/>
      </c>
      <c r="J650" s="46" t="str">
        <f t="shared" si="52"/>
        <v/>
      </c>
      <c r="K650" s="46" t="str">
        <f t="shared" si="53"/>
        <v/>
      </c>
      <c r="L650" s="46" t="str">
        <f t="shared" si="54"/>
        <v/>
      </c>
      <c r="M650" s="35" t="str">
        <f>IF(B650="","",IF(E650="KXDDM","KXDDM – không ĐM",IF(E650&lt;&gt;"","Không KT ("&amp;E650&amp;")",IF(OR(K650="",L650=""),"Xem xét",IF(MAX(ABS(K650),ABS(L650))&lt;=ThongTin!$C$12,"OK","Xem xét")))))</f>
        <v/>
      </c>
    </row>
    <row r="651" spans="1:13" x14ac:dyDescent="0.25">
      <c r="A651" s="35" t="str">
        <f t="shared" si="50"/>
        <v/>
      </c>
      <c r="B651" s="35" t="str">
        <f>IF(BOM!A651="","",BOM!A651)</f>
        <v/>
      </c>
      <c r="C651" s="35" t="str">
        <f>IF(B651="","",BOM!B651)</f>
        <v/>
      </c>
      <c r="D651" s="35" t="str">
        <f>IF(B651="","",KT_DMTT_ChiTiet!E651)</f>
        <v/>
      </c>
      <c r="E651" s="36" t="str">
        <f>IF(B651="","",BOM!G651&amp;"")</f>
        <v/>
      </c>
      <c r="F651" s="39" t="str">
        <f>IF(B651="","",BOM!E651)</f>
        <v/>
      </c>
      <c r="G651" s="39" t="str">
        <f>IF(OR(B651="",E651="KXDDM"),"",BOM!F651)</f>
        <v/>
      </c>
      <c r="H651" s="39" t="str">
        <f>IF(OR(B651="",E651&lt;&gt;""),"",IFERROR(INDEX(KT_nguoc_theo_NL!$J$5:$J$304,MATCH(C651,KT_nguoc_theo_NL!$B$5:$B$304,0))/INDEX(KT_nguoc_theo_NL!$K$5:$K$304,MATCH(C651,KT_nguoc_theo_NL!$B$5:$B$304,0)),""))</f>
        <v/>
      </c>
      <c r="I651" s="39" t="str">
        <f t="shared" si="51"/>
        <v/>
      </c>
      <c r="J651" s="46" t="str">
        <f t="shared" si="52"/>
        <v/>
      </c>
      <c r="K651" s="46" t="str">
        <f t="shared" si="53"/>
        <v/>
      </c>
      <c r="L651" s="46" t="str">
        <f t="shared" si="54"/>
        <v/>
      </c>
      <c r="M651" s="35" t="str">
        <f>IF(B651="","",IF(E651="KXDDM","KXDDM – không ĐM",IF(E651&lt;&gt;"","Không KT ("&amp;E651&amp;")",IF(OR(K651="",L651=""),"Xem xét",IF(MAX(ABS(K651),ABS(L651))&lt;=ThongTin!$C$12,"OK","Xem xét")))))</f>
        <v/>
      </c>
    </row>
    <row r="652" spans="1:13" x14ac:dyDescent="0.25">
      <c r="A652" s="35" t="str">
        <f t="shared" si="50"/>
        <v/>
      </c>
      <c r="B652" s="35" t="str">
        <f>IF(BOM!A652="","",BOM!A652)</f>
        <v/>
      </c>
      <c r="C652" s="35" t="str">
        <f>IF(B652="","",BOM!B652)</f>
        <v/>
      </c>
      <c r="D652" s="35" t="str">
        <f>IF(B652="","",KT_DMTT_ChiTiet!E652)</f>
        <v/>
      </c>
      <c r="E652" s="36" t="str">
        <f>IF(B652="","",BOM!G652&amp;"")</f>
        <v/>
      </c>
      <c r="F652" s="39" t="str">
        <f>IF(B652="","",BOM!E652)</f>
        <v/>
      </c>
      <c r="G652" s="39" t="str">
        <f>IF(OR(B652="",E652="KXDDM"),"",BOM!F652)</f>
        <v/>
      </c>
      <c r="H652" s="39" t="str">
        <f>IF(OR(B652="",E652&lt;&gt;""),"",IFERROR(INDEX(KT_nguoc_theo_NL!$J$5:$J$304,MATCH(C652,KT_nguoc_theo_NL!$B$5:$B$304,0))/INDEX(KT_nguoc_theo_NL!$K$5:$K$304,MATCH(C652,KT_nguoc_theo_NL!$B$5:$B$304,0)),""))</f>
        <v/>
      </c>
      <c r="I652" s="39" t="str">
        <f t="shared" si="51"/>
        <v/>
      </c>
      <c r="J652" s="46" t="str">
        <f t="shared" si="52"/>
        <v/>
      </c>
      <c r="K652" s="46" t="str">
        <f t="shared" si="53"/>
        <v/>
      </c>
      <c r="L652" s="46" t="str">
        <f t="shared" si="54"/>
        <v/>
      </c>
      <c r="M652" s="35" t="str">
        <f>IF(B652="","",IF(E652="KXDDM","KXDDM – không ĐM",IF(E652&lt;&gt;"","Không KT ("&amp;E652&amp;")",IF(OR(K652="",L652=""),"Xem xét",IF(MAX(ABS(K652),ABS(L652))&lt;=ThongTin!$C$12,"OK","Xem xét")))))</f>
        <v/>
      </c>
    </row>
    <row r="653" spans="1:13" x14ac:dyDescent="0.25">
      <c r="A653" s="35" t="str">
        <f t="shared" si="50"/>
        <v/>
      </c>
      <c r="B653" s="35" t="str">
        <f>IF(BOM!A653="","",BOM!A653)</f>
        <v/>
      </c>
      <c r="C653" s="35" t="str">
        <f>IF(B653="","",BOM!B653)</f>
        <v/>
      </c>
      <c r="D653" s="35" t="str">
        <f>IF(B653="","",KT_DMTT_ChiTiet!E653)</f>
        <v/>
      </c>
      <c r="E653" s="36" t="str">
        <f>IF(B653="","",BOM!G653&amp;"")</f>
        <v/>
      </c>
      <c r="F653" s="39" t="str">
        <f>IF(B653="","",BOM!E653)</f>
        <v/>
      </c>
      <c r="G653" s="39" t="str">
        <f>IF(OR(B653="",E653="KXDDM"),"",BOM!F653)</f>
        <v/>
      </c>
      <c r="H653" s="39" t="str">
        <f>IF(OR(B653="",E653&lt;&gt;""),"",IFERROR(INDEX(KT_nguoc_theo_NL!$J$5:$J$304,MATCH(C653,KT_nguoc_theo_NL!$B$5:$B$304,0))/INDEX(KT_nguoc_theo_NL!$K$5:$K$304,MATCH(C653,KT_nguoc_theo_NL!$B$5:$B$304,0)),""))</f>
        <v/>
      </c>
      <c r="I653" s="39" t="str">
        <f t="shared" si="51"/>
        <v/>
      </c>
      <c r="J653" s="46" t="str">
        <f t="shared" si="52"/>
        <v/>
      </c>
      <c r="K653" s="46" t="str">
        <f t="shared" si="53"/>
        <v/>
      </c>
      <c r="L653" s="46" t="str">
        <f t="shared" si="54"/>
        <v/>
      </c>
      <c r="M653" s="35" t="str">
        <f>IF(B653="","",IF(E653="KXDDM","KXDDM – không ĐM",IF(E653&lt;&gt;"","Không KT ("&amp;E653&amp;")",IF(OR(K653="",L653=""),"Xem xét",IF(MAX(ABS(K653),ABS(L653))&lt;=ThongTin!$C$12,"OK","Xem xét")))))</f>
        <v/>
      </c>
    </row>
    <row r="654" spans="1:13" x14ac:dyDescent="0.25">
      <c r="A654" s="35" t="str">
        <f t="shared" si="50"/>
        <v/>
      </c>
      <c r="B654" s="35" t="str">
        <f>IF(BOM!A654="","",BOM!A654)</f>
        <v/>
      </c>
      <c r="C654" s="35" t="str">
        <f>IF(B654="","",BOM!B654)</f>
        <v/>
      </c>
      <c r="D654" s="35" t="str">
        <f>IF(B654="","",KT_DMTT_ChiTiet!E654)</f>
        <v/>
      </c>
      <c r="E654" s="36" t="str">
        <f>IF(B654="","",BOM!G654&amp;"")</f>
        <v/>
      </c>
      <c r="F654" s="39" t="str">
        <f>IF(B654="","",BOM!E654)</f>
        <v/>
      </c>
      <c r="G654" s="39" t="str">
        <f>IF(OR(B654="",E654="KXDDM"),"",BOM!F654)</f>
        <v/>
      </c>
      <c r="H654" s="39" t="str">
        <f>IF(OR(B654="",E654&lt;&gt;""),"",IFERROR(INDEX(KT_nguoc_theo_NL!$J$5:$J$304,MATCH(C654,KT_nguoc_theo_NL!$B$5:$B$304,0))/INDEX(KT_nguoc_theo_NL!$K$5:$K$304,MATCH(C654,KT_nguoc_theo_NL!$B$5:$B$304,0)),""))</f>
        <v/>
      </c>
      <c r="I654" s="39" t="str">
        <f t="shared" si="51"/>
        <v/>
      </c>
      <c r="J654" s="46" t="str">
        <f t="shared" si="52"/>
        <v/>
      </c>
      <c r="K654" s="46" t="str">
        <f t="shared" si="53"/>
        <v/>
      </c>
      <c r="L654" s="46" t="str">
        <f t="shared" si="54"/>
        <v/>
      </c>
      <c r="M654" s="35" t="str">
        <f>IF(B654="","",IF(E654="KXDDM","KXDDM – không ĐM",IF(E654&lt;&gt;"","Không KT ("&amp;E654&amp;")",IF(OR(K654="",L654=""),"Xem xét",IF(MAX(ABS(K654),ABS(L654))&lt;=ThongTin!$C$12,"OK","Xem xét")))))</f>
        <v/>
      </c>
    </row>
    <row r="655" spans="1:13" x14ac:dyDescent="0.25">
      <c r="A655" s="35" t="str">
        <f t="shared" si="50"/>
        <v/>
      </c>
      <c r="B655" s="35" t="str">
        <f>IF(BOM!A655="","",BOM!A655)</f>
        <v/>
      </c>
      <c r="C655" s="35" t="str">
        <f>IF(B655="","",BOM!B655)</f>
        <v/>
      </c>
      <c r="D655" s="35" t="str">
        <f>IF(B655="","",KT_DMTT_ChiTiet!E655)</f>
        <v/>
      </c>
      <c r="E655" s="36" t="str">
        <f>IF(B655="","",BOM!G655&amp;"")</f>
        <v/>
      </c>
      <c r="F655" s="39" t="str">
        <f>IF(B655="","",BOM!E655)</f>
        <v/>
      </c>
      <c r="G655" s="39" t="str">
        <f>IF(OR(B655="",E655="KXDDM"),"",BOM!F655)</f>
        <v/>
      </c>
      <c r="H655" s="39" t="str">
        <f>IF(OR(B655="",E655&lt;&gt;""),"",IFERROR(INDEX(KT_nguoc_theo_NL!$J$5:$J$304,MATCH(C655,KT_nguoc_theo_NL!$B$5:$B$304,0))/INDEX(KT_nguoc_theo_NL!$K$5:$K$304,MATCH(C655,KT_nguoc_theo_NL!$B$5:$B$304,0)),""))</f>
        <v/>
      </c>
      <c r="I655" s="39" t="str">
        <f t="shared" si="51"/>
        <v/>
      </c>
      <c r="J655" s="46" t="str">
        <f t="shared" si="52"/>
        <v/>
      </c>
      <c r="K655" s="46" t="str">
        <f t="shared" si="53"/>
        <v/>
      </c>
      <c r="L655" s="46" t="str">
        <f t="shared" si="54"/>
        <v/>
      </c>
      <c r="M655" s="35" t="str">
        <f>IF(B655="","",IF(E655="KXDDM","KXDDM – không ĐM",IF(E655&lt;&gt;"","Không KT ("&amp;E655&amp;")",IF(OR(K655="",L655=""),"Xem xét",IF(MAX(ABS(K655),ABS(L655))&lt;=ThongTin!$C$12,"OK","Xem xét")))))</f>
        <v/>
      </c>
    </row>
    <row r="656" spans="1:13" x14ac:dyDescent="0.25">
      <c r="A656" s="35" t="str">
        <f t="shared" si="50"/>
        <v/>
      </c>
      <c r="B656" s="35" t="str">
        <f>IF(BOM!A656="","",BOM!A656)</f>
        <v/>
      </c>
      <c r="C656" s="35" t="str">
        <f>IF(B656="","",BOM!B656)</f>
        <v/>
      </c>
      <c r="D656" s="35" t="str">
        <f>IF(B656="","",KT_DMTT_ChiTiet!E656)</f>
        <v/>
      </c>
      <c r="E656" s="36" t="str">
        <f>IF(B656="","",BOM!G656&amp;"")</f>
        <v/>
      </c>
      <c r="F656" s="39" t="str">
        <f>IF(B656="","",BOM!E656)</f>
        <v/>
      </c>
      <c r="G656" s="39" t="str">
        <f>IF(OR(B656="",E656="KXDDM"),"",BOM!F656)</f>
        <v/>
      </c>
      <c r="H656" s="39" t="str">
        <f>IF(OR(B656="",E656&lt;&gt;""),"",IFERROR(INDEX(KT_nguoc_theo_NL!$J$5:$J$304,MATCH(C656,KT_nguoc_theo_NL!$B$5:$B$304,0))/INDEX(KT_nguoc_theo_NL!$K$5:$K$304,MATCH(C656,KT_nguoc_theo_NL!$B$5:$B$304,0)),""))</f>
        <v/>
      </c>
      <c r="I656" s="39" t="str">
        <f t="shared" si="51"/>
        <v/>
      </c>
      <c r="J656" s="46" t="str">
        <f t="shared" si="52"/>
        <v/>
      </c>
      <c r="K656" s="46" t="str">
        <f t="shared" si="53"/>
        <v/>
      </c>
      <c r="L656" s="46" t="str">
        <f t="shared" si="54"/>
        <v/>
      </c>
      <c r="M656" s="35" t="str">
        <f>IF(B656="","",IF(E656="KXDDM","KXDDM – không ĐM",IF(E656&lt;&gt;"","Không KT ("&amp;E656&amp;")",IF(OR(K656="",L656=""),"Xem xét",IF(MAX(ABS(K656),ABS(L656))&lt;=ThongTin!$C$12,"OK","Xem xét")))))</f>
        <v/>
      </c>
    </row>
    <row r="657" spans="1:13" x14ac:dyDescent="0.25">
      <c r="A657" s="35" t="str">
        <f t="shared" si="50"/>
        <v/>
      </c>
      <c r="B657" s="35" t="str">
        <f>IF(BOM!A657="","",BOM!A657)</f>
        <v/>
      </c>
      <c r="C657" s="35" t="str">
        <f>IF(B657="","",BOM!B657)</f>
        <v/>
      </c>
      <c r="D657" s="35" t="str">
        <f>IF(B657="","",KT_DMTT_ChiTiet!E657)</f>
        <v/>
      </c>
      <c r="E657" s="36" t="str">
        <f>IF(B657="","",BOM!G657&amp;"")</f>
        <v/>
      </c>
      <c r="F657" s="39" t="str">
        <f>IF(B657="","",BOM!E657)</f>
        <v/>
      </c>
      <c r="G657" s="39" t="str">
        <f>IF(OR(B657="",E657="KXDDM"),"",BOM!F657)</f>
        <v/>
      </c>
      <c r="H657" s="39" t="str">
        <f>IF(OR(B657="",E657&lt;&gt;""),"",IFERROR(INDEX(KT_nguoc_theo_NL!$J$5:$J$304,MATCH(C657,KT_nguoc_theo_NL!$B$5:$B$304,0))/INDEX(KT_nguoc_theo_NL!$K$5:$K$304,MATCH(C657,KT_nguoc_theo_NL!$B$5:$B$304,0)),""))</f>
        <v/>
      </c>
      <c r="I657" s="39" t="str">
        <f t="shared" si="51"/>
        <v/>
      </c>
      <c r="J657" s="46" t="str">
        <f t="shared" si="52"/>
        <v/>
      </c>
      <c r="K657" s="46" t="str">
        <f t="shared" si="53"/>
        <v/>
      </c>
      <c r="L657" s="46" t="str">
        <f t="shared" si="54"/>
        <v/>
      </c>
      <c r="M657" s="35" t="str">
        <f>IF(B657="","",IF(E657="KXDDM","KXDDM – không ĐM",IF(E657&lt;&gt;"","Không KT ("&amp;E657&amp;")",IF(OR(K657="",L657=""),"Xem xét",IF(MAX(ABS(K657),ABS(L657))&lt;=ThongTin!$C$12,"OK","Xem xét")))))</f>
        <v/>
      </c>
    </row>
    <row r="658" spans="1:13" x14ac:dyDescent="0.25">
      <c r="A658" s="35" t="str">
        <f t="shared" si="50"/>
        <v/>
      </c>
      <c r="B658" s="35" t="str">
        <f>IF(BOM!A658="","",BOM!A658)</f>
        <v/>
      </c>
      <c r="C658" s="35" t="str">
        <f>IF(B658="","",BOM!B658)</f>
        <v/>
      </c>
      <c r="D658" s="35" t="str">
        <f>IF(B658="","",KT_DMTT_ChiTiet!E658)</f>
        <v/>
      </c>
      <c r="E658" s="36" t="str">
        <f>IF(B658="","",BOM!G658&amp;"")</f>
        <v/>
      </c>
      <c r="F658" s="39" t="str">
        <f>IF(B658="","",BOM!E658)</f>
        <v/>
      </c>
      <c r="G658" s="39" t="str">
        <f>IF(OR(B658="",E658="KXDDM"),"",BOM!F658)</f>
        <v/>
      </c>
      <c r="H658" s="39" t="str">
        <f>IF(OR(B658="",E658&lt;&gt;""),"",IFERROR(INDEX(KT_nguoc_theo_NL!$J$5:$J$304,MATCH(C658,KT_nguoc_theo_NL!$B$5:$B$304,0))/INDEX(KT_nguoc_theo_NL!$K$5:$K$304,MATCH(C658,KT_nguoc_theo_NL!$B$5:$B$304,0)),""))</f>
        <v/>
      </c>
      <c r="I658" s="39" t="str">
        <f t="shared" si="51"/>
        <v/>
      </c>
      <c r="J658" s="46" t="str">
        <f t="shared" si="52"/>
        <v/>
      </c>
      <c r="K658" s="46" t="str">
        <f t="shared" si="53"/>
        <v/>
      </c>
      <c r="L658" s="46" t="str">
        <f t="shared" si="54"/>
        <v/>
      </c>
      <c r="M658" s="35" t="str">
        <f>IF(B658="","",IF(E658="KXDDM","KXDDM – không ĐM",IF(E658&lt;&gt;"","Không KT ("&amp;E658&amp;")",IF(OR(K658="",L658=""),"Xem xét",IF(MAX(ABS(K658),ABS(L658))&lt;=ThongTin!$C$12,"OK","Xem xét")))))</f>
        <v/>
      </c>
    </row>
    <row r="659" spans="1:13" x14ac:dyDescent="0.25">
      <c r="A659" s="35" t="str">
        <f t="shared" si="50"/>
        <v/>
      </c>
      <c r="B659" s="35" t="str">
        <f>IF(BOM!A659="","",BOM!A659)</f>
        <v/>
      </c>
      <c r="C659" s="35" t="str">
        <f>IF(B659="","",BOM!B659)</f>
        <v/>
      </c>
      <c r="D659" s="35" t="str">
        <f>IF(B659="","",KT_DMTT_ChiTiet!E659)</f>
        <v/>
      </c>
      <c r="E659" s="36" t="str">
        <f>IF(B659="","",BOM!G659&amp;"")</f>
        <v/>
      </c>
      <c r="F659" s="39" t="str">
        <f>IF(B659="","",BOM!E659)</f>
        <v/>
      </c>
      <c r="G659" s="39" t="str">
        <f>IF(OR(B659="",E659="KXDDM"),"",BOM!F659)</f>
        <v/>
      </c>
      <c r="H659" s="39" t="str">
        <f>IF(OR(B659="",E659&lt;&gt;""),"",IFERROR(INDEX(KT_nguoc_theo_NL!$J$5:$J$304,MATCH(C659,KT_nguoc_theo_NL!$B$5:$B$304,0))/INDEX(KT_nguoc_theo_NL!$K$5:$K$304,MATCH(C659,KT_nguoc_theo_NL!$B$5:$B$304,0)),""))</f>
        <v/>
      </c>
      <c r="I659" s="39" t="str">
        <f t="shared" si="51"/>
        <v/>
      </c>
      <c r="J659" s="46" t="str">
        <f t="shared" si="52"/>
        <v/>
      </c>
      <c r="K659" s="46" t="str">
        <f t="shared" si="53"/>
        <v/>
      </c>
      <c r="L659" s="46" t="str">
        <f t="shared" si="54"/>
        <v/>
      </c>
      <c r="M659" s="35" t="str">
        <f>IF(B659="","",IF(E659="KXDDM","KXDDM – không ĐM",IF(E659&lt;&gt;"","Không KT ("&amp;E659&amp;")",IF(OR(K659="",L659=""),"Xem xét",IF(MAX(ABS(K659),ABS(L659))&lt;=ThongTin!$C$12,"OK","Xem xét")))))</f>
        <v/>
      </c>
    </row>
    <row r="660" spans="1:13" x14ac:dyDescent="0.25">
      <c r="A660" s="35" t="str">
        <f t="shared" si="50"/>
        <v/>
      </c>
      <c r="B660" s="35" t="str">
        <f>IF(BOM!A660="","",BOM!A660)</f>
        <v/>
      </c>
      <c r="C660" s="35" t="str">
        <f>IF(B660="","",BOM!B660)</f>
        <v/>
      </c>
      <c r="D660" s="35" t="str">
        <f>IF(B660="","",KT_DMTT_ChiTiet!E660)</f>
        <v/>
      </c>
      <c r="E660" s="36" t="str">
        <f>IF(B660="","",BOM!G660&amp;"")</f>
        <v/>
      </c>
      <c r="F660" s="39" t="str">
        <f>IF(B660="","",BOM!E660)</f>
        <v/>
      </c>
      <c r="G660" s="39" t="str">
        <f>IF(OR(B660="",E660="KXDDM"),"",BOM!F660)</f>
        <v/>
      </c>
      <c r="H660" s="39" t="str">
        <f>IF(OR(B660="",E660&lt;&gt;""),"",IFERROR(INDEX(KT_nguoc_theo_NL!$J$5:$J$304,MATCH(C660,KT_nguoc_theo_NL!$B$5:$B$304,0))/INDEX(KT_nguoc_theo_NL!$K$5:$K$304,MATCH(C660,KT_nguoc_theo_NL!$B$5:$B$304,0)),""))</f>
        <v/>
      </c>
      <c r="I660" s="39" t="str">
        <f t="shared" si="51"/>
        <v/>
      </c>
      <c r="J660" s="46" t="str">
        <f t="shared" si="52"/>
        <v/>
      </c>
      <c r="K660" s="46" t="str">
        <f t="shared" si="53"/>
        <v/>
      </c>
      <c r="L660" s="46" t="str">
        <f t="shared" si="54"/>
        <v/>
      </c>
      <c r="M660" s="35" t="str">
        <f>IF(B660="","",IF(E660="KXDDM","KXDDM – không ĐM",IF(E660&lt;&gt;"","Không KT ("&amp;E660&amp;")",IF(OR(K660="",L660=""),"Xem xét",IF(MAX(ABS(K660),ABS(L660))&lt;=ThongTin!$C$12,"OK","Xem xét")))))</f>
        <v/>
      </c>
    </row>
    <row r="661" spans="1:13" x14ac:dyDescent="0.25">
      <c r="A661" s="35" t="str">
        <f t="shared" si="50"/>
        <v/>
      </c>
      <c r="B661" s="35" t="str">
        <f>IF(BOM!A661="","",BOM!A661)</f>
        <v/>
      </c>
      <c r="C661" s="35" t="str">
        <f>IF(B661="","",BOM!B661)</f>
        <v/>
      </c>
      <c r="D661" s="35" t="str">
        <f>IF(B661="","",KT_DMTT_ChiTiet!E661)</f>
        <v/>
      </c>
      <c r="E661" s="36" t="str">
        <f>IF(B661="","",BOM!G661&amp;"")</f>
        <v/>
      </c>
      <c r="F661" s="39" t="str">
        <f>IF(B661="","",BOM!E661)</f>
        <v/>
      </c>
      <c r="G661" s="39" t="str">
        <f>IF(OR(B661="",E661="KXDDM"),"",BOM!F661)</f>
        <v/>
      </c>
      <c r="H661" s="39" t="str">
        <f>IF(OR(B661="",E661&lt;&gt;""),"",IFERROR(INDEX(KT_nguoc_theo_NL!$J$5:$J$304,MATCH(C661,KT_nguoc_theo_NL!$B$5:$B$304,0))/INDEX(KT_nguoc_theo_NL!$K$5:$K$304,MATCH(C661,KT_nguoc_theo_NL!$B$5:$B$304,0)),""))</f>
        <v/>
      </c>
      <c r="I661" s="39" t="str">
        <f t="shared" si="51"/>
        <v/>
      </c>
      <c r="J661" s="46" t="str">
        <f t="shared" si="52"/>
        <v/>
      </c>
      <c r="K661" s="46" t="str">
        <f t="shared" si="53"/>
        <v/>
      </c>
      <c r="L661" s="46" t="str">
        <f t="shared" si="54"/>
        <v/>
      </c>
      <c r="M661" s="35" t="str">
        <f>IF(B661="","",IF(E661="KXDDM","KXDDM – không ĐM",IF(E661&lt;&gt;"","Không KT ("&amp;E661&amp;")",IF(OR(K661="",L661=""),"Xem xét",IF(MAX(ABS(K661),ABS(L661))&lt;=ThongTin!$C$12,"OK","Xem xét")))))</f>
        <v/>
      </c>
    </row>
    <row r="662" spans="1:13" x14ac:dyDescent="0.25">
      <c r="A662" s="35" t="str">
        <f t="shared" si="50"/>
        <v/>
      </c>
      <c r="B662" s="35" t="str">
        <f>IF(BOM!A662="","",BOM!A662)</f>
        <v/>
      </c>
      <c r="C662" s="35" t="str">
        <f>IF(B662="","",BOM!B662)</f>
        <v/>
      </c>
      <c r="D662" s="35" t="str">
        <f>IF(B662="","",KT_DMTT_ChiTiet!E662)</f>
        <v/>
      </c>
      <c r="E662" s="36" t="str">
        <f>IF(B662="","",BOM!G662&amp;"")</f>
        <v/>
      </c>
      <c r="F662" s="39" t="str">
        <f>IF(B662="","",BOM!E662)</f>
        <v/>
      </c>
      <c r="G662" s="39" t="str">
        <f>IF(OR(B662="",E662="KXDDM"),"",BOM!F662)</f>
        <v/>
      </c>
      <c r="H662" s="39" t="str">
        <f>IF(OR(B662="",E662&lt;&gt;""),"",IFERROR(INDEX(KT_nguoc_theo_NL!$J$5:$J$304,MATCH(C662,KT_nguoc_theo_NL!$B$5:$B$304,0))/INDEX(KT_nguoc_theo_NL!$K$5:$K$304,MATCH(C662,KT_nguoc_theo_NL!$B$5:$B$304,0)),""))</f>
        <v/>
      </c>
      <c r="I662" s="39" t="str">
        <f t="shared" si="51"/>
        <v/>
      </c>
      <c r="J662" s="46" t="str">
        <f t="shared" si="52"/>
        <v/>
      </c>
      <c r="K662" s="46" t="str">
        <f t="shared" si="53"/>
        <v/>
      </c>
      <c r="L662" s="46" t="str">
        <f t="shared" si="54"/>
        <v/>
      </c>
      <c r="M662" s="35" t="str">
        <f>IF(B662="","",IF(E662="KXDDM","KXDDM – không ĐM",IF(E662&lt;&gt;"","Không KT ("&amp;E662&amp;")",IF(OR(K662="",L662=""),"Xem xét",IF(MAX(ABS(K662),ABS(L662))&lt;=ThongTin!$C$12,"OK","Xem xét")))))</f>
        <v/>
      </c>
    </row>
    <row r="663" spans="1:13" x14ac:dyDescent="0.25">
      <c r="A663" s="35" t="str">
        <f t="shared" si="50"/>
        <v/>
      </c>
      <c r="B663" s="35" t="str">
        <f>IF(BOM!A663="","",BOM!A663)</f>
        <v/>
      </c>
      <c r="C663" s="35" t="str">
        <f>IF(B663="","",BOM!B663)</f>
        <v/>
      </c>
      <c r="D663" s="35" t="str">
        <f>IF(B663="","",KT_DMTT_ChiTiet!E663)</f>
        <v/>
      </c>
      <c r="E663" s="36" t="str">
        <f>IF(B663="","",BOM!G663&amp;"")</f>
        <v/>
      </c>
      <c r="F663" s="39" t="str">
        <f>IF(B663="","",BOM!E663)</f>
        <v/>
      </c>
      <c r="G663" s="39" t="str">
        <f>IF(OR(B663="",E663="KXDDM"),"",BOM!F663)</f>
        <v/>
      </c>
      <c r="H663" s="39" t="str">
        <f>IF(OR(B663="",E663&lt;&gt;""),"",IFERROR(INDEX(KT_nguoc_theo_NL!$J$5:$J$304,MATCH(C663,KT_nguoc_theo_NL!$B$5:$B$304,0))/INDEX(KT_nguoc_theo_NL!$K$5:$K$304,MATCH(C663,KT_nguoc_theo_NL!$B$5:$B$304,0)),""))</f>
        <v/>
      </c>
      <c r="I663" s="39" t="str">
        <f t="shared" si="51"/>
        <v/>
      </c>
      <c r="J663" s="46" t="str">
        <f t="shared" si="52"/>
        <v/>
      </c>
      <c r="K663" s="46" t="str">
        <f t="shared" si="53"/>
        <v/>
      </c>
      <c r="L663" s="46" t="str">
        <f t="shared" si="54"/>
        <v/>
      </c>
      <c r="M663" s="35" t="str">
        <f>IF(B663="","",IF(E663="KXDDM","KXDDM – không ĐM",IF(E663&lt;&gt;"","Không KT ("&amp;E663&amp;")",IF(OR(K663="",L663=""),"Xem xét",IF(MAX(ABS(K663),ABS(L663))&lt;=ThongTin!$C$12,"OK","Xem xét")))))</f>
        <v/>
      </c>
    </row>
    <row r="664" spans="1:13" x14ac:dyDescent="0.25">
      <c r="A664" s="35" t="str">
        <f t="shared" si="50"/>
        <v/>
      </c>
      <c r="B664" s="35" t="str">
        <f>IF(BOM!A664="","",BOM!A664)</f>
        <v/>
      </c>
      <c r="C664" s="35" t="str">
        <f>IF(B664="","",BOM!B664)</f>
        <v/>
      </c>
      <c r="D664" s="35" t="str">
        <f>IF(B664="","",KT_DMTT_ChiTiet!E664)</f>
        <v/>
      </c>
      <c r="E664" s="36" t="str">
        <f>IF(B664="","",BOM!G664&amp;"")</f>
        <v/>
      </c>
      <c r="F664" s="39" t="str">
        <f>IF(B664="","",BOM!E664)</f>
        <v/>
      </c>
      <c r="G664" s="39" t="str">
        <f>IF(OR(B664="",E664="KXDDM"),"",BOM!F664)</f>
        <v/>
      </c>
      <c r="H664" s="39" t="str">
        <f>IF(OR(B664="",E664&lt;&gt;""),"",IFERROR(INDEX(KT_nguoc_theo_NL!$J$5:$J$304,MATCH(C664,KT_nguoc_theo_NL!$B$5:$B$304,0))/INDEX(KT_nguoc_theo_NL!$K$5:$K$304,MATCH(C664,KT_nguoc_theo_NL!$B$5:$B$304,0)),""))</f>
        <v/>
      </c>
      <c r="I664" s="39" t="str">
        <f t="shared" si="51"/>
        <v/>
      </c>
      <c r="J664" s="46" t="str">
        <f t="shared" si="52"/>
        <v/>
      </c>
      <c r="K664" s="46" t="str">
        <f t="shared" si="53"/>
        <v/>
      </c>
      <c r="L664" s="46" t="str">
        <f t="shared" si="54"/>
        <v/>
      </c>
      <c r="M664" s="35" t="str">
        <f>IF(B664="","",IF(E664="KXDDM","KXDDM – không ĐM",IF(E664&lt;&gt;"","Không KT ("&amp;E664&amp;")",IF(OR(K664="",L664=""),"Xem xét",IF(MAX(ABS(K664),ABS(L664))&lt;=ThongTin!$C$12,"OK","Xem xét")))))</f>
        <v/>
      </c>
    </row>
    <row r="665" spans="1:13" x14ac:dyDescent="0.25">
      <c r="A665" s="35" t="str">
        <f t="shared" si="50"/>
        <v/>
      </c>
      <c r="B665" s="35" t="str">
        <f>IF(BOM!A665="","",BOM!A665)</f>
        <v/>
      </c>
      <c r="C665" s="35" t="str">
        <f>IF(B665="","",BOM!B665)</f>
        <v/>
      </c>
      <c r="D665" s="35" t="str">
        <f>IF(B665="","",KT_DMTT_ChiTiet!E665)</f>
        <v/>
      </c>
      <c r="E665" s="36" t="str">
        <f>IF(B665="","",BOM!G665&amp;"")</f>
        <v/>
      </c>
      <c r="F665" s="39" t="str">
        <f>IF(B665="","",BOM!E665)</f>
        <v/>
      </c>
      <c r="G665" s="39" t="str">
        <f>IF(OR(B665="",E665="KXDDM"),"",BOM!F665)</f>
        <v/>
      </c>
      <c r="H665" s="39" t="str">
        <f>IF(OR(B665="",E665&lt;&gt;""),"",IFERROR(INDEX(KT_nguoc_theo_NL!$J$5:$J$304,MATCH(C665,KT_nguoc_theo_NL!$B$5:$B$304,0))/INDEX(KT_nguoc_theo_NL!$K$5:$K$304,MATCH(C665,KT_nguoc_theo_NL!$B$5:$B$304,0)),""))</f>
        <v/>
      </c>
      <c r="I665" s="39" t="str">
        <f t="shared" si="51"/>
        <v/>
      </c>
      <c r="J665" s="46" t="str">
        <f t="shared" si="52"/>
        <v/>
      </c>
      <c r="K665" s="46" t="str">
        <f t="shared" si="53"/>
        <v/>
      </c>
      <c r="L665" s="46" t="str">
        <f t="shared" si="54"/>
        <v/>
      </c>
      <c r="M665" s="35" t="str">
        <f>IF(B665="","",IF(E665="KXDDM","KXDDM – không ĐM",IF(E665&lt;&gt;"","Không KT ("&amp;E665&amp;")",IF(OR(K665="",L665=""),"Xem xét",IF(MAX(ABS(K665),ABS(L665))&lt;=ThongTin!$C$12,"OK","Xem xét")))))</f>
        <v/>
      </c>
    </row>
    <row r="666" spans="1:13" x14ac:dyDescent="0.25">
      <c r="A666" s="35" t="str">
        <f t="shared" si="50"/>
        <v/>
      </c>
      <c r="B666" s="35" t="str">
        <f>IF(BOM!A666="","",BOM!A666)</f>
        <v/>
      </c>
      <c r="C666" s="35" t="str">
        <f>IF(B666="","",BOM!B666)</f>
        <v/>
      </c>
      <c r="D666" s="35" t="str">
        <f>IF(B666="","",KT_DMTT_ChiTiet!E666)</f>
        <v/>
      </c>
      <c r="E666" s="36" t="str">
        <f>IF(B666="","",BOM!G666&amp;"")</f>
        <v/>
      </c>
      <c r="F666" s="39" t="str">
        <f>IF(B666="","",BOM!E666)</f>
        <v/>
      </c>
      <c r="G666" s="39" t="str">
        <f>IF(OR(B666="",E666="KXDDM"),"",BOM!F666)</f>
        <v/>
      </c>
      <c r="H666" s="39" t="str">
        <f>IF(OR(B666="",E666&lt;&gt;""),"",IFERROR(INDEX(KT_nguoc_theo_NL!$J$5:$J$304,MATCH(C666,KT_nguoc_theo_NL!$B$5:$B$304,0))/INDEX(KT_nguoc_theo_NL!$K$5:$K$304,MATCH(C666,KT_nguoc_theo_NL!$B$5:$B$304,0)),""))</f>
        <v/>
      </c>
      <c r="I666" s="39" t="str">
        <f t="shared" si="51"/>
        <v/>
      </c>
      <c r="J666" s="46" t="str">
        <f t="shared" si="52"/>
        <v/>
      </c>
      <c r="K666" s="46" t="str">
        <f t="shared" si="53"/>
        <v/>
      </c>
      <c r="L666" s="46" t="str">
        <f t="shared" si="54"/>
        <v/>
      </c>
      <c r="M666" s="35" t="str">
        <f>IF(B666="","",IF(E666="KXDDM","KXDDM – không ĐM",IF(E666&lt;&gt;"","Không KT ("&amp;E666&amp;")",IF(OR(K666="",L666=""),"Xem xét",IF(MAX(ABS(K666),ABS(L666))&lt;=ThongTin!$C$12,"OK","Xem xét")))))</f>
        <v/>
      </c>
    </row>
    <row r="667" spans="1:13" x14ac:dyDescent="0.25">
      <c r="A667" s="35" t="str">
        <f t="shared" si="50"/>
        <v/>
      </c>
      <c r="B667" s="35" t="str">
        <f>IF(BOM!A667="","",BOM!A667)</f>
        <v/>
      </c>
      <c r="C667" s="35" t="str">
        <f>IF(B667="","",BOM!B667)</f>
        <v/>
      </c>
      <c r="D667" s="35" t="str">
        <f>IF(B667="","",KT_DMTT_ChiTiet!E667)</f>
        <v/>
      </c>
      <c r="E667" s="36" t="str">
        <f>IF(B667="","",BOM!G667&amp;"")</f>
        <v/>
      </c>
      <c r="F667" s="39" t="str">
        <f>IF(B667="","",BOM!E667)</f>
        <v/>
      </c>
      <c r="G667" s="39" t="str">
        <f>IF(OR(B667="",E667="KXDDM"),"",BOM!F667)</f>
        <v/>
      </c>
      <c r="H667" s="39" t="str">
        <f>IF(OR(B667="",E667&lt;&gt;""),"",IFERROR(INDEX(KT_nguoc_theo_NL!$J$5:$J$304,MATCH(C667,KT_nguoc_theo_NL!$B$5:$B$304,0))/INDEX(KT_nguoc_theo_NL!$K$5:$K$304,MATCH(C667,KT_nguoc_theo_NL!$B$5:$B$304,0)),""))</f>
        <v/>
      </c>
      <c r="I667" s="39" t="str">
        <f t="shared" si="51"/>
        <v/>
      </c>
      <c r="J667" s="46" t="str">
        <f t="shared" si="52"/>
        <v/>
      </c>
      <c r="K667" s="46" t="str">
        <f t="shared" si="53"/>
        <v/>
      </c>
      <c r="L667" s="46" t="str">
        <f t="shared" si="54"/>
        <v/>
      </c>
      <c r="M667" s="35" t="str">
        <f>IF(B667="","",IF(E667="KXDDM","KXDDM – không ĐM",IF(E667&lt;&gt;"","Không KT ("&amp;E667&amp;")",IF(OR(K667="",L667=""),"Xem xét",IF(MAX(ABS(K667),ABS(L667))&lt;=ThongTin!$C$12,"OK","Xem xét")))))</f>
        <v/>
      </c>
    </row>
    <row r="668" spans="1:13" x14ac:dyDescent="0.25">
      <c r="A668" s="35" t="str">
        <f t="shared" si="50"/>
        <v/>
      </c>
      <c r="B668" s="35" t="str">
        <f>IF(BOM!A668="","",BOM!A668)</f>
        <v/>
      </c>
      <c r="C668" s="35" t="str">
        <f>IF(B668="","",BOM!B668)</f>
        <v/>
      </c>
      <c r="D668" s="35" t="str">
        <f>IF(B668="","",KT_DMTT_ChiTiet!E668)</f>
        <v/>
      </c>
      <c r="E668" s="36" t="str">
        <f>IF(B668="","",BOM!G668&amp;"")</f>
        <v/>
      </c>
      <c r="F668" s="39" t="str">
        <f>IF(B668="","",BOM!E668)</f>
        <v/>
      </c>
      <c r="G668" s="39" t="str">
        <f>IF(OR(B668="",E668="KXDDM"),"",BOM!F668)</f>
        <v/>
      </c>
      <c r="H668" s="39" t="str">
        <f>IF(OR(B668="",E668&lt;&gt;""),"",IFERROR(INDEX(KT_nguoc_theo_NL!$J$5:$J$304,MATCH(C668,KT_nguoc_theo_NL!$B$5:$B$304,0))/INDEX(KT_nguoc_theo_NL!$K$5:$K$304,MATCH(C668,KT_nguoc_theo_NL!$B$5:$B$304,0)),""))</f>
        <v/>
      </c>
      <c r="I668" s="39" t="str">
        <f t="shared" si="51"/>
        <v/>
      </c>
      <c r="J668" s="46" t="str">
        <f t="shared" si="52"/>
        <v/>
      </c>
      <c r="K668" s="46" t="str">
        <f t="shared" si="53"/>
        <v/>
      </c>
      <c r="L668" s="46" t="str">
        <f t="shared" si="54"/>
        <v/>
      </c>
      <c r="M668" s="35" t="str">
        <f>IF(B668="","",IF(E668="KXDDM","KXDDM – không ĐM",IF(E668&lt;&gt;"","Không KT ("&amp;E668&amp;")",IF(OR(K668="",L668=""),"Xem xét",IF(MAX(ABS(K668),ABS(L668))&lt;=ThongTin!$C$12,"OK","Xem xét")))))</f>
        <v/>
      </c>
    </row>
    <row r="669" spans="1:13" x14ac:dyDescent="0.25">
      <c r="A669" s="35" t="str">
        <f t="shared" si="50"/>
        <v/>
      </c>
      <c r="B669" s="35" t="str">
        <f>IF(BOM!A669="","",BOM!A669)</f>
        <v/>
      </c>
      <c r="C669" s="35" t="str">
        <f>IF(B669="","",BOM!B669)</f>
        <v/>
      </c>
      <c r="D669" s="35" t="str">
        <f>IF(B669="","",KT_DMTT_ChiTiet!E669)</f>
        <v/>
      </c>
      <c r="E669" s="36" t="str">
        <f>IF(B669="","",BOM!G669&amp;"")</f>
        <v/>
      </c>
      <c r="F669" s="39" t="str">
        <f>IF(B669="","",BOM!E669)</f>
        <v/>
      </c>
      <c r="G669" s="39" t="str">
        <f>IF(OR(B669="",E669="KXDDM"),"",BOM!F669)</f>
        <v/>
      </c>
      <c r="H669" s="39" t="str">
        <f>IF(OR(B669="",E669&lt;&gt;""),"",IFERROR(INDEX(KT_nguoc_theo_NL!$J$5:$J$304,MATCH(C669,KT_nguoc_theo_NL!$B$5:$B$304,0))/INDEX(KT_nguoc_theo_NL!$K$5:$K$304,MATCH(C669,KT_nguoc_theo_NL!$B$5:$B$304,0)),""))</f>
        <v/>
      </c>
      <c r="I669" s="39" t="str">
        <f t="shared" si="51"/>
        <v/>
      </c>
      <c r="J669" s="46" t="str">
        <f t="shared" si="52"/>
        <v/>
      </c>
      <c r="K669" s="46" t="str">
        <f t="shared" si="53"/>
        <v/>
      </c>
      <c r="L669" s="46" t="str">
        <f t="shared" si="54"/>
        <v/>
      </c>
      <c r="M669" s="35" t="str">
        <f>IF(B669="","",IF(E669="KXDDM","KXDDM – không ĐM",IF(E669&lt;&gt;"","Không KT ("&amp;E669&amp;")",IF(OR(K669="",L669=""),"Xem xét",IF(MAX(ABS(K669),ABS(L669))&lt;=ThongTin!$C$12,"OK","Xem xét")))))</f>
        <v/>
      </c>
    </row>
    <row r="670" spans="1:13" x14ac:dyDescent="0.25">
      <c r="A670" s="35" t="str">
        <f t="shared" si="50"/>
        <v/>
      </c>
      <c r="B670" s="35" t="str">
        <f>IF(BOM!A670="","",BOM!A670)</f>
        <v/>
      </c>
      <c r="C670" s="35" t="str">
        <f>IF(B670="","",BOM!B670)</f>
        <v/>
      </c>
      <c r="D670" s="35" t="str">
        <f>IF(B670="","",KT_DMTT_ChiTiet!E670)</f>
        <v/>
      </c>
      <c r="E670" s="36" t="str">
        <f>IF(B670="","",BOM!G670&amp;"")</f>
        <v/>
      </c>
      <c r="F670" s="39" t="str">
        <f>IF(B670="","",BOM!E670)</f>
        <v/>
      </c>
      <c r="G670" s="39" t="str">
        <f>IF(OR(B670="",E670="KXDDM"),"",BOM!F670)</f>
        <v/>
      </c>
      <c r="H670" s="39" t="str">
        <f>IF(OR(B670="",E670&lt;&gt;""),"",IFERROR(INDEX(KT_nguoc_theo_NL!$J$5:$J$304,MATCH(C670,KT_nguoc_theo_NL!$B$5:$B$304,0))/INDEX(KT_nguoc_theo_NL!$K$5:$K$304,MATCH(C670,KT_nguoc_theo_NL!$B$5:$B$304,0)),""))</f>
        <v/>
      </c>
      <c r="I670" s="39" t="str">
        <f t="shared" si="51"/>
        <v/>
      </c>
      <c r="J670" s="46" t="str">
        <f t="shared" si="52"/>
        <v/>
      </c>
      <c r="K670" s="46" t="str">
        <f t="shared" si="53"/>
        <v/>
      </c>
      <c r="L670" s="46" t="str">
        <f t="shared" si="54"/>
        <v/>
      </c>
      <c r="M670" s="35" t="str">
        <f>IF(B670="","",IF(E670="KXDDM","KXDDM – không ĐM",IF(E670&lt;&gt;"","Không KT ("&amp;E670&amp;")",IF(OR(K670="",L670=""),"Xem xét",IF(MAX(ABS(K670),ABS(L670))&lt;=ThongTin!$C$12,"OK","Xem xét")))))</f>
        <v/>
      </c>
    </row>
    <row r="671" spans="1:13" x14ac:dyDescent="0.25">
      <c r="A671" s="35" t="str">
        <f t="shared" si="50"/>
        <v/>
      </c>
      <c r="B671" s="35" t="str">
        <f>IF(BOM!A671="","",BOM!A671)</f>
        <v/>
      </c>
      <c r="C671" s="35" t="str">
        <f>IF(B671="","",BOM!B671)</f>
        <v/>
      </c>
      <c r="D671" s="35" t="str">
        <f>IF(B671="","",KT_DMTT_ChiTiet!E671)</f>
        <v/>
      </c>
      <c r="E671" s="36" t="str">
        <f>IF(B671="","",BOM!G671&amp;"")</f>
        <v/>
      </c>
      <c r="F671" s="39" t="str">
        <f>IF(B671="","",BOM!E671)</f>
        <v/>
      </c>
      <c r="G671" s="39" t="str">
        <f>IF(OR(B671="",E671="KXDDM"),"",BOM!F671)</f>
        <v/>
      </c>
      <c r="H671" s="39" t="str">
        <f>IF(OR(B671="",E671&lt;&gt;""),"",IFERROR(INDEX(KT_nguoc_theo_NL!$J$5:$J$304,MATCH(C671,KT_nguoc_theo_NL!$B$5:$B$304,0))/INDEX(KT_nguoc_theo_NL!$K$5:$K$304,MATCH(C671,KT_nguoc_theo_NL!$B$5:$B$304,0)),""))</f>
        <v/>
      </c>
      <c r="I671" s="39" t="str">
        <f t="shared" si="51"/>
        <v/>
      </c>
      <c r="J671" s="46" t="str">
        <f t="shared" si="52"/>
        <v/>
      </c>
      <c r="K671" s="46" t="str">
        <f t="shared" si="53"/>
        <v/>
      </c>
      <c r="L671" s="46" t="str">
        <f t="shared" si="54"/>
        <v/>
      </c>
      <c r="M671" s="35" t="str">
        <f>IF(B671="","",IF(E671="KXDDM","KXDDM – không ĐM",IF(E671&lt;&gt;"","Không KT ("&amp;E671&amp;")",IF(OR(K671="",L671=""),"Xem xét",IF(MAX(ABS(K671),ABS(L671))&lt;=ThongTin!$C$12,"OK","Xem xét")))))</f>
        <v/>
      </c>
    </row>
    <row r="672" spans="1:13" x14ac:dyDescent="0.25">
      <c r="A672" s="35" t="str">
        <f t="shared" si="50"/>
        <v/>
      </c>
      <c r="B672" s="35" t="str">
        <f>IF(BOM!A672="","",BOM!A672)</f>
        <v/>
      </c>
      <c r="C672" s="35" t="str">
        <f>IF(B672="","",BOM!B672)</f>
        <v/>
      </c>
      <c r="D672" s="35" t="str">
        <f>IF(B672="","",KT_DMTT_ChiTiet!E672)</f>
        <v/>
      </c>
      <c r="E672" s="36" t="str">
        <f>IF(B672="","",BOM!G672&amp;"")</f>
        <v/>
      </c>
      <c r="F672" s="39" t="str">
        <f>IF(B672="","",BOM!E672)</f>
        <v/>
      </c>
      <c r="G672" s="39" t="str">
        <f>IF(OR(B672="",E672="KXDDM"),"",BOM!F672)</f>
        <v/>
      </c>
      <c r="H672" s="39" t="str">
        <f>IF(OR(B672="",E672&lt;&gt;""),"",IFERROR(INDEX(KT_nguoc_theo_NL!$J$5:$J$304,MATCH(C672,KT_nguoc_theo_NL!$B$5:$B$304,0))/INDEX(KT_nguoc_theo_NL!$K$5:$K$304,MATCH(C672,KT_nguoc_theo_NL!$B$5:$B$304,0)),""))</f>
        <v/>
      </c>
      <c r="I672" s="39" t="str">
        <f t="shared" si="51"/>
        <v/>
      </c>
      <c r="J672" s="46" t="str">
        <f t="shared" si="52"/>
        <v/>
      </c>
      <c r="K672" s="46" t="str">
        <f t="shared" si="53"/>
        <v/>
      </c>
      <c r="L672" s="46" t="str">
        <f t="shared" si="54"/>
        <v/>
      </c>
      <c r="M672" s="35" t="str">
        <f>IF(B672="","",IF(E672="KXDDM","KXDDM – không ĐM",IF(E672&lt;&gt;"","Không KT ("&amp;E672&amp;")",IF(OR(K672="",L672=""),"Xem xét",IF(MAX(ABS(K672),ABS(L672))&lt;=ThongTin!$C$12,"OK","Xem xét")))))</f>
        <v/>
      </c>
    </row>
    <row r="673" spans="1:13" x14ac:dyDescent="0.25">
      <c r="A673" s="35" t="str">
        <f t="shared" si="50"/>
        <v/>
      </c>
      <c r="B673" s="35" t="str">
        <f>IF(BOM!A673="","",BOM!A673)</f>
        <v/>
      </c>
      <c r="C673" s="35" t="str">
        <f>IF(B673="","",BOM!B673)</f>
        <v/>
      </c>
      <c r="D673" s="35" t="str">
        <f>IF(B673="","",KT_DMTT_ChiTiet!E673)</f>
        <v/>
      </c>
      <c r="E673" s="36" t="str">
        <f>IF(B673="","",BOM!G673&amp;"")</f>
        <v/>
      </c>
      <c r="F673" s="39" t="str">
        <f>IF(B673="","",BOM!E673)</f>
        <v/>
      </c>
      <c r="G673" s="39" t="str">
        <f>IF(OR(B673="",E673="KXDDM"),"",BOM!F673)</f>
        <v/>
      </c>
      <c r="H673" s="39" t="str">
        <f>IF(OR(B673="",E673&lt;&gt;""),"",IFERROR(INDEX(KT_nguoc_theo_NL!$J$5:$J$304,MATCH(C673,KT_nguoc_theo_NL!$B$5:$B$304,0))/INDEX(KT_nguoc_theo_NL!$K$5:$K$304,MATCH(C673,KT_nguoc_theo_NL!$B$5:$B$304,0)),""))</f>
        <v/>
      </c>
      <c r="I673" s="39" t="str">
        <f t="shared" si="51"/>
        <v/>
      </c>
      <c r="J673" s="46" t="str">
        <f t="shared" si="52"/>
        <v/>
      </c>
      <c r="K673" s="46" t="str">
        <f t="shared" si="53"/>
        <v/>
      </c>
      <c r="L673" s="46" t="str">
        <f t="shared" si="54"/>
        <v/>
      </c>
      <c r="M673" s="35" t="str">
        <f>IF(B673="","",IF(E673="KXDDM","KXDDM – không ĐM",IF(E673&lt;&gt;"","Không KT ("&amp;E673&amp;")",IF(OR(K673="",L673=""),"Xem xét",IF(MAX(ABS(K673),ABS(L673))&lt;=ThongTin!$C$12,"OK","Xem xét")))))</f>
        <v/>
      </c>
    </row>
    <row r="674" spans="1:13" x14ac:dyDescent="0.25">
      <c r="A674" s="35" t="str">
        <f t="shared" si="50"/>
        <v/>
      </c>
      <c r="B674" s="35" t="str">
        <f>IF(BOM!A674="","",BOM!A674)</f>
        <v/>
      </c>
      <c r="C674" s="35" t="str">
        <f>IF(B674="","",BOM!B674)</f>
        <v/>
      </c>
      <c r="D674" s="35" t="str">
        <f>IF(B674="","",KT_DMTT_ChiTiet!E674)</f>
        <v/>
      </c>
      <c r="E674" s="36" t="str">
        <f>IF(B674="","",BOM!G674&amp;"")</f>
        <v/>
      </c>
      <c r="F674" s="39" t="str">
        <f>IF(B674="","",BOM!E674)</f>
        <v/>
      </c>
      <c r="G674" s="39" t="str">
        <f>IF(OR(B674="",E674="KXDDM"),"",BOM!F674)</f>
        <v/>
      </c>
      <c r="H674" s="39" t="str">
        <f>IF(OR(B674="",E674&lt;&gt;""),"",IFERROR(INDEX(KT_nguoc_theo_NL!$J$5:$J$304,MATCH(C674,KT_nguoc_theo_NL!$B$5:$B$304,0))/INDEX(KT_nguoc_theo_NL!$K$5:$K$304,MATCH(C674,KT_nguoc_theo_NL!$B$5:$B$304,0)),""))</f>
        <v/>
      </c>
      <c r="I674" s="39" t="str">
        <f t="shared" si="51"/>
        <v/>
      </c>
      <c r="J674" s="46" t="str">
        <f t="shared" si="52"/>
        <v/>
      </c>
      <c r="K674" s="46" t="str">
        <f t="shared" si="53"/>
        <v/>
      </c>
      <c r="L674" s="46" t="str">
        <f t="shared" si="54"/>
        <v/>
      </c>
      <c r="M674" s="35" t="str">
        <f>IF(B674="","",IF(E674="KXDDM","KXDDM – không ĐM",IF(E674&lt;&gt;"","Không KT ("&amp;E674&amp;")",IF(OR(K674="",L674=""),"Xem xét",IF(MAX(ABS(K674),ABS(L674))&lt;=ThongTin!$C$12,"OK","Xem xét")))))</f>
        <v/>
      </c>
    </row>
    <row r="675" spans="1:13" x14ac:dyDescent="0.25">
      <c r="A675" s="35" t="str">
        <f t="shared" si="50"/>
        <v/>
      </c>
      <c r="B675" s="35" t="str">
        <f>IF(BOM!A675="","",BOM!A675)</f>
        <v/>
      </c>
      <c r="C675" s="35" t="str">
        <f>IF(B675="","",BOM!B675)</f>
        <v/>
      </c>
      <c r="D675" s="35" t="str">
        <f>IF(B675="","",KT_DMTT_ChiTiet!E675)</f>
        <v/>
      </c>
      <c r="E675" s="36" t="str">
        <f>IF(B675="","",BOM!G675&amp;"")</f>
        <v/>
      </c>
      <c r="F675" s="39" t="str">
        <f>IF(B675="","",BOM!E675)</f>
        <v/>
      </c>
      <c r="G675" s="39" t="str">
        <f>IF(OR(B675="",E675="KXDDM"),"",BOM!F675)</f>
        <v/>
      </c>
      <c r="H675" s="39" t="str">
        <f>IF(OR(B675="",E675&lt;&gt;""),"",IFERROR(INDEX(KT_nguoc_theo_NL!$J$5:$J$304,MATCH(C675,KT_nguoc_theo_NL!$B$5:$B$304,0))/INDEX(KT_nguoc_theo_NL!$K$5:$K$304,MATCH(C675,KT_nguoc_theo_NL!$B$5:$B$304,0)),""))</f>
        <v/>
      </c>
      <c r="I675" s="39" t="str">
        <f t="shared" si="51"/>
        <v/>
      </c>
      <c r="J675" s="46" t="str">
        <f t="shared" si="52"/>
        <v/>
      </c>
      <c r="K675" s="46" t="str">
        <f t="shared" si="53"/>
        <v/>
      </c>
      <c r="L675" s="46" t="str">
        <f t="shared" si="54"/>
        <v/>
      </c>
      <c r="M675" s="35" t="str">
        <f>IF(B675="","",IF(E675="KXDDM","KXDDM – không ĐM",IF(E675&lt;&gt;"","Không KT ("&amp;E675&amp;")",IF(OR(K675="",L675=""),"Xem xét",IF(MAX(ABS(K675),ABS(L675))&lt;=ThongTin!$C$12,"OK","Xem xét")))))</f>
        <v/>
      </c>
    </row>
    <row r="676" spans="1:13" x14ac:dyDescent="0.25">
      <c r="A676" s="35" t="str">
        <f t="shared" si="50"/>
        <v/>
      </c>
      <c r="B676" s="35" t="str">
        <f>IF(BOM!A676="","",BOM!A676)</f>
        <v/>
      </c>
      <c r="C676" s="35" t="str">
        <f>IF(B676="","",BOM!B676)</f>
        <v/>
      </c>
      <c r="D676" s="35" t="str">
        <f>IF(B676="","",KT_DMTT_ChiTiet!E676)</f>
        <v/>
      </c>
      <c r="E676" s="36" t="str">
        <f>IF(B676="","",BOM!G676&amp;"")</f>
        <v/>
      </c>
      <c r="F676" s="39" t="str">
        <f>IF(B676="","",BOM!E676)</f>
        <v/>
      </c>
      <c r="G676" s="39" t="str">
        <f>IF(OR(B676="",E676="KXDDM"),"",BOM!F676)</f>
        <v/>
      </c>
      <c r="H676" s="39" t="str">
        <f>IF(OR(B676="",E676&lt;&gt;""),"",IFERROR(INDEX(KT_nguoc_theo_NL!$J$5:$J$304,MATCH(C676,KT_nguoc_theo_NL!$B$5:$B$304,0))/INDEX(KT_nguoc_theo_NL!$K$5:$K$304,MATCH(C676,KT_nguoc_theo_NL!$B$5:$B$304,0)),""))</f>
        <v/>
      </c>
      <c r="I676" s="39" t="str">
        <f t="shared" si="51"/>
        <v/>
      </c>
      <c r="J676" s="46" t="str">
        <f t="shared" si="52"/>
        <v/>
      </c>
      <c r="K676" s="46" t="str">
        <f t="shared" si="53"/>
        <v/>
      </c>
      <c r="L676" s="46" t="str">
        <f t="shared" si="54"/>
        <v/>
      </c>
      <c r="M676" s="35" t="str">
        <f>IF(B676="","",IF(E676="KXDDM","KXDDM – không ĐM",IF(E676&lt;&gt;"","Không KT ("&amp;E676&amp;")",IF(OR(K676="",L676=""),"Xem xét",IF(MAX(ABS(K676),ABS(L676))&lt;=ThongTin!$C$12,"OK","Xem xét")))))</f>
        <v/>
      </c>
    </row>
    <row r="677" spans="1:13" x14ac:dyDescent="0.25">
      <c r="A677" s="35" t="str">
        <f t="shared" si="50"/>
        <v/>
      </c>
      <c r="B677" s="35" t="str">
        <f>IF(BOM!A677="","",BOM!A677)</f>
        <v/>
      </c>
      <c r="C677" s="35" t="str">
        <f>IF(B677="","",BOM!B677)</f>
        <v/>
      </c>
      <c r="D677" s="35" t="str">
        <f>IF(B677="","",KT_DMTT_ChiTiet!E677)</f>
        <v/>
      </c>
      <c r="E677" s="36" t="str">
        <f>IF(B677="","",BOM!G677&amp;"")</f>
        <v/>
      </c>
      <c r="F677" s="39" t="str">
        <f>IF(B677="","",BOM!E677)</f>
        <v/>
      </c>
      <c r="G677" s="39" t="str">
        <f>IF(OR(B677="",E677="KXDDM"),"",BOM!F677)</f>
        <v/>
      </c>
      <c r="H677" s="39" t="str">
        <f>IF(OR(B677="",E677&lt;&gt;""),"",IFERROR(INDEX(KT_nguoc_theo_NL!$J$5:$J$304,MATCH(C677,KT_nguoc_theo_NL!$B$5:$B$304,0))/INDEX(KT_nguoc_theo_NL!$K$5:$K$304,MATCH(C677,KT_nguoc_theo_NL!$B$5:$B$304,0)),""))</f>
        <v/>
      </c>
      <c r="I677" s="39" t="str">
        <f t="shared" si="51"/>
        <v/>
      </c>
      <c r="J677" s="46" t="str">
        <f t="shared" si="52"/>
        <v/>
      </c>
      <c r="K677" s="46" t="str">
        <f t="shared" si="53"/>
        <v/>
      </c>
      <c r="L677" s="46" t="str">
        <f t="shared" si="54"/>
        <v/>
      </c>
      <c r="M677" s="35" t="str">
        <f>IF(B677="","",IF(E677="KXDDM","KXDDM – không ĐM",IF(E677&lt;&gt;"","Không KT ("&amp;E677&amp;")",IF(OR(K677="",L677=""),"Xem xét",IF(MAX(ABS(K677),ABS(L677))&lt;=ThongTin!$C$12,"OK","Xem xét")))))</f>
        <v/>
      </c>
    </row>
    <row r="678" spans="1:13" x14ac:dyDescent="0.25">
      <c r="A678" s="35" t="str">
        <f t="shared" si="50"/>
        <v/>
      </c>
      <c r="B678" s="35" t="str">
        <f>IF(BOM!A678="","",BOM!A678)</f>
        <v/>
      </c>
      <c r="C678" s="35" t="str">
        <f>IF(B678="","",BOM!B678)</f>
        <v/>
      </c>
      <c r="D678" s="35" t="str">
        <f>IF(B678="","",KT_DMTT_ChiTiet!E678)</f>
        <v/>
      </c>
      <c r="E678" s="36" t="str">
        <f>IF(B678="","",BOM!G678&amp;"")</f>
        <v/>
      </c>
      <c r="F678" s="39" t="str">
        <f>IF(B678="","",BOM!E678)</f>
        <v/>
      </c>
      <c r="G678" s="39" t="str">
        <f>IF(OR(B678="",E678="KXDDM"),"",BOM!F678)</f>
        <v/>
      </c>
      <c r="H678" s="39" t="str">
        <f>IF(OR(B678="",E678&lt;&gt;""),"",IFERROR(INDEX(KT_nguoc_theo_NL!$J$5:$J$304,MATCH(C678,KT_nguoc_theo_NL!$B$5:$B$304,0))/INDEX(KT_nguoc_theo_NL!$K$5:$K$304,MATCH(C678,KT_nguoc_theo_NL!$B$5:$B$304,0)),""))</f>
        <v/>
      </c>
      <c r="I678" s="39" t="str">
        <f t="shared" si="51"/>
        <v/>
      </c>
      <c r="J678" s="46" t="str">
        <f t="shared" si="52"/>
        <v/>
      </c>
      <c r="K678" s="46" t="str">
        <f t="shared" si="53"/>
        <v/>
      </c>
      <c r="L678" s="46" t="str">
        <f t="shared" si="54"/>
        <v/>
      </c>
      <c r="M678" s="35" t="str">
        <f>IF(B678="","",IF(E678="KXDDM","KXDDM – không ĐM",IF(E678&lt;&gt;"","Không KT ("&amp;E678&amp;")",IF(OR(K678="",L678=""),"Xem xét",IF(MAX(ABS(K678),ABS(L678))&lt;=ThongTin!$C$12,"OK","Xem xét")))))</f>
        <v/>
      </c>
    </row>
    <row r="679" spans="1:13" x14ac:dyDescent="0.25">
      <c r="A679" s="35" t="str">
        <f t="shared" si="50"/>
        <v/>
      </c>
      <c r="B679" s="35" t="str">
        <f>IF(BOM!A679="","",BOM!A679)</f>
        <v/>
      </c>
      <c r="C679" s="35" t="str">
        <f>IF(B679="","",BOM!B679)</f>
        <v/>
      </c>
      <c r="D679" s="35" t="str">
        <f>IF(B679="","",KT_DMTT_ChiTiet!E679)</f>
        <v/>
      </c>
      <c r="E679" s="36" t="str">
        <f>IF(B679="","",BOM!G679&amp;"")</f>
        <v/>
      </c>
      <c r="F679" s="39" t="str">
        <f>IF(B679="","",BOM!E679)</f>
        <v/>
      </c>
      <c r="G679" s="39" t="str">
        <f>IF(OR(B679="",E679="KXDDM"),"",BOM!F679)</f>
        <v/>
      </c>
      <c r="H679" s="39" t="str">
        <f>IF(OR(B679="",E679&lt;&gt;""),"",IFERROR(INDEX(KT_nguoc_theo_NL!$J$5:$J$304,MATCH(C679,KT_nguoc_theo_NL!$B$5:$B$304,0))/INDEX(KT_nguoc_theo_NL!$K$5:$K$304,MATCH(C679,KT_nguoc_theo_NL!$B$5:$B$304,0)),""))</f>
        <v/>
      </c>
      <c r="I679" s="39" t="str">
        <f t="shared" si="51"/>
        <v/>
      </c>
      <c r="J679" s="46" t="str">
        <f t="shared" si="52"/>
        <v/>
      </c>
      <c r="K679" s="46" t="str">
        <f t="shared" si="53"/>
        <v/>
      </c>
      <c r="L679" s="46" t="str">
        <f t="shared" si="54"/>
        <v/>
      </c>
      <c r="M679" s="35" t="str">
        <f>IF(B679="","",IF(E679="KXDDM","KXDDM – không ĐM",IF(E679&lt;&gt;"","Không KT ("&amp;E679&amp;")",IF(OR(K679="",L679=""),"Xem xét",IF(MAX(ABS(K679),ABS(L679))&lt;=ThongTin!$C$12,"OK","Xem xét")))))</f>
        <v/>
      </c>
    </row>
    <row r="680" spans="1:13" x14ac:dyDescent="0.25">
      <c r="A680" s="35" t="str">
        <f t="shared" si="50"/>
        <v/>
      </c>
      <c r="B680" s="35" t="str">
        <f>IF(BOM!A680="","",BOM!A680)</f>
        <v/>
      </c>
      <c r="C680" s="35" t="str">
        <f>IF(B680="","",BOM!B680)</f>
        <v/>
      </c>
      <c r="D680" s="35" t="str">
        <f>IF(B680="","",KT_DMTT_ChiTiet!E680)</f>
        <v/>
      </c>
      <c r="E680" s="36" t="str">
        <f>IF(B680="","",BOM!G680&amp;"")</f>
        <v/>
      </c>
      <c r="F680" s="39" t="str">
        <f>IF(B680="","",BOM!E680)</f>
        <v/>
      </c>
      <c r="G680" s="39" t="str">
        <f>IF(OR(B680="",E680="KXDDM"),"",BOM!F680)</f>
        <v/>
      </c>
      <c r="H680" s="39" t="str">
        <f>IF(OR(B680="",E680&lt;&gt;""),"",IFERROR(INDEX(KT_nguoc_theo_NL!$J$5:$J$304,MATCH(C680,KT_nguoc_theo_NL!$B$5:$B$304,0))/INDEX(KT_nguoc_theo_NL!$K$5:$K$304,MATCH(C680,KT_nguoc_theo_NL!$B$5:$B$304,0)),""))</f>
        <v/>
      </c>
      <c r="I680" s="39" t="str">
        <f t="shared" si="51"/>
        <v/>
      </c>
      <c r="J680" s="46" t="str">
        <f t="shared" si="52"/>
        <v/>
      </c>
      <c r="K680" s="46" t="str">
        <f t="shared" si="53"/>
        <v/>
      </c>
      <c r="L680" s="46" t="str">
        <f t="shared" si="54"/>
        <v/>
      </c>
      <c r="M680" s="35" t="str">
        <f>IF(B680="","",IF(E680="KXDDM","KXDDM – không ĐM",IF(E680&lt;&gt;"","Không KT ("&amp;E680&amp;")",IF(OR(K680="",L680=""),"Xem xét",IF(MAX(ABS(K680),ABS(L680))&lt;=ThongTin!$C$12,"OK","Xem xét")))))</f>
        <v/>
      </c>
    </row>
    <row r="681" spans="1:13" x14ac:dyDescent="0.25">
      <c r="A681" s="35" t="str">
        <f t="shared" si="50"/>
        <v/>
      </c>
      <c r="B681" s="35" t="str">
        <f>IF(BOM!A681="","",BOM!A681)</f>
        <v/>
      </c>
      <c r="C681" s="35" t="str">
        <f>IF(B681="","",BOM!B681)</f>
        <v/>
      </c>
      <c r="D681" s="35" t="str">
        <f>IF(B681="","",KT_DMTT_ChiTiet!E681)</f>
        <v/>
      </c>
      <c r="E681" s="36" t="str">
        <f>IF(B681="","",BOM!G681&amp;"")</f>
        <v/>
      </c>
      <c r="F681" s="39" t="str">
        <f>IF(B681="","",BOM!E681)</f>
        <v/>
      </c>
      <c r="G681" s="39" t="str">
        <f>IF(OR(B681="",E681="KXDDM"),"",BOM!F681)</f>
        <v/>
      </c>
      <c r="H681" s="39" t="str">
        <f>IF(OR(B681="",E681&lt;&gt;""),"",IFERROR(INDEX(KT_nguoc_theo_NL!$J$5:$J$304,MATCH(C681,KT_nguoc_theo_NL!$B$5:$B$304,0))/INDEX(KT_nguoc_theo_NL!$K$5:$K$304,MATCH(C681,KT_nguoc_theo_NL!$B$5:$B$304,0)),""))</f>
        <v/>
      </c>
      <c r="I681" s="39" t="str">
        <f t="shared" si="51"/>
        <v/>
      </c>
      <c r="J681" s="46" t="str">
        <f t="shared" si="52"/>
        <v/>
      </c>
      <c r="K681" s="46" t="str">
        <f t="shared" si="53"/>
        <v/>
      </c>
      <c r="L681" s="46" t="str">
        <f t="shared" si="54"/>
        <v/>
      </c>
      <c r="M681" s="35" t="str">
        <f>IF(B681="","",IF(E681="KXDDM","KXDDM – không ĐM",IF(E681&lt;&gt;"","Không KT ("&amp;E681&amp;")",IF(OR(K681="",L681=""),"Xem xét",IF(MAX(ABS(K681),ABS(L681))&lt;=ThongTin!$C$12,"OK","Xem xét")))))</f>
        <v/>
      </c>
    </row>
    <row r="682" spans="1:13" x14ac:dyDescent="0.25">
      <c r="A682" s="35" t="str">
        <f t="shared" si="50"/>
        <v/>
      </c>
      <c r="B682" s="35" t="str">
        <f>IF(BOM!A682="","",BOM!A682)</f>
        <v/>
      </c>
      <c r="C682" s="35" t="str">
        <f>IF(B682="","",BOM!B682)</f>
        <v/>
      </c>
      <c r="D682" s="35" t="str">
        <f>IF(B682="","",KT_DMTT_ChiTiet!E682)</f>
        <v/>
      </c>
      <c r="E682" s="36" t="str">
        <f>IF(B682="","",BOM!G682&amp;"")</f>
        <v/>
      </c>
      <c r="F682" s="39" t="str">
        <f>IF(B682="","",BOM!E682)</f>
        <v/>
      </c>
      <c r="G682" s="39" t="str">
        <f>IF(OR(B682="",E682="KXDDM"),"",BOM!F682)</f>
        <v/>
      </c>
      <c r="H682" s="39" t="str">
        <f>IF(OR(B682="",E682&lt;&gt;""),"",IFERROR(INDEX(KT_nguoc_theo_NL!$J$5:$J$304,MATCH(C682,KT_nguoc_theo_NL!$B$5:$B$304,0))/INDEX(KT_nguoc_theo_NL!$K$5:$K$304,MATCH(C682,KT_nguoc_theo_NL!$B$5:$B$304,0)),""))</f>
        <v/>
      </c>
      <c r="I682" s="39" t="str">
        <f t="shared" si="51"/>
        <v/>
      </c>
      <c r="J682" s="46" t="str">
        <f t="shared" si="52"/>
        <v/>
      </c>
      <c r="K682" s="46" t="str">
        <f t="shared" si="53"/>
        <v/>
      </c>
      <c r="L682" s="46" t="str">
        <f t="shared" si="54"/>
        <v/>
      </c>
      <c r="M682" s="35" t="str">
        <f>IF(B682="","",IF(E682="KXDDM","KXDDM – không ĐM",IF(E682&lt;&gt;"","Không KT ("&amp;E682&amp;")",IF(OR(K682="",L682=""),"Xem xét",IF(MAX(ABS(K682),ABS(L682))&lt;=ThongTin!$C$12,"OK","Xem xét")))))</f>
        <v/>
      </c>
    </row>
    <row r="683" spans="1:13" x14ac:dyDescent="0.25">
      <c r="A683" s="35" t="str">
        <f t="shared" si="50"/>
        <v/>
      </c>
      <c r="B683" s="35" t="str">
        <f>IF(BOM!A683="","",BOM!A683)</f>
        <v/>
      </c>
      <c r="C683" s="35" t="str">
        <f>IF(B683="","",BOM!B683)</f>
        <v/>
      </c>
      <c r="D683" s="35" t="str">
        <f>IF(B683="","",KT_DMTT_ChiTiet!E683)</f>
        <v/>
      </c>
      <c r="E683" s="36" t="str">
        <f>IF(B683="","",BOM!G683&amp;"")</f>
        <v/>
      </c>
      <c r="F683" s="39" t="str">
        <f>IF(B683="","",BOM!E683)</f>
        <v/>
      </c>
      <c r="G683" s="39" t="str">
        <f>IF(OR(B683="",E683="KXDDM"),"",BOM!F683)</f>
        <v/>
      </c>
      <c r="H683" s="39" t="str">
        <f>IF(OR(B683="",E683&lt;&gt;""),"",IFERROR(INDEX(KT_nguoc_theo_NL!$J$5:$J$304,MATCH(C683,KT_nguoc_theo_NL!$B$5:$B$304,0))/INDEX(KT_nguoc_theo_NL!$K$5:$K$304,MATCH(C683,KT_nguoc_theo_NL!$B$5:$B$304,0)),""))</f>
        <v/>
      </c>
      <c r="I683" s="39" t="str">
        <f t="shared" si="51"/>
        <v/>
      </c>
      <c r="J683" s="46" t="str">
        <f t="shared" si="52"/>
        <v/>
      </c>
      <c r="K683" s="46" t="str">
        <f t="shared" si="53"/>
        <v/>
      </c>
      <c r="L683" s="46" t="str">
        <f t="shared" si="54"/>
        <v/>
      </c>
      <c r="M683" s="35" t="str">
        <f>IF(B683="","",IF(E683="KXDDM","KXDDM – không ĐM",IF(E683&lt;&gt;"","Không KT ("&amp;E683&amp;")",IF(OR(K683="",L683=""),"Xem xét",IF(MAX(ABS(K683),ABS(L683))&lt;=ThongTin!$C$12,"OK","Xem xét")))))</f>
        <v/>
      </c>
    </row>
    <row r="684" spans="1:13" x14ac:dyDescent="0.25">
      <c r="A684" s="35" t="str">
        <f t="shared" si="50"/>
        <v/>
      </c>
      <c r="B684" s="35" t="str">
        <f>IF(BOM!A684="","",BOM!A684)</f>
        <v/>
      </c>
      <c r="C684" s="35" t="str">
        <f>IF(B684="","",BOM!B684)</f>
        <v/>
      </c>
      <c r="D684" s="35" t="str">
        <f>IF(B684="","",KT_DMTT_ChiTiet!E684)</f>
        <v/>
      </c>
      <c r="E684" s="36" t="str">
        <f>IF(B684="","",BOM!G684&amp;"")</f>
        <v/>
      </c>
      <c r="F684" s="39" t="str">
        <f>IF(B684="","",BOM!E684)</f>
        <v/>
      </c>
      <c r="G684" s="39" t="str">
        <f>IF(OR(B684="",E684="KXDDM"),"",BOM!F684)</f>
        <v/>
      </c>
      <c r="H684" s="39" t="str">
        <f>IF(OR(B684="",E684&lt;&gt;""),"",IFERROR(INDEX(KT_nguoc_theo_NL!$J$5:$J$304,MATCH(C684,KT_nguoc_theo_NL!$B$5:$B$304,0))/INDEX(KT_nguoc_theo_NL!$K$5:$K$304,MATCH(C684,KT_nguoc_theo_NL!$B$5:$B$304,0)),""))</f>
        <v/>
      </c>
      <c r="I684" s="39" t="str">
        <f t="shared" si="51"/>
        <v/>
      </c>
      <c r="J684" s="46" t="str">
        <f t="shared" si="52"/>
        <v/>
      </c>
      <c r="K684" s="46" t="str">
        <f t="shared" si="53"/>
        <v/>
      </c>
      <c r="L684" s="46" t="str">
        <f t="shared" si="54"/>
        <v/>
      </c>
      <c r="M684" s="35" t="str">
        <f>IF(B684="","",IF(E684="KXDDM","KXDDM – không ĐM",IF(E684&lt;&gt;"","Không KT ("&amp;E684&amp;")",IF(OR(K684="",L684=""),"Xem xét",IF(MAX(ABS(K684),ABS(L684))&lt;=ThongTin!$C$12,"OK","Xem xét")))))</f>
        <v/>
      </c>
    </row>
    <row r="685" spans="1:13" x14ac:dyDescent="0.25">
      <c r="A685" s="35" t="str">
        <f t="shared" si="50"/>
        <v/>
      </c>
      <c r="B685" s="35" t="str">
        <f>IF(BOM!A685="","",BOM!A685)</f>
        <v/>
      </c>
      <c r="C685" s="35" t="str">
        <f>IF(B685="","",BOM!B685)</f>
        <v/>
      </c>
      <c r="D685" s="35" t="str">
        <f>IF(B685="","",KT_DMTT_ChiTiet!E685)</f>
        <v/>
      </c>
      <c r="E685" s="36" t="str">
        <f>IF(B685="","",BOM!G685&amp;"")</f>
        <v/>
      </c>
      <c r="F685" s="39" t="str">
        <f>IF(B685="","",BOM!E685)</f>
        <v/>
      </c>
      <c r="G685" s="39" t="str">
        <f>IF(OR(B685="",E685="KXDDM"),"",BOM!F685)</f>
        <v/>
      </c>
      <c r="H685" s="39" t="str">
        <f>IF(OR(B685="",E685&lt;&gt;""),"",IFERROR(INDEX(KT_nguoc_theo_NL!$J$5:$J$304,MATCH(C685,KT_nguoc_theo_NL!$B$5:$B$304,0))/INDEX(KT_nguoc_theo_NL!$K$5:$K$304,MATCH(C685,KT_nguoc_theo_NL!$B$5:$B$304,0)),""))</f>
        <v/>
      </c>
      <c r="I685" s="39" t="str">
        <f t="shared" si="51"/>
        <v/>
      </c>
      <c r="J685" s="46" t="str">
        <f t="shared" si="52"/>
        <v/>
      </c>
      <c r="K685" s="46" t="str">
        <f t="shared" si="53"/>
        <v/>
      </c>
      <c r="L685" s="46" t="str">
        <f t="shared" si="54"/>
        <v/>
      </c>
      <c r="M685" s="35" t="str">
        <f>IF(B685="","",IF(E685="KXDDM","KXDDM – không ĐM",IF(E685&lt;&gt;"","Không KT ("&amp;E685&amp;")",IF(OR(K685="",L685=""),"Xem xét",IF(MAX(ABS(K685),ABS(L685))&lt;=ThongTin!$C$12,"OK","Xem xét")))))</f>
        <v/>
      </c>
    </row>
    <row r="686" spans="1:13" x14ac:dyDescent="0.25">
      <c r="A686" s="35" t="str">
        <f t="shared" si="50"/>
        <v/>
      </c>
      <c r="B686" s="35" t="str">
        <f>IF(BOM!A686="","",BOM!A686)</f>
        <v/>
      </c>
      <c r="C686" s="35" t="str">
        <f>IF(B686="","",BOM!B686)</f>
        <v/>
      </c>
      <c r="D686" s="35" t="str">
        <f>IF(B686="","",KT_DMTT_ChiTiet!E686)</f>
        <v/>
      </c>
      <c r="E686" s="36" t="str">
        <f>IF(B686="","",BOM!G686&amp;"")</f>
        <v/>
      </c>
      <c r="F686" s="39" t="str">
        <f>IF(B686="","",BOM!E686)</f>
        <v/>
      </c>
      <c r="G686" s="39" t="str">
        <f>IF(OR(B686="",E686="KXDDM"),"",BOM!F686)</f>
        <v/>
      </c>
      <c r="H686" s="39" t="str">
        <f>IF(OR(B686="",E686&lt;&gt;""),"",IFERROR(INDEX(KT_nguoc_theo_NL!$J$5:$J$304,MATCH(C686,KT_nguoc_theo_NL!$B$5:$B$304,0))/INDEX(KT_nguoc_theo_NL!$K$5:$K$304,MATCH(C686,KT_nguoc_theo_NL!$B$5:$B$304,0)),""))</f>
        <v/>
      </c>
      <c r="I686" s="39" t="str">
        <f t="shared" si="51"/>
        <v/>
      </c>
      <c r="J686" s="46" t="str">
        <f t="shared" si="52"/>
        <v/>
      </c>
      <c r="K686" s="46" t="str">
        <f t="shared" si="53"/>
        <v/>
      </c>
      <c r="L686" s="46" t="str">
        <f t="shared" si="54"/>
        <v/>
      </c>
      <c r="M686" s="35" t="str">
        <f>IF(B686="","",IF(E686="KXDDM","KXDDM – không ĐM",IF(E686&lt;&gt;"","Không KT ("&amp;E686&amp;")",IF(OR(K686="",L686=""),"Xem xét",IF(MAX(ABS(K686),ABS(L686))&lt;=ThongTin!$C$12,"OK","Xem xét")))))</f>
        <v/>
      </c>
    </row>
    <row r="687" spans="1:13" x14ac:dyDescent="0.25">
      <c r="A687" s="35" t="str">
        <f t="shared" si="50"/>
        <v/>
      </c>
      <c r="B687" s="35" t="str">
        <f>IF(BOM!A687="","",BOM!A687)</f>
        <v/>
      </c>
      <c r="C687" s="35" t="str">
        <f>IF(B687="","",BOM!B687)</f>
        <v/>
      </c>
      <c r="D687" s="35" t="str">
        <f>IF(B687="","",KT_DMTT_ChiTiet!E687)</f>
        <v/>
      </c>
      <c r="E687" s="36" t="str">
        <f>IF(B687="","",BOM!G687&amp;"")</f>
        <v/>
      </c>
      <c r="F687" s="39" t="str">
        <f>IF(B687="","",BOM!E687)</f>
        <v/>
      </c>
      <c r="G687" s="39" t="str">
        <f>IF(OR(B687="",E687="KXDDM"),"",BOM!F687)</f>
        <v/>
      </c>
      <c r="H687" s="39" t="str">
        <f>IF(OR(B687="",E687&lt;&gt;""),"",IFERROR(INDEX(KT_nguoc_theo_NL!$J$5:$J$304,MATCH(C687,KT_nguoc_theo_NL!$B$5:$B$304,0))/INDEX(KT_nguoc_theo_NL!$K$5:$K$304,MATCH(C687,KT_nguoc_theo_NL!$B$5:$B$304,0)),""))</f>
        <v/>
      </c>
      <c r="I687" s="39" t="str">
        <f t="shared" si="51"/>
        <v/>
      </c>
      <c r="J687" s="46" t="str">
        <f t="shared" si="52"/>
        <v/>
      </c>
      <c r="K687" s="46" t="str">
        <f t="shared" si="53"/>
        <v/>
      </c>
      <c r="L687" s="46" t="str">
        <f t="shared" si="54"/>
        <v/>
      </c>
      <c r="M687" s="35" t="str">
        <f>IF(B687="","",IF(E687="KXDDM","KXDDM – không ĐM",IF(E687&lt;&gt;"","Không KT ("&amp;E687&amp;")",IF(OR(K687="",L687=""),"Xem xét",IF(MAX(ABS(K687),ABS(L687))&lt;=ThongTin!$C$12,"OK","Xem xét")))))</f>
        <v/>
      </c>
    </row>
    <row r="688" spans="1:13" x14ac:dyDescent="0.25">
      <c r="A688" s="35" t="str">
        <f t="shared" si="50"/>
        <v/>
      </c>
      <c r="B688" s="35" t="str">
        <f>IF(BOM!A688="","",BOM!A688)</f>
        <v/>
      </c>
      <c r="C688" s="35" t="str">
        <f>IF(B688="","",BOM!B688)</f>
        <v/>
      </c>
      <c r="D688" s="35" t="str">
        <f>IF(B688="","",KT_DMTT_ChiTiet!E688)</f>
        <v/>
      </c>
      <c r="E688" s="36" t="str">
        <f>IF(B688="","",BOM!G688&amp;"")</f>
        <v/>
      </c>
      <c r="F688" s="39" t="str">
        <f>IF(B688="","",BOM!E688)</f>
        <v/>
      </c>
      <c r="G688" s="39" t="str">
        <f>IF(OR(B688="",E688="KXDDM"),"",BOM!F688)</f>
        <v/>
      </c>
      <c r="H688" s="39" t="str">
        <f>IF(OR(B688="",E688&lt;&gt;""),"",IFERROR(INDEX(KT_nguoc_theo_NL!$J$5:$J$304,MATCH(C688,KT_nguoc_theo_NL!$B$5:$B$304,0))/INDEX(KT_nguoc_theo_NL!$K$5:$K$304,MATCH(C688,KT_nguoc_theo_NL!$B$5:$B$304,0)),""))</f>
        <v/>
      </c>
      <c r="I688" s="39" t="str">
        <f t="shared" si="51"/>
        <v/>
      </c>
      <c r="J688" s="46" t="str">
        <f t="shared" si="52"/>
        <v/>
      </c>
      <c r="K688" s="46" t="str">
        <f t="shared" si="53"/>
        <v/>
      </c>
      <c r="L688" s="46" t="str">
        <f t="shared" si="54"/>
        <v/>
      </c>
      <c r="M688" s="35" t="str">
        <f>IF(B688="","",IF(E688="KXDDM","KXDDM – không ĐM",IF(E688&lt;&gt;"","Không KT ("&amp;E688&amp;")",IF(OR(K688="",L688=""),"Xem xét",IF(MAX(ABS(K688),ABS(L688))&lt;=ThongTin!$C$12,"OK","Xem xét")))))</f>
        <v/>
      </c>
    </row>
    <row r="689" spans="1:13" x14ac:dyDescent="0.25">
      <c r="A689" s="35" t="str">
        <f t="shared" si="50"/>
        <v/>
      </c>
      <c r="B689" s="35" t="str">
        <f>IF(BOM!A689="","",BOM!A689)</f>
        <v/>
      </c>
      <c r="C689" s="35" t="str">
        <f>IF(B689="","",BOM!B689)</f>
        <v/>
      </c>
      <c r="D689" s="35" t="str">
        <f>IF(B689="","",KT_DMTT_ChiTiet!E689)</f>
        <v/>
      </c>
      <c r="E689" s="36" t="str">
        <f>IF(B689="","",BOM!G689&amp;"")</f>
        <v/>
      </c>
      <c r="F689" s="39" t="str">
        <f>IF(B689="","",BOM!E689)</f>
        <v/>
      </c>
      <c r="G689" s="39" t="str">
        <f>IF(OR(B689="",E689="KXDDM"),"",BOM!F689)</f>
        <v/>
      </c>
      <c r="H689" s="39" t="str">
        <f>IF(OR(B689="",E689&lt;&gt;""),"",IFERROR(INDEX(KT_nguoc_theo_NL!$J$5:$J$304,MATCH(C689,KT_nguoc_theo_NL!$B$5:$B$304,0))/INDEX(KT_nguoc_theo_NL!$K$5:$K$304,MATCH(C689,KT_nguoc_theo_NL!$B$5:$B$304,0)),""))</f>
        <v/>
      </c>
      <c r="I689" s="39" t="str">
        <f t="shared" si="51"/>
        <v/>
      </c>
      <c r="J689" s="46" t="str">
        <f t="shared" si="52"/>
        <v/>
      </c>
      <c r="K689" s="46" t="str">
        <f t="shared" si="53"/>
        <v/>
      </c>
      <c r="L689" s="46" t="str">
        <f t="shared" si="54"/>
        <v/>
      </c>
      <c r="M689" s="35" t="str">
        <f>IF(B689="","",IF(E689="KXDDM","KXDDM – không ĐM",IF(E689&lt;&gt;"","Không KT ("&amp;E689&amp;")",IF(OR(K689="",L689=""),"Xem xét",IF(MAX(ABS(K689),ABS(L689))&lt;=ThongTin!$C$12,"OK","Xem xét")))))</f>
        <v/>
      </c>
    </row>
    <row r="690" spans="1:13" x14ac:dyDescent="0.25">
      <c r="A690" s="35" t="str">
        <f t="shared" si="50"/>
        <v/>
      </c>
      <c r="B690" s="35" t="str">
        <f>IF(BOM!A690="","",BOM!A690)</f>
        <v/>
      </c>
      <c r="C690" s="35" t="str">
        <f>IF(B690="","",BOM!B690)</f>
        <v/>
      </c>
      <c r="D690" s="35" t="str">
        <f>IF(B690="","",KT_DMTT_ChiTiet!E690)</f>
        <v/>
      </c>
      <c r="E690" s="36" t="str">
        <f>IF(B690="","",BOM!G690&amp;"")</f>
        <v/>
      </c>
      <c r="F690" s="39" t="str">
        <f>IF(B690="","",BOM!E690)</f>
        <v/>
      </c>
      <c r="G690" s="39" t="str">
        <f>IF(OR(B690="",E690="KXDDM"),"",BOM!F690)</f>
        <v/>
      </c>
      <c r="H690" s="39" t="str">
        <f>IF(OR(B690="",E690&lt;&gt;""),"",IFERROR(INDEX(KT_nguoc_theo_NL!$J$5:$J$304,MATCH(C690,KT_nguoc_theo_NL!$B$5:$B$304,0))/INDEX(KT_nguoc_theo_NL!$K$5:$K$304,MATCH(C690,KT_nguoc_theo_NL!$B$5:$B$304,0)),""))</f>
        <v/>
      </c>
      <c r="I690" s="39" t="str">
        <f t="shared" si="51"/>
        <v/>
      </c>
      <c r="J690" s="46" t="str">
        <f t="shared" si="52"/>
        <v/>
      </c>
      <c r="K690" s="46" t="str">
        <f t="shared" si="53"/>
        <v/>
      </c>
      <c r="L690" s="46" t="str">
        <f t="shared" si="54"/>
        <v/>
      </c>
      <c r="M690" s="35" t="str">
        <f>IF(B690="","",IF(E690="KXDDM","KXDDM – không ĐM",IF(E690&lt;&gt;"","Không KT ("&amp;E690&amp;")",IF(OR(K690="",L690=""),"Xem xét",IF(MAX(ABS(K690),ABS(L690))&lt;=ThongTin!$C$12,"OK","Xem xét")))))</f>
        <v/>
      </c>
    </row>
    <row r="691" spans="1:13" x14ac:dyDescent="0.25">
      <c r="A691" s="35" t="str">
        <f t="shared" si="50"/>
        <v/>
      </c>
      <c r="B691" s="35" t="str">
        <f>IF(BOM!A691="","",BOM!A691)</f>
        <v/>
      </c>
      <c r="C691" s="35" t="str">
        <f>IF(B691="","",BOM!B691)</f>
        <v/>
      </c>
      <c r="D691" s="35" t="str">
        <f>IF(B691="","",KT_DMTT_ChiTiet!E691)</f>
        <v/>
      </c>
      <c r="E691" s="36" t="str">
        <f>IF(B691="","",BOM!G691&amp;"")</f>
        <v/>
      </c>
      <c r="F691" s="39" t="str">
        <f>IF(B691="","",BOM!E691)</f>
        <v/>
      </c>
      <c r="G691" s="39" t="str">
        <f>IF(OR(B691="",E691="KXDDM"),"",BOM!F691)</f>
        <v/>
      </c>
      <c r="H691" s="39" t="str">
        <f>IF(OR(B691="",E691&lt;&gt;""),"",IFERROR(INDEX(KT_nguoc_theo_NL!$J$5:$J$304,MATCH(C691,KT_nguoc_theo_NL!$B$5:$B$304,0))/INDEX(KT_nguoc_theo_NL!$K$5:$K$304,MATCH(C691,KT_nguoc_theo_NL!$B$5:$B$304,0)),""))</f>
        <v/>
      </c>
      <c r="I691" s="39" t="str">
        <f t="shared" si="51"/>
        <v/>
      </c>
      <c r="J691" s="46" t="str">
        <f t="shared" si="52"/>
        <v/>
      </c>
      <c r="K691" s="46" t="str">
        <f t="shared" si="53"/>
        <v/>
      </c>
      <c r="L691" s="46" t="str">
        <f t="shared" si="54"/>
        <v/>
      </c>
      <c r="M691" s="35" t="str">
        <f>IF(B691="","",IF(E691="KXDDM","KXDDM – không ĐM",IF(E691&lt;&gt;"","Không KT ("&amp;E691&amp;")",IF(OR(K691="",L691=""),"Xem xét",IF(MAX(ABS(K691),ABS(L691))&lt;=ThongTin!$C$12,"OK","Xem xét")))))</f>
        <v/>
      </c>
    </row>
    <row r="692" spans="1:13" x14ac:dyDescent="0.25">
      <c r="A692" s="35" t="str">
        <f t="shared" si="50"/>
        <v/>
      </c>
      <c r="B692" s="35" t="str">
        <f>IF(BOM!A692="","",BOM!A692)</f>
        <v/>
      </c>
      <c r="C692" s="35" t="str">
        <f>IF(B692="","",BOM!B692)</f>
        <v/>
      </c>
      <c r="D692" s="35" t="str">
        <f>IF(B692="","",KT_DMTT_ChiTiet!E692)</f>
        <v/>
      </c>
      <c r="E692" s="36" t="str">
        <f>IF(B692="","",BOM!G692&amp;"")</f>
        <v/>
      </c>
      <c r="F692" s="39" t="str">
        <f>IF(B692="","",BOM!E692)</f>
        <v/>
      </c>
      <c r="G692" s="39" t="str">
        <f>IF(OR(B692="",E692="KXDDM"),"",BOM!F692)</f>
        <v/>
      </c>
      <c r="H692" s="39" t="str">
        <f>IF(OR(B692="",E692&lt;&gt;""),"",IFERROR(INDEX(KT_nguoc_theo_NL!$J$5:$J$304,MATCH(C692,KT_nguoc_theo_NL!$B$5:$B$304,0))/INDEX(KT_nguoc_theo_NL!$K$5:$K$304,MATCH(C692,KT_nguoc_theo_NL!$B$5:$B$304,0)),""))</f>
        <v/>
      </c>
      <c r="I692" s="39" t="str">
        <f t="shared" si="51"/>
        <v/>
      </c>
      <c r="J692" s="46" t="str">
        <f t="shared" si="52"/>
        <v/>
      </c>
      <c r="K692" s="46" t="str">
        <f t="shared" si="53"/>
        <v/>
      </c>
      <c r="L692" s="46" t="str">
        <f t="shared" si="54"/>
        <v/>
      </c>
      <c r="M692" s="35" t="str">
        <f>IF(B692="","",IF(E692="KXDDM","KXDDM – không ĐM",IF(E692&lt;&gt;"","Không KT ("&amp;E692&amp;")",IF(OR(K692="",L692=""),"Xem xét",IF(MAX(ABS(K692),ABS(L692))&lt;=ThongTin!$C$12,"OK","Xem xét")))))</f>
        <v/>
      </c>
    </row>
    <row r="693" spans="1:13" x14ac:dyDescent="0.25">
      <c r="A693" s="35" t="str">
        <f t="shared" si="50"/>
        <v/>
      </c>
      <c r="B693" s="35" t="str">
        <f>IF(BOM!A693="","",BOM!A693)</f>
        <v/>
      </c>
      <c r="C693" s="35" t="str">
        <f>IF(B693="","",BOM!B693)</f>
        <v/>
      </c>
      <c r="D693" s="35" t="str">
        <f>IF(B693="","",KT_DMTT_ChiTiet!E693)</f>
        <v/>
      </c>
      <c r="E693" s="36" t="str">
        <f>IF(B693="","",BOM!G693&amp;"")</f>
        <v/>
      </c>
      <c r="F693" s="39" t="str">
        <f>IF(B693="","",BOM!E693)</f>
        <v/>
      </c>
      <c r="G693" s="39" t="str">
        <f>IF(OR(B693="",E693="KXDDM"),"",BOM!F693)</f>
        <v/>
      </c>
      <c r="H693" s="39" t="str">
        <f>IF(OR(B693="",E693&lt;&gt;""),"",IFERROR(INDEX(KT_nguoc_theo_NL!$J$5:$J$304,MATCH(C693,KT_nguoc_theo_NL!$B$5:$B$304,0))/INDEX(KT_nguoc_theo_NL!$K$5:$K$304,MATCH(C693,KT_nguoc_theo_NL!$B$5:$B$304,0)),""))</f>
        <v/>
      </c>
      <c r="I693" s="39" t="str">
        <f t="shared" si="51"/>
        <v/>
      </c>
      <c r="J693" s="46" t="str">
        <f t="shared" si="52"/>
        <v/>
      </c>
      <c r="K693" s="46" t="str">
        <f t="shared" si="53"/>
        <v/>
      </c>
      <c r="L693" s="46" t="str">
        <f t="shared" si="54"/>
        <v/>
      </c>
      <c r="M693" s="35" t="str">
        <f>IF(B693="","",IF(E693="KXDDM","KXDDM – không ĐM",IF(E693&lt;&gt;"","Không KT ("&amp;E693&amp;")",IF(OR(K693="",L693=""),"Xem xét",IF(MAX(ABS(K693),ABS(L693))&lt;=ThongTin!$C$12,"OK","Xem xét")))))</f>
        <v/>
      </c>
    </row>
    <row r="694" spans="1:13" x14ac:dyDescent="0.25">
      <c r="A694" s="35" t="str">
        <f t="shared" si="50"/>
        <v/>
      </c>
      <c r="B694" s="35" t="str">
        <f>IF(BOM!A694="","",BOM!A694)</f>
        <v/>
      </c>
      <c r="C694" s="35" t="str">
        <f>IF(B694="","",BOM!B694)</f>
        <v/>
      </c>
      <c r="D694" s="35" t="str">
        <f>IF(B694="","",KT_DMTT_ChiTiet!E694)</f>
        <v/>
      </c>
      <c r="E694" s="36" t="str">
        <f>IF(B694="","",BOM!G694&amp;"")</f>
        <v/>
      </c>
      <c r="F694" s="39" t="str">
        <f>IF(B694="","",BOM!E694)</f>
        <v/>
      </c>
      <c r="G694" s="39" t="str">
        <f>IF(OR(B694="",E694="KXDDM"),"",BOM!F694)</f>
        <v/>
      </c>
      <c r="H694" s="39" t="str">
        <f>IF(OR(B694="",E694&lt;&gt;""),"",IFERROR(INDEX(KT_nguoc_theo_NL!$J$5:$J$304,MATCH(C694,KT_nguoc_theo_NL!$B$5:$B$304,0))/INDEX(KT_nguoc_theo_NL!$K$5:$K$304,MATCH(C694,KT_nguoc_theo_NL!$B$5:$B$304,0)),""))</f>
        <v/>
      </c>
      <c r="I694" s="39" t="str">
        <f t="shared" si="51"/>
        <v/>
      </c>
      <c r="J694" s="46" t="str">
        <f t="shared" si="52"/>
        <v/>
      </c>
      <c r="K694" s="46" t="str">
        <f t="shared" si="53"/>
        <v/>
      </c>
      <c r="L694" s="46" t="str">
        <f t="shared" si="54"/>
        <v/>
      </c>
      <c r="M694" s="35" t="str">
        <f>IF(B694="","",IF(E694="KXDDM","KXDDM – không ĐM",IF(E694&lt;&gt;"","Không KT ("&amp;E694&amp;")",IF(OR(K694="",L694=""),"Xem xét",IF(MAX(ABS(K694),ABS(L694))&lt;=ThongTin!$C$12,"OK","Xem xét")))))</f>
        <v/>
      </c>
    </row>
    <row r="695" spans="1:13" x14ac:dyDescent="0.25">
      <c r="A695" s="35" t="str">
        <f t="shared" si="50"/>
        <v/>
      </c>
      <c r="B695" s="35" t="str">
        <f>IF(BOM!A695="","",BOM!A695)</f>
        <v/>
      </c>
      <c r="C695" s="35" t="str">
        <f>IF(B695="","",BOM!B695)</f>
        <v/>
      </c>
      <c r="D695" s="35" t="str">
        <f>IF(B695="","",KT_DMTT_ChiTiet!E695)</f>
        <v/>
      </c>
      <c r="E695" s="36" t="str">
        <f>IF(B695="","",BOM!G695&amp;"")</f>
        <v/>
      </c>
      <c r="F695" s="39" t="str">
        <f>IF(B695="","",BOM!E695)</f>
        <v/>
      </c>
      <c r="G695" s="39" t="str">
        <f>IF(OR(B695="",E695="KXDDM"),"",BOM!F695)</f>
        <v/>
      </c>
      <c r="H695" s="39" t="str">
        <f>IF(OR(B695="",E695&lt;&gt;""),"",IFERROR(INDEX(KT_nguoc_theo_NL!$J$5:$J$304,MATCH(C695,KT_nguoc_theo_NL!$B$5:$B$304,0))/INDEX(KT_nguoc_theo_NL!$K$5:$K$304,MATCH(C695,KT_nguoc_theo_NL!$B$5:$B$304,0)),""))</f>
        <v/>
      </c>
      <c r="I695" s="39" t="str">
        <f t="shared" si="51"/>
        <v/>
      </c>
      <c r="J695" s="46" t="str">
        <f t="shared" si="52"/>
        <v/>
      </c>
      <c r="K695" s="46" t="str">
        <f t="shared" si="53"/>
        <v/>
      </c>
      <c r="L695" s="46" t="str">
        <f t="shared" si="54"/>
        <v/>
      </c>
      <c r="M695" s="35" t="str">
        <f>IF(B695="","",IF(E695="KXDDM","KXDDM – không ĐM",IF(E695&lt;&gt;"","Không KT ("&amp;E695&amp;")",IF(OR(K695="",L695=""),"Xem xét",IF(MAX(ABS(K695),ABS(L695))&lt;=ThongTin!$C$12,"OK","Xem xét")))))</f>
        <v/>
      </c>
    </row>
    <row r="696" spans="1:13" x14ac:dyDescent="0.25">
      <c r="A696" s="35" t="str">
        <f t="shared" si="50"/>
        <v/>
      </c>
      <c r="B696" s="35" t="str">
        <f>IF(BOM!A696="","",BOM!A696)</f>
        <v/>
      </c>
      <c r="C696" s="35" t="str">
        <f>IF(B696="","",BOM!B696)</f>
        <v/>
      </c>
      <c r="D696" s="35" t="str">
        <f>IF(B696="","",KT_DMTT_ChiTiet!E696)</f>
        <v/>
      </c>
      <c r="E696" s="36" t="str">
        <f>IF(B696="","",BOM!G696&amp;"")</f>
        <v/>
      </c>
      <c r="F696" s="39" t="str">
        <f>IF(B696="","",BOM!E696)</f>
        <v/>
      </c>
      <c r="G696" s="39" t="str">
        <f>IF(OR(B696="",E696="KXDDM"),"",BOM!F696)</f>
        <v/>
      </c>
      <c r="H696" s="39" t="str">
        <f>IF(OR(B696="",E696&lt;&gt;""),"",IFERROR(INDEX(KT_nguoc_theo_NL!$J$5:$J$304,MATCH(C696,KT_nguoc_theo_NL!$B$5:$B$304,0))/INDEX(KT_nguoc_theo_NL!$K$5:$K$304,MATCH(C696,KT_nguoc_theo_NL!$B$5:$B$304,0)),""))</f>
        <v/>
      </c>
      <c r="I696" s="39" t="str">
        <f t="shared" si="51"/>
        <v/>
      </c>
      <c r="J696" s="46" t="str">
        <f t="shared" si="52"/>
        <v/>
      </c>
      <c r="K696" s="46" t="str">
        <f t="shared" si="53"/>
        <v/>
      </c>
      <c r="L696" s="46" t="str">
        <f t="shared" si="54"/>
        <v/>
      </c>
      <c r="M696" s="35" t="str">
        <f>IF(B696="","",IF(E696="KXDDM","KXDDM – không ĐM",IF(E696&lt;&gt;"","Không KT ("&amp;E696&amp;")",IF(OR(K696="",L696=""),"Xem xét",IF(MAX(ABS(K696),ABS(L696))&lt;=ThongTin!$C$12,"OK","Xem xét")))))</f>
        <v/>
      </c>
    </row>
    <row r="697" spans="1:13" x14ac:dyDescent="0.25">
      <c r="A697" s="35" t="str">
        <f t="shared" si="50"/>
        <v/>
      </c>
      <c r="B697" s="35" t="str">
        <f>IF(BOM!A697="","",BOM!A697)</f>
        <v/>
      </c>
      <c r="C697" s="35" t="str">
        <f>IF(B697="","",BOM!B697)</f>
        <v/>
      </c>
      <c r="D697" s="35" t="str">
        <f>IF(B697="","",KT_DMTT_ChiTiet!E697)</f>
        <v/>
      </c>
      <c r="E697" s="36" t="str">
        <f>IF(B697="","",BOM!G697&amp;"")</f>
        <v/>
      </c>
      <c r="F697" s="39" t="str">
        <f>IF(B697="","",BOM!E697)</f>
        <v/>
      </c>
      <c r="G697" s="39" t="str">
        <f>IF(OR(B697="",E697="KXDDM"),"",BOM!F697)</f>
        <v/>
      </c>
      <c r="H697" s="39" t="str">
        <f>IF(OR(B697="",E697&lt;&gt;""),"",IFERROR(INDEX(KT_nguoc_theo_NL!$J$5:$J$304,MATCH(C697,KT_nguoc_theo_NL!$B$5:$B$304,0))/INDEX(KT_nguoc_theo_NL!$K$5:$K$304,MATCH(C697,KT_nguoc_theo_NL!$B$5:$B$304,0)),""))</f>
        <v/>
      </c>
      <c r="I697" s="39" t="str">
        <f t="shared" si="51"/>
        <v/>
      </c>
      <c r="J697" s="46" t="str">
        <f t="shared" si="52"/>
        <v/>
      </c>
      <c r="K697" s="46" t="str">
        <f t="shared" si="53"/>
        <v/>
      </c>
      <c r="L697" s="46" t="str">
        <f t="shared" si="54"/>
        <v/>
      </c>
      <c r="M697" s="35" t="str">
        <f>IF(B697="","",IF(E697="KXDDM","KXDDM – không ĐM",IF(E697&lt;&gt;"","Không KT ("&amp;E697&amp;")",IF(OR(K697="",L697=""),"Xem xét",IF(MAX(ABS(K697),ABS(L697))&lt;=ThongTin!$C$12,"OK","Xem xét")))))</f>
        <v/>
      </c>
    </row>
    <row r="698" spans="1:13" x14ac:dyDescent="0.25">
      <c r="A698" s="35" t="str">
        <f t="shared" si="50"/>
        <v/>
      </c>
      <c r="B698" s="35" t="str">
        <f>IF(BOM!A698="","",BOM!A698)</f>
        <v/>
      </c>
      <c r="C698" s="35" t="str">
        <f>IF(B698="","",BOM!B698)</f>
        <v/>
      </c>
      <c r="D698" s="35" t="str">
        <f>IF(B698="","",KT_DMTT_ChiTiet!E698)</f>
        <v/>
      </c>
      <c r="E698" s="36" t="str">
        <f>IF(B698="","",BOM!G698&amp;"")</f>
        <v/>
      </c>
      <c r="F698" s="39" t="str">
        <f>IF(B698="","",BOM!E698)</f>
        <v/>
      </c>
      <c r="G698" s="39" t="str">
        <f>IF(OR(B698="",E698="KXDDM"),"",BOM!F698)</f>
        <v/>
      </c>
      <c r="H698" s="39" t="str">
        <f>IF(OR(B698="",E698&lt;&gt;""),"",IFERROR(INDEX(KT_nguoc_theo_NL!$J$5:$J$304,MATCH(C698,KT_nguoc_theo_NL!$B$5:$B$304,0))/INDEX(KT_nguoc_theo_NL!$K$5:$K$304,MATCH(C698,KT_nguoc_theo_NL!$B$5:$B$304,0)),""))</f>
        <v/>
      </c>
      <c r="I698" s="39" t="str">
        <f t="shared" si="51"/>
        <v/>
      </c>
      <c r="J698" s="46" t="str">
        <f t="shared" si="52"/>
        <v/>
      </c>
      <c r="K698" s="46" t="str">
        <f t="shared" si="53"/>
        <v/>
      </c>
      <c r="L698" s="46" t="str">
        <f t="shared" si="54"/>
        <v/>
      </c>
      <c r="M698" s="35" t="str">
        <f>IF(B698="","",IF(E698="KXDDM","KXDDM – không ĐM",IF(E698&lt;&gt;"","Không KT ("&amp;E698&amp;")",IF(OR(K698="",L698=""),"Xem xét",IF(MAX(ABS(K698),ABS(L698))&lt;=ThongTin!$C$12,"OK","Xem xét")))))</f>
        <v/>
      </c>
    </row>
    <row r="699" spans="1:13" x14ac:dyDescent="0.25">
      <c r="A699" s="35" t="str">
        <f t="shared" si="50"/>
        <v/>
      </c>
      <c r="B699" s="35" t="str">
        <f>IF(BOM!A699="","",BOM!A699)</f>
        <v/>
      </c>
      <c r="C699" s="35" t="str">
        <f>IF(B699="","",BOM!B699)</f>
        <v/>
      </c>
      <c r="D699" s="35" t="str">
        <f>IF(B699="","",KT_DMTT_ChiTiet!E699)</f>
        <v/>
      </c>
      <c r="E699" s="36" t="str">
        <f>IF(B699="","",BOM!G699&amp;"")</f>
        <v/>
      </c>
      <c r="F699" s="39" t="str">
        <f>IF(B699="","",BOM!E699)</f>
        <v/>
      </c>
      <c r="G699" s="39" t="str">
        <f>IF(OR(B699="",E699="KXDDM"),"",BOM!F699)</f>
        <v/>
      </c>
      <c r="H699" s="39" t="str">
        <f>IF(OR(B699="",E699&lt;&gt;""),"",IFERROR(INDEX(KT_nguoc_theo_NL!$J$5:$J$304,MATCH(C699,KT_nguoc_theo_NL!$B$5:$B$304,0))/INDEX(KT_nguoc_theo_NL!$K$5:$K$304,MATCH(C699,KT_nguoc_theo_NL!$B$5:$B$304,0)),""))</f>
        <v/>
      </c>
      <c r="I699" s="39" t="str">
        <f t="shared" si="51"/>
        <v/>
      </c>
      <c r="J699" s="46" t="str">
        <f t="shared" si="52"/>
        <v/>
      </c>
      <c r="K699" s="46" t="str">
        <f t="shared" si="53"/>
        <v/>
      </c>
      <c r="L699" s="46" t="str">
        <f t="shared" si="54"/>
        <v/>
      </c>
      <c r="M699" s="35" t="str">
        <f>IF(B699="","",IF(E699="KXDDM","KXDDM – không ĐM",IF(E699&lt;&gt;"","Không KT ("&amp;E699&amp;")",IF(OR(K699="",L699=""),"Xem xét",IF(MAX(ABS(K699),ABS(L699))&lt;=ThongTin!$C$12,"OK","Xem xét")))))</f>
        <v/>
      </c>
    </row>
    <row r="700" spans="1:13" x14ac:dyDescent="0.25">
      <c r="A700" s="35" t="str">
        <f t="shared" si="50"/>
        <v/>
      </c>
      <c r="B700" s="35" t="str">
        <f>IF(BOM!A700="","",BOM!A700)</f>
        <v/>
      </c>
      <c r="C700" s="35" t="str">
        <f>IF(B700="","",BOM!B700)</f>
        <v/>
      </c>
      <c r="D700" s="35" t="str">
        <f>IF(B700="","",KT_DMTT_ChiTiet!E700)</f>
        <v/>
      </c>
      <c r="E700" s="36" t="str">
        <f>IF(B700="","",BOM!G700&amp;"")</f>
        <v/>
      </c>
      <c r="F700" s="39" t="str">
        <f>IF(B700="","",BOM!E700)</f>
        <v/>
      </c>
      <c r="G700" s="39" t="str">
        <f>IF(OR(B700="",E700="KXDDM"),"",BOM!F700)</f>
        <v/>
      </c>
      <c r="H700" s="39" t="str">
        <f>IF(OR(B700="",E700&lt;&gt;""),"",IFERROR(INDEX(KT_nguoc_theo_NL!$J$5:$J$304,MATCH(C700,KT_nguoc_theo_NL!$B$5:$B$304,0))/INDEX(KT_nguoc_theo_NL!$K$5:$K$304,MATCH(C700,KT_nguoc_theo_NL!$B$5:$B$304,0)),""))</f>
        <v/>
      </c>
      <c r="I700" s="39" t="str">
        <f t="shared" si="51"/>
        <v/>
      </c>
      <c r="J700" s="46" t="str">
        <f t="shared" si="52"/>
        <v/>
      </c>
      <c r="K700" s="46" t="str">
        <f t="shared" si="53"/>
        <v/>
      </c>
      <c r="L700" s="46" t="str">
        <f t="shared" si="54"/>
        <v/>
      </c>
      <c r="M700" s="35" t="str">
        <f>IF(B700="","",IF(E700="KXDDM","KXDDM – không ĐM",IF(E700&lt;&gt;"","Không KT ("&amp;E700&amp;")",IF(OR(K700="",L700=""),"Xem xét",IF(MAX(ABS(K700),ABS(L700))&lt;=ThongTin!$C$12,"OK","Xem xét")))))</f>
        <v/>
      </c>
    </row>
    <row r="701" spans="1:13" x14ac:dyDescent="0.25">
      <c r="A701" s="35" t="str">
        <f t="shared" si="50"/>
        <v/>
      </c>
      <c r="B701" s="35" t="str">
        <f>IF(BOM!A701="","",BOM!A701)</f>
        <v/>
      </c>
      <c r="C701" s="35" t="str">
        <f>IF(B701="","",BOM!B701)</f>
        <v/>
      </c>
      <c r="D701" s="35" t="str">
        <f>IF(B701="","",KT_DMTT_ChiTiet!E701)</f>
        <v/>
      </c>
      <c r="E701" s="36" t="str">
        <f>IF(B701="","",BOM!G701&amp;"")</f>
        <v/>
      </c>
      <c r="F701" s="39" t="str">
        <f>IF(B701="","",BOM!E701)</f>
        <v/>
      </c>
      <c r="G701" s="39" t="str">
        <f>IF(OR(B701="",E701="KXDDM"),"",BOM!F701)</f>
        <v/>
      </c>
      <c r="H701" s="39" t="str">
        <f>IF(OR(B701="",E701&lt;&gt;""),"",IFERROR(INDEX(KT_nguoc_theo_NL!$J$5:$J$304,MATCH(C701,KT_nguoc_theo_NL!$B$5:$B$304,0))/INDEX(KT_nguoc_theo_NL!$K$5:$K$304,MATCH(C701,KT_nguoc_theo_NL!$B$5:$B$304,0)),""))</f>
        <v/>
      </c>
      <c r="I701" s="39" t="str">
        <f t="shared" si="51"/>
        <v/>
      </c>
      <c r="J701" s="46" t="str">
        <f t="shared" si="52"/>
        <v/>
      </c>
      <c r="K701" s="46" t="str">
        <f t="shared" si="53"/>
        <v/>
      </c>
      <c r="L701" s="46" t="str">
        <f t="shared" si="54"/>
        <v/>
      </c>
      <c r="M701" s="35" t="str">
        <f>IF(B701="","",IF(E701="KXDDM","KXDDM – không ĐM",IF(E701&lt;&gt;"","Không KT ("&amp;E701&amp;")",IF(OR(K701="",L701=""),"Xem xét",IF(MAX(ABS(K701),ABS(L701))&lt;=ThongTin!$C$12,"OK","Xem xét")))))</f>
        <v/>
      </c>
    </row>
    <row r="702" spans="1:13" x14ac:dyDescent="0.25">
      <c r="A702" s="35" t="str">
        <f t="shared" si="50"/>
        <v/>
      </c>
      <c r="B702" s="35" t="str">
        <f>IF(BOM!A702="","",BOM!A702)</f>
        <v/>
      </c>
      <c r="C702" s="35" t="str">
        <f>IF(B702="","",BOM!B702)</f>
        <v/>
      </c>
      <c r="D702" s="35" t="str">
        <f>IF(B702="","",KT_DMTT_ChiTiet!E702)</f>
        <v/>
      </c>
      <c r="E702" s="36" t="str">
        <f>IF(B702="","",BOM!G702&amp;"")</f>
        <v/>
      </c>
      <c r="F702" s="39" t="str">
        <f>IF(B702="","",BOM!E702)</f>
        <v/>
      </c>
      <c r="G702" s="39" t="str">
        <f>IF(OR(B702="",E702="KXDDM"),"",BOM!F702)</f>
        <v/>
      </c>
      <c r="H702" s="39" t="str">
        <f>IF(OR(B702="",E702&lt;&gt;""),"",IFERROR(INDEX(KT_nguoc_theo_NL!$J$5:$J$304,MATCH(C702,KT_nguoc_theo_NL!$B$5:$B$304,0))/INDEX(KT_nguoc_theo_NL!$K$5:$K$304,MATCH(C702,KT_nguoc_theo_NL!$B$5:$B$304,0)),""))</f>
        <v/>
      </c>
      <c r="I702" s="39" t="str">
        <f t="shared" si="51"/>
        <v/>
      </c>
      <c r="J702" s="46" t="str">
        <f t="shared" si="52"/>
        <v/>
      </c>
      <c r="K702" s="46" t="str">
        <f t="shared" si="53"/>
        <v/>
      </c>
      <c r="L702" s="46" t="str">
        <f t="shared" si="54"/>
        <v/>
      </c>
      <c r="M702" s="35" t="str">
        <f>IF(B702="","",IF(E702="KXDDM","KXDDM – không ĐM",IF(E702&lt;&gt;"","Không KT ("&amp;E702&amp;")",IF(OR(K702="",L702=""),"Xem xét",IF(MAX(ABS(K702),ABS(L702))&lt;=ThongTin!$C$12,"OK","Xem xét")))))</f>
        <v/>
      </c>
    </row>
    <row r="703" spans="1:13" x14ac:dyDescent="0.25">
      <c r="A703" s="35" t="str">
        <f t="shared" si="50"/>
        <v/>
      </c>
      <c r="B703" s="35" t="str">
        <f>IF(BOM!A703="","",BOM!A703)</f>
        <v/>
      </c>
      <c r="C703" s="35" t="str">
        <f>IF(B703="","",BOM!B703)</f>
        <v/>
      </c>
      <c r="D703" s="35" t="str">
        <f>IF(B703="","",KT_DMTT_ChiTiet!E703)</f>
        <v/>
      </c>
      <c r="E703" s="36" t="str">
        <f>IF(B703="","",BOM!G703&amp;"")</f>
        <v/>
      </c>
      <c r="F703" s="39" t="str">
        <f>IF(B703="","",BOM!E703)</f>
        <v/>
      </c>
      <c r="G703" s="39" t="str">
        <f>IF(OR(B703="",E703="KXDDM"),"",BOM!F703)</f>
        <v/>
      </c>
      <c r="H703" s="39" t="str">
        <f>IF(OR(B703="",E703&lt;&gt;""),"",IFERROR(INDEX(KT_nguoc_theo_NL!$J$5:$J$304,MATCH(C703,KT_nguoc_theo_NL!$B$5:$B$304,0))/INDEX(KT_nguoc_theo_NL!$K$5:$K$304,MATCH(C703,KT_nguoc_theo_NL!$B$5:$B$304,0)),""))</f>
        <v/>
      </c>
      <c r="I703" s="39" t="str">
        <f t="shared" si="51"/>
        <v/>
      </c>
      <c r="J703" s="46" t="str">
        <f t="shared" si="52"/>
        <v/>
      </c>
      <c r="K703" s="46" t="str">
        <f t="shared" si="53"/>
        <v/>
      </c>
      <c r="L703" s="46" t="str">
        <f t="shared" si="54"/>
        <v/>
      </c>
      <c r="M703" s="35" t="str">
        <f>IF(B703="","",IF(E703="KXDDM","KXDDM – không ĐM",IF(E703&lt;&gt;"","Không KT ("&amp;E703&amp;")",IF(OR(K703="",L703=""),"Xem xét",IF(MAX(ABS(K703),ABS(L703))&lt;=ThongTin!$C$12,"OK","Xem xét")))))</f>
        <v/>
      </c>
    </row>
    <row r="704" spans="1:13" x14ac:dyDescent="0.25">
      <c r="A704" s="35" t="str">
        <f t="shared" si="50"/>
        <v/>
      </c>
      <c r="B704" s="35" t="str">
        <f>IF(BOM!A704="","",BOM!A704)</f>
        <v/>
      </c>
      <c r="C704" s="35" t="str">
        <f>IF(B704="","",BOM!B704)</f>
        <v/>
      </c>
      <c r="D704" s="35" t="str">
        <f>IF(B704="","",KT_DMTT_ChiTiet!E704)</f>
        <v/>
      </c>
      <c r="E704" s="36" t="str">
        <f>IF(B704="","",BOM!G704&amp;"")</f>
        <v/>
      </c>
      <c r="F704" s="39" t="str">
        <f>IF(B704="","",BOM!E704)</f>
        <v/>
      </c>
      <c r="G704" s="39" t="str">
        <f>IF(OR(B704="",E704="KXDDM"),"",BOM!F704)</f>
        <v/>
      </c>
      <c r="H704" s="39" t="str">
        <f>IF(OR(B704="",E704&lt;&gt;""),"",IFERROR(INDEX(KT_nguoc_theo_NL!$J$5:$J$304,MATCH(C704,KT_nguoc_theo_NL!$B$5:$B$304,0))/INDEX(KT_nguoc_theo_NL!$K$5:$K$304,MATCH(C704,KT_nguoc_theo_NL!$B$5:$B$304,0)),""))</f>
        <v/>
      </c>
      <c r="I704" s="39" t="str">
        <f t="shared" si="51"/>
        <v/>
      </c>
      <c r="J704" s="46" t="str">
        <f t="shared" si="52"/>
        <v/>
      </c>
      <c r="K704" s="46" t="str">
        <f t="shared" si="53"/>
        <v/>
      </c>
      <c r="L704" s="46" t="str">
        <f t="shared" si="54"/>
        <v/>
      </c>
      <c r="M704" s="35" t="str">
        <f>IF(B704="","",IF(E704="KXDDM","KXDDM – không ĐM",IF(E704&lt;&gt;"","Không KT ("&amp;E704&amp;")",IF(OR(K704="",L704=""),"Xem xét",IF(MAX(ABS(K704),ABS(L704))&lt;=ThongTin!$C$12,"OK","Xem xét")))))</f>
        <v/>
      </c>
    </row>
    <row r="705" spans="1:13" x14ac:dyDescent="0.25">
      <c r="A705" s="35" t="str">
        <f t="shared" si="50"/>
        <v/>
      </c>
      <c r="B705" s="35" t="str">
        <f>IF(BOM!A705="","",BOM!A705)</f>
        <v/>
      </c>
      <c r="C705" s="35" t="str">
        <f>IF(B705="","",BOM!B705)</f>
        <v/>
      </c>
      <c r="D705" s="35" t="str">
        <f>IF(B705="","",KT_DMTT_ChiTiet!E705)</f>
        <v/>
      </c>
      <c r="E705" s="36" t="str">
        <f>IF(B705="","",BOM!G705&amp;"")</f>
        <v/>
      </c>
      <c r="F705" s="39" t="str">
        <f>IF(B705="","",BOM!E705)</f>
        <v/>
      </c>
      <c r="G705" s="39" t="str">
        <f>IF(OR(B705="",E705="KXDDM"),"",BOM!F705)</f>
        <v/>
      </c>
      <c r="H705" s="39" t="str">
        <f>IF(OR(B705="",E705&lt;&gt;""),"",IFERROR(INDEX(KT_nguoc_theo_NL!$J$5:$J$304,MATCH(C705,KT_nguoc_theo_NL!$B$5:$B$304,0))/INDEX(KT_nguoc_theo_NL!$K$5:$K$304,MATCH(C705,KT_nguoc_theo_NL!$B$5:$B$304,0)),""))</f>
        <v/>
      </c>
      <c r="I705" s="39" t="str">
        <f t="shared" si="51"/>
        <v/>
      </c>
      <c r="J705" s="46" t="str">
        <f t="shared" si="52"/>
        <v/>
      </c>
      <c r="K705" s="46" t="str">
        <f t="shared" si="53"/>
        <v/>
      </c>
      <c r="L705" s="46" t="str">
        <f t="shared" si="54"/>
        <v/>
      </c>
      <c r="M705" s="35" t="str">
        <f>IF(B705="","",IF(E705="KXDDM","KXDDM – không ĐM",IF(E705&lt;&gt;"","Không KT ("&amp;E705&amp;")",IF(OR(K705="",L705=""),"Xem xét",IF(MAX(ABS(K705),ABS(L705))&lt;=ThongTin!$C$12,"OK","Xem xét")))))</f>
        <v/>
      </c>
    </row>
    <row r="706" spans="1:13" x14ac:dyDescent="0.25">
      <c r="A706" s="35" t="str">
        <f t="shared" si="50"/>
        <v/>
      </c>
      <c r="B706" s="35" t="str">
        <f>IF(BOM!A706="","",BOM!A706)</f>
        <v/>
      </c>
      <c r="C706" s="35" t="str">
        <f>IF(B706="","",BOM!B706)</f>
        <v/>
      </c>
      <c r="D706" s="35" t="str">
        <f>IF(B706="","",KT_DMTT_ChiTiet!E706)</f>
        <v/>
      </c>
      <c r="E706" s="36" t="str">
        <f>IF(B706="","",BOM!G706&amp;"")</f>
        <v/>
      </c>
      <c r="F706" s="39" t="str">
        <f>IF(B706="","",BOM!E706)</f>
        <v/>
      </c>
      <c r="G706" s="39" t="str">
        <f>IF(OR(B706="",E706="KXDDM"),"",BOM!F706)</f>
        <v/>
      </c>
      <c r="H706" s="39" t="str">
        <f>IF(OR(B706="",E706&lt;&gt;""),"",IFERROR(INDEX(KT_nguoc_theo_NL!$J$5:$J$304,MATCH(C706,KT_nguoc_theo_NL!$B$5:$B$304,0))/INDEX(KT_nguoc_theo_NL!$K$5:$K$304,MATCH(C706,KT_nguoc_theo_NL!$B$5:$B$304,0)),""))</f>
        <v/>
      </c>
      <c r="I706" s="39" t="str">
        <f t="shared" si="51"/>
        <v/>
      </c>
      <c r="J706" s="46" t="str">
        <f t="shared" si="52"/>
        <v/>
      </c>
      <c r="K706" s="46" t="str">
        <f t="shared" si="53"/>
        <v/>
      </c>
      <c r="L706" s="46" t="str">
        <f t="shared" si="54"/>
        <v/>
      </c>
      <c r="M706" s="35" t="str">
        <f>IF(B706="","",IF(E706="KXDDM","KXDDM – không ĐM",IF(E706&lt;&gt;"","Không KT ("&amp;E706&amp;")",IF(OR(K706="",L706=""),"Xem xét",IF(MAX(ABS(K706),ABS(L706))&lt;=ThongTin!$C$12,"OK","Xem xét")))))</f>
        <v/>
      </c>
    </row>
    <row r="707" spans="1:13" x14ac:dyDescent="0.25">
      <c r="A707" s="35" t="str">
        <f t="shared" si="50"/>
        <v/>
      </c>
      <c r="B707" s="35" t="str">
        <f>IF(BOM!A707="","",BOM!A707)</f>
        <v/>
      </c>
      <c r="C707" s="35" t="str">
        <f>IF(B707="","",BOM!B707)</f>
        <v/>
      </c>
      <c r="D707" s="35" t="str">
        <f>IF(B707="","",KT_DMTT_ChiTiet!E707)</f>
        <v/>
      </c>
      <c r="E707" s="36" t="str">
        <f>IF(B707="","",BOM!G707&amp;"")</f>
        <v/>
      </c>
      <c r="F707" s="39" t="str">
        <f>IF(B707="","",BOM!E707)</f>
        <v/>
      </c>
      <c r="G707" s="39" t="str">
        <f>IF(OR(B707="",E707="KXDDM"),"",BOM!F707)</f>
        <v/>
      </c>
      <c r="H707" s="39" t="str">
        <f>IF(OR(B707="",E707&lt;&gt;""),"",IFERROR(INDEX(KT_nguoc_theo_NL!$J$5:$J$304,MATCH(C707,KT_nguoc_theo_NL!$B$5:$B$304,0))/INDEX(KT_nguoc_theo_NL!$K$5:$K$304,MATCH(C707,KT_nguoc_theo_NL!$B$5:$B$304,0)),""))</f>
        <v/>
      </c>
      <c r="I707" s="39" t="str">
        <f t="shared" si="51"/>
        <v/>
      </c>
      <c r="J707" s="46" t="str">
        <f t="shared" si="52"/>
        <v/>
      </c>
      <c r="K707" s="46" t="str">
        <f t="shared" si="53"/>
        <v/>
      </c>
      <c r="L707" s="46" t="str">
        <f t="shared" si="54"/>
        <v/>
      </c>
      <c r="M707" s="35" t="str">
        <f>IF(B707="","",IF(E707="KXDDM","KXDDM – không ĐM",IF(E707&lt;&gt;"","Không KT ("&amp;E707&amp;")",IF(OR(K707="",L707=""),"Xem xét",IF(MAX(ABS(K707),ABS(L707))&lt;=ThongTin!$C$12,"OK","Xem xét")))))</f>
        <v/>
      </c>
    </row>
    <row r="708" spans="1:13" x14ac:dyDescent="0.25">
      <c r="A708" s="35" t="str">
        <f t="shared" si="50"/>
        <v/>
      </c>
      <c r="B708" s="35" t="str">
        <f>IF(BOM!A708="","",BOM!A708)</f>
        <v/>
      </c>
      <c r="C708" s="35" t="str">
        <f>IF(B708="","",BOM!B708)</f>
        <v/>
      </c>
      <c r="D708" s="35" t="str">
        <f>IF(B708="","",KT_DMTT_ChiTiet!E708)</f>
        <v/>
      </c>
      <c r="E708" s="36" t="str">
        <f>IF(B708="","",BOM!G708&amp;"")</f>
        <v/>
      </c>
      <c r="F708" s="39" t="str">
        <f>IF(B708="","",BOM!E708)</f>
        <v/>
      </c>
      <c r="G708" s="39" t="str">
        <f>IF(OR(B708="",E708="KXDDM"),"",BOM!F708)</f>
        <v/>
      </c>
      <c r="H708" s="39" t="str">
        <f>IF(OR(B708="",E708&lt;&gt;""),"",IFERROR(INDEX(KT_nguoc_theo_NL!$J$5:$J$304,MATCH(C708,KT_nguoc_theo_NL!$B$5:$B$304,0))/INDEX(KT_nguoc_theo_NL!$K$5:$K$304,MATCH(C708,KT_nguoc_theo_NL!$B$5:$B$304,0)),""))</f>
        <v/>
      </c>
      <c r="I708" s="39" t="str">
        <f t="shared" si="51"/>
        <v/>
      </c>
      <c r="J708" s="46" t="str">
        <f t="shared" si="52"/>
        <v/>
      </c>
      <c r="K708" s="46" t="str">
        <f t="shared" si="53"/>
        <v/>
      </c>
      <c r="L708" s="46" t="str">
        <f t="shared" si="54"/>
        <v/>
      </c>
      <c r="M708" s="35" t="str">
        <f>IF(B708="","",IF(E708="KXDDM","KXDDM – không ĐM",IF(E708&lt;&gt;"","Không KT ("&amp;E708&amp;")",IF(OR(K708="",L708=""),"Xem xét",IF(MAX(ABS(K708),ABS(L708))&lt;=ThongTin!$C$12,"OK","Xem xét")))))</f>
        <v/>
      </c>
    </row>
    <row r="709" spans="1:13" x14ac:dyDescent="0.25">
      <c r="A709" s="35" t="str">
        <f t="shared" ref="A709:A772" si="55">IF(B709="","",ROW()-4)</f>
        <v/>
      </c>
      <c r="B709" s="35" t="str">
        <f>IF(BOM!A709="","",BOM!A709)</f>
        <v/>
      </c>
      <c r="C709" s="35" t="str">
        <f>IF(B709="","",BOM!B709)</f>
        <v/>
      </c>
      <c r="D709" s="35" t="str">
        <f>IF(B709="","",KT_DMTT_ChiTiet!E709)</f>
        <v/>
      </c>
      <c r="E709" s="36" t="str">
        <f>IF(B709="","",BOM!G709&amp;"")</f>
        <v/>
      </c>
      <c r="F709" s="39" t="str">
        <f>IF(B709="","",BOM!E709)</f>
        <v/>
      </c>
      <c r="G709" s="39" t="str">
        <f>IF(OR(B709="",E709="KXDDM"),"",BOM!F709)</f>
        <v/>
      </c>
      <c r="H709" s="39" t="str">
        <f>IF(OR(B709="",E709&lt;&gt;""),"",IFERROR(INDEX(KT_nguoc_theo_NL!$J$5:$J$304,MATCH(C709,KT_nguoc_theo_NL!$B$5:$B$304,0))/INDEX(KT_nguoc_theo_NL!$K$5:$K$304,MATCH(C709,KT_nguoc_theo_NL!$B$5:$B$304,0)),""))</f>
        <v/>
      </c>
      <c r="I709" s="39" t="str">
        <f t="shared" ref="I709:I772" si="56">IF(OR(H709="",G709=""),"",G709*H709)</f>
        <v/>
      </c>
      <c r="J709" s="46" t="str">
        <f t="shared" ref="J709:J772" si="57">IF(OR(I709="",I709=0),"",(G709-I709)/I709)</f>
        <v/>
      </c>
      <c r="K709" s="46" t="str">
        <f t="shared" ref="K709:K772" si="58">IF(OR(G709="",F709="",F709=0),"",(G709-F709)/F709)</f>
        <v/>
      </c>
      <c r="L709" s="46" t="str">
        <f t="shared" ref="L709:L772" si="59">IF(OR(I709="",F709="",F709=0),"",(I709-F709)/F709)</f>
        <v/>
      </c>
      <c r="M709" s="35" t="str">
        <f>IF(B709="","",IF(E709="KXDDM","KXDDM – không ĐM",IF(E709&lt;&gt;"","Không KT ("&amp;E709&amp;")",IF(OR(K709="",L709=""),"Xem xét",IF(MAX(ABS(K709),ABS(L709))&lt;=ThongTin!$C$12,"OK","Xem xét")))))</f>
        <v/>
      </c>
    </row>
    <row r="710" spans="1:13" x14ac:dyDescent="0.25">
      <c r="A710" s="35" t="str">
        <f t="shared" si="55"/>
        <v/>
      </c>
      <c r="B710" s="35" t="str">
        <f>IF(BOM!A710="","",BOM!A710)</f>
        <v/>
      </c>
      <c r="C710" s="35" t="str">
        <f>IF(B710="","",BOM!B710)</f>
        <v/>
      </c>
      <c r="D710" s="35" t="str">
        <f>IF(B710="","",KT_DMTT_ChiTiet!E710)</f>
        <v/>
      </c>
      <c r="E710" s="36" t="str">
        <f>IF(B710="","",BOM!G710&amp;"")</f>
        <v/>
      </c>
      <c r="F710" s="39" t="str">
        <f>IF(B710="","",BOM!E710)</f>
        <v/>
      </c>
      <c r="G710" s="39" t="str">
        <f>IF(OR(B710="",E710="KXDDM"),"",BOM!F710)</f>
        <v/>
      </c>
      <c r="H710" s="39" t="str">
        <f>IF(OR(B710="",E710&lt;&gt;""),"",IFERROR(INDEX(KT_nguoc_theo_NL!$J$5:$J$304,MATCH(C710,KT_nguoc_theo_NL!$B$5:$B$304,0))/INDEX(KT_nguoc_theo_NL!$K$5:$K$304,MATCH(C710,KT_nguoc_theo_NL!$B$5:$B$304,0)),""))</f>
        <v/>
      </c>
      <c r="I710" s="39" t="str">
        <f t="shared" si="56"/>
        <v/>
      </c>
      <c r="J710" s="46" t="str">
        <f t="shared" si="57"/>
        <v/>
      </c>
      <c r="K710" s="46" t="str">
        <f t="shared" si="58"/>
        <v/>
      </c>
      <c r="L710" s="46" t="str">
        <f t="shared" si="59"/>
        <v/>
      </c>
      <c r="M710" s="35" t="str">
        <f>IF(B710="","",IF(E710="KXDDM","KXDDM – không ĐM",IF(E710&lt;&gt;"","Không KT ("&amp;E710&amp;")",IF(OR(K710="",L710=""),"Xem xét",IF(MAX(ABS(K710),ABS(L710))&lt;=ThongTin!$C$12,"OK","Xem xét")))))</f>
        <v/>
      </c>
    </row>
    <row r="711" spans="1:13" x14ac:dyDescent="0.25">
      <c r="A711" s="35" t="str">
        <f t="shared" si="55"/>
        <v/>
      </c>
      <c r="B711" s="35" t="str">
        <f>IF(BOM!A711="","",BOM!A711)</f>
        <v/>
      </c>
      <c r="C711" s="35" t="str">
        <f>IF(B711="","",BOM!B711)</f>
        <v/>
      </c>
      <c r="D711" s="35" t="str">
        <f>IF(B711="","",KT_DMTT_ChiTiet!E711)</f>
        <v/>
      </c>
      <c r="E711" s="36" t="str">
        <f>IF(B711="","",BOM!G711&amp;"")</f>
        <v/>
      </c>
      <c r="F711" s="39" t="str">
        <f>IF(B711="","",BOM!E711)</f>
        <v/>
      </c>
      <c r="G711" s="39" t="str">
        <f>IF(OR(B711="",E711="KXDDM"),"",BOM!F711)</f>
        <v/>
      </c>
      <c r="H711" s="39" t="str">
        <f>IF(OR(B711="",E711&lt;&gt;""),"",IFERROR(INDEX(KT_nguoc_theo_NL!$J$5:$J$304,MATCH(C711,KT_nguoc_theo_NL!$B$5:$B$304,0))/INDEX(KT_nguoc_theo_NL!$K$5:$K$304,MATCH(C711,KT_nguoc_theo_NL!$B$5:$B$304,0)),""))</f>
        <v/>
      </c>
      <c r="I711" s="39" t="str">
        <f t="shared" si="56"/>
        <v/>
      </c>
      <c r="J711" s="46" t="str">
        <f t="shared" si="57"/>
        <v/>
      </c>
      <c r="K711" s="46" t="str">
        <f t="shared" si="58"/>
        <v/>
      </c>
      <c r="L711" s="46" t="str">
        <f t="shared" si="59"/>
        <v/>
      </c>
      <c r="M711" s="35" t="str">
        <f>IF(B711="","",IF(E711="KXDDM","KXDDM – không ĐM",IF(E711&lt;&gt;"","Không KT ("&amp;E711&amp;")",IF(OR(K711="",L711=""),"Xem xét",IF(MAX(ABS(K711),ABS(L711))&lt;=ThongTin!$C$12,"OK","Xem xét")))))</f>
        <v/>
      </c>
    </row>
    <row r="712" spans="1:13" x14ac:dyDescent="0.25">
      <c r="A712" s="35" t="str">
        <f t="shared" si="55"/>
        <v/>
      </c>
      <c r="B712" s="35" t="str">
        <f>IF(BOM!A712="","",BOM!A712)</f>
        <v/>
      </c>
      <c r="C712" s="35" t="str">
        <f>IF(B712="","",BOM!B712)</f>
        <v/>
      </c>
      <c r="D712" s="35" t="str">
        <f>IF(B712="","",KT_DMTT_ChiTiet!E712)</f>
        <v/>
      </c>
      <c r="E712" s="36" t="str">
        <f>IF(B712="","",BOM!G712&amp;"")</f>
        <v/>
      </c>
      <c r="F712" s="39" t="str">
        <f>IF(B712="","",BOM!E712)</f>
        <v/>
      </c>
      <c r="G712" s="39" t="str">
        <f>IF(OR(B712="",E712="KXDDM"),"",BOM!F712)</f>
        <v/>
      </c>
      <c r="H712" s="39" t="str">
        <f>IF(OR(B712="",E712&lt;&gt;""),"",IFERROR(INDEX(KT_nguoc_theo_NL!$J$5:$J$304,MATCH(C712,KT_nguoc_theo_NL!$B$5:$B$304,0))/INDEX(KT_nguoc_theo_NL!$K$5:$K$304,MATCH(C712,KT_nguoc_theo_NL!$B$5:$B$304,0)),""))</f>
        <v/>
      </c>
      <c r="I712" s="39" t="str">
        <f t="shared" si="56"/>
        <v/>
      </c>
      <c r="J712" s="46" t="str">
        <f t="shared" si="57"/>
        <v/>
      </c>
      <c r="K712" s="46" t="str">
        <f t="shared" si="58"/>
        <v/>
      </c>
      <c r="L712" s="46" t="str">
        <f t="shared" si="59"/>
        <v/>
      </c>
      <c r="M712" s="35" t="str">
        <f>IF(B712="","",IF(E712="KXDDM","KXDDM – không ĐM",IF(E712&lt;&gt;"","Không KT ("&amp;E712&amp;")",IF(OR(K712="",L712=""),"Xem xét",IF(MAX(ABS(K712),ABS(L712))&lt;=ThongTin!$C$12,"OK","Xem xét")))))</f>
        <v/>
      </c>
    </row>
    <row r="713" spans="1:13" x14ac:dyDescent="0.25">
      <c r="A713" s="35" t="str">
        <f t="shared" si="55"/>
        <v/>
      </c>
      <c r="B713" s="35" t="str">
        <f>IF(BOM!A713="","",BOM!A713)</f>
        <v/>
      </c>
      <c r="C713" s="35" t="str">
        <f>IF(B713="","",BOM!B713)</f>
        <v/>
      </c>
      <c r="D713" s="35" t="str">
        <f>IF(B713="","",KT_DMTT_ChiTiet!E713)</f>
        <v/>
      </c>
      <c r="E713" s="36" t="str">
        <f>IF(B713="","",BOM!G713&amp;"")</f>
        <v/>
      </c>
      <c r="F713" s="39" t="str">
        <f>IF(B713="","",BOM!E713)</f>
        <v/>
      </c>
      <c r="G713" s="39" t="str">
        <f>IF(OR(B713="",E713="KXDDM"),"",BOM!F713)</f>
        <v/>
      </c>
      <c r="H713" s="39" t="str">
        <f>IF(OR(B713="",E713&lt;&gt;""),"",IFERROR(INDEX(KT_nguoc_theo_NL!$J$5:$J$304,MATCH(C713,KT_nguoc_theo_NL!$B$5:$B$304,0))/INDEX(KT_nguoc_theo_NL!$K$5:$K$304,MATCH(C713,KT_nguoc_theo_NL!$B$5:$B$304,0)),""))</f>
        <v/>
      </c>
      <c r="I713" s="39" t="str">
        <f t="shared" si="56"/>
        <v/>
      </c>
      <c r="J713" s="46" t="str">
        <f t="shared" si="57"/>
        <v/>
      </c>
      <c r="K713" s="46" t="str">
        <f t="shared" si="58"/>
        <v/>
      </c>
      <c r="L713" s="46" t="str">
        <f t="shared" si="59"/>
        <v/>
      </c>
      <c r="M713" s="35" t="str">
        <f>IF(B713="","",IF(E713="KXDDM","KXDDM – không ĐM",IF(E713&lt;&gt;"","Không KT ("&amp;E713&amp;")",IF(OR(K713="",L713=""),"Xem xét",IF(MAX(ABS(K713),ABS(L713))&lt;=ThongTin!$C$12,"OK","Xem xét")))))</f>
        <v/>
      </c>
    </row>
    <row r="714" spans="1:13" x14ac:dyDescent="0.25">
      <c r="A714" s="35" t="str">
        <f t="shared" si="55"/>
        <v/>
      </c>
      <c r="B714" s="35" t="str">
        <f>IF(BOM!A714="","",BOM!A714)</f>
        <v/>
      </c>
      <c r="C714" s="35" t="str">
        <f>IF(B714="","",BOM!B714)</f>
        <v/>
      </c>
      <c r="D714" s="35" t="str">
        <f>IF(B714="","",KT_DMTT_ChiTiet!E714)</f>
        <v/>
      </c>
      <c r="E714" s="36" t="str">
        <f>IF(B714="","",BOM!G714&amp;"")</f>
        <v/>
      </c>
      <c r="F714" s="39" t="str">
        <f>IF(B714="","",BOM!E714)</f>
        <v/>
      </c>
      <c r="G714" s="39" t="str">
        <f>IF(OR(B714="",E714="KXDDM"),"",BOM!F714)</f>
        <v/>
      </c>
      <c r="H714" s="39" t="str">
        <f>IF(OR(B714="",E714&lt;&gt;""),"",IFERROR(INDEX(KT_nguoc_theo_NL!$J$5:$J$304,MATCH(C714,KT_nguoc_theo_NL!$B$5:$B$304,0))/INDEX(KT_nguoc_theo_NL!$K$5:$K$304,MATCH(C714,KT_nguoc_theo_NL!$B$5:$B$304,0)),""))</f>
        <v/>
      </c>
      <c r="I714" s="39" t="str">
        <f t="shared" si="56"/>
        <v/>
      </c>
      <c r="J714" s="46" t="str">
        <f t="shared" si="57"/>
        <v/>
      </c>
      <c r="K714" s="46" t="str">
        <f t="shared" si="58"/>
        <v/>
      </c>
      <c r="L714" s="46" t="str">
        <f t="shared" si="59"/>
        <v/>
      </c>
      <c r="M714" s="35" t="str">
        <f>IF(B714="","",IF(E714="KXDDM","KXDDM – không ĐM",IF(E714&lt;&gt;"","Không KT ("&amp;E714&amp;")",IF(OR(K714="",L714=""),"Xem xét",IF(MAX(ABS(K714),ABS(L714))&lt;=ThongTin!$C$12,"OK","Xem xét")))))</f>
        <v/>
      </c>
    </row>
    <row r="715" spans="1:13" x14ac:dyDescent="0.25">
      <c r="A715" s="35" t="str">
        <f t="shared" si="55"/>
        <v/>
      </c>
      <c r="B715" s="35" t="str">
        <f>IF(BOM!A715="","",BOM!A715)</f>
        <v/>
      </c>
      <c r="C715" s="35" t="str">
        <f>IF(B715="","",BOM!B715)</f>
        <v/>
      </c>
      <c r="D715" s="35" t="str">
        <f>IF(B715="","",KT_DMTT_ChiTiet!E715)</f>
        <v/>
      </c>
      <c r="E715" s="36" t="str">
        <f>IF(B715="","",BOM!G715&amp;"")</f>
        <v/>
      </c>
      <c r="F715" s="39" t="str">
        <f>IF(B715="","",BOM!E715)</f>
        <v/>
      </c>
      <c r="G715" s="39" t="str">
        <f>IF(OR(B715="",E715="KXDDM"),"",BOM!F715)</f>
        <v/>
      </c>
      <c r="H715" s="39" t="str">
        <f>IF(OR(B715="",E715&lt;&gt;""),"",IFERROR(INDEX(KT_nguoc_theo_NL!$J$5:$J$304,MATCH(C715,KT_nguoc_theo_NL!$B$5:$B$304,0))/INDEX(KT_nguoc_theo_NL!$K$5:$K$304,MATCH(C715,KT_nguoc_theo_NL!$B$5:$B$304,0)),""))</f>
        <v/>
      </c>
      <c r="I715" s="39" t="str">
        <f t="shared" si="56"/>
        <v/>
      </c>
      <c r="J715" s="46" t="str">
        <f t="shared" si="57"/>
        <v/>
      </c>
      <c r="K715" s="46" t="str">
        <f t="shared" si="58"/>
        <v/>
      </c>
      <c r="L715" s="46" t="str">
        <f t="shared" si="59"/>
        <v/>
      </c>
      <c r="M715" s="35" t="str">
        <f>IF(B715="","",IF(E715="KXDDM","KXDDM – không ĐM",IF(E715&lt;&gt;"","Không KT ("&amp;E715&amp;")",IF(OR(K715="",L715=""),"Xem xét",IF(MAX(ABS(K715),ABS(L715))&lt;=ThongTin!$C$12,"OK","Xem xét")))))</f>
        <v/>
      </c>
    </row>
    <row r="716" spans="1:13" x14ac:dyDescent="0.25">
      <c r="A716" s="35" t="str">
        <f t="shared" si="55"/>
        <v/>
      </c>
      <c r="B716" s="35" t="str">
        <f>IF(BOM!A716="","",BOM!A716)</f>
        <v/>
      </c>
      <c r="C716" s="35" t="str">
        <f>IF(B716="","",BOM!B716)</f>
        <v/>
      </c>
      <c r="D716" s="35" t="str">
        <f>IF(B716="","",KT_DMTT_ChiTiet!E716)</f>
        <v/>
      </c>
      <c r="E716" s="36" t="str">
        <f>IF(B716="","",BOM!G716&amp;"")</f>
        <v/>
      </c>
      <c r="F716" s="39" t="str">
        <f>IF(B716="","",BOM!E716)</f>
        <v/>
      </c>
      <c r="G716" s="39" t="str">
        <f>IF(OR(B716="",E716="KXDDM"),"",BOM!F716)</f>
        <v/>
      </c>
      <c r="H716" s="39" t="str">
        <f>IF(OR(B716="",E716&lt;&gt;""),"",IFERROR(INDEX(KT_nguoc_theo_NL!$J$5:$J$304,MATCH(C716,KT_nguoc_theo_NL!$B$5:$B$304,0))/INDEX(KT_nguoc_theo_NL!$K$5:$K$304,MATCH(C716,KT_nguoc_theo_NL!$B$5:$B$304,0)),""))</f>
        <v/>
      </c>
      <c r="I716" s="39" t="str">
        <f t="shared" si="56"/>
        <v/>
      </c>
      <c r="J716" s="46" t="str">
        <f t="shared" si="57"/>
        <v/>
      </c>
      <c r="K716" s="46" t="str">
        <f t="shared" si="58"/>
        <v/>
      </c>
      <c r="L716" s="46" t="str">
        <f t="shared" si="59"/>
        <v/>
      </c>
      <c r="M716" s="35" t="str">
        <f>IF(B716="","",IF(E716="KXDDM","KXDDM – không ĐM",IF(E716&lt;&gt;"","Không KT ("&amp;E716&amp;")",IF(OR(K716="",L716=""),"Xem xét",IF(MAX(ABS(K716),ABS(L716))&lt;=ThongTin!$C$12,"OK","Xem xét")))))</f>
        <v/>
      </c>
    </row>
    <row r="717" spans="1:13" x14ac:dyDescent="0.25">
      <c r="A717" s="35" t="str">
        <f t="shared" si="55"/>
        <v/>
      </c>
      <c r="B717" s="35" t="str">
        <f>IF(BOM!A717="","",BOM!A717)</f>
        <v/>
      </c>
      <c r="C717" s="35" t="str">
        <f>IF(B717="","",BOM!B717)</f>
        <v/>
      </c>
      <c r="D717" s="35" t="str">
        <f>IF(B717="","",KT_DMTT_ChiTiet!E717)</f>
        <v/>
      </c>
      <c r="E717" s="36" t="str">
        <f>IF(B717="","",BOM!G717&amp;"")</f>
        <v/>
      </c>
      <c r="F717" s="39" t="str">
        <f>IF(B717="","",BOM!E717)</f>
        <v/>
      </c>
      <c r="G717" s="39" t="str">
        <f>IF(OR(B717="",E717="KXDDM"),"",BOM!F717)</f>
        <v/>
      </c>
      <c r="H717" s="39" t="str">
        <f>IF(OR(B717="",E717&lt;&gt;""),"",IFERROR(INDEX(KT_nguoc_theo_NL!$J$5:$J$304,MATCH(C717,KT_nguoc_theo_NL!$B$5:$B$304,0))/INDEX(KT_nguoc_theo_NL!$K$5:$K$304,MATCH(C717,KT_nguoc_theo_NL!$B$5:$B$304,0)),""))</f>
        <v/>
      </c>
      <c r="I717" s="39" t="str">
        <f t="shared" si="56"/>
        <v/>
      </c>
      <c r="J717" s="46" t="str">
        <f t="shared" si="57"/>
        <v/>
      </c>
      <c r="K717" s="46" t="str">
        <f t="shared" si="58"/>
        <v/>
      </c>
      <c r="L717" s="46" t="str">
        <f t="shared" si="59"/>
        <v/>
      </c>
      <c r="M717" s="35" t="str">
        <f>IF(B717="","",IF(E717="KXDDM","KXDDM – không ĐM",IF(E717&lt;&gt;"","Không KT ("&amp;E717&amp;")",IF(OR(K717="",L717=""),"Xem xét",IF(MAX(ABS(K717),ABS(L717))&lt;=ThongTin!$C$12,"OK","Xem xét")))))</f>
        <v/>
      </c>
    </row>
    <row r="718" spans="1:13" x14ac:dyDescent="0.25">
      <c r="A718" s="35" t="str">
        <f t="shared" si="55"/>
        <v/>
      </c>
      <c r="B718" s="35" t="str">
        <f>IF(BOM!A718="","",BOM!A718)</f>
        <v/>
      </c>
      <c r="C718" s="35" t="str">
        <f>IF(B718="","",BOM!B718)</f>
        <v/>
      </c>
      <c r="D718" s="35" t="str">
        <f>IF(B718="","",KT_DMTT_ChiTiet!E718)</f>
        <v/>
      </c>
      <c r="E718" s="36" t="str">
        <f>IF(B718="","",BOM!G718&amp;"")</f>
        <v/>
      </c>
      <c r="F718" s="39" t="str">
        <f>IF(B718="","",BOM!E718)</f>
        <v/>
      </c>
      <c r="G718" s="39" t="str">
        <f>IF(OR(B718="",E718="KXDDM"),"",BOM!F718)</f>
        <v/>
      </c>
      <c r="H718" s="39" t="str">
        <f>IF(OR(B718="",E718&lt;&gt;""),"",IFERROR(INDEX(KT_nguoc_theo_NL!$J$5:$J$304,MATCH(C718,KT_nguoc_theo_NL!$B$5:$B$304,0))/INDEX(KT_nguoc_theo_NL!$K$5:$K$304,MATCH(C718,KT_nguoc_theo_NL!$B$5:$B$304,0)),""))</f>
        <v/>
      </c>
      <c r="I718" s="39" t="str">
        <f t="shared" si="56"/>
        <v/>
      </c>
      <c r="J718" s="46" t="str">
        <f t="shared" si="57"/>
        <v/>
      </c>
      <c r="K718" s="46" t="str">
        <f t="shared" si="58"/>
        <v/>
      </c>
      <c r="L718" s="46" t="str">
        <f t="shared" si="59"/>
        <v/>
      </c>
      <c r="M718" s="35" t="str">
        <f>IF(B718="","",IF(E718="KXDDM","KXDDM – không ĐM",IF(E718&lt;&gt;"","Không KT ("&amp;E718&amp;")",IF(OR(K718="",L718=""),"Xem xét",IF(MAX(ABS(K718),ABS(L718))&lt;=ThongTin!$C$12,"OK","Xem xét")))))</f>
        <v/>
      </c>
    </row>
    <row r="719" spans="1:13" x14ac:dyDescent="0.25">
      <c r="A719" s="35" t="str">
        <f t="shared" si="55"/>
        <v/>
      </c>
      <c r="B719" s="35" t="str">
        <f>IF(BOM!A719="","",BOM!A719)</f>
        <v/>
      </c>
      <c r="C719" s="35" t="str">
        <f>IF(B719="","",BOM!B719)</f>
        <v/>
      </c>
      <c r="D719" s="35" t="str">
        <f>IF(B719="","",KT_DMTT_ChiTiet!E719)</f>
        <v/>
      </c>
      <c r="E719" s="36" t="str">
        <f>IF(B719="","",BOM!G719&amp;"")</f>
        <v/>
      </c>
      <c r="F719" s="39" t="str">
        <f>IF(B719="","",BOM!E719)</f>
        <v/>
      </c>
      <c r="G719" s="39" t="str">
        <f>IF(OR(B719="",E719="KXDDM"),"",BOM!F719)</f>
        <v/>
      </c>
      <c r="H719" s="39" t="str">
        <f>IF(OR(B719="",E719&lt;&gt;""),"",IFERROR(INDEX(KT_nguoc_theo_NL!$J$5:$J$304,MATCH(C719,KT_nguoc_theo_NL!$B$5:$B$304,0))/INDEX(KT_nguoc_theo_NL!$K$5:$K$304,MATCH(C719,KT_nguoc_theo_NL!$B$5:$B$304,0)),""))</f>
        <v/>
      </c>
      <c r="I719" s="39" t="str">
        <f t="shared" si="56"/>
        <v/>
      </c>
      <c r="J719" s="46" t="str">
        <f t="shared" si="57"/>
        <v/>
      </c>
      <c r="K719" s="46" t="str">
        <f t="shared" si="58"/>
        <v/>
      </c>
      <c r="L719" s="46" t="str">
        <f t="shared" si="59"/>
        <v/>
      </c>
      <c r="M719" s="35" t="str">
        <f>IF(B719="","",IF(E719="KXDDM","KXDDM – không ĐM",IF(E719&lt;&gt;"","Không KT ("&amp;E719&amp;")",IF(OR(K719="",L719=""),"Xem xét",IF(MAX(ABS(K719),ABS(L719))&lt;=ThongTin!$C$12,"OK","Xem xét")))))</f>
        <v/>
      </c>
    </row>
    <row r="720" spans="1:13" x14ac:dyDescent="0.25">
      <c r="A720" s="35" t="str">
        <f t="shared" si="55"/>
        <v/>
      </c>
      <c r="B720" s="35" t="str">
        <f>IF(BOM!A720="","",BOM!A720)</f>
        <v/>
      </c>
      <c r="C720" s="35" t="str">
        <f>IF(B720="","",BOM!B720)</f>
        <v/>
      </c>
      <c r="D720" s="35" t="str">
        <f>IF(B720="","",KT_DMTT_ChiTiet!E720)</f>
        <v/>
      </c>
      <c r="E720" s="36" t="str">
        <f>IF(B720="","",BOM!G720&amp;"")</f>
        <v/>
      </c>
      <c r="F720" s="39" t="str">
        <f>IF(B720="","",BOM!E720)</f>
        <v/>
      </c>
      <c r="G720" s="39" t="str">
        <f>IF(OR(B720="",E720="KXDDM"),"",BOM!F720)</f>
        <v/>
      </c>
      <c r="H720" s="39" t="str">
        <f>IF(OR(B720="",E720&lt;&gt;""),"",IFERROR(INDEX(KT_nguoc_theo_NL!$J$5:$J$304,MATCH(C720,KT_nguoc_theo_NL!$B$5:$B$304,0))/INDEX(KT_nguoc_theo_NL!$K$5:$K$304,MATCH(C720,KT_nguoc_theo_NL!$B$5:$B$304,0)),""))</f>
        <v/>
      </c>
      <c r="I720" s="39" t="str">
        <f t="shared" si="56"/>
        <v/>
      </c>
      <c r="J720" s="46" t="str">
        <f t="shared" si="57"/>
        <v/>
      </c>
      <c r="K720" s="46" t="str">
        <f t="shared" si="58"/>
        <v/>
      </c>
      <c r="L720" s="46" t="str">
        <f t="shared" si="59"/>
        <v/>
      </c>
      <c r="M720" s="35" t="str">
        <f>IF(B720="","",IF(E720="KXDDM","KXDDM – không ĐM",IF(E720&lt;&gt;"","Không KT ("&amp;E720&amp;")",IF(OR(K720="",L720=""),"Xem xét",IF(MAX(ABS(K720),ABS(L720))&lt;=ThongTin!$C$12,"OK","Xem xét")))))</f>
        <v/>
      </c>
    </row>
    <row r="721" spans="1:13" x14ac:dyDescent="0.25">
      <c r="A721" s="35" t="str">
        <f t="shared" si="55"/>
        <v/>
      </c>
      <c r="B721" s="35" t="str">
        <f>IF(BOM!A721="","",BOM!A721)</f>
        <v/>
      </c>
      <c r="C721" s="35" t="str">
        <f>IF(B721="","",BOM!B721)</f>
        <v/>
      </c>
      <c r="D721" s="35" t="str">
        <f>IF(B721="","",KT_DMTT_ChiTiet!E721)</f>
        <v/>
      </c>
      <c r="E721" s="36" t="str">
        <f>IF(B721="","",BOM!G721&amp;"")</f>
        <v/>
      </c>
      <c r="F721" s="39" t="str">
        <f>IF(B721="","",BOM!E721)</f>
        <v/>
      </c>
      <c r="G721" s="39" t="str">
        <f>IF(OR(B721="",E721="KXDDM"),"",BOM!F721)</f>
        <v/>
      </c>
      <c r="H721" s="39" t="str">
        <f>IF(OR(B721="",E721&lt;&gt;""),"",IFERROR(INDEX(KT_nguoc_theo_NL!$J$5:$J$304,MATCH(C721,KT_nguoc_theo_NL!$B$5:$B$304,0))/INDEX(KT_nguoc_theo_NL!$K$5:$K$304,MATCH(C721,KT_nguoc_theo_NL!$B$5:$B$304,0)),""))</f>
        <v/>
      </c>
      <c r="I721" s="39" t="str">
        <f t="shared" si="56"/>
        <v/>
      </c>
      <c r="J721" s="46" t="str">
        <f t="shared" si="57"/>
        <v/>
      </c>
      <c r="K721" s="46" t="str">
        <f t="shared" si="58"/>
        <v/>
      </c>
      <c r="L721" s="46" t="str">
        <f t="shared" si="59"/>
        <v/>
      </c>
      <c r="M721" s="35" t="str">
        <f>IF(B721="","",IF(E721="KXDDM","KXDDM – không ĐM",IF(E721&lt;&gt;"","Không KT ("&amp;E721&amp;")",IF(OR(K721="",L721=""),"Xem xét",IF(MAX(ABS(K721),ABS(L721))&lt;=ThongTin!$C$12,"OK","Xem xét")))))</f>
        <v/>
      </c>
    </row>
    <row r="722" spans="1:13" x14ac:dyDescent="0.25">
      <c r="A722" s="35" t="str">
        <f t="shared" si="55"/>
        <v/>
      </c>
      <c r="B722" s="35" t="str">
        <f>IF(BOM!A722="","",BOM!A722)</f>
        <v/>
      </c>
      <c r="C722" s="35" t="str">
        <f>IF(B722="","",BOM!B722)</f>
        <v/>
      </c>
      <c r="D722" s="35" t="str">
        <f>IF(B722="","",KT_DMTT_ChiTiet!E722)</f>
        <v/>
      </c>
      <c r="E722" s="36" t="str">
        <f>IF(B722="","",BOM!G722&amp;"")</f>
        <v/>
      </c>
      <c r="F722" s="39" t="str">
        <f>IF(B722="","",BOM!E722)</f>
        <v/>
      </c>
      <c r="G722" s="39" t="str">
        <f>IF(OR(B722="",E722="KXDDM"),"",BOM!F722)</f>
        <v/>
      </c>
      <c r="H722" s="39" t="str">
        <f>IF(OR(B722="",E722&lt;&gt;""),"",IFERROR(INDEX(KT_nguoc_theo_NL!$J$5:$J$304,MATCH(C722,KT_nguoc_theo_NL!$B$5:$B$304,0))/INDEX(KT_nguoc_theo_NL!$K$5:$K$304,MATCH(C722,KT_nguoc_theo_NL!$B$5:$B$304,0)),""))</f>
        <v/>
      </c>
      <c r="I722" s="39" t="str">
        <f t="shared" si="56"/>
        <v/>
      </c>
      <c r="J722" s="46" t="str">
        <f t="shared" si="57"/>
        <v/>
      </c>
      <c r="K722" s="46" t="str">
        <f t="shared" si="58"/>
        <v/>
      </c>
      <c r="L722" s="46" t="str">
        <f t="shared" si="59"/>
        <v/>
      </c>
      <c r="M722" s="35" t="str">
        <f>IF(B722="","",IF(E722="KXDDM","KXDDM – không ĐM",IF(E722&lt;&gt;"","Không KT ("&amp;E722&amp;")",IF(OR(K722="",L722=""),"Xem xét",IF(MAX(ABS(K722),ABS(L722))&lt;=ThongTin!$C$12,"OK","Xem xét")))))</f>
        <v/>
      </c>
    </row>
    <row r="723" spans="1:13" x14ac:dyDescent="0.25">
      <c r="A723" s="35" t="str">
        <f t="shared" si="55"/>
        <v/>
      </c>
      <c r="B723" s="35" t="str">
        <f>IF(BOM!A723="","",BOM!A723)</f>
        <v/>
      </c>
      <c r="C723" s="35" t="str">
        <f>IF(B723="","",BOM!B723)</f>
        <v/>
      </c>
      <c r="D723" s="35" t="str">
        <f>IF(B723="","",KT_DMTT_ChiTiet!E723)</f>
        <v/>
      </c>
      <c r="E723" s="36" t="str">
        <f>IF(B723="","",BOM!G723&amp;"")</f>
        <v/>
      </c>
      <c r="F723" s="39" t="str">
        <f>IF(B723="","",BOM!E723)</f>
        <v/>
      </c>
      <c r="G723" s="39" t="str">
        <f>IF(OR(B723="",E723="KXDDM"),"",BOM!F723)</f>
        <v/>
      </c>
      <c r="H723" s="39" t="str">
        <f>IF(OR(B723="",E723&lt;&gt;""),"",IFERROR(INDEX(KT_nguoc_theo_NL!$J$5:$J$304,MATCH(C723,KT_nguoc_theo_NL!$B$5:$B$304,0))/INDEX(KT_nguoc_theo_NL!$K$5:$K$304,MATCH(C723,KT_nguoc_theo_NL!$B$5:$B$304,0)),""))</f>
        <v/>
      </c>
      <c r="I723" s="39" t="str">
        <f t="shared" si="56"/>
        <v/>
      </c>
      <c r="J723" s="46" t="str">
        <f t="shared" si="57"/>
        <v/>
      </c>
      <c r="K723" s="46" t="str">
        <f t="shared" si="58"/>
        <v/>
      </c>
      <c r="L723" s="46" t="str">
        <f t="shared" si="59"/>
        <v/>
      </c>
      <c r="M723" s="35" t="str">
        <f>IF(B723="","",IF(E723="KXDDM","KXDDM – không ĐM",IF(E723&lt;&gt;"","Không KT ("&amp;E723&amp;")",IF(OR(K723="",L723=""),"Xem xét",IF(MAX(ABS(K723),ABS(L723))&lt;=ThongTin!$C$12,"OK","Xem xét")))))</f>
        <v/>
      </c>
    </row>
    <row r="724" spans="1:13" x14ac:dyDescent="0.25">
      <c r="A724" s="35" t="str">
        <f t="shared" si="55"/>
        <v/>
      </c>
      <c r="B724" s="35" t="str">
        <f>IF(BOM!A724="","",BOM!A724)</f>
        <v/>
      </c>
      <c r="C724" s="35" t="str">
        <f>IF(B724="","",BOM!B724)</f>
        <v/>
      </c>
      <c r="D724" s="35" t="str">
        <f>IF(B724="","",KT_DMTT_ChiTiet!E724)</f>
        <v/>
      </c>
      <c r="E724" s="36" t="str">
        <f>IF(B724="","",BOM!G724&amp;"")</f>
        <v/>
      </c>
      <c r="F724" s="39" t="str">
        <f>IF(B724="","",BOM!E724)</f>
        <v/>
      </c>
      <c r="G724" s="39" t="str">
        <f>IF(OR(B724="",E724="KXDDM"),"",BOM!F724)</f>
        <v/>
      </c>
      <c r="H724" s="39" t="str">
        <f>IF(OR(B724="",E724&lt;&gt;""),"",IFERROR(INDEX(KT_nguoc_theo_NL!$J$5:$J$304,MATCH(C724,KT_nguoc_theo_NL!$B$5:$B$304,0))/INDEX(KT_nguoc_theo_NL!$K$5:$K$304,MATCH(C724,KT_nguoc_theo_NL!$B$5:$B$304,0)),""))</f>
        <v/>
      </c>
      <c r="I724" s="39" t="str">
        <f t="shared" si="56"/>
        <v/>
      </c>
      <c r="J724" s="46" t="str">
        <f t="shared" si="57"/>
        <v/>
      </c>
      <c r="K724" s="46" t="str">
        <f t="shared" si="58"/>
        <v/>
      </c>
      <c r="L724" s="46" t="str">
        <f t="shared" si="59"/>
        <v/>
      </c>
      <c r="M724" s="35" t="str">
        <f>IF(B724="","",IF(E724="KXDDM","KXDDM – không ĐM",IF(E724&lt;&gt;"","Không KT ("&amp;E724&amp;")",IF(OR(K724="",L724=""),"Xem xét",IF(MAX(ABS(K724),ABS(L724))&lt;=ThongTin!$C$12,"OK","Xem xét")))))</f>
        <v/>
      </c>
    </row>
    <row r="725" spans="1:13" x14ac:dyDescent="0.25">
      <c r="A725" s="35" t="str">
        <f t="shared" si="55"/>
        <v/>
      </c>
      <c r="B725" s="35" t="str">
        <f>IF(BOM!A725="","",BOM!A725)</f>
        <v/>
      </c>
      <c r="C725" s="35" t="str">
        <f>IF(B725="","",BOM!B725)</f>
        <v/>
      </c>
      <c r="D725" s="35" t="str">
        <f>IF(B725="","",KT_DMTT_ChiTiet!E725)</f>
        <v/>
      </c>
      <c r="E725" s="36" t="str">
        <f>IF(B725="","",BOM!G725&amp;"")</f>
        <v/>
      </c>
      <c r="F725" s="39" t="str">
        <f>IF(B725="","",BOM!E725)</f>
        <v/>
      </c>
      <c r="G725" s="39" t="str">
        <f>IF(OR(B725="",E725="KXDDM"),"",BOM!F725)</f>
        <v/>
      </c>
      <c r="H725" s="39" t="str">
        <f>IF(OR(B725="",E725&lt;&gt;""),"",IFERROR(INDEX(KT_nguoc_theo_NL!$J$5:$J$304,MATCH(C725,KT_nguoc_theo_NL!$B$5:$B$304,0))/INDEX(KT_nguoc_theo_NL!$K$5:$K$304,MATCH(C725,KT_nguoc_theo_NL!$B$5:$B$304,0)),""))</f>
        <v/>
      </c>
      <c r="I725" s="39" t="str">
        <f t="shared" si="56"/>
        <v/>
      </c>
      <c r="J725" s="46" t="str">
        <f t="shared" si="57"/>
        <v/>
      </c>
      <c r="K725" s="46" t="str">
        <f t="shared" si="58"/>
        <v/>
      </c>
      <c r="L725" s="46" t="str">
        <f t="shared" si="59"/>
        <v/>
      </c>
      <c r="M725" s="35" t="str">
        <f>IF(B725="","",IF(E725="KXDDM","KXDDM – không ĐM",IF(E725&lt;&gt;"","Không KT ("&amp;E725&amp;")",IF(OR(K725="",L725=""),"Xem xét",IF(MAX(ABS(K725),ABS(L725))&lt;=ThongTin!$C$12,"OK","Xem xét")))))</f>
        <v/>
      </c>
    </row>
    <row r="726" spans="1:13" x14ac:dyDescent="0.25">
      <c r="A726" s="35" t="str">
        <f t="shared" si="55"/>
        <v/>
      </c>
      <c r="B726" s="35" t="str">
        <f>IF(BOM!A726="","",BOM!A726)</f>
        <v/>
      </c>
      <c r="C726" s="35" t="str">
        <f>IF(B726="","",BOM!B726)</f>
        <v/>
      </c>
      <c r="D726" s="35" t="str">
        <f>IF(B726="","",KT_DMTT_ChiTiet!E726)</f>
        <v/>
      </c>
      <c r="E726" s="36" t="str">
        <f>IF(B726="","",BOM!G726&amp;"")</f>
        <v/>
      </c>
      <c r="F726" s="39" t="str">
        <f>IF(B726="","",BOM!E726)</f>
        <v/>
      </c>
      <c r="G726" s="39" t="str">
        <f>IF(OR(B726="",E726="KXDDM"),"",BOM!F726)</f>
        <v/>
      </c>
      <c r="H726" s="39" t="str">
        <f>IF(OR(B726="",E726&lt;&gt;""),"",IFERROR(INDEX(KT_nguoc_theo_NL!$J$5:$J$304,MATCH(C726,KT_nguoc_theo_NL!$B$5:$B$304,0))/INDEX(KT_nguoc_theo_NL!$K$5:$K$304,MATCH(C726,KT_nguoc_theo_NL!$B$5:$B$304,0)),""))</f>
        <v/>
      </c>
      <c r="I726" s="39" t="str">
        <f t="shared" si="56"/>
        <v/>
      </c>
      <c r="J726" s="46" t="str">
        <f t="shared" si="57"/>
        <v/>
      </c>
      <c r="K726" s="46" t="str">
        <f t="shared" si="58"/>
        <v/>
      </c>
      <c r="L726" s="46" t="str">
        <f t="shared" si="59"/>
        <v/>
      </c>
      <c r="M726" s="35" t="str">
        <f>IF(B726="","",IF(E726="KXDDM","KXDDM – không ĐM",IF(E726&lt;&gt;"","Không KT ("&amp;E726&amp;")",IF(OR(K726="",L726=""),"Xem xét",IF(MAX(ABS(K726),ABS(L726))&lt;=ThongTin!$C$12,"OK","Xem xét")))))</f>
        <v/>
      </c>
    </row>
    <row r="727" spans="1:13" x14ac:dyDescent="0.25">
      <c r="A727" s="35" t="str">
        <f t="shared" si="55"/>
        <v/>
      </c>
      <c r="B727" s="35" t="str">
        <f>IF(BOM!A727="","",BOM!A727)</f>
        <v/>
      </c>
      <c r="C727" s="35" t="str">
        <f>IF(B727="","",BOM!B727)</f>
        <v/>
      </c>
      <c r="D727" s="35" t="str">
        <f>IF(B727="","",KT_DMTT_ChiTiet!E727)</f>
        <v/>
      </c>
      <c r="E727" s="36" t="str">
        <f>IF(B727="","",BOM!G727&amp;"")</f>
        <v/>
      </c>
      <c r="F727" s="39" t="str">
        <f>IF(B727="","",BOM!E727)</f>
        <v/>
      </c>
      <c r="G727" s="39" t="str">
        <f>IF(OR(B727="",E727="KXDDM"),"",BOM!F727)</f>
        <v/>
      </c>
      <c r="H727" s="39" t="str">
        <f>IF(OR(B727="",E727&lt;&gt;""),"",IFERROR(INDEX(KT_nguoc_theo_NL!$J$5:$J$304,MATCH(C727,KT_nguoc_theo_NL!$B$5:$B$304,0))/INDEX(KT_nguoc_theo_NL!$K$5:$K$304,MATCH(C727,KT_nguoc_theo_NL!$B$5:$B$304,0)),""))</f>
        <v/>
      </c>
      <c r="I727" s="39" t="str">
        <f t="shared" si="56"/>
        <v/>
      </c>
      <c r="J727" s="46" t="str">
        <f t="shared" si="57"/>
        <v/>
      </c>
      <c r="K727" s="46" t="str">
        <f t="shared" si="58"/>
        <v/>
      </c>
      <c r="L727" s="46" t="str">
        <f t="shared" si="59"/>
        <v/>
      </c>
      <c r="M727" s="35" t="str">
        <f>IF(B727="","",IF(E727="KXDDM","KXDDM – không ĐM",IF(E727&lt;&gt;"","Không KT ("&amp;E727&amp;")",IF(OR(K727="",L727=""),"Xem xét",IF(MAX(ABS(K727),ABS(L727))&lt;=ThongTin!$C$12,"OK","Xem xét")))))</f>
        <v/>
      </c>
    </row>
    <row r="728" spans="1:13" x14ac:dyDescent="0.25">
      <c r="A728" s="35" t="str">
        <f t="shared" si="55"/>
        <v/>
      </c>
      <c r="B728" s="35" t="str">
        <f>IF(BOM!A728="","",BOM!A728)</f>
        <v/>
      </c>
      <c r="C728" s="35" t="str">
        <f>IF(B728="","",BOM!B728)</f>
        <v/>
      </c>
      <c r="D728" s="35" t="str">
        <f>IF(B728="","",KT_DMTT_ChiTiet!E728)</f>
        <v/>
      </c>
      <c r="E728" s="36" t="str">
        <f>IF(B728="","",BOM!G728&amp;"")</f>
        <v/>
      </c>
      <c r="F728" s="39" t="str">
        <f>IF(B728="","",BOM!E728)</f>
        <v/>
      </c>
      <c r="G728" s="39" t="str">
        <f>IF(OR(B728="",E728="KXDDM"),"",BOM!F728)</f>
        <v/>
      </c>
      <c r="H728" s="39" t="str">
        <f>IF(OR(B728="",E728&lt;&gt;""),"",IFERROR(INDEX(KT_nguoc_theo_NL!$J$5:$J$304,MATCH(C728,KT_nguoc_theo_NL!$B$5:$B$304,0))/INDEX(KT_nguoc_theo_NL!$K$5:$K$304,MATCH(C728,KT_nguoc_theo_NL!$B$5:$B$304,0)),""))</f>
        <v/>
      </c>
      <c r="I728" s="39" t="str">
        <f t="shared" si="56"/>
        <v/>
      </c>
      <c r="J728" s="46" t="str">
        <f t="shared" si="57"/>
        <v/>
      </c>
      <c r="K728" s="46" t="str">
        <f t="shared" si="58"/>
        <v/>
      </c>
      <c r="L728" s="46" t="str">
        <f t="shared" si="59"/>
        <v/>
      </c>
      <c r="M728" s="35" t="str">
        <f>IF(B728="","",IF(E728="KXDDM","KXDDM – không ĐM",IF(E728&lt;&gt;"","Không KT ("&amp;E728&amp;")",IF(OR(K728="",L728=""),"Xem xét",IF(MAX(ABS(K728),ABS(L728))&lt;=ThongTin!$C$12,"OK","Xem xét")))))</f>
        <v/>
      </c>
    </row>
    <row r="729" spans="1:13" x14ac:dyDescent="0.25">
      <c r="A729" s="35" t="str">
        <f t="shared" si="55"/>
        <v/>
      </c>
      <c r="B729" s="35" t="str">
        <f>IF(BOM!A729="","",BOM!A729)</f>
        <v/>
      </c>
      <c r="C729" s="35" t="str">
        <f>IF(B729="","",BOM!B729)</f>
        <v/>
      </c>
      <c r="D729" s="35" t="str">
        <f>IF(B729="","",KT_DMTT_ChiTiet!E729)</f>
        <v/>
      </c>
      <c r="E729" s="36" t="str">
        <f>IF(B729="","",BOM!G729&amp;"")</f>
        <v/>
      </c>
      <c r="F729" s="39" t="str">
        <f>IF(B729="","",BOM!E729)</f>
        <v/>
      </c>
      <c r="G729" s="39" t="str">
        <f>IF(OR(B729="",E729="KXDDM"),"",BOM!F729)</f>
        <v/>
      </c>
      <c r="H729" s="39" t="str">
        <f>IF(OR(B729="",E729&lt;&gt;""),"",IFERROR(INDEX(KT_nguoc_theo_NL!$J$5:$J$304,MATCH(C729,KT_nguoc_theo_NL!$B$5:$B$304,0))/INDEX(KT_nguoc_theo_NL!$K$5:$K$304,MATCH(C729,KT_nguoc_theo_NL!$B$5:$B$304,0)),""))</f>
        <v/>
      </c>
      <c r="I729" s="39" t="str">
        <f t="shared" si="56"/>
        <v/>
      </c>
      <c r="J729" s="46" t="str">
        <f t="shared" si="57"/>
        <v/>
      </c>
      <c r="K729" s="46" t="str">
        <f t="shared" si="58"/>
        <v/>
      </c>
      <c r="L729" s="46" t="str">
        <f t="shared" si="59"/>
        <v/>
      </c>
      <c r="M729" s="35" t="str">
        <f>IF(B729="","",IF(E729="KXDDM","KXDDM – không ĐM",IF(E729&lt;&gt;"","Không KT ("&amp;E729&amp;")",IF(OR(K729="",L729=""),"Xem xét",IF(MAX(ABS(K729),ABS(L729))&lt;=ThongTin!$C$12,"OK","Xem xét")))))</f>
        <v/>
      </c>
    </row>
    <row r="730" spans="1:13" x14ac:dyDescent="0.25">
      <c r="A730" s="35" t="str">
        <f t="shared" si="55"/>
        <v/>
      </c>
      <c r="B730" s="35" t="str">
        <f>IF(BOM!A730="","",BOM!A730)</f>
        <v/>
      </c>
      <c r="C730" s="35" t="str">
        <f>IF(B730="","",BOM!B730)</f>
        <v/>
      </c>
      <c r="D730" s="35" t="str">
        <f>IF(B730="","",KT_DMTT_ChiTiet!E730)</f>
        <v/>
      </c>
      <c r="E730" s="36" t="str">
        <f>IF(B730="","",BOM!G730&amp;"")</f>
        <v/>
      </c>
      <c r="F730" s="39" t="str">
        <f>IF(B730="","",BOM!E730)</f>
        <v/>
      </c>
      <c r="G730" s="39" t="str">
        <f>IF(OR(B730="",E730="KXDDM"),"",BOM!F730)</f>
        <v/>
      </c>
      <c r="H730" s="39" t="str">
        <f>IF(OR(B730="",E730&lt;&gt;""),"",IFERROR(INDEX(KT_nguoc_theo_NL!$J$5:$J$304,MATCH(C730,KT_nguoc_theo_NL!$B$5:$B$304,0))/INDEX(KT_nguoc_theo_NL!$K$5:$K$304,MATCH(C730,KT_nguoc_theo_NL!$B$5:$B$304,0)),""))</f>
        <v/>
      </c>
      <c r="I730" s="39" t="str">
        <f t="shared" si="56"/>
        <v/>
      </c>
      <c r="J730" s="46" t="str">
        <f t="shared" si="57"/>
        <v/>
      </c>
      <c r="K730" s="46" t="str">
        <f t="shared" si="58"/>
        <v/>
      </c>
      <c r="L730" s="46" t="str">
        <f t="shared" si="59"/>
        <v/>
      </c>
      <c r="M730" s="35" t="str">
        <f>IF(B730="","",IF(E730="KXDDM","KXDDM – không ĐM",IF(E730&lt;&gt;"","Không KT ("&amp;E730&amp;")",IF(OR(K730="",L730=""),"Xem xét",IF(MAX(ABS(K730),ABS(L730))&lt;=ThongTin!$C$12,"OK","Xem xét")))))</f>
        <v/>
      </c>
    </row>
    <row r="731" spans="1:13" x14ac:dyDescent="0.25">
      <c r="A731" s="35" t="str">
        <f t="shared" si="55"/>
        <v/>
      </c>
      <c r="B731" s="35" t="str">
        <f>IF(BOM!A731="","",BOM!A731)</f>
        <v/>
      </c>
      <c r="C731" s="35" t="str">
        <f>IF(B731="","",BOM!B731)</f>
        <v/>
      </c>
      <c r="D731" s="35" t="str">
        <f>IF(B731="","",KT_DMTT_ChiTiet!E731)</f>
        <v/>
      </c>
      <c r="E731" s="36" t="str">
        <f>IF(B731="","",BOM!G731&amp;"")</f>
        <v/>
      </c>
      <c r="F731" s="39" t="str">
        <f>IF(B731="","",BOM!E731)</f>
        <v/>
      </c>
      <c r="G731" s="39" t="str">
        <f>IF(OR(B731="",E731="KXDDM"),"",BOM!F731)</f>
        <v/>
      </c>
      <c r="H731" s="39" t="str">
        <f>IF(OR(B731="",E731&lt;&gt;""),"",IFERROR(INDEX(KT_nguoc_theo_NL!$J$5:$J$304,MATCH(C731,KT_nguoc_theo_NL!$B$5:$B$304,0))/INDEX(KT_nguoc_theo_NL!$K$5:$K$304,MATCH(C731,KT_nguoc_theo_NL!$B$5:$B$304,0)),""))</f>
        <v/>
      </c>
      <c r="I731" s="39" t="str">
        <f t="shared" si="56"/>
        <v/>
      </c>
      <c r="J731" s="46" t="str">
        <f t="shared" si="57"/>
        <v/>
      </c>
      <c r="K731" s="46" t="str">
        <f t="shared" si="58"/>
        <v/>
      </c>
      <c r="L731" s="46" t="str">
        <f t="shared" si="59"/>
        <v/>
      </c>
      <c r="M731" s="35" t="str">
        <f>IF(B731="","",IF(E731="KXDDM","KXDDM – không ĐM",IF(E731&lt;&gt;"","Không KT ("&amp;E731&amp;")",IF(OR(K731="",L731=""),"Xem xét",IF(MAX(ABS(K731),ABS(L731))&lt;=ThongTin!$C$12,"OK","Xem xét")))))</f>
        <v/>
      </c>
    </row>
    <row r="732" spans="1:13" x14ac:dyDescent="0.25">
      <c r="A732" s="35" t="str">
        <f t="shared" si="55"/>
        <v/>
      </c>
      <c r="B732" s="35" t="str">
        <f>IF(BOM!A732="","",BOM!A732)</f>
        <v/>
      </c>
      <c r="C732" s="35" t="str">
        <f>IF(B732="","",BOM!B732)</f>
        <v/>
      </c>
      <c r="D732" s="35" t="str">
        <f>IF(B732="","",KT_DMTT_ChiTiet!E732)</f>
        <v/>
      </c>
      <c r="E732" s="36" t="str">
        <f>IF(B732="","",BOM!G732&amp;"")</f>
        <v/>
      </c>
      <c r="F732" s="39" t="str">
        <f>IF(B732="","",BOM!E732)</f>
        <v/>
      </c>
      <c r="G732" s="39" t="str">
        <f>IF(OR(B732="",E732="KXDDM"),"",BOM!F732)</f>
        <v/>
      </c>
      <c r="H732" s="39" t="str">
        <f>IF(OR(B732="",E732&lt;&gt;""),"",IFERROR(INDEX(KT_nguoc_theo_NL!$J$5:$J$304,MATCH(C732,KT_nguoc_theo_NL!$B$5:$B$304,0))/INDEX(KT_nguoc_theo_NL!$K$5:$K$304,MATCH(C732,KT_nguoc_theo_NL!$B$5:$B$304,0)),""))</f>
        <v/>
      </c>
      <c r="I732" s="39" t="str">
        <f t="shared" si="56"/>
        <v/>
      </c>
      <c r="J732" s="46" t="str">
        <f t="shared" si="57"/>
        <v/>
      </c>
      <c r="K732" s="46" t="str">
        <f t="shared" si="58"/>
        <v/>
      </c>
      <c r="L732" s="46" t="str">
        <f t="shared" si="59"/>
        <v/>
      </c>
      <c r="M732" s="35" t="str">
        <f>IF(B732="","",IF(E732="KXDDM","KXDDM – không ĐM",IF(E732&lt;&gt;"","Không KT ("&amp;E732&amp;")",IF(OR(K732="",L732=""),"Xem xét",IF(MAX(ABS(K732),ABS(L732))&lt;=ThongTin!$C$12,"OK","Xem xét")))))</f>
        <v/>
      </c>
    </row>
    <row r="733" spans="1:13" x14ac:dyDescent="0.25">
      <c r="A733" s="35" t="str">
        <f t="shared" si="55"/>
        <v/>
      </c>
      <c r="B733" s="35" t="str">
        <f>IF(BOM!A733="","",BOM!A733)</f>
        <v/>
      </c>
      <c r="C733" s="35" t="str">
        <f>IF(B733="","",BOM!B733)</f>
        <v/>
      </c>
      <c r="D733" s="35" t="str">
        <f>IF(B733="","",KT_DMTT_ChiTiet!E733)</f>
        <v/>
      </c>
      <c r="E733" s="36" t="str">
        <f>IF(B733="","",BOM!G733&amp;"")</f>
        <v/>
      </c>
      <c r="F733" s="39" t="str">
        <f>IF(B733="","",BOM!E733)</f>
        <v/>
      </c>
      <c r="G733" s="39" t="str">
        <f>IF(OR(B733="",E733="KXDDM"),"",BOM!F733)</f>
        <v/>
      </c>
      <c r="H733" s="39" t="str">
        <f>IF(OR(B733="",E733&lt;&gt;""),"",IFERROR(INDEX(KT_nguoc_theo_NL!$J$5:$J$304,MATCH(C733,KT_nguoc_theo_NL!$B$5:$B$304,0))/INDEX(KT_nguoc_theo_NL!$K$5:$K$304,MATCH(C733,KT_nguoc_theo_NL!$B$5:$B$304,0)),""))</f>
        <v/>
      </c>
      <c r="I733" s="39" t="str">
        <f t="shared" si="56"/>
        <v/>
      </c>
      <c r="J733" s="46" t="str">
        <f t="shared" si="57"/>
        <v/>
      </c>
      <c r="K733" s="46" t="str">
        <f t="shared" si="58"/>
        <v/>
      </c>
      <c r="L733" s="46" t="str">
        <f t="shared" si="59"/>
        <v/>
      </c>
      <c r="M733" s="35" t="str">
        <f>IF(B733="","",IF(E733="KXDDM","KXDDM – không ĐM",IF(E733&lt;&gt;"","Không KT ("&amp;E733&amp;")",IF(OR(K733="",L733=""),"Xem xét",IF(MAX(ABS(K733),ABS(L733))&lt;=ThongTin!$C$12,"OK","Xem xét")))))</f>
        <v/>
      </c>
    </row>
    <row r="734" spans="1:13" x14ac:dyDescent="0.25">
      <c r="A734" s="35" t="str">
        <f t="shared" si="55"/>
        <v/>
      </c>
      <c r="B734" s="35" t="str">
        <f>IF(BOM!A734="","",BOM!A734)</f>
        <v/>
      </c>
      <c r="C734" s="35" t="str">
        <f>IF(B734="","",BOM!B734)</f>
        <v/>
      </c>
      <c r="D734" s="35" t="str">
        <f>IF(B734="","",KT_DMTT_ChiTiet!E734)</f>
        <v/>
      </c>
      <c r="E734" s="36" t="str">
        <f>IF(B734="","",BOM!G734&amp;"")</f>
        <v/>
      </c>
      <c r="F734" s="39" t="str">
        <f>IF(B734="","",BOM!E734)</f>
        <v/>
      </c>
      <c r="G734" s="39" t="str">
        <f>IF(OR(B734="",E734="KXDDM"),"",BOM!F734)</f>
        <v/>
      </c>
      <c r="H734" s="39" t="str">
        <f>IF(OR(B734="",E734&lt;&gt;""),"",IFERROR(INDEX(KT_nguoc_theo_NL!$J$5:$J$304,MATCH(C734,KT_nguoc_theo_NL!$B$5:$B$304,0))/INDEX(KT_nguoc_theo_NL!$K$5:$K$304,MATCH(C734,KT_nguoc_theo_NL!$B$5:$B$304,0)),""))</f>
        <v/>
      </c>
      <c r="I734" s="39" t="str">
        <f t="shared" si="56"/>
        <v/>
      </c>
      <c r="J734" s="46" t="str">
        <f t="shared" si="57"/>
        <v/>
      </c>
      <c r="K734" s="46" t="str">
        <f t="shared" si="58"/>
        <v/>
      </c>
      <c r="L734" s="46" t="str">
        <f t="shared" si="59"/>
        <v/>
      </c>
      <c r="M734" s="35" t="str">
        <f>IF(B734="","",IF(E734="KXDDM","KXDDM – không ĐM",IF(E734&lt;&gt;"","Không KT ("&amp;E734&amp;")",IF(OR(K734="",L734=""),"Xem xét",IF(MAX(ABS(K734),ABS(L734))&lt;=ThongTin!$C$12,"OK","Xem xét")))))</f>
        <v/>
      </c>
    </row>
    <row r="735" spans="1:13" x14ac:dyDescent="0.25">
      <c r="A735" s="35" t="str">
        <f t="shared" si="55"/>
        <v/>
      </c>
      <c r="B735" s="35" t="str">
        <f>IF(BOM!A735="","",BOM!A735)</f>
        <v/>
      </c>
      <c r="C735" s="35" t="str">
        <f>IF(B735="","",BOM!B735)</f>
        <v/>
      </c>
      <c r="D735" s="35" t="str">
        <f>IF(B735="","",KT_DMTT_ChiTiet!E735)</f>
        <v/>
      </c>
      <c r="E735" s="36" t="str">
        <f>IF(B735="","",BOM!G735&amp;"")</f>
        <v/>
      </c>
      <c r="F735" s="39" t="str">
        <f>IF(B735="","",BOM!E735)</f>
        <v/>
      </c>
      <c r="G735" s="39" t="str">
        <f>IF(OR(B735="",E735="KXDDM"),"",BOM!F735)</f>
        <v/>
      </c>
      <c r="H735" s="39" t="str">
        <f>IF(OR(B735="",E735&lt;&gt;""),"",IFERROR(INDEX(KT_nguoc_theo_NL!$J$5:$J$304,MATCH(C735,KT_nguoc_theo_NL!$B$5:$B$304,0))/INDEX(KT_nguoc_theo_NL!$K$5:$K$304,MATCH(C735,KT_nguoc_theo_NL!$B$5:$B$304,0)),""))</f>
        <v/>
      </c>
      <c r="I735" s="39" t="str">
        <f t="shared" si="56"/>
        <v/>
      </c>
      <c r="J735" s="46" t="str">
        <f t="shared" si="57"/>
        <v/>
      </c>
      <c r="K735" s="46" t="str">
        <f t="shared" si="58"/>
        <v/>
      </c>
      <c r="L735" s="46" t="str">
        <f t="shared" si="59"/>
        <v/>
      </c>
      <c r="M735" s="35" t="str">
        <f>IF(B735="","",IF(E735="KXDDM","KXDDM – không ĐM",IF(E735&lt;&gt;"","Không KT ("&amp;E735&amp;")",IF(OR(K735="",L735=""),"Xem xét",IF(MAX(ABS(K735),ABS(L735))&lt;=ThongTin!$C$12,"OK","Xem xét")))))</f>
        <v/>
      </c>
    </row>
    <row r="736" spans="1:13" x14ac:dyDescent="0.25">
      <c r="A736" s="35" t="str">
        <f t="shared" si="55"/>
        <v/>
      </c>
      <c r="B736" s="35" t="str">
        <f>IF(BOM!A736="","",BOM!A736)</f>
        <v/>
      </c>
      <c r="C736" s="35" t="str">
        <f>IF(B736="","",BOM!B736)</f>
        <v/>
      </c>
      <c r="D736" s="35" t="str">
        <f>IF(B736="","",KT_DMTT_ChiTiet!E736)</f>
        <v/>
      </c>
      <c r="E736" s="36" t="str">
        <f>IF(B736="","",BOM!G736&amp;"")</f>
        <v/>
      </c>
      <c r="F736" s="39" t="str">
        <f>IF(B736="","",BOM!E736)</f>
        <v/>
      </c>
      <c r="G736" s="39" t="str">
        <f>IF(OR(B736="",E736="KXDDM"),"",BOM!F736)</f>
        <v/>
      </c>
      <c r="H736" s="39" t="str">
        <f>IF(OR(B736="",E736&lt;&gt;""),"",IFERROR(INDEX(KT_nguoc_theo_NL!$J$5:$J$304,MATCH(C736,KT_nguoc_theo_NL!$B$5:$B$304,0))/INDEX(KT_nguoc_theo_NL!$K$5:$K$304,MATCH(C736,KT_nguoc_theo_NL!$B$5:$B$304,0)),""))</f>
        <v/>
      </c>
      <c r="I736" s="39" t="str">
        <f t="shared" si="56"/>
        <v/>
      </c>
      <c r="J736" s="46" t="str">
        <f t="shared" si="57"/>
        <v/>
      </c>
      <c r="K736" s="46" t="str">
        <f t="shared" si="58"/>
        <v/>
      </c>
      <c r="L736" s="46" t="str">
        <f t="shared" si="59"/>
        <v/>
      </c>
      <c r="M736" s="35" t="str">
        <f>IF(B736="","",IF(E736="KXDDM","KXDDM – không ĐM",IF(E736&lt;&gt;"","Không KT ("&amp;E736&amp;")",IF(OR(K736="",L736=""),"Xem xét",IF(MAX(ABS(K736),ABS(L736))&lt;=ThongTin!$C$12,"OK","Xem xét")))))</f>
        <v/>
      </c>
    </row>
    <row r="737" spans="1:13" x14ac:dyDescent="0.25">
      <c r="A737" s="35" t="str">
        <f t="shared" si="55"/>
        <v/>
      </c>
      <c r="B737" s="35" t="str">
        <f>IF(BOM!A737="","",BOM!A737)</f>
        <v/>
      </c>
      <c r="C737" s="35" t="str">
        <f>IF(B737="","",BOM!B737)</f>
        <v/>
      </c>
      <c r="D737" s="35" t="str">
        <f>IF(B737="","",KT_DMTT_ChiTiet!E737)</f>
        <v/>
      </c>
      <c r="E737" s="36" t="str">
        <f>IF(B737="","",BOM!G737&amp;"")</f>
        <v/>
      </c>
      <c r="F737" s="39" t="str">
        <f>IF(B737="","",BOM!E737)</f>
        <v/>
      </c>
      <c r="G737" s="39" t="str">
        <f>IF(OR(B737="",E737="KXDDM"),"",BOM!F737)</f>
        <v/>
      </c>
      <c r="H737" s="39" t="str">
        <f>IF(OR(B737="",E737&lt;&gt;""),"",IFERROR(INDEX(KT_nguoc_theo_NL!$J$5:$J$304,MATCH(C737,KT_nguoc_theo_NL!$B$5:$B$304,0))/INDEX(KT_nguoc_theo_NL!$K$5:$K$304,MATCH(C737,KT_nguoc_theo_NL!$B$5:$B$304,0)),""))</f>
        <v/>
      </c>
      <c r="I737" s="39" t="str">
        <f t="shared" si="56"/>
        <v/>
      </c>
      <c r="J737" s="46" t="str">
        <f t="shared" si="57"/>
        <v/>
      </c>
      <c r="K737" s="46" t="str">
        <f t="shared" si="58"/>
        <v/>
      </c>
      <c r="L737" s="46" t="str">
        <f t="shared" si="59"/>
        <v/>
      </c>
      <c r="M737" s="35" t="str">
        <f>IF(B737="","",IF(E737="KXDDM","KXDDM – không ĐM",IF(E737&lt;&gt;"","Không KT ("&amp;E737&amp;")",IF(OR(K737="",L737=""),"Xem xét",IF(MAX(ABS(K737),ABS(L737))&lt;=ThongTin!$C$12,"OK","Xem xét")))))</f>
        <v/>
      </c>
    </row>
    <row r="738" spans="1:13" x14ac:dyDescent="0.25">
      <c r="A738" s="35" t="str">
        <f t="shared" si="55"/>
        <v/>
      </c>
      <c r="B738" s="35" t="str">
        <f>IF(BOM!A738="","",BOM!A738)</f>
        <v/>
      </c>
      <c r="C738" s="35" t="str">
        <f>IF(B738="","",BOM!B738)</f>
        <v/>
      </c>
      <c r="D738" s="35" t="str">
        <f>IF(B738="","",KT_DMTT_ChiTiet!E738)</f>
        <v/>
      </c>
      <c r="E738" s="36" t="str">
        <f>IF(B738="","",BOM!G738&amp;"")</f>
        <v/>
      </c>
      <c r="F738" s="39" t="str">
        <f>IF(B738="","",BOM!E738)</f>
        <v/>
      </c>
      <c r="G738" s="39" t="str">
        <f>IF(OR(B738="",E738="KXDDM"),"",BOM!F738)</f>
        <v/>
      </c>
      <c r="H738" s="39" t="str">
        <f>IF(OR(B738="",E738&lt;&gt;""),"",IFERROR(INDEX(KT_nguoc_theo_NL!$J$5:$J$304,MATCH(C738,KT_nguoc_theo_NL!$B$5:$B$304,0))/INDEX(KT_nguoc_theo_NL!$K$5:$K$304,MATCH(C738,KT_nguoc_theo_NL!$B$5:$B$304,0)),""))</f>
        <v/>
      </c>
      <c r="I738" s="39" t="str">
        <f t="shared" si="56"/>
        <v/>
      </c>
      <c r="J738" s="46" t="str">
        <f t="shared" si="57"/>
        <v/>
      </c>
      <c r="K738" s="46" t="str">
        <f t="shared" si="58"/>
        <v/>
      </c>
      <c r="L738" s="46" t="str">
        <f t="shared" si="59"/>
        <v/>
      </c>
      <c r="M738" s="35" t="str">
        <f>IF(B738="","",IF(E738="KXDDM","KXDDM – không ĐM",IF(E738&lt;&gt;"","Không KT ("&amp;E738&amp;")",IF(OR(K738="",L738=""),"Xem xét",IF(MAX(ABS(K738),ABS(L738))&lt;=ThongTin!$C$12,"OK","Xem xét")))))</f>
        <v/>
      </c>
    </row>
    <row r="739" spans="1:13" x14ac:dyDescent="0.25">
      <c r="A739" s="35" t="str">
        <f t="shared" si="55"/>
        <v/>
      </c>
      <c r="B739" s="35" t="str">
        <f>IF(BOM!A739="","",BOM!A739)</f>
        <v/>
      </c>
      <c r="C739" s="35" t="str">
        <f>IF(B739="","",BOM!B739)</f>
        <v/>
      </c>
      <c r="D739" s="35" t="str">
        <f>IF(B739="","",KT_DMTT_ChiTiet!E739)</f>
        <v/>
      </c>
      <c r="E739" s="36" t="str">
        <f>IF(B739="","",BOM!G739&amp;"")</f>
        <v/>
      </c>
      <c r="F739" s="39" t="str">
        <f>IF(B739="","",BOM!E739)</f>
        <v/>
      </c>
      <c r="G739" s="39" t="str">
        <f>IF(OR(B739="",E739="KXDDM"),"",BOM!F739)</f>
        <v/>
      </c>
      <c r="H739" s="39" t="str">
        <f>IF(OR(B739="",E739&lt;&gt;""),"",IFERROR(INDEX(KT_nguoc_theo_NL!$J$5:$J$304,MATCH(C739,KT_nguoc_theo_NL!$B$5:$B$304,0))/INDEX(KT_nguoc_theo_NL!$K$5:$K$304,MATCH(C739,KT_nguoc_theo_NL!$B$5:$B$304,0)),""))</f>
        <v/>
      </c>
      <c r="I739" s="39" t="str">
        <f t="shared" si="56"/>
        <v/>
      </c>
      <c r="J739" s="46" t="str">
        <f t="shared" si="57"/>
        <v/>
      </c>
      <c r="K739" s="46" t="str">
        <f t="shared" si="58"/>
        <v/>
      </c>
      <c r="L739" s="46" t="str">
        <f t="shared" si="59"/>
        <v/>
      </c>
      <c r="M739" s="35" t="str">
        <f>IF(B739="","",IF(E739="KXDDM","KXDDM – không ĐM",IF(E739&lt;&gt;"","Không KT ("&amp;E739&amp;")",IF(OR(K739="",L739=""),"Xem xét",IF(MAX(ABS(K739),ABS(L739))&lt;=ThongTin!$C$12,"OK","Xem xét")))))</f>
        <v/>
      </c>
    </row>
    <row r="740" spans="1:13" x14ac:dyDescent="0.25">
      <c r="A740" s="35" t="str">
        <f t="shared" si="55"/>
        <v/>
      </c>
      <c r="B740" s="35" t="str">
        <f>IF(BOM!A740="","",BOM!A740)</f>
        <v/>
      </c>
      <c r="C740" s="35" t="str">
        <f>IF(B740="","",BOM!B740)</f>
        <v/>
      </c>
      <c r="D740" s="35" t="str">
        <f>IF(B740="","",KT_DMTT_ChiTiet!E740)</f>
        <v/>
      </c>
      <c r="E740" s="36" t="str">
        <f>IF(B740="","",BOM!G740&amp;"")</f>
        <v/>
      </c>
      <c r="F740" s="39" t="str">
        <f>IF(B740="","",BOM!E740)</f>
        <v/>
      </c>
      <c r="G740" s="39" t="str">
        <f>IF(OR(B740="",E740="KXDDM"),"",BOM!F740)</f>
        <v/>
      </c>
      <c r="H740" s="39" t="str">
        <f>IF(OR(B740="",E740&lt;&gt;""),"",IFERROR(INDEX(KT_nguoc_theo_NL!$J$5:$J$304,MATCH(C740,KT_nguoc_theo_NL!$B$5:$B$304,0))/INDEX(KT_nguoc_theo_NL!$K$5:$K$304,MATCH(C740,KT_nguoc_theo_NL!$B$5:$B$304,0)),""))</f>
        <v/>
      </c>
      <c r="I740" s="39" t="str">
        <f t="shared" si="56"/>
        <v/>
      </c>
      <c r="J740" s="46" t="str">
        <f t="shared" si="57"/>
        <v/>
      </c>
      <c r="K740" s="46" t="str">
        <f t="shared" si="58"/>
        <v/>
      </c>
      <c r="L740" s="46" t="str">
        <f t="shared" si="59"/>
        <v/>
      </c>
      <c r="M740" s="35" t="str">
        <f>IF(B740="","",IF(E740="KXDDM","KXDDM – không ĐM",IF(E740&lt;&gt;"","Không KT ("&amp;E740&amp;")",IF(OR(K740="",L740=""),"Xem xét",IF(MAX(ABS(K740),ABS(L740))&lt;=ThongTin!$C$12,"OK","Xem xét")))))</f>
        <v/>
      </c>
    </row>
    <row r="741" spans="1:13" x14ac:dyDescent="0.25">
      <c r="A741" s="35" t="str">
        <f t="shared" si="55"/>
        <v/>
      </c>
      <c r="B741" s="35" t="str">
        <f>IF(BOM!A741="","",BOM!A741)</f>
        <v/>
      </c>
      <c r="C741" s="35" t="str">
        <f>IF(B741="","",BOM!B741)</f>
        <v/>
      </c>
      <c r="D741" s="35" t="str">
        <f>IF(B741="","",KT_DMTT_ChiTiet!E741)</f>
        <v/>
      </c>
      <c r="E741" s="36" t="str">
        <f>IF(B741="","",BOM!G741&amp;"")</f>
        <v/>
      </c>
      <c r="F741" s="39" t="str">
        <f>IF(B741="","",BOM!E741)</f>
        <v/>
      </c>
      <c r="G741" s="39" t="str">
        <f>IF(OR(B741="",E741="KXDDM"),"",BOM!F741)</f>
        <v/>
      </c>
      <c r="H741" s="39" t="str">
        <f>IF(OR(B741="",E741&lt;&gt;""),"",IFERROR(INDEX(KT_nguoc_theo_NL!$J$5:$J$304,MATCH(C741,KT_nguoc_theo_NL!$B$5:$B$304,0))/INDEX(KT_nguoc_theo_NL!$K$5:$K$304,MATCH(C741,KT_nguoc_theo_NL!$B$5:$B$304,0)),""))</f>
        <v/>
      </c>
      <c r="I741" s="39" t="str">
        <f t="shared" si="56"/>
        <v/>
      </c>
      <c r="J741" s="46" t="str">
        <f t="shared" si="57"/>
        <v/>
      </c>
      <c r="K741" s="46" t="str">
        <f t="shared" si="58"/>
        <v/>
      </c>
      <c r="L741" s="46" t="str">
        <f t="shared" si="59"/>
        <v/>
      </c>
      <c r="M741" s="35" t="str">
        <f>IF(B741="","",IF(E741="KXDDM","KXDDM – không ĐM",IF(E741&lt;&gt;"","Không KT ("&amp;E741&amp;")",IF(OR(K741="",L741=""),"Xem xét",IF(MAX(ABS(K741),ABS(L741))&lt;=ThongTin!$C$12,"OK","Xem xét")))))</f>
        <v/>
      </c>
    </row>
    <row r="742" spans="1:13" x14ac:dyDescent="0.25">
      <c r="A742" s="35" t="str">
        <f t="shared" si="55"/>
        <v/>
      </c>
      <c r="B742" s="35" t="str">
        <f>IF(BOM!A742="","",BOM!A742)</f>
        <v/>
      </c>
      <c r="C742" s="35" t="str">
        <f>IF(B742="","",BOM!B742)</f>
        <v/>
      </c>
      <c r="D742" s="35" t="str">
        <f>IF(B742="","",KT_DMTT_ChiTiet!E742)</f>
        <v/>
      </c>
      <c r="E742" s="36" t="str">
        <f>IF(B742="","",BOM!G742&amp;"")</f>
        <v/>
      </c>
      <c r="F742" s="39" t="str">
        <f>IF(B742="","",BOM!E742)</f>
        <v/>
      </c>
      <c r="G742" s="39" t="str">
        <f>IF(OR(B742="",E742="KXDDM"),"",BOM!F742)</f>
        <v/>
      </c>
      <c r="H742" s="39" t="str">
        <f>IF(OR(B742="",E742&lt;&gt;""),"",IFERROR(INDEX(KT_nguoc_theo_NL!$J$5:$J$304,MATCH(C742,KT_nguoc_theo_NL!$B$5:$B$304,0))/INDEX(KT_nguoc_theo_NL!$K$5:$K$304,MATCH(C742,KT_nguoc_theo_NL!$B$5:$B$304,0)),""))</f>
        <v/>
      </c>
      <c r="I742" s="39" t="str">
        <f t="shared" si="56"/>
        <v/>
      </c>
      <c r="J742" s="46" t="str">
        <f t="shared" si="57"/>
        <v/>
      </c>
      <c r="K742" s="46" t="str">
        <f t="shared" si="58"/>
        <v/>
      </c>
      <c r="L742" s="46" t="str">
        <f t="shared" si="59"/>
        <v/>
      </c>
      <c r="M742" s="35" t="str">
        <f>IF(B742="","",IF(E742="KXDDM","KXDDM – không ĐM",IF(E742&lt;&gt;"","Không KT ("&amp;E742&amp;")",IF(OR(K742="",L742=""),"Xem xét",IF(MAX(ABS(K742),ABS(L742))&lt;=ThongTin!$C$12,"OK","Xem xét")))))</f>
        <v/>
      </c>
    </row>
    <row r="743" spans="1:13" x14ac:dyDescent="0.25">
      <c r="A743" s="35" t="str">
        <f t="shared" si="55"/>
        <v/>
      </c>
      <c r="B743" s="35" t="str">
        <f>IF(BOM!A743="","",BOM!A743)</f>
        <v/>
      </c>
      <c r="C743" s="35" t="str">
        <f>IF(B743="","",BOM!B743)</f>
        <v/>
      </c>
      <c r="D743" s="35" t="str">
        <f>IF(B743="","",KT_DMTT_ChiTiet!E743)</f>
        <v/>
      </c>
      <c r="E743" s="36" t="str">
        <f>IF(B743="","",BOM!G743&amp;"")</f>
        <v/>
      </c>
      <c r="F743" s="39" t="str">
        <f>IF(B743="","",BOM!E743)</f>
        <v/>
      </c>
      <c r="G743" s="39" t="str">
        <f>IF(OR(B743="",E743="KXDDM"),"",BOM!F743)</f>
        <v/>
      </c>
      <c r="H743" s="39" t="str">
        <f>IF(OR(B743="",E743&lt;&gt;""),"",IFERROR(INDEX(KT_nguoc_theo_NL!$J$5:$J$304,MATCH(C743,KT_nguoc_theo_NL!$B$5:$B$304,0))/INDEX(KT_nguoc_theo_NL!$K$5:$K$304,MATCH(C743,KT_nguoc_theo_NL!$B$5:$B$304,0)),""))</f>
        <v/>
      </c>
      <c r="I743" s="39" t="str">
        <f t="shared" si="56"/>
        <v/>
      </c>
      <c r="J743" s="46" t="str">
        <f t="shared" si="57"/>
        <v/>
      </c>
      <c r="K743" s="46" t="str">
        <f t="shared" si="58"/>
        <v/>
      </c>
      <c r="L743" s="46" t="str">
        <f t="shared" si="59"/>
        <v/>
      </c>
      <c r="M743" s="35" t="str">
        <f>IF(B743="","",IF(E743="KXDDM","KXDDM – không ĐM",IF(E743&lt;&gt;"","Không KT ("&amp;E743&amp;")",IF(OR(K743="",L743=""),"Xem xét",IF(MAX(ABS(K743),ABS(L743))&lt;=ThongTin!$C$12,"OK","Xem xét")))))</f>
        <v/>
      </c>
    </row>
    <row r="744" spans="1:13" x14ac:dyDescent="0.25">
      <c r="A744" s="35" t="str">
        <f t="shared" si="55"/>
        <v/>
      </c>
      <c r="B744" s="35" t="str">
        <f>IF(BOM!A744="","",BOM!A744)</f>
        <v/>
      </c>
      <c r="C744" s="35" t="str">
        <f>IF(B744="","",BOM!B744)</f>
        <v/>
      </c>
      <c r="D744" s="35" t="str">
        <f>IF(B744="","",KT_DMTT_ChiTiet!E744)</f>
        <v/>
      </c>
      <c r="E744" s="36" t="str">
        <f>IF(B744="","",BOM!G744&amp;"")</f>
        <v/>
      </c>
      <c r="F744" s="39" t="str">
        <f>IF(B744="","",BOM!E744)</f>
        <v/>
      </c>
      <c r="G744" s="39" t="str">
        <f>IF(OR(B744="",E744="KXDDM"),"",BOM!F744)</f>
        <v/>
      </c>
      <c r="H744" s="39" t="str">
        <f>IF(OR(B744="",E744&lt;&gt;""),"",IFERROR(INDEX(KT_nguoc_theo_NL!$J$5:$J$304,MATCH(C744,KT_nguoc_theo_NL!$B$5:$B$304,0))/INDEX(KT_nguoc_theo_NL!$K$5:$K$304,MATCH(C744,KT_nguoc_theo_NL!$B$5:$B$304,0)),""))</f>
        <v/>
      </c>
      <c r="I744" s="39" t="str">
        <f t="shared" si="56"/>
        <v/>
      </c>
      <c r="J744" s="46" t="str">
        <f t="shared" si="57"/>
        <v/>
      </c>
      <c r="K744" s="46" t="str">
        <f t="shared" si="58"/>
        <v/>
      </c>
      <c r="L744" s="46" t="str">
        <f t="shared" si="59"/>
        <v/>
      </c>
      <c r="M744" s="35" t="str">
        <f>IF(B744="","",IF(E744="KXDDM","KXDDM – không ĐM",IF(E744&lt;&gt;"","Không KT ("&amp;E744&amp;")",IF(OR(K744="",L744=""),"Xem xét",IF(MAX(ABS(K744),ABS(L744))&lt;=ThongTin!$C$12,"OK","Xem xét")))))</f>
        <v/>
      </c>
    </row>
    <row r="745" spans="1:13" x14ac:dyDescent="0.25">
      <c r="A745" s="35" t="str">
        <f t="shared" si="55"/>
        <v/>
      </c>
      <c r="B745" s="35" t="str">
        <f>IF(BOM!A745="","",BOM!A745)</f>
        <v/>
      </c>
      <c r="C745" s="35" t="str">
        <f>IF(B745="","",BOM!B745)</f>
        <v/>
      </c>
      <c r="D745" s="35" t="str">
        <f>IF(B745="","",KT_DMTT_ChiTiet!E745)</f>
        <v/>
      </c>
      <c r="E745" s="36" t="str">
        <f>IF(B745="","",BOM!G745&amp;"")</f>
        <v/>
      </c>
      <c r="F745" s="39" t="str">
        <f>IF(B745="","",BOM!E745)</f>
        <v/>
      </c>
      <c r="G745" s="39" t="str">
        <f>IF(OR(B745="",E745="KXDDM"),"",BOM!F745)</f>
        <v/>
      </c>
      <c r="H745" s="39" t="str">
        <f>IF(OR(B745="",E745&lt;&gt;""),"",IFERROR(INDEX(KT_nguoc_theo_NL!$J$5:$J$304,MATCH(C745,KT_nguoc_theo_NL!$B$5:$B$304,0))/INDEX(KT_nguoc_theo_NL!$K$5:$K$304,MATCH(C745,KT_nguoc_theo_NL!$B$5:$B$304,0)),""))</f>
        <v/>
      </c>
      <c r="I745" s="39" t="str">
        <f t="shared" si="56"/>
        <v/>
      </c>
      <c r="J745" s="46" t="str">
        <f t="shared" si="57"/>
        <v/>
      </c>
      <c r="K745" s="46" t="str">
        <f t="shared" si="58"/>
        <v/>
      </c>
      <c r="L745" s="46" t="str">
        <f t="shared" si="59"/>
        <v/>
      </c>
      <c r="M745" s="35" t="str">
        <f>IF(B745="","",IF(E745="KXDDM","KXDDM – không ĐM",IF(E745&lt;&gt;"","Không KT ("&amp;E745&amp;")",IF(OR(K745="",L745=""),"Xem xét",IF(MAX(ABS(K745),ABS(L745))&lt;=ThongTin!$C$12,"OK","Xem xét")))))</f>
        <v/>
      </c>
    </row>
    <row r="746" spans="1:13" x14ac:dyDescent="0.25">
      <c r="A746" s="35" t="str">
        <f t="shared" si="55"/>
        <v/>
      </c>
      <c r="B746" s="35" t="str">
        <f>IF(BOM!A746="","",BOM!A746)</f>
        <v/>
      </c>
      <c r="C746" s="35" t="str">
        <f>IF(B746="","",BOM!B746)</f>
        <v/>
      </c>
      <c r="D746" s="35" t="str">
        <f>IF(B746="","",KT_DMTT_ChiTiet!E746)</f>
        <v/>
      </c>
      <c r="E746" s="36" t="str">
        <f>IF(B746="","",BOM!G746&amp;"")</f>
        <v/>
      </c>
      <c r="F746" s="39" t="str">
        <f>IF(B746="","",BOM!E746)</f>
        <v/>
      </c>
      <c r="G746" s="39" t="str">
        <f>IF(OR(B746="",E746="KXDDM"),"",BOM!F746)</f>
        <v/>
      </c>
      <c r="H746" s="39" t="str">
        <f>IF(OR(B746="",E746&lt;&gt;""),"",IFERROR(INDEX(KT_nguoc_theo_NL!$J$5:$J$304,MATCH(C746,KT_nguoc_theo_NL!$B$5:$B$304,0))/INDEX(KT_nguoc_theo_NL!$K$5:$K$304,MATCH(C746,KT_nguoc_theo_NL!$B$5:$B$304,0)),""))</f>
        <v/>
      </c>
      <c r="I746" s="39" t="str">
        <f t="shared" si="56"/>
        <v/>
      </c>
      <c r="J746" s="46" t="str">
        <f t="shared" si="57"/>
        <v/>
      </c>
      <c r="K746" s="46" t="str">
        <f t="shared" si="58"/>
        <v/>
      </c>
      <c r="L746" s="46" t="str">
        <f t="shared" si="59"/>
        <v/>
      </c>
      <c r="M746" s="35" t="str">
        <f>IF(B746="","",IF(E746="KXDDM","KXDDM – không ĐM",IF(E746&lt;&gt;"","Không KT ("&amp;E746&amp;")",IF(OR(K746="",L746=""),"Xem xét",IF(MAX(ABS(K746),ABS(L746))&lt;=ThongTin!$C$12,"OK","Xem xét")))))</f>
        <v/>
      </c>
    </row>
    <row r="747" spans="1:13" x14ac:dyDescent="0.25">
      <c r="A747" s="35" t="str">
        <f t="shared" si="55"/>
        <v/>
      </c>
      <c r="B747" s="35" t="str">
        <f>IF(BOM!A747="","",BOM!A747)</f>
        <v/>
      </c>
      <c r="C747" s="35" t="str">
        <f>IF(B747="","",BOM!B747)</f>
        <v/>
      </c>
      <c r="D747" s="35" t="str">
        <f>IF(B747="","",KT_DMTT_ChiTiet!E747)</f>
        <v/>
      </c>
      <c r="E747" s="36" t="str">
        <f>IF(B747="","",BOM!G747&amp;"")</f>
        <v/>
      </c>
      <c r="F747" s="39" t="str">
        <f>IF(B747="","",BOM!E747)</f>
        <v/>
      </c>
      <c r="G747" s="39" t="str">
        <f>IF(OR(B747="",E747="KXDDM"),"",BOM!F747)</f>
        <v/>
      </c>
      <c r="H747" s="39" t="str">
        <f>IF(OR(B747="",E747&lt;&gt;""),"",IFERROR(INDEX(KT_nguoc_theo_NL!$J$5:$J$304,MATCH(C747,KT_nguoc_theo_NL!$B$5:$B$304,0))/INDEX(KT_nguoc_theo_NL!$K$5:$K$304,MATCH(C747,KT_nguoc_theo_NL!$B$5:$B$304,0)),""))</f>
        <v/>
      </c>
      <c r="I747" s="39" t="str">
        <f t="shared" si="56"/>
        <v/>
      </c>
      <c r="J747" s="46" t="str">
        <f t="shared" si="57"/>
        <v/>
      </c>
      <c r="K747" s="46" t="str">
        <f t="shared" si="58"/>
        <v/>
      </c>
      <c r="L747" s="46" t="str">
        <f t="shared" si="59"/>
        <v/>
      </c>
      <c r="M747" s="35" t="str">
        <f>IF(B747="","",IF(E747="KXDDM","KXDDM – không ĐM",IF(E747&lt;&gt;"","Không KT ("&amp;E747&amp;")",IF(OR(K747="",L747=""),"Xem xét",IF(MAX(ABS(K747),ABS(L747))&lt;=ThongTin!$C$12,"OK","Xem xét")))))</f>
        <v/>
      </c>
    </row>
    <row r="748" spans="1:13" x14ac:dyDescent="0.25">
      <c r="A748" s="35" t="str">
        <f t="shared" si="55"/>
        <v/>
      </c>
      <c r="B748" s="35" t="str">
        <f>IF(BOM!A748="","",BOM!A748)</f>
        <v/>
      </c>
      <c r="C748" s="35" t="str">
        <f>IF(B748="","",BOM!B748)</f>
        <v/>
      </c>
      <c r="D748" s="35" t="str">
        <f>IF(B748="","",KT_DMTT_ChiTiet!E748)</f>
        <v/>
      </c>
      <c r="E748" s="36" t="str">
        <f>IF(B748="","",BOM!G748&amp;"")</f>
        <v/>
      </c>
      <c r="F748" s="39" t="str">
        <f>IF(B748="","",BOM!E748)</f>
        <v/>
      </c>
      <c r="G748" s="39" t="str">
        <f>IF(OR(B748="",E748="KXDDM"),"",BOM!F748)</f>
        <v/>
      </c>
      <c r="H748" s="39" t="str">
        <f>IF(OR(B748="",E748&lt;&gt;""),"",IFERROR(INDEX(KT_nguoc_theo_NL!$J$5:$J$304,MATCH(C748,KT_nguoc_theo_NL!$B$5:$B$304,0))/INDEX(KT_nguoc_theo_NL!$K$5:$K$304,MATCH(C748,KT_nguoc_theo_NL!$B$5:$B$304,0)),""))</f>
        <v/>
      </c>
      <c r="I748" s="39" t="str">
        <f t="shared" si="56"/>
        <v/>
      </c>
      <c r="J748" s="46" t="str">
        <f t="shared" si="57"/>
        <v/>
      </c>
      <c r="K748" s="46" t="str">
        <f t="shared" si="58"/>
        <v/>
      </c>
      <c r="L748" s="46" t="str">
        <f t="shared" si="59"/>
        <v/>
      </c>
      <c r="M748" s="35" t="str">
        <f>IF(B748="","",IF(E748="KXDDM","KXDDM – không ĐM",IF(E748&lt;&gt;"","Không KT ("&amp;E748&amp;")",IF(OR(K748="",L748=""),"Xem xét",IF(MAX(ABS(K748),ABS(L748))&lt;=ThongTin!$C$12,"OK","Xem xét")))))</f>
        <v/>
      </c>
    </row>
    <row r="749" spans="1:13" x14ac:dyDescent="0.25">
      <c r="A749" s="35" t="str">
        <f t="shared" si="55"/>
        <v/>
      </c>
      <c r="B749" s="35" t="str">
        <f>IF(BOM!A749="","",BOM!A749)</f>
        <v/>
      </c>
      <c r="C749" s="35" t="str">
        <f>IF(B749="","",BOM!B749)</f>
        <v/>
      </c>
      <c r="D749" s="35" t="str">
        <f>IF(B749="","",KT_DMTT_ChiTiet!E749)</f>
        <v/>
      </c>
      <c r="E749" s="36" t="str">
        <f>IF(B749="","",BOM!G749&amp;"")</f>
        <v/>
      </c>
      <c r="F749" s="39" t="str">
        <f>IF(B749="","",BOM!E749)</f>
        <v/>
      </c>
      <c r="G749" s="39" t="str">
        <f>IF(OR(B749="",E749="KXDDM"),"",BOM!F749)</f>
        <v/>
      </c>
      <c r="H749" s="39" t="str">
        <f>IF(OR(B749="",E749&lt;&gt;""),"",IFERROR(INDEX(KT_nguoc_theo_NL!$J$5:$J$304,MATCH(C749,KT_nguoc_theo_NL!$B$5:$B$304,0))/INDEX(KT_nguoc_theo_NL!$K$5:$K$304,MATCH(C749,KT_nguoc_theo_NL!$B$5:$B$304,0)),""))</f>
        <v/>
      </c>
      <c r="I749" s="39" t="str">
        <f t="shared" si="56"/>
        <v/>
      </c>
      <c r="J749" s="46" t="str">
        <f t="shared" si="57"/>
        <v/>
      </c>
      <c r="K749" s="46" t="str">
        <f t="shared" si="58"/>
        <v/>
      </c>
      <c r="L749" s="46" t="str">
        <f t="shared" si="59"/>
        <v/>
      </c>
      <c r="M749" s="35" t="str">
        <f>IF(B749="","",IF(E749="KXDDM","KXDDM – không ĐM",IF(E749&lt;&gt;"","Không KT ("&amp;E749&amp;")",IF(OR(K749="",L749=""),"Xem xét",IF(MAX(ABS(K749),ABS(L749))&lt;=ThongTin!$C$12,"OK","Xem xét")))))</f>
        <v/>
      </c>
    </row>
    <row r="750" spans="1:13" x14ac:dyDescent="0.25">
      <c r="A750" s="35" t="str">
        <f t="shared" si="55"/>
        <v/>
      </c>
      <c r="B750" s="35" t="str">
        <f>IF(BOM!A750="","",BOM!A750)</f>
        <v/>
      </c>
      <c r="C750" s="35" t="str">
        <f>IF(B750="","",BOM!B750)</f>
        <v/>
      </c>
      <c r="D750" s="35" t="str">
        <f>IF(B750="","",KT_DMTT_ChiTiet!E750)</f>
        <v/>
      </c>
      <c r="E750" s="36" t="str">
        <f>IF(B750="","",BOM!G750&amp;"")</f>
        <v/>
      </c>
      <c r="F750" s="39" t="str">
        <f>IF(B750="","",BOM!E750)</f>
        <v/>
      </c>
      <c r="G750" s="39" t="str">
        <f>IF(OR(B750="",E750="KXDDM"),"",BOM!F750)</f>
        <v/>
      </c>
      <c r="H750" s="39" t="str">
        <f>IF(OR(B750="",E750&lt;&gt;""),"",IFERROR(INDEX(KT_nguoc_theo_NL!$J$5:$J$304,MATCH(C750,KT_nguoc_theo_NL!$B$5:$B$304,0))/INDEX(KT_nguoc_theo_NL!$K$5:$K$304,MATCH(C750,KT_nguoc_theo_NL!$B$5:$B$304,0)),""))</f>
        <v/>
      </c>
      <c r="I750" s="39" t="str">
        <f t="shared" si="56"/>
        <v/>
      </c>
      <c r="J750" s="46" t="str">
        <f t="shared" si="57"/>
        <v/>
      </c>
      <c r="K750" s="46" t="str">
        <f t="shared" si="58"/>
        <v/>
      </c>
      <c r="L750" s="46" t="str">
        <f t="shared" si="59"/>
        <v/>
      </c>
      <c r="M750" s="35" t="str">
        <f>IF(B750="","",IF(E750="KXDDM","KXDDM – không ĐM",IF(E750&lt;&gt;"","Không KT ("&amp;E750&amp;")",IF(OR(K750="",L750=""),"Xem xét",IF(MAX(ABS(K750),ABS(L750))&lt;=ThongTin!$C$12,"OK","Xem xét")))))</f>
        <v/>
      </c>
    </row>
    <row r="751" spans="1:13" x14ac:dyDescent="0.25">
      <c r="A751" s="35" t="str">
        <f t="shared" si="55"/>
        <v/>
      </c>
      <c r="B751" s="35" t="str">
        <f>IF(BOM!A751="","",BOM!A751)</f>
        <v/>
      </c>
      <c r="C751" s="35" t="str">
        <f>IF(B751="","",BOM!B751)</f>
        <v/>
      </c>
      <c r="D751" s="35" t="str">
        <f>IF(B751="","",KT_DMTT_ChiTiet!E751)</f>
        <v/>
      </c>
      <c r="E751" s="36" t="str">
        <f>IF(B751="","",BOM!G751&amp;"")</f>
        <v/>
      </c>
      <c r="F751" s="39" t="str">
        <f>IF(B751="","",BOM!E751)</f>
        <v/>
      </c>
      <c r="G751" s="39" t="str">
        <f>IF(OR(B751="",E751="KXDDM"),"",BOM!F751)</f>
        <v/>
      </c>
      <c r="H751" s="39" t="str">
        <f>IF(OR(B751="",E751&lt;&gt;""),"",IFERROR(INDEX(KT_nguoc_theo_NL!$J$5:$J$304,MATCH(C751,KT_nguoc_theo_NL!$B$5:$B$304,0))/INDEX(KT_nguoc_theo_NL!$K$5:$K$304,MATCH(C751,KT_nguoc_theo_NL!$B$5:$B$304,0)),""))</f>
        <v/>
      </c>
      <c r="I751" s="39" t="str">
        <f t="shared" si="56"/>
        <v/>
      </c>
      <c r="J751" s="46" t="str">
        <f t="shared" si="57"/>
        <v/>
      </c>
      <c r="K751" s="46" t="str">
        <f t="shared" si="58"/>
        <v/>
      </c>
      <c r="L751" s="46" t="str">
        <f t="shared" si="59"/>
        <v/>
      </c>
      <c r="M751" s="35" t="str">
        <f>IF(B751="","",IF(E751="KXDDM","KXDDM – không ĐM",IF(E751&lt;&gt;"","Không KT ("&amp;E751&amp;")",IF(OR(K751="",L751=""),"Xem xét",IF(MAX(ABS(K751),ABS(L751))&lt;=ThongTin!$C$12,"OK","Xem xét")))))</f>
        <v/>
      </c>
    </row>
    <row r="752" spans="1:13" x14ac:dyDescent="0.25">
      <c r="A752" s="35" t="str">
        <f t="shared" si="55"/>
        <v/>
      </c>
      <c r="B752" s="35" t="str">
        <f>IF(BOM!A752="","",BOM!A752)</f>
        <v/>
      </c>
      <c r="C752" s="35" t="str">
        <f>IF(B752="","",BOM!B752)</f>
        <v/>
      </c>
      <c r="D752" s="35" t="str">
        <f>IF(B752="","",KT_DMTT_ChiTiet!E752)</f>
        <v/>
      </c>
      <c r="E752" s="36" t="str">
        <f>IF(B752="","",BOM!G752&amp;"")</f>
        <v/>
      </c>
      <c r="F752" s="39" t="str">
        <f>IF(B752="","",BOM!E752)</f>
        <v/>
      </c>
      <c r="G752" s="39" t="str">
        <f>IF(OR(B752="",E752="KXDDM"),"",BOM!F752)</f>
        <v/>
      </c>
      <c r="H752" s="39" t="str">
        <f>IF(OR(B752="",E752&lt;&gt;""),"",IFERROR(INDEX(KT_nguoc_theo_NL!$J$5:$J$304,MATCH(C752,KT_nguoc_theo_NL!$B$5:$B$304,0))/INDEX(KT_nguoc_theo_NL!$K$5:$K$304,MATCH(C752,KT_nguoc_theo_NL!$B$5:$B$304,0)),""))</f>
        <v/>
      </c>
      <c r="I752" s="39" t="str">
        <f t="shared" si="56"/>
        <v/>
      </c>
      <c r="J752" s="46" t="str">
        <f t="shared" si="57"/>
        <v/>
      </c>
      <c r="K752" s="46" t="str">
        <f t="shared" si="58"/>
        <v/>
      </c>
      <c r="L752" s="46" t="str">
        <f t="shared" si="59"/>
        <v/>
      </c>
      <c r="M752" s="35" t="str">
        <f>IF(B752="","",IF(E752="KXDDM","KXDDM – không ĐM",IF(E752&lt;&gt;"","Không KT ("&amp;E752&amp;")",IF(OR(K752="",L752=""),"Xem xét",IF(MAX(ABS(K752),ABS(L752))&lt;=ThongTin!$C$12,"OK","Xem xét")))))</f>
        <v/>
      </c>
    </row>
    <row r="753" spans="1:13" x14ac:dyDescent="0.25">
      <c r="A753" s="35" t="str">
        <f t="shared" si="55"/>
        <v/>
      </c>
      <c r="B753" s="35" t="str">
        <f>IF(BOM!A753="","",BOM!A753)</f>
        <v/>
      </c>
      <c r="C753" s="35" t="str">
        <f>IF(B753="","",BOM!B753)</f>
        <v/>
      </c>
      <c r="D753" s="35" t="str">
        <f>IF(B753="","",KT_DMTT_ChiTiet!E753)</f>
        <v/>
      </c>
      <c r="E753" s="36" t="str">
        <f>IF(B753="","",BOM!G753&amp;"")</f>
        <v/>
      </c>
      <c r="F753" s="39" t="str">
        <f>IF(B753="","",BOM!E753)</f>
        <v/>
      </c>
      <c r="G753" s="39" t="str">
        <f>IF(OR(B753="",E753="KXDDM"),"",BOM!F753)</f>
        <v/>
      </c>
      <c r="H753" s="39" t="str">
        <f>IF(OR(B753="",E753&lt;&gt;""),"",IFERROR(INDEX(KT_nguoc_theo_NL!$J$5:$J$304,MATCH(C753,KT_nguoc_theo_NL!$B$5:$B$304,0))/INDEX(KT_nguoc_theo_NL!$K$5:$K$304,MATCH(C753,KT_nguoc_theo_NL!$B$5:$B$304,0)),""))</f>
        <v/>
      </c>
      <c r="I753" s="39" t="str">
        <f t="shared" si="56"/>
        <v/>
      </c>
      <c r="J753" s="46" t="str">
        <f t="shared" si="57"/>
        <v/>
      </c>
      <c r="K753" s="46" t="str">
        <f t="shared" si="58"/>
        <v/>
      </c>
      <c r="L753" s="46" t="str">
        <f t="shared" si="59"/>
        <v/>
      </c>
      <c r="M753" s="35" t="str">
        <f>IF(B753="","",IF(E753="KXDDM","KXDDM – không ĐM",IF(E753&lt;&gt;"","Không KT ("&amp;E753&amp;")",IF(OR(K753="",L753=""),"Xem xét",IF(MAX(ABS(K753),ABS(L753))&lt;=ThongTin!$C$12,"OK","Xem xét")))))</f>
        <v/>
      </c>
    </row>
    <row r="754" spans="1:13" x14ac:dyDescent="0.25">
      <c r="A754" s="35" t="str">
        <f t="shared" si="55"/>
        <v/>
      </c>
      <c r="B754" s="35" t="str">
        <f>IF(BOM!A754="","",BOM!A754)</f>
        <v/>
      </c>
      <c r="C754" s="35" t="str">
        <f>IF(B754="","",BOM!B754)</f>
        <v/>
      </c>
      <c r="D754" s="35" t="str">
        <f>IF(B754="","",KT_DMTT_ChiTiet!E754)</f>
        <v/>
      </c>
      <c r="E754" s="36" t="str">
        <f>IF(B754="","",BOM!G754&amp;"")</f>
        <v/>
      </c>
      <c r="F754" s="39" t="str">
        <f>IF(B754="","",BOM!E754)</f>
        <v/>
      </c>
      <c r="G754" s="39" t="str">
        <f>IF(OR(B754="",E754="KXDDM"),"",BOM!F754)</f>
        <v/>
      </c>
      <c r="H754" s="39" t="str">
        <f>IF(OR(B754="",E754&lt;&gt;""),"",IFERROR(INDEX(KT_nguoc_theo_NL!$J$5:$J$304,MATCH(C754,KT_nguoc_theo_NL!$B$5:$B$304,0))/INDEX(KT_nguoc_theo_NL!$K$5:$K$304,MATCH(C754,KT_nguoc_theo_NL!$B$5:$B$304,0)),""))</f>
        <v/>
      </c>
      <c r="I754" s="39" t="str">
        <f t="shared" si="56"/>
        <v/>
      </c>
      <c r="J754" s="46" t="str">
        <f t="shared" si="57"/>
        <v/>
      </c>
      <c r="K754" s="46" t="str">
        <f t="shared" si="58"/>
        <v/>
      </c>
      <c r="L754" s="46" t="str">
        <f t="shared" si="59"/>
        <v/>
      </c>
      <c r="M754" s="35" t="str">
        <f>IF(B754="","",IF(E754="KXDDM","KXDDM – không ĐM",IF(E754&lt;&gt;"","Không KT ("&amp;E754&amp;")",IF(OR(K754="",L754=""),"Xem xét",IF(MAX(ABS(K754),ABS(L754))&lt;=ThongTin!$C$12,"OK","Xem xét")))))</f>
        <v/>
      </c>
    </row>
    <row r="755" spans="1:13" x14ac:dyDescent="0.25">
      <c r="A755" s="35" t="str">
        <f t="shared" si="55"/>
        <v/>
      </c>
      <c r="B755" s="35" t="str">
        <f>IF(BOM!A755="","",BOM!A755)</f>
        <v/>
      </c>
      <c r="C755" s="35" t="str">
        <f>IF(B755="","",BOM!B755)</f>
        <v/>
      </c>
      <c r="D755" s="35" t="str">
        <f>IF(B755="","",KT_DMTT_ChiTiet!E755)</f>
        <v/>
      </c>
      <c r="E755" s="36" t="str">
        <f>IF(B755="","",BOM!G755&amp;"")</f>
        <v/>
      </c>
      <c r="F755" s="39" t="str">
        <f>IF(B755="","",BOM!E755)</f>
        <v/>
      </c>
      <c r="G755" s="39" t="str">
        <f>IF(OR(B755="",E755="KXDDM"),"",BOM!F755)</f>
        <v/>
      </c>
      <c r="H755" s="39" t="str">
        <f>IF(OR(B755="",E755&lt;&gt;""),"",IFERROR(INDEX(KT_nguoc_theo_NL!$J$5:$J$304,MATCH(C755,KT_nguoc_theo_NL!$B$5:$B$304,0))/INDEX(KT_nguoc_theo_NL!$K$5:$K$304,MATCH(C755,KT_nguoc_theo_NL!$B$5:$B$304,0)),""))</f>
        <v/>
      </c>
      <c r="I755" s="39" t="str">
        <f t="shared" si="56"/>
        <v/>
      </c>
      <c r="J755" s="46" t="str">
        <f t="shared" si="57"/>
        <v/>
      </c>
      <c r="K755" s="46" t="str">
        <f t="shared" si="58"/>
        <v/>
      </c>
      <c r="L755" s="46" t="str">
        <f t="shared" si="59"/>
        <v/>
      </c>
      <c r="M755" s="35" t="str">
        <f>IF(B755="","",IF(E755="KXDDM","KXDDM – không ĐM",IF(E755&lt;&gt;"","Không KT ("&amp;E755&amp;")",IF(OR(K755="",L755=""),"Xem xét",IF(MAX(ABS(K755),ABS(L755))&lt;=ThongTin!$C$12,"OK","Xem xét")))))</f>
        <v/>
      </c>
    </row>
    <row r="756" spans="1:13" x14ac:dyDescent="0.25">
      <c r="A756" s="35" t="str">
        <f t="shared" si="55"/>
        <v/>
      </c>
      <c r="B756" s="35" t="str">
        <f>IF(BOM!A756="","",BOM!A756)</f>
        <v/>
      </c>
      <c r="C756" s="35" t="str">
        <f>IF(B756="","",BOM!B756)</f>
        <v/>
      </c>
      <c r="D756" s="35" t="str">
        <f>IF(B756="","",KT_DMTT_ChiTiet!E756)</f>
        <v/>
      </c>
      <c r="E756" s="36" t="str">
        <f>IF(B756="","",BOM!G756&amp;"")</f>
        <v/>
      </c>
      <c r="F756" s="39" t="str">
        <f>IF(B756="","",BOM!E756)</f>
        <v/>
      </c>
      <c r="G756" s="39" t="str">
        <f>IF(OR(B756="",E756="KXDDM"),"",BOM!F756)</f>
        <v/>
      </c>
      <c r="H756" s="39" t="str">
        <f>IF(OR(B756="",E756&lt;&gt;""),"",IFERROR(INDEX(KT_nguoc_theo_NL!$J$5:$J$304,MATCH(C756,KT_nguoc_theo_NL!$B$5:$B$304,0))/INDEX(KT_nguoc_theo_NL!$K$5:$K$304,MATCH(C756,KT_nguoc_theo_NL!$B$5:$B$304,0)),""))</f>
        <v/>
      </c>
      <c r="I756" s="39" t="str">
        <f t="shared" si="56"/>
        <v/>
      </c>
      <c r="J756" s="46" t="str">
        <f t="shared" si="57"/>
        <v/>
      </c>
      <c r="K756" s="46" t="str">
        <f t="shared" si="58"/>
        <v/>
      </c>
      <c r="L756" s="46" t="str">
        <f t="shared" si="59"/>
        <v/>
      </c>
      <c r="M756" s="35" t="str">
        <f>IF(B756="","",IF(E756="KXDDM","KXDDM – không ĐM",IF(E756&lt;&gt;"","Không KT ("&amp;E756&amp;")",IF(OR(K756="",L756=""),"Xem xét",IF(MAX(ABS(K756),ABS(L756))&lt;=ThongTin!$C$12,"OK","Xem xét")))))</f>
        <v/>
      </c>
    </row>
    <row r="757" spans="1:13" x14ac:dyDescent="0.25">
      <c r="A757" s="35" t="str">
        <f t="shared" si="55"/>
        <v/>
      </c>
      <c r="B757" s="35" t="str">
        <f>IF(BOM!A757="","",BOM!A757)</f>
        <v/>
      </c>
      <c r="C757" s="35" t="str">
        <f>IF(B757="","",BOM!B757)</f>
        <v/>
      </c>
      <c r="D757" s="35" t="str">
        <f>IF(B757="","",KT_DMTT_ChiTiet!E757)</f>
        <v/>
      </c>
      <c r="E757" s="36" t="str">
        <f>IF(B757="","",BOM!G757&amp;"")</f>
        <v/>
      </c>
      <c r="F757" s="39" t="str">
        <f>IF(B757="","",BOM!E757)</f>
        <v/>
      </c>
      <c r="G757" s="39" t="str">
        <f>IF(OR(B757="",E757="KXDDM"),"",BOM!F757)</f>
        <v/>
      </c>
      <c r="H757" s="39" t="str">
        <f>IF(OR(B757="",E757&lt;&gt;""),"",IFERROR(INDEX(KT_nguoc_theo_NL!$J$5:$J$304,MATCH(C757,KT_nguoc_theo_NL!$B$5:$B$304,0))/INDEX(KT_nguoc_theo_NL!$K$5:$K$304,MATCH(C757,KT_nguoc_theo_NL!$B$5:$B$304,0)),""))</f>
        <v/>
      </c>
      <c r="I757" s="39" t="str">
        <f t="shared" si="56"/>
        <v/>
      </c>
      <c r="J757" s="46" t="str">
        <f t="shared" si="57"/>
        <v/>
      </c>
      <c r="K757" s="46" t="str">
        <f t="shared" si="58"/>
        <v/>
      </c>
      <c r="L757" s="46" t="str">
        <f t="shared" si="59"/>
        <v/>
      </c>
      <c r="M757" s="35" t="str">
        <f>IF(B757="","",IF(E757="KXDDM","KXDDM – không ĐM",IF(E757&lt;&gt;"","Không KT ("&amp;E757&amp;")",IF(OR(K757="",L757=""),"Xem xét",IF(MAX(ABS(K757),ABS(L757))&lt;=ThongTin!$C$12,"OK","Xem xét")))))</f>
        <v/>
      </c>
    </row>
    <row r="758" spans="1:13" x14ac:dyDescent="0.25">
      <c r="A758" s="35" t="str">
        <f t="shared" si="55"/>
        <v/>
      </c>
      <c r="B758" s="35" t="str">
        <f>IF(BOM!A758="","",BOM!A758)</f>
        <v/>
      </c>
      <c r="C758" s="35" t="str">
        <f>IF(B758="","",BOM!B758)</f>
        <v/>
      </c>
      <c r="D758" s="35" t="str">
        <f>IF(B758="","",KT_DMTT_ChiTiet!E758)</f>
        <v/>
      </c>
      <c r="E758" s="36" t="str">
        <f>IF(B758="","",BOM!G758&amp;"")</f>
        <v/>
      </c>
      <c r="F758" s="39" t="str">
        <f>IF(B758="","",BOM!E758)</f>
        <v/>
      </c>
      <c r="G758" s="39" t="str">
        <f>IF(OR(B758="",E758="KXDDM"),"",BOM!F758)</f>
        <v/>
      </c>
      <c r="H758" s="39" t="str">
        <f>IF(OR(B758="",E758&lt;&gt;""),"",IFERROR(INDEX(KT_nguoc_theo_NL!$J$5:$J$304,MATCH(C758,KT_nguoc_theo_NL!$B$5:$B$304,0))/INDEX(KT_nguoc_theo_NL!$K$5:$K$304,MATCH(C758,KT_nguoc_theo_NL!$B$5:$B$304,0)),""))</f>
        <v/>
      </c>
      <c r="I758" s="39" t="str">
        <f t="shared" si="56"/>
        <v/>
      </c>
      <c r="J758" s="46" t="str">
        <f t="shared" si="57"/>
        <v/>
      </c>
      <c r="K758" s="46" t="str">
        <f t="shared" si="58"/>
        <v/>
      </c>
      <c r="L758" s="46" t="str">
        <f t="shared" si="59"/>
        <v/>
      </c>
      <c r="M758" s="35" t="str">
        <f>IF(B758="","",IF(E758="KXDDM","KXDDM – không ĐM",IF(E758&lt;&gt;"","Không KT ("&amp;E758&amp;")",IF(OR(K758="",L758=""),"Xem xét",IF(MAX(ABS(K758),ABS(L758))&lt;=ThongTin!$C$12,"OK","Xem xét")))))</f>
        <v/>
      </c>
    </row>
    <row r="759" spans="1:13" x14ac:dyDescent="0.25">
      <c r="A759" s="35" t="str">
        <f t="shared" si="55"/>
        <v/>
      </c>
      <c r="B759" s="35" t="str">
        <f>IF(BOM!A759="","",BOM!A759)</f>
        <v/>
      </c>
      <c r="C759" s="35" t="str">
        <f>IF(B759="","",BOM!B759)</f>
        <v/>
      </c>
      <c r="D759" s="35" t="str">
        <f>IF(B759="","",KT_DMTT_ChiTiet!E759)</f>
        <v/>
      </c>
      <c r="E759" s="36" t="str">
        <f>IF(B759="","",BOM!G759&amp;"")</f>
        <v/>
      </c>
      <c r="F759" s="39" t="str">
        <f>IF(B759="","",BOM!E759)</f>
        <v/>
      </c>
      <c r="G759" s="39" t="str">
        <f>IF(OR(B759="",E759="KXDDM"),"",BOM!F759)</f>
        <v/>
      </c>
      <c r="H759" s="39" t="str">
        <f>IF(OR(B759="",E759&lt;&gt;""),"",IFERROR(INDEX(KT_nguoc_theo_NL!$J$5:$J$304,MATCH(C759,KT_nguoc_theo_NL!$B$5:$B$304,0))/INDEX(KT_nguoc_theo_NL!$K$5:$K$304,MATCH(C759,KT_nguoc_theo_NL!$B$5:$B$304,0)),""))</f>
        <v/>
      </c>
      <c r="I759" s="39" t="str">
        <f t="shared" si="56"/>
        <v/>
      </c>
      <c r="J759" s="46" t="str">
        <f t="shared" si="57"/>
        <v/>
      </c>
      <c r="K759" s="46" t="str">
        <f t="shared" si="58"/>
        <v/>
      </c>
      <c r="L759" s="46" t="str">
        <f t="shared" si="59"/>
        <v/>
      </c>
      <c r="M759" s="35" t="str">
        <f>IF(B759="","",IF(E759="KXDDM","KXDDM – không ĐM",IF(E759&lt;&gt;"","Không KT ("&amp;E759&amp;")",IF(OR(K759="",L759=""),"Xem xét",IF(MAX(ABS(K759),ABS(L759))&lt;=ThongTin!$C$12,"OK","Xem xét")))))</f>
        <v/>
      </c>
    </row>
    <row r="760" spans="1:13" x14ac:dyDescent="0.25">
      <c r="A760" s="35" t="str">
        <f t="shared" si="55"/>
        <v/>
      </c>
      <c r="B760" s="35" t="str">
        <f>IF(BOM!A760="","",BOM!A760)</f>
        <v/>
      </c>
      <c r="C760" s="35" t="str">
        <f>IF(B760="","",BOM!B760)</f>
        <v/>
      </c>
      <c r="D760" s="35" t="str">
        <f>IF(B760="","",KT_DMTT_ChiTiet!E760)</f>
        <v/>
      </c>
      <c r="E760" s="36" t="str">
        <f>IF(B760="","",BOM!G760&amp;"")</f>
        <v/>
      </c>
      <c r="F760" s="39" t="str">
        <f>IF(B760="","",BOM!E760)</f>
        <v/>
      </c>
      <c r="G760" s="39" t="str">
        <f>IF(OR(B760="",E760="KXDDM"),"",BOM!F760)</f>
        <v/>
      </c>
      <c r="H760" s="39" t="str">
        <f>IF(OR(B760="",E760&lt;&gt;""),"",IFERROR(INDEX(KT_nguoc_theo_NL!$J$5:$J$304,MATCH(C760,KT_nguoc_theo_NL!$B$5:$B$304,0))/INDEX(KT_nguoc_theo_NL!$K$5:$K$304,MATCH(C760,KT_nguoc_theo_NL!$B$5:$B$304,0)),""))</f>
        <v/>
      </c>
      <c r="I760" s="39" t="str">
        <f t="shared" si="56"/>
        <v/>
      </c>
      <c r="J760" s="46" t="str">
        <f t="shared" si="57"/>
        <v/>
      </c>
      <c r="K760" s="46" t="str">
        <f t="shared" si="58"/>
        <v/>
      </c>
      <c r="L760" s="46" t="str">
        <f t="shared" si="59"/>
        <v/>
      </c>
      <c r="M760" s="35" t="str">
        <f>IF(B760="","",IF(E760="KXDDM","KXDDM – không ĐM",IF(E760&lt;&gt;"","Không KT ("&amp;E760&amp;")",IF(OR(K760="",L760=""),"Xem xét",IF(MAX(ABS(K760),ABS(L760))&lt;=ThongTin!$C$12,"OK","Xem xét")))))</f>
        <v/>
      </c>
    </row>
    <row r="761" spans="1:13" x14ac:dyDescent="0.25">
      <c r="A761" s="35" t="str">
        <f t="shared" si="55"/>
        <v/>
      </c>
      <c r="B761" s="35" t="str">
        <f>IF(BOM!A761="","",BOM!A761)</f>
        <v/>
      </c>
      <c r="C761" s="35" t="str">
        <f>IF(B761="","",BOM!B761)</f>
        <v/>
      </c>
      <c r="D761" s="35" t="str">
        <f>IF(B761="","",KT_DMTT_ChiTiet!E761)</f>
        <v/>
      </c>
      <c r="E761" s="36" t="str">
        <f>IF(B761="","",BOM!G761&amp;"")</f>
        <v/>
      </c>
      <c r="F761" s="39" t="str">
        <f>IF(B761="","",BOM!E761)</f>
        <v/>
      </c>
      <c r="G761" s="39" t="str">
        <f>IF(OR(B761="",E761="KXDDM"),"",BOM!F761)</f>
        <v/>
      </c>
      <c r="H761" s="39" t="str">
        <f>IF(OR(B761="",E761&lt;&gt;""),"",IFERROR(INDEX(KT_nguoc_theo_NL!$J$5:$J$304,MATCH(C761,KT_nguoc_theo_NL!$B$5:$B$304,0))/INDEX(KT_nguoc_theo_NL!$K$5:$K$304,MATCH(C761,KT_nguoc_theo_NL!$B$5:$B$304,0)),""))</f>
        <v/>
      </c>
      <c r="I761" s="39" t="str">
        <f t="shared" si="56"/>
        <v/>
      </c>
      <c r="J761" s="46" t="str">
        <f t="shared" si="57"/>
        <v/>
      </c>
      <c r="K761" s="46" t="str">
        <f t="shared" si="58"/>
        <v/>
      </c>
      <c r="L761" s="46" t="str">
        <f t="shared" si="59"/>
        <v/>
      </c>
      <c r="M761" s="35" t="str">
        <f>IF(B761="","",IF(E761="KXDDM","KXDDM – không ĐM",IF(E761&lt;&gt;"","Không KT ("&amp;E761&amp;")",IF(OR(K761="",L761=""),"Xem xét",IF(MAX(ABS(K761),ABS(L761))&lt;=ThongTin!$C$12,"OK","Xem xét")))))</f>
        <v/>
      </c>
    </row>
    <row r="762" spans="1:13" x14ac:dyDescent="0.25">
      <c r="A762" s="35" t="str">
        <f t="shared" si="55"/>
        <v/>
      </c>
      <c r="B762" s="35" t="str">
        <f>IF(BOM!A762="","",BOM!A762)</f>
        <v/>
      </c>
      <c r="C762" s="35" t="str">
        <f>IF(B762="","",BOM!B762)</f>
        <v/>
      </c>
      <c r="D762" s="35" t="str">
        <f>IF(B762="","",KT_DMTT_ChiTiet!E762)</f>
        <v/>
      </c>
      <c r="E762" s="36" t="str">
        <f>IF(B762="","",BOM!G762&amp;"")</f>
        <v/>
      </c>
      <c r="F762" s="39" t="str">
        <f>IF(B762="","",BOM!E762)</f>
        <v/>
      </c>
      <c r="G762" s="39" t="str">
        <f>IF(OR(B762="",E762="KXDDM"),"",BOM!F762)</f>
        <v/>
      </c>
      <c r="H762" s="39" t="str">
        <f>IF(OR(B762="",E762&lt;&gt;""),"",IFERROR(INDEX(KT_nguoc_theo_NL!$J$5:$J$304,MATCH(C762,KT_nguoc_theo_NL!$B$5:$B$304,0))/INDEX(KT_nguoc_theo_NL!$K$5:$K$304,MATCH(C762,KT_nguoc_theo_NL!$B$5:$B$304,0)),""))</f>
        <v/>
      </c>
      <c r="I762" s="39" t="str">
        <f t="shared" si="56"/>
        <v/>
      </c>
      <c r="J762" s="46" t="str">
        <f t="shared" si="57"/>
        <v/>
      </c>
      <c r="K762" s="46" t="str">
        <f t="shared" si="58"/>
        <v/>
      </c>
      <c r="L762" s="46" t="str">
        <f t="shared" si="59"/>
        <v/>
      </c>
      <c r="M762" s="35" t="str">
        <f>IF(B762="","",IF(E762="KXDDM","KXDDM – không ĐM",IF(E762&lt;&gt;"","Không KT ("&amp;E762&amp;")",IF(OR(K762="",L762=""),"Xem xét",IF(MAX(ABS(K762),ABS(L762))&lt;=ThongTin!$C$12,"OK","Xem xét")))))</f>
        <v/>
      </c>
    </row>
    <row r="763" spans="1:13" x14ac:dyDescent="0.25">
      <c r="A763" s="35" t="str">
        <f t="shared" si="55"/>
        <v/>
      </c>
      <c r="B763" s="35" t="str">
        <f>IF(BOM!A763="","",BOM!A763)</f>
        <v/>
      </c>
      <c r="C763" s="35" t="str">
        <f>IF(B763="","",BOM!B763)</f>
        <v/>
      </c>
      <c r="D763" s="35" t="str">
        <f>IF(B763="","",KT_DMTT_ChiTiet!E763)</f>
        <v/>
      </c>
      <c r="E763" s="36" t="str">
        <f>IF(B763="","",BOM!G763&amp;"")</f>
        <v/>
      </c>
      <c r="F763" s="39" t="str">
        <f>IF(B763="","",BOM!E763)</f>
        <v/>
      </c>
      <c r="G763" s="39" t="str">
        <f>IF(OR(B763="",E763="KXDDM"),"",BOM!F763)</f>
        <v/>
      </c>
      <c r="H763" s="39" t="str">
        <f>IF(OR(B763="",E763&lt;&gt;""),"",IFERROR(INDEX(KT_nguoc_theo_NL!$J$5:$J$304,MATCH(C763,KT_nguoc_theo_NL!$B$5:$B$304,0))/INDEX(KT_nguoc_theo_NL!$K$5:$K$304,MATCH(C763,KT_nguoc_theo_NL!$B$5:$B$304,0)),""))</f>
        <v/>
      </c>
      <c r="I763" s="39" t="str">
        <f t="shared" si="56"/>
        <v/>
      </c>
      <c r="J763" s="46" t="str">
        <f t="shared" si="57"/>
        <v/>
      </c>
      <c r="K763" s="46" t="str">
        <f t="shared" si="58"/>
        <v/>
      </c>
      <c r="L763" s="46" t="str">
        <f t="shared" si="59"/>
        <v/>
      </c>
      <c r="M763" s="35" t="str">
        <f>IF(B763="","",IF(E763="KXDDM","KXDDM – không ĐM",IF(E763&lt;&gt;"","Không KT ("&amp;E763&amp;")",IF(OR(K763="",L763=""),"Xem xét",IF(MAX(ABS(K763),ABS(L763))&lt;=ThongTin!$C$12,"OK","Xem xét")))))</f>
        <v/>
      </c>
    </row>
    <row r="764" spans="1:13" x14ac:dyDescent="0.25">
      <c r="A764" s="35" t="str">
        <f t="shared" si="55"/>
        <v/>
      </c>
      <c r="B764" s="35" t="str">
        <f>IF(BOM!A764="","",BOM!A764)</f>
        <v/>
      </c>
      <c r="C764" s="35" t="str">
        <f>IF(B764="","",BOM!B764)</f>
        <v/>
      </c>
      <c r="D764" s="35" t="str">
        <f>IF(B764="","",KT_DMTT_ChiTiet!E764)</f>
        <v/>
      </c>
      <c r="E764" s="36" t="str">
        <f>IF(B764="","",BOM!G764&amp;"")</f>
        <v/>
      </c>
      <c r="F764" s="39" t="str">
        <f>IF(B764="","",BOM!E764)</f>
        <v/>
      </c>
      <c r="G764" s="39" t="str">
        <f>IF(OR(B764="",E764="KXDDM"),"",BOM!F764)</f>
        <v/>
      </c>
      <c r="H764" s="39" t="str">
        <f>IF(OR(B764="",E764&lt;&gt;""),"",IFERROR(INDEX(KT_nguoc_theo_NL!$J$5:$J$304,MATCH(C764,KT_nguoc_theo_NL!$B$5:$B$304,0))/INDEX(KT_nguoc_theo_NL!$K$5:$K$304,MATCH(C764,KT_nguoc_theo_NL!$B$5:$B$304,0)),""))</f>
        <v/>
      </c>
      <c r="I764" s="39" t="str">
        <f t="shared" si="56"/>
        <v/>
      </c>
      <c r="J764" s="46" t="str">
        <f t="shared" si="57"/>
        <v/>
      </c>
      <c r="K764" s="46" t="str">
        <f t="shared" si="58"/>
        <v/>
      </c>
      <c r="L764" s="46" t="str">
        <f t="shared" si="59"/>
        <v/>
      </c>
      <c r="M764" s="35" t="str">
        <f>IF(B764="","",IF(E764="KXDDM","KXDDM – không ĐM",IF(E764&lt;&gt;"","Không KT ("&amp;E764&amp;")",IF(OR(K764="",L764=""),"Xem xét",IF(MAX(ABS(K764),ABS(L764))&lt;=ThongTin!$C$12,"OK","Xem xét")))))</f>
        <v/>
      </c>
    </row>
    <row r="765" spans="1:13" x14ac:dyDescent="0.25">
      <c r="A765" s="35" t="str">
        <f t="shared" si="55"/>
        <v/>
      </c>
      <c r="B765" s="35" t="str">
        <f>IF(BOM!A765="","",BOM!A765)</f>
        <v/>
      </c>
      <c r="C765" s="35" t="str">
        <f>IF(B765="","",BOM!B765)</f>
        <v/>
      </c>
      <c r="D765" s="35" t="str">
        <f>IF(B765="","",KT_DMTT_ChiTiet!E765)</f>
        <v/>
      </c>
      <c r="E765" s="36" t="str">
        <f>IF(B765="","",BOM!G765&amp;"")</f>
        <v/>
      </c>
      <c r="F765" s="39" t="str">
        <f>IF(B765="","",BOM!E765)</f>
        <v/>
      </c>
      <c r="G765" s="39" t="str">
        <f>IF(OR(B765="",E765="KXDDM"),"",BOM!F765)</f>
        <v/>
      </c>
      <c r="H765" s="39" t="str">
        <f>IF(OR(B765="",E765&lt;&gt;""),"",IFERROR(INDEX(KT_nguoc_theo_NL!$J$5:$J$304,MATCH(C765,KT_nguoc_theo_NL!$B$5:$B$304,0))/INDEX(KT_nguoc_theo_NL!$K$5:$K$304,MATCH(C765,KT_nguoc_theo_NL!$B$5:$B$304,0)),""))</f>
        <v/>
      </c>
      <c r="I765" s="39" t="str">
        <f t="shared" si="56"/>
        <v/>
      </c>
      <c r="J765" s="46" t="str">
        <f t="shared" si="57"/>
        <v/>
      </c>
      <c r="K765" s="46" t="str">
        <f t="shared" si="58"/>
        <v/>
      </c>
      <c r="L765" s="46" t="str">
        <f t="shared" si="59"/>
        <v/>
      </c>
      <c r="M765" s="35" t="str">
        <f>IF(B765="","",IF(E765="KXDDM","KXDDM – không ĐM",IF(E765&lt;&gt;"","Không KT ("&amp;E765&amp;")",IF(OR(K765="",L765=""),"Xem xét",IF(MAX(ABS(K765),ABS(L765))&lt;=ThongTin!$C$12,"OK","Xem xét")))))</f>
        <v/>
      </c>
    </row>
    <row r="766" spans="1:13" x14ac:dyDescent="0.25">
      <c r="A766" s="35" t="str">
        <f t="shared" si="55"/>
        <v/>
      </c>
      <c r="B766" s="35" t="str">
        <f>IF(BOM!A766="","",BOM!A766)</f>
        <v/>
      </c>
      <c r="C766" s="35" t="str">
        <f>IF(B766="","",BOM!B766)</f>
        <v/>
      </c>
      <c r="D766" s="35" t="str">
        <f>IF(B766="","",KT_DMTT_ChiTiet!E766)</f>
        <v/>
      </c>
      <c r="E766" s="36" t="str">
        <f>IF(B766="","",BOM!G766&amp;"")</f>
        <v/>
      </c>
      <c r="F766" s="39" t="str">
        <f>IF(B766="","",BOM!E766)</f>
        <v/>
      </c>
      <c r="G766" s="39" t="str">
        <f>IF(OR(B766="",E766="KXDDM"),"",BOM!F766)</f>
        <v/>
      </c>
      <c r="H766" s="39" t="str">
        <f>IF(OR(B766="",E766&lt;&gt;""),"",IFERROR(INDEX(KT_nguoc_theo_NL!$J$5:$J$304,MATCH(C766,KT_nguoc_theo_NL!$B$5:$B$304,0))/INDEX(KT_nguoc_theo_NL!$K$5:$K$304,MATCH(C766,KT_nguoc_theo_NL!$B$5:$B$304,0)),""))</f>
        <v/>
      </c>
      <c r="I766" s="39" t="str">
        <f t="shared" si="56"/>
        <v/>
      </c>
      <c r="J766" s="46" t="str">
        <f t="shared" si="57"/>
        <v/>
      </c>
      <c r="K766" s="46" t="str">
        <f t="shared" si="58"/>
        <v/>
      </c>
      <c r="L766" s="46" t="str">
        <f t="shared" si="59"/>
        <v/>
      </c>
      <c r="M766" s="35" t="str">
        <f>IF(B766="","",IF(E766="KXDDM","KXDDM – không ĐM",IF(E766&lt;&gt;"","Không KT ("&amp;E766&amp;")",IF(OR(K766="",L766=""),"Xem xét",IF(MAX(ABS(K766),ABS(L766))&lt;=ThongTin!$C$12,"OK","Xem xét")))))</f>
        <v/>
      </c>
    </row>
    <row r="767" spans="1:13" x14ac:dyDescent="0.25">
      <c r="A767" s="35" t="str">
        <f t="shared" si="55"/>
        <v/>
      </c>
      <c r="B767" s="35" t="str">
        <f>IF(BOM!A767="","",BOM!A767)</f>
        <v/>
      </c>
      <c r="C767" s="35" t="str">
        <f>IF(B767="","",BOM!B767)</f>
        <v/>
      </c>
      <c r="D767" s="35" t="str">
        <f>IF(B767="","",KT_DMTT_ChiTiet!E767)</f>
        <v/>
      </c>
      <c r="E767" s="36" t="str">
        <f>IF(B767="","",BOM!G767&amp;"")</f>
        <v/>
      </c>
      <c r="F767" s="39" t="str">
        <f>IF(B767="","",BOM!E767)</f>
        <v/>
      </c>
      <c r="G767" s="39" t="str">
        <f>IF(OR(B767="",E767="KXDDM"),"",BOM!F767)</f>
        <v/>
      </c>
      <c r="H767" s="39" t="str">
        <f>IF(OR(B767="",E767&lt;&gt;""),"",IFERROR(INDEX(KT_nguoc_theo_NL!$J$5:$J$304,MATCH(C767,KT_nguoc_theo_NL!$B$5:$B$304,0))/INDEX(KT_nguoc_theo_NL!$K$5:$K$304,MATCH(C767,KT_nguoc_theo_NL!$B$5:$B$304,0)),""))</f>
        <v/>
      </c>
      <c r="I767" s="39" t="str">
        <f t="shared" si="56"/>
        <v/>
      </c>
      <c r="J767" s="46" t="str">
        <f t="shared" si="57"/>
        <v/>
      </c>
      <c r="K767" s="46" t="str">
        <f t="shared" si="58"/>
        <v/>
      </c>
      <c r="L767" s="46" t="str">
        <f t="shared" si="59"/>
        <v/>
      </c>
      <c r="M767" s="35" t="str">
        <f>IF(B767="","",IF(E767="KXDDM","KXDDM – không ĐM",IF(E767&lt;&gt;"","Không KT ("&amp;E767&amp;")",IF(OR(K767="",L767=""),"Xem xét",IF(MAX(ABS(K767),ABS(L767))&lt;=ThongTin!$C$12,"OK","Xem xét")))))</f>
        <v/>
      </c>
    </row>
    <row r="768" spans="1:13" x14ac:dyDescent="0.25">
      <c r="A768" s="35" t="str">
        <f t="shared" si="55"/>
        <v/>
      </c>
      <c r="B768" s="35" t="str">
        <f>IF(BOM!A768="","",BOM!A768)</f>
        <v/>
      </c>
      <c r="C768" s="35" t="str">
        <f>IF(B768="","",BOM!B768)</f>
        <v/>
      </c>
      <c r="D768" s="35" t="str">
        <f>IF(B768="","",KT_DMTT_ChiTiet!E768)</f>
        <v/>
      </c>
      <c r="E768" s="36" t="str">
        <f>IF(B768="","",BOM!G768&amp;"")</f>
        <v/>
      </c>
      <c r="F768" s="39" t="str">
        <f>IF(B768="","",BOM!E768)</f>
        <v/>
      </c>
      <c r="G768" s="39" t="str">
        <f>IF(OR(B768="",E768="KXDDM"),"",BOM!F768)</f>
        <v/>
      </c>
      <c r="H768" s="39" t="str">
        <f>IF(OR(B768="",E768&lt;&gt;""),"",IFERROR(INDEX(KT_nguoc_theo_NL!$J$5:$J$304,MATCH(C768,KT_nguoc_theo_NL!$B$5:$B$304,0))/INDEX(KT_nguoc_theo_NL!$K$5:$K$304,MATCH(C768,KT_nguoc_theo_NL!$B$5:$B$304,0)),""))</f>
        <v/>
      </c>
      <c r="I768" s="39" t="str">
        <f t="shared" si="56"/>
        <v/>
      </c>
      <c r="J768" s="46" t="str">
        <f t="shared" si="57"/>
        <v/>
      </c>
      <c r="K768" s="46" t="str">
        <f t="shared" si="58"/>
        <v/>
      </c>
      <c r="L768" s="46" t="str">
        <f t="shared" si="59"/>
        <v/>
      </c>
      <c r="M768" s="35" t="str">
        <f>IF(B768="","",IF(E768="KXDDM","KXDDM – không ĐM",IF(E768&lt;&gt;"","Không KT ("&amp;E768&amp;")",IF(OR(K768="",L768=""),"Xem xét",IF(MAX(ABS(K768),ABS(L768))&lt;=ThongTin!$C$12,"OK","Xem xét")))))</f>
        <v/>
      </c>
    </row>
    <row r="769" spans="1:13" x14ac:dyDescent="0.25">
      <c r="A769" s="35" t="str">
        <f t="shared" si="55"/>
        <v/>
      </c>
      <c r="B769" s="35" t="str">
        <f>IF(BOM!A769="","",BOM!A769)</f>
        <v/>
      </c>
      <c r="C769" s="35" t="str">
        <f>IF(B769="","",BOM!B769)</f>
        <v/>
      </c>
      <c r="D769" s="35" t="str">
        <f>IF(B769="","",KT_DMTT_ChiTiet!E769)</f>
        <v/>
      </c>
      <c r="E769" s="36" t="str">
        <f>IF(B769="","",BOM!G769&amp;"")</f>
        <v/>
      </c>
      <c r="F769" s="39" t="str">
        <f>IF(B769="","",BOM!E769)</f>
        <v/>
      </c>
      <c r="G769" s="39" t="str">
        <f>IF(OR(B769="",E769="KXDDM"),"",BOM!F769)</f>
        <v/>
      </c>
      <c r="H769" s="39" t="str">
        <f>IF(OR(B769="",E769&lt;&gt;""),"",IFERROR(INDEX(KT_nguoc_theo_NL!$J$5:$J$304,MATCH(C769,KT_nguoc_theo_NL!$B$5:$B$304,0))/INDEX(KT_nguoc_theo_NL!$K$5:$K$304,MATCH(C769,KT_nguoc_theo_NL!$B$5:$B$304,0)),""))</f>
        <v/>
      </c>
      <c r="I769" s="39" t="str">
        <f t="shared" si="56"/>
        <v/>
      </c>
      <c r="J769" s="46" t="str">
        <f t="shared" si="57"/>
        <v/>
      </c>
      <c r="K769" s="46" t="str">
        <f t="shared" si="58"/>
        <v/>
      </c>
      <c r="L769" s="46" t="str">
        <f t="shared" si="59"/>
        <v/>
      </c>
      <c r="M769" s="35" t="str">
        <f>IF(B769="","",IF(E769="KXDDM","KXDDM – không ĐM",IF(E769&lt;&gt;"","Không KT ("&amp;E769&amp;")",IF(OR(K769="",L769=""),"Xem xét",IF(MAX(ABS(K769),ABS(L769))&lt;=ThongTin!$C$12,"OK","Xem xét")))))</f>
        <v/>
      </c>
    </row>
    <row r="770" spans="1:13" x14ac:dyDescent="0.25">
      <c r="A770" s="35" t="str">
        <f t="shared" si="55"/>
        <v/>
      </c>
      <c r="B770" s="35" t="str">
        <f>IF(BOM!A770="","",BOM!A770)</f>
        <v/>
      </c>
      <c r="C770" s="35" t="str">
        <f>IF(B770="","",BOM!B770)</f>
        <v/>
      </c>
      <c r="D770" s="35" t="str">
        <f>IF(B770="","",KT_DMTT_ChiTiet!E770)</f>
        <v/>
      </c>
      <c r="E770" s="36" t="str">
        <f>IF(B770="","",BOM!G770&amp;"")</f>
        <v/>
      </c>
      <c r="F770" s="39" t="str">
        <f>IF(B770="","",BOM!E770)</f>
        <v/>
      </c>
      <c r="G770" s="39" t="str">
        <f>IF(OR(B770="",E770="KXDDM"),"",BOM!F770)</f>
        <v/>
      </c>
      <c r="H770" s="39" t="str">
        <f>IF(OR(B770="",E770&lt;&gt;""),"",IFERROR(INDEX(KT_nguoc_theo_NL!$J$5:$J$304,MATCH(C770,KT_nguoc_theo_NL!$B$5:$B$304,0))/INDEX(KT_nguoc_theo_NL!$K$5:$K$304,MATCH(C770,KT_nguoc_theo_NL!$B$5:$B$304,0)),""))</f>
        <v/>
      </c>
      <c r="I770" s="39" t="str">
        <f t="shared" si="56"/>
        <v/>
      </c>
      <c r="J770" s="46" t="str">
        <f t="shared" si="57"/>
        <v/>
      </c>
      <c r="K770" s="46" t="str">
        <f t="shared" si="58"/>
        <v/>
      </c>
      <c r="L770" s="46" t="str">
        <f t="shared" si="59"/>
        <v/>
      </c>
      <c r="M770" s="35" t="str">
        <f>IF(B770="","",IF(E770="KXDDM","KXDDM – không ĐM",IF(E770&lt;&gt;"","Không KT ("&amp;E770&amp;")",IF(OR(K770="",L770=""),"Xem xét",IF(MAX(ABS(K770),ABS(L770))&lt;=ThongTin!$C$12,"OK","Xem xét")))))</f>
        <v/>
      </c>
    </row>
    <row r="771" spans="1:13" x14ac:dyDescent="0.25">
      <c r="A771" s="35" t="str">
        <f t="shared" si="55"/>
        <v/>
      </c>
      <c r="B771" s="35" t="str">
        <f>IF(BOM!A771="","",BOM!A771)</f>
        <v/>
      </c>
      <c r="C771" s="35" t="str">
        <f>IF(B771="","",BOM!B771)</f>
        <v/>
      </c>
      <c r="D771" s="35" t="str">
        <f>IF(B771="","",KT_DMTT_ChiTiet!E771)</f>
        <v/>
      </c>
      <c r="E771" s="36" t="str">
        <f>IF(B771="","",BOM!G771&amp;"")</f>
        <v/>
      </c>
      <c r="F771" s="39" t="str">
        <f>IF(B771="","",BOM!E771)</f>
        <v/>
      </c>
      <c r="G771" s="39" t="str">
        <f>IF(OR(B771="",E771="KXDDM"),"",BOM!F771)</f>
        <v/>
      </c>
      <c r="H771" s="39" t="str">
        <f>IF(OR(B771="",E771&lt;&gt;""),"",IFERROR(INDEX(KT_nguoc_theo_NL!$J$5:$J$304,MATCH(C771,KT_nguoc_theo_NL!$B$5:$B$304,0))/INDEX(KT_nguoc_theo_NL!$K$5:$K$304,MATCH(C771,KT_nguoc_theo_NL!$B$5:$B$304,0)),""))</f>
        <v/>
      </c>
      <c r="I771" s="39" t="str">
        <f t="shared" si="56"/>
        <v/>
      </c>
      <c r="J771" s="46" t="str">
        <f t="shared" si="57"/>
        <v/>
      </c>
      <c r="K771" s="46" t="str">
        <f t="shared" si="58"/>
        <v/>
      </c>
      <c r="L771" s="46" t="str">
        <f t="shared" si="59"/>
        <v/>
      </c>
      <c r="M771" s="35" t="str">
        <f>IF(B771="","",IF(E771="KXDDM","KXDDM – không ĐM",IF(E771&lt;&gt;"","Không KT ("&amp;E771&amp;")",IF(OR(K771="",L771=""),"Xem xét",IF(MAX(ABS(K771),ABS(L771))&lt;=ThongTin!$C$12,"OK","Xem xét")))))</f>
        <v/>
      </c>
    </row>
    <row r="772" spans="1:13" x14ac:dyDescent="0.25">
      <c r="A772" s="35" t="str">
        <f t="shared" si="55"/>
        <v/>
      </c>
      <c r="B772" s="35" t="str">
        <f>IF(BOM!A772="","",BOM!A772)</f>
        <v/>
      </c>
      <c r="C772" s="35" t="str">
        <f>IF(B772="","",BOM!B772)</f>
        <v/>
      </c>
      <c r="D772" s="35" t="str">
        <f>IF(B772="","",KT_DMTT_ChiTiet!E772)</f>
        <v/>
      </c>
      <c r="E772" s="36" t="str">
        <f>IF(B772="","",BOM!G772&amp;"")</f>
        <v/>
      </c>
      <c r="F772" s="39" t="str">
        <f>IF(B772="","",BOM!E772)</f>
        <v/>
      </c>
      <c r="G772" s="39" t="str">
        <f>IF(OR(B772="",E772="KXDDM"),"",BOM!F772)</f>
        <v/>
      </c>
      <c r="H772" s="39" t="str">
        <f>IF(OR(B772="",E772&lt;&gt;""),"",IFERROR(INDEX(KT_nguoc_theo_NL!$J$5:$J$304,MATCH(C772,KT_nguoc_theo_NL!$B$5:$B$304,0))/INDEX(KT_nguoc_theo_NL!$K$5:$K$304,MATCH(C772,KT_nguoc_theo_NL!$B$5:$B$304,0)),""))</f>
        <v/>
      </c>
      <c r="I772" s="39" t="str">
        <f t="shared" si="56"/>
        <v/>
      </c>
      <c r="J772" s="46" t="str">
        <f t="shared" si="57"/>
        <v/>
      </c>
      <c r="K772" s="46" t="str">
        <f t="shared" si="58"/>
        <v/>
      </c>
      <c r="L772" s="46" t="str">
        <f t="shared" si="59"/>
        <v/>
      </c>
      <c r="M772" s="35" t="str">
        <f>IF(B772="","",IF(E772="KXDDM","KXDDM – không ĐM",IF(E772&lt;&gt;"","Không KT ("&amp;E772&amp;")",IF(OR(K772="",L772=""),"Xem xét",IF(MAX(ABS(K772),ABS(L772))&lt;=ThongTin!$C$12,"OK","Xem xét")))))</f>
        <v/>
      </c>
    </row>
    <row r="773" spans="1:13" x14ac:dyDescent="0.25">
      <c r="A773" s="35" t="str">
        <f t="shared" ref="A773:A836" si="60">IF(B773="","",ROW()-4)</f>
        <v/>
      </c>
      <c r="B773" s="35" t="str">
        <f>IF(BOM!A773="","",BOM!A773)</f>
        <v/>
      </c>
      <c r="C773" s="35" t="str">
        <f>IF(B773="","",BOM!B773)</f>
        <v/>
      </c>
      <c r="D773" s="35" t="str">
        <f>IF(B773="","",KT_DMTT_ChiTiet!E773)</f>
        <v/>
      </c>
      <c r="E773" s="36" t="str">
        <f>IF(B773="","",BOM!G773&amp;"")</f>
        <v/>
      </c>
      <c r="F773" s="39" t="str">
        <f>IF(B773="","",BOM!E773)</f>
        <v/>
      </c>
      <c r="G773" s="39" t="str">
        <f>IF(OR(B773="",E773="KXDDM"),"",BOM!F773)</f>
        <v/>
      </c>
      <c r="H773" s="39" t="str">
        <f>IF(OR(B773="",E773&lt;&gt;""),"",IFERROR(INDEX(KT_nguoc_theo_NL!$J$5:$J$304,MATCH(C773,KT_nguoc_theo_NL!$B$5:$B$304,0))/INDEX(KT_nguoc_theo_NL!$K$5:$K$304,MATCH(C773,KT_nguoc_theo_NL!$B$5:$B$304,0)),""))</f>
        <v/>
      </c>
      <c r="I773" s="39" t="str">
        <f t="shared" ref="I773:I836" si="61">IF(OR(H773="",G773=""),"",G773*H773)</f>
        <v/>
      </c>
      <c r="J773" s="46" t="str">
        <f t="shared" ref="J773:J836" si="62">IF(OR(I773="",I773=0),"",(G773-I773)/I773)</f>
        <v/>
      </c>
      <c r="K773" s="46" t="str">
        <f t="shared" ref="K773:K836" si="63">IF(OR(G773="",F773="",F773=0),"",(G773-F773)/F773)</f>
        <v/>
      </c>
      <c r="L773" s="46" t="str">
        <f t="shared" ref="L773:L836" si="64">IF(OR(I773="",F773="",F773=0),"",(I773-F773)/F773)</f>
        <v/>
      </c>
      <c r="M773" s="35" t="str">
        <f>IF(B773="","",IF(E773="KXDDM","KXDDM – không ĐM",IF(E773&lt;&gt;"","Không KT ("&amp;E773&amp;")",IF(OR(K773="",L773=""),"Xem xét",IF(MAX(ABS(K773),ABS(L773))&lt;=ThongTin!$C$12,"OK","Xem xét")))))</f>
        <v/>
      </c>
    </row>
    <row r="774" spans="1:13" x14ac:dyDescent="0.25">
      <c r="A774" s="35" t="str">
        <f t="shared" si="60"/>
        <v/>
      </c>
      <c r="B774" s="35" t="str">
        <f>IF(BOM!A774="","",BOM!A774)</f>
        <v/>
      </c>
      <c r="C774" s="35" t="str">
        <f>IF(B774="","",BOM!B774)</f>
        <v/>
      </c>
      <c r="D774" s="35" t="str">
        <f>IF(B774="","",KT_DMTT_ChiTiet!E774)</f>
        <v/>
      </c>
      <c r="E774" s="36" t="str">
        <f>IF(B774="","",BOM!G774&amp;"")</f>
        <v/>
      </c>
      <c r="F774" s="39" t="str">
        <f>IF(B774="","",BOM!E774)</f>
        <v/>
      </c>
      <c r="G774" s="39" t="str">
        <f>IF(OR(B774="",E774="KXDDM"),"",BOM!F774)</f>
        <v/>
      </c>
      <c r="H774" s="39" t="str">
        <f>IF(OR(B774="",E774&lt;&gt;""),"",IFERROR(INDEX(KT_nguoc_theo_NL!$J$5:$J$304,MATCH(C774,KT_nguoc_theo_NL!$B$5:$B$304,0))/INDEX(KT_nguoc_theo_NL!$K$5:$K$304,MATCH(C774,KT_nguoc_theo_NL!$B$5:$B$304,0)),""))</f>
        <v/>
      </c>
      <c r="I774" s="39" t="str">
        <f t="shared" si="61"/>
        <v/>
      </c>
      <c r="J774" s="46" t="str">
        <f t="shared" si="62"/>
        <v/>
      </c>
      <c r="K774" s="46" t="str">
        <f t="shared" si="63"/>
        <v/>
      </c>
      <c r="L774" s="46" t="str">
        <f t="shared" si="64"/>
        <v/>
      </c>
      <c r="M774" s="35" t="str">
        <f>IF(B774="","",IF(E774="KXDDM","KXDDM – không ĐM",IF(E774&lt;&gt;"","Không KT ("&amp;E774&amp;")",IF(OR(K774="",L774=""),"Xem xét",IF(MAX(ABS(K774),ABS(L774))&lt;=ThongTin!$C$12,"OK","Xem xét")))))</f>
        <v/>
      </c>
    </row>
    <row r="775" spans="1:13" x14ac:dyDescent="0.25">
      <c r="A775" s="35" t="str">
        <f t="shared" si="60"/>
        <v/>
      </c>
      <c r="B775" s="35" t="str">
        <f>IF(BOM!A775="","",BOM!A775)</f>
        <v/>
      </c>
      <c r="C775" s="35" t="str">
        <f>IF(B775="","",BOM!B775)</f>
        <v/>
      </c>
      <c r="D775" s="35" t="str">
        <f>IF(B775="","",KT_DMTT_ChiTiet!E775)</f>
        <v/>
      </c>
      <c r="E775" s="36" t="str">
        <f>IF(B775="","",BOM!G775&amp;"")</f>
        <v/>
      </c>
      <c r="F775" s="39" t="str">
        <f>IF(B775="","",BOM!E775)</f>
        <v/>
      </c>
      <c r="G775" s="39" t="str">
        <f>IF(OR(B775="",E775="KXDDM"),"",BOM!F775)</f>
        <v/>
      </c>
      <c r="H775" s="39" t="str">
        <f>IF(OR(B775="",E775&lt;&gt;""),"",IFERROR(INDEX(KT_nguoc_theo_NL!$J$5:$J$304,MATCH(C775,KT_nguoc_theo_NL!$B$5:$B$304,0))/INDEX(KT_nguoc_theo_NL!$K$5:$K$304,MATCH(C775,KT_nguoc_theo_NL!$B$5:$B$304,0)),""))</f>
        <v/>
      </c>
      <c r="I775" s="39" t="str">
        <f t="shared" si="61"/>
        <v/>
      </c>
      <c r="J775" s="46" t="str">
        <f t="shared" si="62"/>
        <v/>
      </c>
      <c r="K775" s="46" t="str">
        <f t="shared" si="63"/>
        <v/>
      </c>
      <c r="L775" s="46" t="str">
        <f t="shared" si="64"/>
        <v/>
      </c>
      <c r="M775" s="35" t="str">
        <f>IF(B775="","",IF(E775="KXDDM","KXDDM – không ĐM",IF(E775&lt;&gt;"","Không KT ("&amp;E775&amp;")",IF(OR(K775="",L775=""),"Xem xét",IF(MAX(ABS(K775),ABS(L775))&lt;=ThongTin!$C$12,"OK","Xem xét")))))</f>
        <v/>
      </c>
    </row>
    <row r="776" spans="1:13" x14ac:dyDescent="0.25">
      <c r="A776" s="35" t="str">
        <f t="shared" si="60"/>
        <v/>
      </c>
      <c r="B776" s="35" t="str">
        <f>IF(BOM!A776="","",BOM!A776)</f>
        <v/>
      </c>
      <c r="C776" s="35" t="str">
        <f>IF(B776="","",BOM!B776)</f>
        <v/>
      </c>
      <c r="D776" s="35" t="str">
        <f>IF(B776="","",KT_DMTT_ChiTiet!E776)</f>
        <v/>
      </c>
      <c r="E776" s="36" t="str">
        <f>IF(B776="","",BOM!G776&amp;"")</f>
        <v/>
      </c>
      <c r="F776" s="39" t="str">
        <f>IF(B776="","",BOM!E776)</f>
        <v/>
      </c>
      <c r="G776" s="39" t="str">
        <f>IF(OR(B776="",E776="KXDDM"),"",BOM!F776)</f>
        <v/>
      </c>
      <c r="H776" s="39" t="str">
        <f>IF(OR(B776="",E776&lt;&gt;""),"",IFERROR(INDEX(KT_nguoc_theo_NL!$J$5:$J$304,MATCH(C776,KT_nguoc_theo_NL!$B$5:$B$304,0))/INDEX(KT_nguoc_theo_NL!$K$5:$K$304,MATCH(C776,KT_nguoc_theo_NL!$B$5:$B$304,0)),""))</f>
        <v/>
      </c>
      <c r="I776" s="39" t="str">
        <f t="shared" si="61"/>
        <v/>
      </c>
      <c r="J776" s="46" t="str">
        <f t="shared" si="62"/>
        <v/>
      </c>
      <c r="K776" s="46" t="str">
        <f t="shared" si="63"/>
        <v/>
      </c>
      <c r="L776" s="46" t="str">
        <f t="shared" si="64"/>
        <v/>
      </c>
      <c r="M776" s="35" t="str">
        <f>IF(B776="","",IF(E776="KXDDM","KXDDM – không ĐM",IF(E776&lt;&gt;"","Không KT ("&amp;E776&amp;")",IF(OR(K776="",L776=""),"Xem xét",IF(MAX(ABS(K776),ABS(L776))&lt;=ThongTin!$C$12,"OK","Xem xét")))))</f>
        <v/>
      </c>
    </row>
    <row r="777" spans="1:13" x14ac:dyDescent="0.25">
      <c r="A777" s="35" t="str">
        <f t="shared" si="60"/>
        <v/>
      </c>
      <c r="B777" s="35" t="str">
        <f>IF(BOM!A777="","",BOM!A777)</f>
        <v/>
      </c>
      <c r="C777" s="35" t="str">
        <f>IF(B777="","",BOM!B777)</f>
        <v/>
      </c>
      <c r="D777" s="35" t="str">
        <f>IF(B777="","",KT_DMTT_ChiTiet!E777)</f>
        <v/>
      </c>
      <c r="E777" s="36" t="str">
        <f>IF(B777="","",BOM!G777&amp;"")</f>
        <v/>
      </c>
      <c r="F777" s="39" t="str">
        <f>IF(B777="","",BOM!E777)</f>
        <v/>
      </c>
      <c r="G777" s="39" t="str">
        <f>IF(OR(B777="",E777="KXDDM"),"",BOM!F777)</f>
        <v/>
      </c>
      <c r="H777" s="39" t="str">
        <f>IF(OR(B777="",E777&lt;&gt;""),"",IFERROR(INDEX(KT_nguoc_theo_NL!$J$5:$J$304,MATCH(C777,KT_nguoc_theo_NL!$B$5:$B$304,0))/INDEX(KT_nguoc_theo_NL!$K$5:$K$304,MATCH(C777,KT_nguoc_theo_NL!$B$5:$B$304,0)),""))</f>
        <v/>
      </c>
      <c r="I777" s="39" t="str">
        <f t="shared" si="61"/>
        <v/>
      </c>
      <c r="J777" s="46" t="str">
        <f t="shared" si="62"/>
        <v/>
      </c>
      <c r="K777" s="46" t="str">
        <f t="shared" si="63"/>
        <v/>
      </c>
      <c r="L777" s="46" t="str">
        <f t="shared" si="64"/>
        <v/>
      </c>
      <c r="M777" s="35" t="str">
        <f>IF(B777="","",IF(E777="KXDDM","KXDDM – không ĐM",IF(E777&lt;&gt;"","Không KT ("&amp;E777&amp;")",IF(OR(K777="",L777=""),"Xem xét",IF(MAX(ABS(K777),ABS(L777))&lt;=ThongTin!$C$12,"OK","Xem xét")))))</f>
        <v/>
      </c>
    </row>
    <row r="778" spans="1:13" x14ac:dyDescent="0.25">
      <c r="A778" s="35" t="str">
        <f t="shared" si="60"/>
        <v/>
      </c>
      <c r="B778" s="35" t="str">
        <f>IF(BOM!A778="","",BOM!A778)</f>
        <v/>
      </c>
      <c r="C778" s="35" t="str">
        <f>IF(B778="","",BOM!B778)</f>
        <v/>
      </c>
      <c r="D778" s="35" t="str">
        <f>IF(B778="","",KT_DMTT_ChiTiet!E778)</f>
        <v/>
      </c>
      <c r="E778" s="36" t="str">
        <f>IF(B778="","",BOM!G778&amp;"")</f>
        <v/>
      </c>
      <c r="F778" s="39" t="str">
        <f>IF(B778="","",BOM!E778)</f>
        <v/>
      </c>
      <c r="G778" s="39" t="str">
        <f>IF(OR(B778="",E778="KXDDM"),"",BOM!F778)</f>
        <v/>
      </c>
      <c r="H778" s="39" t="str">
        <f>IF(OR(B778="",E778&lt;&gt;""),"",IFERROR(INDEX(KT_nguoc_theo_NL!$J$5:$J$304,MATCH(C778,KT_nguoc_theo_NL!$B$5:$B$304,0))/INDEX(KT_nguoc_theo_NL!$K$5:$K$304,MATCH(C778,KT_nguoc_theo_NL!$B$5:$B$304,0)),""))</f>
        <v/>
      </c>
      <c r="I778" s="39" t="str">
        <f t="shared" si="61"/>
        <v/>
      </c>
      <c r="J778" s="46" t="str">
        <f t="shared" si="62"/>
        <v/>
      </c>
      <c r="K778" s="46" t="str">
        <f t="shared" si="63"/>
        <v/>
      </c>
      <c r="L778" s="46" t="str">
        <f t="shared" si="64"/>
        <v/>
      </c>
      <c r="M778" s="35" t="str">
        <f>IF(B778="","",IF(E778="KXDDM","KXDDM – không ĐM",IF(E778&lt;&gt;"","Không KT ("&amp;E778&amp;")",IF(OR(K778="",L778=""),"Xem xét",IF(MAX(ABS(K778),ABS(L778))&lt;=ThongTin!$C$12,"OK","Xem xét")))))</f>
        <v/>
      </c>
    </row>
    <row r="779" spans="1:13" x14ac:dyDescent="0.25">
      <c r="A779" s="35" t="str">
        <f t="shared" si="60"/>
        <v/>
      </c>
      <c r="B779" s="35" t="str">
        <f>IF(BOM!A779="","",BOM!A779)</f>
        <v/>
      </c>
      <c r="C779" s="35" t="str">
        <f>IF(B779="","",BOM!B779)</f>
        <v/>
      </c>
      <c r="D779" s="35" t="str">
        <f>IF(B779="","",KT_DMTT_ChiTiet!E779)</f>
        <v/>
      </c>
      <c r="E779" s="36" t="str">
        <f>IF(B779="","",BOM!G779&amp;"")</f>
        <v/>
      </c>
      <c r="F779" s="39" t="str">
        <f>IF(B779="","",BOM!E779)</f>
        <v/>
      </c>
      <c r="G779" s="39" t="str">
        <f>IF(OR(B779="",E779="KXDDM"),"",BOM!F779)</f>
        <v/>
      </c>
      <c r="H779" s="39" t="str">
        <f>IF(OR(B779="",E779&lt;&gt;""),"",IFERROR(INDEX(KT_nguoc_theo_NL!$J$5:$J$304,MATCH(C779,KT_nguoc_theo_NL!$B$5:$B$304,0))/INDEX(KT_nguoc_theo_NL!$K$5:$K$304,MATCH(C779,KT_nguoc_theo_NL!$B$5:$B$304,0)),""))</f>
        <v/>
      </c>
      <c r="I779" s="39" t="str">
        <f t="shared" si="61"/>
        <v/>
      </c>
      <c r="J779" s="46" t="str">
        <f t="shared" si="62"/>
        <v/>
      </c>
      <c r="K779" s="46" t="str">
        <f t="shared" si="63"/>
        <v/>
      </c>
      <c r="L779" s="46" t="str">
        <f t="shared" si="64"/>
        <v/>
      </c>
      <c r="M779" s="35" t="str">
        <f>IF(B779="","",IF(E779="KXDDM","KXDDM – không ĐM",IF(E779&lt;&gt;"","Không KT ("&amp;E779&amp;")",IF(OR(K779="",L779=""),"Xem xét",IF(MAX(ABS(K779),ABS(L779))&lt;=ThongTin!$C$12,"OK","Xem xét")))))</f>
        <v/>
      </c>
    </row>
    <row r="780" spans="1:13" x14ac:dyDescent="0.25">
      <c r="A780" s="35" t="str">
        <f t="shared" si="60"/>
        <v/>
      </c>
      <c r="B780" s="35" t="str">
        <f>IF(BOM!A780="","",BOM!A780)</f>
        <v/>
      </c>
      <c r="C780" s="35" t="str">
        <f>IF(B780="","",BOM!B780)</f>
        <v/>
      </c>
      <c r="D780" s="35" t="str">
        <f>IF(B780="","",KT_DMTT_ChiTiet!E780)</f>
        <v/>
      </c>
      <c r="E780" s="36" t="str">
        <f>IF(B780="","",BOM!G780&amp;"")</f>
        <v/>
      </c>
      <c r="F780" s="39" t="str">
        <f>IF(B780="","",BOM!E780)</f>
        <v/>
      </c>
      <c r="G780" s="39" t="str">
        <f>IF(OR(B780="",E780="KXDDM"),"",BOM!F780)</f>
        <v/>
      </c>
      <c r="H780" s="39" t="str">
        <f>IF(OR(B780="",E780&lt;&gt;""),"",IFERROR(INDEX(KT_nguoc_theo_NL!$J$5:$J$304,MATCH(C780,KT_nguoc_theo_NL!$B$5:$B$304,0))/INDEX(KT_nguoc_theo_NL!$K$5:$K$304,MATCH(C780,KT_nguoc_theo_NL!$B$5:$B$304,0)),""))</f>
        <v/>
      </c>
      <c r="I780" s="39" t="str">
        <f t="shared" si="61"/>
        <v/>
      </c>
      <c r="J780" s="46" t="str">
        <f t="shared" si="62"/>
        <v/>
      </c>
      <c r="K780" s="46" t="str">
        <f t="shared" si="63"/>
        <v/>
      </c>
      <c r="L780" s="46" t="str">
        <f t="shared" si="64"/>
        <v/>
      </c>
      <c r="M780" s="35" t="str">
        <f>IF(B780="","",IF(E780="KXDDM","KXDDM – không ĐM",IF(E780&lt;&gt;"","Không KT ("&amp;E780&amp;")",IF(OR(K780="",L780=""),"Xem xét",IF(MAX(ABS(K780),ABS(L780))&lt;=ThongTin!$C$12,"OK","Xem xét")))))</f>
        <v/>
      </c>
    </row>
    <row r="781" spans="1:13" x14ac:dyDescent="0.25">
      <c r="A781" s="35" t="str">
        <f t="shared" si="60"/>
        <v/>
      </c>
      <c r="B781" s="35" t="str">
        <f>IF(BOM!A781="","",BOM!A781)</f>
        <v/>
      </c>
      <c r="C781" s="35" t="str">
        <f>IF(B781="","",BOM!B781)</f>
        <v/>
      </c>
      <c r="D781" s="35" t="str">
        <f>IF(B781="","",KT_DMTT_ChiTiet!E781)</f>
        <v/>
      </c>
      <c r="E781" s="36" t="str">
        <f>IF(B781="","",BOM!G781&amp;"")</f>
        <v/>
      </c>
      <c r="F781" s="39" t="str">
        <f>IF(B781="","",BOM!E781)</f>
        <v/>
      </c>
      <c r="G781" s="39" t="str">
        <f>IF(OR(B781="",E781="KXDDM"),"",BOM!F781)</f>
        <v/>
      </c>
      <c r="H781" s="39" t="str">
        <f>IF(OR(B781="",E781&lt;&gt;""),"",IFERROR(INDEX(KT_nguoc_theo_NL!$J$5:$J$304,MATCH(C781,KT_nguoc_theo_NL!$B$5:$B$304,0))/INDEX(KT_nguoc_theo_NL!$K$5:$K$304,MATCH(C781,KT_nguoc_theo_NL!$B$5:$B$304,0)),""))</f>
        <v/>
      </c>
      <c r="I781" s="39" t="str">
        <f t="shared" si="61"/>
        <v/>
      </c>
      <c r="J781" s="46" t="str">
        <f t="shared" si="62"/>
        <v/>
      </c>
      <c r="K781" s="46" t="str">
        <f t="shared" si="63"/>
        <v/>
      </c>
      <c r="L781" s="46" t="str">
        <f t="shared" si="64"/>
        <v/>
      </c>
      <c r="M781" s="35" t="str">
        <f>IF(B781="","",IF(E781="KXDDM","KXDDM – không ĐM",IF(E781&lt;&gt;"","Không KT ("&amp;E781&amp;")",IF(OR(K781="",L781=""),"Xem xét",IF(MAX(ABS(K781),ABS(L781))&lt;=ThongTin!$C$12,"OK","Xem xét")))))</f>
        <v/>
      </c>
    </row>
    <row r="782" spans="1:13" x14ac:dyDescent="0.25">
      <c r="A782" s="35" t="str">
        <f t="shared" si="60"/>
        <v/>
      </c>
      <c r="B782" s="35" t="str">
        <f>IF(BOM!A782="","",BOM!A782)</f>
        <v/>
      </c>
      <c r="C782" s="35" t="str">
        <f>IF(B782="","",BOM!B782)</f>
        <v/>
      </c>
      <c r="D782" s="35" t="str">
        <f>IF(B782="","",KT_DMTT_ChiTiet!E782)</f>
        <v/>
      </c>
      <c r="E782" s="36" t="str">
        <f>IF(B782="","",BOM!G782&amp;"")</f>
        <v/>
      </c>
      <c r="F782" s="39" t="str">
        <f>IF(B782="","",BOM!E782)</f>
        <v/>
      </c>
      <c r="G782" s="39" t="str">
        <f>IF(OR(B782="",E782="KXDDM"),"",BOM!F782)</f>
        <v/>
      </c>
      <c r="H782" s="39" t="str">
        <f>IF(OR(B782="",E782&lt;&gt;""),"",IFERROR(INDEX(KT_nguoc_theo_NL!$J$5:$J$304,MATCH(C782,KT_nguoc_theo_NL!$B$5:$B$304,0))/INDEX(KT_nguoc_theo_NL!$K$5:$K$304,MATCH(C782,KT_nguoc_theo_NL!$B$5:$B$304,0)),""))</f>
        <v/>
      </c>
      <c r="I782" s="39" t="str">
        <f t="shared" si="61"/>
        <v/>
      </c>
      <c r="J782" s="46" t="str">
        <f t="shared" si="62"/>
        <v/>
      </c>
      <c r="K782" s="46" t="str">
        <f t="shared" si="63"/>
        <v/>
      </c>
      <c r="L782" s="46" t="str">
        <f t="shared" si="64"/>
        <v/>
      </c>
      <c r="M782" s="35" t="str">
        <f>IF(B782="","",IF(E782="KXDDM","KXDDM – không ĐM",IF(E782&lt;&gt;"","Không KT ("&amp;E782&amp;")",IF(OR(K782="",L782=""),"Xem xét",IF(MAX(ABS(K782),ABS(L782))&lt;=ThongTin!$C$12,"OK","Xem xét")))))</f>
        <v/>
      </c>
    </row>
    <row r="783" spans="1:13" x14ac:dyDescent="0.25">
      <c r="A783" s="35" t="str">
        <f t="shared" si="60"/>
        <v/>
      </c>
      <c r="B783" s="35" t="str">
        <f>IF(BOM!A783="","",BOM!A783)</f>
        <v/>
      </c>
      <c r="C783" s="35" t="str">
        <f>IF(B783="","",BOM!B783)</f>
        <v/>
      </c>
      <c r="D783" s="35" t="str">
        <f>IF(B783="","",KT_DMTT_ChiTiet!E783)</f>
        <v/>
      </c>
      <c r="E783" s="36" t="str">
        <f>IF(B783="","",BOM!G783&amp;"")</f>
        <v/>
      </c>
      <c r="F783" s="39" t="str">
        <f>IF(B783="","",BOM!E783)</f>
        <v/>
      </c>
      <c r="G783" s="39" t="str">
        <f>IF(OR(B783="",E783="KXDDM"),"",BOM!F783)</f>
        <v/>
      </c>
      <c r="H783" s="39" t="str">
        <f>IF(OR(B783="",E783&lt;&gt;""),"",IFERROR(INDEX(KT_nguoc_theo_NL!$J$5:$J$304,MATCH(C783,KT_nguoc_theo_NL!$B$5:$B$304,0))/INDEX(KT_nguoc_theo_NL!$K$5:$K$304,MATCH(C783,KT_nguoc_theo_NL!$B$5:$B$304,0)),""))</f>
        <v/>
      </c>
      <c r="I783" s="39" t="str">
        <f t="shared" si="61"/>
        <v/>
      </c>
      <c r="J783" s="46" t="str">
        <f t="shared" si="62"/>
        <v/>
      </c>
      <c r="K783" s="46" t="str">
        <f t="shared" si="63"/>
        <v/>
      </c>
      <c r="L783" s="46" t="str">
        <f t="shared" si="64"/>
        <v/>
      </c>
      <c r="M783" s="35" t="str">
        <f>IF(B783="","",IF(E783="KXDDM","KXDDM – không ĐM",IF(E783&lt;&gt;"","Không KT ("&amp;E783&amp;")",IF(OR(K783="",L783=""),"Xem xét",IF(MAX(ABS(K783),ABS(L783))&lt;=ThongTin!$C$12,"OK","Xem xét")))))</f>
        <v/>
      </c>
    </row>
    <row r="784" spans="1:13" x14ac:dyDescent="0.25">
      <c r="A784" s="35" t="str">
        <f t="shared" si="60"/>
        <v/>
      </c>
      <c r="B784" s="35" t="str">
        <f>IF(BOM!A784="","",BOM!A784)</f>
        <v/>
      </c>
      <c r="C784" s="35" t="str">
        <f>IF(B784="","",BOM!B784)</f>
        <v/>
      </c>
      <c r="D784" s="35" t="str">
        <f>IF(B784="","",KT_DMTT_ChiTiet!E784)</f>
        <v/>
      </c>
      <c r="E784" s="36" t="str">
        <f>IF(B784="","",BOM!G784&amp;"")</f>
        <v/>
      </c>
      <c r="F784" s="39" t="str">
        <f>IF(B784="","",BOM!E784)</f>
        <v/>
      </c>
      <c r="G784" s="39" t="str">
        <f>IF(OR(B784="",E784="KXDDM"),"",BOM!F784)</f>
        <v/>
      </c>
      <c r="H784" s="39" t="str">
        <f>IF(OR(B784="",E784&lt;&gt;""),"",IFERROR(INDEX(KT_nguoc_theo_NL!$J$5:$J$304,MATCH(C784,KT_nguoc_theo_NL!$B$5:$B$304,0))/INDEX(KT_nguoc_theo_NL!$K$5:$K$304,MATCH(C784,KT_nguoc_theo_NL!$B$5:$B$304,0)),""))</f>
        <v/>
      </c>
      <c r="I784" s="39" t="str">
        <f t="shared" si="61"/>
        <v/>
      </c>
      <c r="J784" s="46" t="str">
        <f t="shared" si="62"/>
        <v/>
      </c>
      <c r="K784" s="46" t="str">
        <f t="shared" si="63"/>
        <v/>
      </c>
      <c r="L784" s="46" t="str">
        <f t="shared" si="64"/>
        <v/>
      </c>
      <c r="M784" s="35" t="str">
        <f>IF(B784="","",IF(E784="KXDDM","KXDDM – không ĐM",IF(E784&lt;&gt;"","Không KT ("&amp;E784&amp;")",IF(OR(K784="",L784=""),"Xem xét",IF(MAX(ABS(K784),ABS(L784))&lt;=ThongTin!$C$12,"OK","Xem xét")))))</f>
        <v/>
      </c>
    </row>
    <row r="785" spans="1:13" x14ac:dyDescent="0.25">
      <c r="A785" s="35" t="str">
        <f t="shared" si="60"/>
        <v/>
      </c>
      <c r="B785" s="35" t="str">
        <f>IF(BOM!A785="","",BOM!A785)</f>
        <v/>
      </c>
      <c r="C785" s="35" t="str">
        <f>IF(B785="","",BOM!B785)</f>
        <v/>
      </c>
      <c r="D785" s="35" t="str">
        <f>IF(B785="","",KT_DMTT_ChiTiet!E785)</f>
        <v/>
      </c>
      <c r="E785" s="36" t="str">
        <f>IF(B785="","",BOM!G785&amp;"")</f>
        <v/>
      </c>
      <c r="F785" s="39" t="str">
        <f>IF(B785="","",BOM!E785)</f>
        <v/>
      </c>
      <c r="G785" s="39" t="str">
        <f>IF(OR(B785="",E785="KXDDM"),"",BOM!F785)</f>
        <v/>
      </c>
      <c r="H785" s="39" t="str">
        <f>IF(OR(B785="",E785&lt;&gt;""),"",IFERROR(INDEX(KT_nguoc_theo_NL!$J$5:$J$304,MATCH(C785,KT_nguoc_theo_NL!$B$5:$B$304,0))/INDEX(KT_nguoc_theo_NL!$K$5:$K$304,MATCH(C785,KT_nguoc_theo_NL!$B$5:$B$304,0)),""))</f>
        <v/>
      </c>
      <c r="I785" s="39" t="str">
        <f t="shared" si="61"/>
        <v/>
      </c>
      <c r="J785" s="46" t="str">
        <f t="shared" si="62"/>
        <v/>
      </c>
      <c r="K785" s="46" t="str">
        <f t="shared" si="63"/>
        <v/>
      </c>
      <c r="L785" s="46" t="str">
        <f t="shared" si="64"/>
        <v/>
      </c>
      <c r="M785" s="35" t="str">
        <f>IF(B785="","",IF(E785="KXDDM","KXDDM – không ĐM",IF(E785&lt;&gt;"","Không KT ("&amp;E785&amp;")",IF(OR(K785="",L785=""),"Xem xét",IF(MAX(ABS(K785),ABS(L785))&lt;=ThongTin!$C$12,"OK","Xem xét")))))</f>
        <v/>
      </c>
    </row>
    <row r="786" spans="1:13" x14ac:dyDescent="0.25">
      <c r="A786" s="35" t="str">
        <f t="shared" si="60"/>
        <v/>
      </c>
      <c r="B786" s="35" t="str">
        <f>IF(BOM!A786="","",BOM!A786)</f>
        <v/>
      </c>
      <c r="C786" s="35" t="str">
        <f>IF(B786="","",BOM!B786)</f>
        <v/>
      </c>
      <c r="D786" s="35" t="str">
        <f>IF(B786="","",KT_DMTT_ChiTiet!E786)</f>
        <v/>
      </c>
      <c r="E786" s="36" t="str">
        <f>IF(B786="","",BOM!G786&amp;"")</f>
        <v/>
      </c>
      <c r="F786" s="39" t="str">
        <f>IF(B786="","",BOM!E786)</f>
        <v/>
      </c>
      <c r="G786" s="39" t="str">
        <f>IF(OR(B786="",E786="KXDDM"),"",BOM!F786)</f>
        <v/>
      </c>
      <c r="H786" s="39" t="str">
        <f>IF(OR(B786="",E786&lt;&gt;""),"",IFERROR(INDEX(KT_nguoc_theo_NL!$J$5:$J$304,MATCH(C786,KT_nguoc_theo_NL!$B$5:$B$304,0))/INDEX(KT_nguoc_theo_NL!$K$5:$K$304,MATCH(C786,KT_nguoc_theo_NL!$B$5:$B$304,0)),""))</f>
        <v/>
      </c>
      <c r="I786" s="39" t="str">
        <f t="shared" si="61"/>
        <v/>
      </c>
      <c r="J786" s="46" t="str">
        <f t="shared" si="62"/>
        <v/>
      </c>
      <c r="K786" s="46" t="str">
        <f t="shared" si="63"/>
        <v/>
      </c>
      <c r="L786" s="46" t="str">
        <f t="shared" si="64"/>
        <v/>
      </c>
      <c r="M786" s="35" t="str">
        <f>IF(B786="","",IF(E786="KXDDM","KXDDM – không ĐM",IF(E786&lt;&gt;"","Không KT ("&amp;E786&amp;")",IF(OR(K786="",L786=""),"Xem xét",IF(MAX(ABS(K786),ABS(L786))&lt;=ThongTin!$C$12,"OK","Xem xét")))))</f>
        <v/>
      </c>
    </row>
    <row r="787" spans="1:13" x14ac:dyDescent="0.25">
      <c r="A787" s="35" t="str">
        <f t="shared" si="60"/>
        <v/>
      </c>
      <c r="B787" s="35" t="str">
        <f>IF(BOM!A787="","",BOM!A787)</f>
        <v/>
      </c>
      <c r="C787" s="35" t="str">
        <f>IF(B787="","",BOM!B787)</f>
        <v/>
      </c>
      <c r="D787" s="35" t="str">
        <f>IF(B787="","",KT_DMTT_ChiTiet!E787)</f>
        <v/>
      </c>
      <c r="E787" s="36" t="str">
        <f>IF(B787="","",BOM!G787&amp;"")</f>
        <v/>
      </c>
      <c r="F787" s="39" t="str">
        <f>IF(B787="","",BOM!E787)</f>
        <v/>
      </c>
      <c r="G787" s="39" t="str">
        <f>IF(OR(B787="",E787="KXDDM"),"",BOM!F787)</f>
        <v/>
      </c>
      <c r="H787" s="39" t="str">
        <f>IF(OR(B787="",E787&lt;&gt;""),"",IFERROR(INDEX(KT_nguoc_theo_NL!$J$5:$J$304,MATCH(C787,KT_nguoc_theo_NL!$B$5:$B$304,0))/INDEX(KT_nguoc_theo_NL!$K$5:$K$304,MATCH(C787,KT_nguoc_theo_NL!$B$5:$B$304,0)),""))</f>
        <v/>
      </c>
      <c r="I787" s="39" t="str">
        <f t="shared" si="61"/>
        <v/>
      </c>
      <c r="J787" s="46" t="str">
        <f t="shared" si="62"/>
        <v/>
      </c>
      <c r="K787" s="46" t="str">
        <f t="shared" si="63"/>
        <v/>
      </c>
      <c r="L787" s="46" t="str">
        <f t="shared" si="64"/>
        <v/>
      </c>
      <c r="M787" s="35" t="str">
        <f>IF(B787="","",IF(E787="KXDDM","KXDDM – không ĐM",IF(E787&lt;&gt;"","Không KT ("&amp;E787&amp;")",IF(OR(K787="",L787=""),"Xem xét",IF(MAX(ABS(K787),ABS(L787))&lt;=ThongTin!$C$12,"OK","Xem xét")))))</f>
        <v/>
      </c>
    </row>
    <row r="788" spans="1:13" x14ac:dyDescent="0.25">
      <c r="A788" s="35" t="str">
        <f t="shared" si="60"/>
        <v/>
      </c>
      <c r="B788" s="35" t="str">
        <f>IF(BOM!A788="","",BOM!A788)</f>
        <v/>
      </c>
      <c r="C788" s="35" t="str">
        <f>IF(B788="","",BOM!B788)</f>
        <v/>
      </c>
      <c r="D788" s="35" t="str">
        <f>IF(B788="","",KT_DMTT_ChiTiet!E788)</f>
        <v/>
      </c>
      <c r="E788" s="36" t="str">
        <f>IF(B788="","",BOM!G788&amp;"")</f>
        <v/>
      </c>
      <c r="F788" s="39" t="str">
        <f>IF(B788="","",BOM!E788)</f>
        <v/>
      </c>
      <c r="G788" s="39" t="str">
        <f>IF(OR(B788="",E788="KXDDM"),"",BOM!F788)</f>
        <v/>
      </c>
      <c r="H788" s="39" t="str">
        <f>IF(OR(B788="",E788&lt;&gt;""),"",IFERROR(INDEX(KT_nguoc_theo_NL!$J$5:$J$304,MATCH(C788,KT_nguoc_theo_NL!$B$5:$B$304,0))/INDEX(KT_nguoc_theo_NL!$K$5:$K$304,MATCH(C788,KT_nguoc_theo_NL!$B$5:$B$304,0)),""))</f>
        <v/>
      </c>
      <c r="I788" s="39" t="str">
        <f t="shared" si="61"/>
        <v/>
      </c>
      <c r="J788" s="46" t="str">
        <f t="shared" si="62"/>
        <v/>
      </c>
      <c r="K788" s="46" t="str">
        <f t="shared" si="63"/>
        <v/>
      </c>
      <c r="L788" s="46" t="str">
        <f t="shared" si="64"/>
        <v/>
      </c>
      <c r="M788" s="35" t="str">
        <f>IF(B788="","",IF(E788="KXDDM","KXDDM – không ĐM",IF(E788&lt;&gt;"","Không KT ("&amp;E788&amp;")",IF(OR(K788="",L788=""),"Xem xét",IF(MAX(ABS(K788),ABS(L788))&lt;=ThongTin!$C$12,"OK","Xem xét")))))</f>
        <v/>
      </c>
    </row>
    <row r="789" spans="1:13" x14ac:dyDescent="0.25">
      <c r="A789" s="35" t="str">
        <f t="shared" si="60"/>
        <v/>
      </c>
      <c r="B789" s="35" t="str">
        <f>IF(BOM!A789="","",BOM!A789)</f>
        <v/>
      </c>
      <c r="C789" s="35" t="str">
        <f>IF(B789="","",BOM!B789)</f>
        <v/>
      </c>
      <c r="D789" s="35" t="str">
        <f>IF(B789="","",KT_DMTT_ChiTiet!E789)</f>
        <v/>
      </c>
      <c r="E789" s="36" t="str">
        <f>IF(B789="","",BOM!G789&amp;"")</f>
        <v/>
      </c>
      <c r="F789" s="39" t="str">
        <f>IF(B789="","",BOM!E789)</f>
        <v/>
      </c>
      <c r="G789" s="39" t="str">
        <f>IF(OR(B789="",E789="KXDDM"),"",BOM!F789)</f>
        <v/>
      </c>
      <c r="H789" s="39" t="str">
        <f>IF(OR(B789="",E789&lt;&gt;""),"",IFERROR(INDEX(KT_nguoc_theo_NL!$J$5:$J$304,MATCH(C789,KT_nguoc_theo_NL!$B$5:$B$304,0))/INDEX(KT_nguoc_theo_NL!$K$5:$K$304,MATCH(C789,KT_nguoc_theo_NL!$B$5:$B$304,0)),""))</f>
        <v/>
      </c>
      <c r="I789" s="39" t="str">
        <f t="shared" si="61"/>
        <v/>
      </c>
      <c r="J789" s="46" t="str">
        <f t="shared" si="62"/>
        <v/>
      </c>
      <c r="K789" s="46" t="str">
        <f t="shared" si="63"/>
        <v/>
      </c>
      <c r="L789" s="46" t="str">
        <f t="shared" si="64"/>
        <v/>
      </c>
      <c r="M789" s="35" t="str">
        <f>IF(B789="","",IF(E789="KXDDM","KXDDM – không ĐM",IF(E789&lt;&gt;"","Không KT ("&amp;E789&amp;")",IF(OR(K789="",L789=""),"Xem xét",IF(MAX(ABS(K789),ABS(L789))&lt;=ThongTin!$C$12,"OK","Xem xét")))))</f>
        <v/>
      </c>
    </row>
    <row r="790" spans="1:13" x14ac:dyDescent="0.25">
      <c r="A790" s="35" t="str">
        <f t="shared" si="60"/>
        <v/>
      </c>
      <c r="B790" s="35" t="str">
        <f>IF(BOM!A790="","",BOM!A790)</f>
        <v/>
      </c>
      <c r="C790" s="35" t="str">
        <f>IF(B790="","",BOM!B790)</f>
        <v/>
      </c>
      <c r="D790" s="35" t="str">
        <f>IF(B790="","",KT_DMTT_ChiTiet!E790)</f>
        <v/>
      </c>
      <c r="E790" s="36" t="str">
        <f>IF(B790="","",BOM!G790&amp;"")</f>
        <v/>
      </c>
      <c r="F790" s="39" t="str">
        <f>IF(B790="","",BOM!E790)</f>
        <v/>
      </c>
      <c r="G790" s="39" t="str">
        <f>IF(OR(B790="",E790="KXDDM"),"",BOM!F790)</f>
        <v/>
      </c>
      <c r="H790" s="39" t="str">
        <f>IF(OR(B790="",E790&lt;&gt;""),"",IFERROR(INDEX(KT_nguoc_theo_NL!$J$5:$J$304,MATCH(C790,KT_nguoc_theo_NL!$B$5:$B$304,0))/INDEX(KT_nguoc_theo_NL!$K$5:$K$304,MATCH(C790,KT_nguoc_theo_NL!$B$5:$B$304,0)),""))</f>
        <v/>
      </c>
      <c r="I790" s="39" t="str">
        <f t="shared" si="61"/>
        <v/>
      </c>
      <c r="J790" s="46" t="str">
        <f t="shared" si="62"/>
        <v/>
      </c>
      <c r="K790" s="46" t="str">
        <f t="shared" si="63"/>
        <v/>
      </c>
      <c r="L790" s="46" t="str">
        <f t="shared" si="64"/>
        <v/>
      </c>
      <c r="M790" s="35" t="str">
        <f>IF(B790="","",IF(E790="KXDDM","KXDDM – không ĐM",IF(E790&lt;&gt;"","Không KT ("&amp;E790&amp;")",IF(OR(K790="",L790=""),"Xem xét",IF(MAX(ABS(K790),ABS(L790))&lt;=ThongTin!$C$12,"OK","Xem xét")))))</f>
        <v/>
      </c>
    </row>
    <row r="791" spans="1:13" x14ac:dyDescent="0.25">
      <c r="A791" s="35" t="str">
        <f t="shared" si="60"/>
        <v/>
      </c>
      <c r="B791" s="35" t="str">
        <f>IF(BOM!A791="","",BOM!A791)</f>
        <v/>
      </c>
      <c r="C791" s="35" t="str">
        <f>IF(B791="","",BOM!B791)</f>
        <v/>
      </c>
      <c r="D791" s="35" t="str">
        <f>IF(B791="","",KT_DMTT_ChiTiet!E791)</f>
        <v/>
      </c>
      <c r="E791" s="36" t="str">
        <f>IF(B791="","",BOM!G791&amp;"")</f>
        <v/>
      </c>
      <c r="F791" s="39" t="str">
        <f>IF(B791="","",BOM!E791)</f>
        <v/>
      </c>
      <c r="G791" s="39" t="str">
        <f>IF(OR(B791="",E791="KXDDM"),"",BOM!F791)</f>
        <v/>
      </c>
      <c r="H791" s="39" t="str">
        <f>IF(OR(B791="",E791&lt;&gt;""),"",IFERROR(INDEX(KT_nguoc_theo_NL!$J$5:$J$304,MATCH(C791,KT_nguoc_theo_NL!$B$5:$B$304,0))/INDEX(KT_nguoc_theo_NL!$K$5:$K$304,MATCH(C791,KT_nguoc_theo_NL!$B$5:$B$304,0)),""))</f>
        <v/>
      </c>
      <c r="I791" s="39" t="str">
        <f t="shared" si="61"/>
        <v/>
      </c>
      <c r="J791" s="46" t="str">
        <f t="shared" si="62"/>
        <v/>
      </c>
      <c r="K791" s="46" t="str">
        <f t="shared" si="63"/>
        <v/>
      </c>
      <c r="L791" s="46" t="str">
        <f t="shared" si="64"/>
        <v/>
      </c>
      <c r="M791" s="35" t="str">
        <f>IF(B791="","",IF(E791="KXDDM","KXDDM – không ĐM",IF(E791&lt;&gt;"","Không KT ("&amp;E791&amp;")",IF(OR(K791="",L791=""),"Xem xét",IF(MAX(ABS(K791),ABS(L791))&lt;=ThongTin!$C$12,"OK","Xem xét")))))</f>
        <v/>
      </c>
    </row>
    <row r="792" spans="1:13" x14ac:dyDescent="0.25">
      <c r="A792" s="35" t="str">
        <f t="shared" si="60"/>
        <v/>
      </c>
      <c r="B792" s="35" t="str">
        <f>IF(BOM!A792="","",BOM!A792)</f>
        <v/>
      </c>
      <c r="C792" s="35" t="str">
        <f>IF(B792="","",BOM!B792)</f>
        <v/>
      </c>
      <c r="D792" s="35" t="str">
        <f>IF(B792="","",KT_DMTT_ChiTiet!E792)</f>
        <v/>
      </c>
      <c r="E792" s="36" t="str">
        <f>IF(B792="","",BOM!G792&amp;"")</f>
        <v/>
      </c>
      <c r="F792" s="39" t="str">
        <f>IF(B792="","",BOM!E792)</f>
        <v/>
      </c>
      <c r="G792" s="39" t="str">
        <f>IF(OR(B792="",E792="KXDDM"),"",BOM!F792)</f>
        <v/>
      </c>
      <c r="H792" s="39" t="str">
        <f>IF(OR(B792="",E792&lt;&gt;""),"",IFERROR(INDEX(KT_nguoc_theo_NL!$J$5:$J$304,MATCH(C792,KT_nguoc_theo_NL!$B$5:$B$304,0))/INDEX(KT_nguoc_theo_NL!$K$5:$K$304,MATCH(C792,KT_nguoc_theo_NL!$B$5:$B$304,0)),""))</f>
        <v/>
      </c>
      <c r="I792" s="39" t="str">
        <f t="shared" si="61"/>
        <v/>
      </c>
      <c r="J792" s="46" t="str">
        <f t="shared" si="62"/>
        <v/>
      </c>
      <c r="K792" s="46" t="str">
        <f t="shared" si="63"/>
        <v/>
      </c>
      <c r="L792" s="46" t="str">
        <f t="shared" si="64"/>
        <v/>
      </c>
      <c r="M792" s="35" t="str">
        <f>IF(B792="","",IF(E792="KXDDM","KXDDM – không ĐM",IF(E792&lt;&gt;"","Không KT ("&amp;E792&amp;")",IF(OR(K792="",L792=""),"Xem xét",IF(MAX(ABS(K792),ABS(L792))&lt;=ThongTin!$C$12,"OK","Xem xét")))))</f>
        <v/>
      </c>
    </row>
    <row r="793" spans="1:13" x14ac:dyDescent="0.25">
      <c r="A793" s="35" t="str">
        <f t="shared" si="60"/>
        <v/>
      </c>
      <c r="B793" s="35" t="str">
        <f>IF(BOM!A793="","",BOM!A793)</f>
        <v/>
      </c>
      <c r="C793" s="35" t="str">
        <f>IF(B793="","",BOM!B793)</f>
        <v/>
      </c>
      <c r="D793" s="35" t="str">
        <f>IF(B793="","",KT_DMTT_ChiTiet!E793)</f>
        <v/>
      </c>
      <c r="E793" s="36" t="str">
        <f>IF(B793="","",BOM!G793&amp;"")</f>
        <v/>
      </c>
      <c r="F793" s="39" t="str">
        <f>IF(B793="","",BOM!E793)</f>
        <v/>
      </c>
      <c r="G793" s="39" t="str">
        <f>IF(OR(B793="",E793="KXDDM"),"",BOM!F793)</f>
        <v/>
      </c>
      <c r="H793" s="39" t="str">
        <f>IF(OR(B793="",E793&lt;&gt;""),"",IFERROR(INDEX(KT_nguoc_theo_NL!$J$5:$J$304,MATCH(C793,KT_nguoc_theo_NL!$B$5:$B$304,0))/INDEX(KT_nguoc_theo_NL!$K$5:$K$304,MATCH(C793,KT_nguoc_theo_NL!$B$5:$B$304,0)),""))</f>
        <v/>
      </c>
      <c r="I793" s="39" t="str">
        <f t="shared" si="61"/>
        <v/>
      </c>
      <c r="J793" s="46" t="str">
        <f t="shared" si="62"/>
        <v/>
      </c>
      <c r="K793" s="46" t="str">
        <f t="shared" si="63"/>
        <v/>
      </c>
      <c r="L793" s="46" t="str">
        <f t="shared" si="64"/>
        <v/>
      </c>
      <c r="M793" s="35" t="str">
        <f>IF(B793="","",IF(E793="KXDDM","KXDDM – không ĐM",IF(E793&lt;&gt;"","Không KT ("&amp;E793&amp;")",IF(OR(K793="",L793=""),"Xem xét",IF(MAX(ABS(K793),ABS(L793))&lt;=ThongTin!$C$12,"OK","Xem xét")))))</f>
        <v/>
      </c>
    </row>
    <row r="794" spans="1:13" x14ac:dyDescent="0.25">
      <c r="A794" s="35" t="str">
        <f t="shared" si="60"/>
        <v/>
      </c>
      <c r="B794" s="35" t="str">
        <f>IF(BOM!A794="","",BOM!A794)</f>
        <v/>
      </c>
      <c r="C794" s="35" t="str">
        <f>IF(B794="","",BOM!B794)</f>
        <v/>
      </c>
      <c r="D794" s="35" t="str">
        <f>IF(B794="","",KT_DMTT_ChiTiet!E794)</f>
        <v/>
      </c>
      <c r="E794" s="36" t="str">
        <f>IF(B794="","",BOM!G794&amp;"")</f>
        <v/>
      </c>
      <c r="F794" s="39" t="str">
        <f>IF(B794="","",BOM!E794)</f>
        <v/>
      </c>
      <c r="G794" s="39" t="str">
        <f>IF(OR(B794="",E794="KXDDM"),"",BOM!F794)</f>
        <v/>
      </c>
      <c r="H794" s="39" t="str">
        <f>IF(OR(B794="",E794&lt;&gt;""),"",IFERROR(INDEX(KT_nguoc_theo_NL!$J$5:$J$304,MATCH(C794,KT_nguoc_theo_NL!$B$5:$B$304,0))/INDEX(KT_nguoc_theo_NL!$K$5:$K$304,MATCH(C794,KT_nguoc_theo_NL!$B$5:$B$304,0)),""))</f>
        <v/>
      </c>
      <c r="I794" s="39" t="str">
        <f t="shared" si="61"/>
        <v/>
      </c>
      <c r="J794" s="46" t="str">
        <f t="shared" si="62"/>
        <v/>
      </c>
      <c r="K794" s="46" t="str">
        <f t="shared" si="63"/>
        <v/>
      </c>
      <c r="L794" s="46" t="str">
        <f t="shared" si="64"/>
        <v/>
      </c>
      <c r="M794" s="35" t="str">
        <f>IF(B794="","",IF(E794="KXDDM","KXDDM – không ĐM",IF(E794&lt;&gt;"","Không KT ("&amp;E794&amp;")",IF(OR(K794="",L794=""),"Xem xét",IF(MAX(ABS(K794),ABS(L794))&lt;=ThongTin!$C$12,"OK","Xem xét")))))</f>
        <v/>
      </c>
    </row>
    <row r="795" spans="1:13" x14ac:dyDescent="0.25">
      <c r="A795" s="35" t="str">
        <f t="shared" si="60"/>
        <v/>
      </c>
      <c r="B795" s="35" t="str">
        <f>IF(BOM!A795="","",BOM!A795)</f>
        <v/>
      </c>
      <c r="C795" s="35" t="str">
        <f>IF(B795="","",BOM!B795)</f>
        <v/>
      </c>
      <c r="D795" s="35" t="str">
        <f>IF(B795="","",KT_DMTT_ChiTiet!E795)</f>
        <v/>
      </c>
      <c r="E795" s="36" t="str">
        <f>IF(B795="","",BOM!G795&amp;"")</f>
        <v/>
      </c>
      <c r="F795" s="39" t="str">
        <f>IF(B795="","",BOM!E795)</f>
        <v/>
      </c>
      <c r="G795" s="39" t="str">
        <f>IF(OR(B795="",E795="KXDDM"),"",BOM!F795)</f>
        <v/>
      </c>
      <c r="H795" s="39" t="str">
        <f>IF(OR(B795="",E795&lt;&gt;""),"",IFERROR(INDEX(KT_nguoc_theo_NL!$J$5:$J$304,MATCH(C795,KT_nguoc_theo_NL!$B$5:$B$304,0))/INDEX(KT_nguoc_theo_NL!$K$5:$K$304,MATCH(C795,KT_nguoc_theo_NL!$B$5:$B$304,0)),""))</f>
        <v/>
      </c>
      <c r="I795" s="39" t="str">
        <f t="shared" si="61"/>
        <v/>
      </c>
      <c r="J795" s="46" t="str">
        <f t="shared" si="62"/>
        <v/>
      </c>
      <c r="K795" s="46" t="str">
        <f t="shared" si="63"/>
        <v/>
      </c>
      <c r="L795" s="46" t="str">
        <f t="shared" si="64"/>
        <v/>
      </c>
      <c r="M795" s="35" t="str">
        <f>IF(B795="","",IF(E795="KXDDM","KXDDM – không ĐM",IF(E795&lt;&gt;"","Không KT ("&amp;E795&amp;")",IF(OR(K795="",L795=""),"Xem xét",IF(MAX(ABS(K795),ABS(L795))&lt;=ThongTin!$C$12,"OK","Xem xét")))))</f>
        <v/>
      </c>
    </row>
    <row r="796" spans="1:13" x14ac:dyDescent="0.25">
      <c r="A796" s="35" t="str">
        <f t="shared" si="60"/>
        <v/>
      </c>
      <c r="B796" s="35" t="str">
        <f>IF(BOM!A796="","",BOM!A796)</f>
        <v/>
      </c>
      <c r="C796" s="35" t="str">
        <f>IF(B796="","",BOM!B796)</f>
        <v/>
      </c>
      <c r="D796" s="35" t="str">
        <f>IF(B796="","",KT_DMTT_ChiTiet!E796)</f>
        <v/>
      </c>
      <c r="E796" s="36" t="str">
        <f>IF(B796="","",BOM!G796&amp;"")</f>
        <v/>
      </c>
      <c r="F796" s="39" t="str">
        <f>IF(B796="","",BOM!E796)</f>
        <v/>
      </c>
      <c r="G796" s="39" t="str">
        <f>IF(OR(B796="",E796="KXDDM"),"",BOM!F796)</f>
        <v/>
      </c>
      <c r="H796" s="39" t="str">
        <f>IF(OR(B796="",E796&lt;&gt;""),"",IFERROR(INDEX(KT_nguoc_theo_NL!$J$5:$J$304,MATCH(C796,KT_nguoc_theo_NL!$B$5:$B$304,0))/INDEX(KT_nguoc_theo_NL!$K$5:$K$304,MATCH(C796,KT_nguoc_theo_NL!$B$5:$B$304,0)),""))</f>
        <v/>
      </c>
      <c r="I796" s="39" t="str">
        <f t="shared" si="61"/>
        <v/>
      </c>
      <c r="J796" s="46" t="str">
        <f t="shared" si="62"/>
        <v/>
      </c>
      <c r="K796" s="46" t="str">
        <f t="shared" si="63"/>
        <v/>
      </c>
      <c r="L796" s="46" t="str">
        <f t="shared" si="64"/>
        <v/>
      </c>
      <c r="M796" s="35" t="str">
        <f>IF(B796="","",IF(E796="KXDDM","KXDDM – không ĐM",IF(E796&lt;&gt;"","Không KT ("&amp;E796&amp;")",IF(OR(K796="",L796=""),"Xem xét",IF(MAX(ABS(K796),ABS(L796))&lt;=ThongTin!$C$12,"OK","Xem xét")))))</f>
        <v/>
      </c>
    </row>
    <row r="797" spans="1:13" x14ac:dyDescent="0.25">
      <c r="A797" s="35" t="str">
        <f t="shared" si="60"/>
        <v/>
      </c>
      <c r="B797" s="35" t="str">
        <f>IF(BOM!A797="","",BOM!A797)</f>
        <v/>
      </c>
      <c r="C797" s="35" t="str">
        <f>IF(B797="","",BOM!B797)</f>
        <v/>
      </c>
      <c r="D797" s="35" t="str">
        <f>IF(B797="","",KT_DMTT_ChiTiet!E797)</f>
        <v/>
      </c>
      <c r="E797" s="36" t="str">
        <f>IF(B797="","",BOM!G797&amp;"")</f>
        <v/>
      </c>
      <c r="F797" s="39" t="str">
        <f>IF(B797="","",BOM!E797)</f>
        <v/>
      </c>
      <c r="G797" s="39" t="str">
        <f>IF(OR(B797="",E797="KXDDM"),"",BOM!F797)</f>
        <v/>
      </c>
      <c r="H797" s="39" t="str">
        <f>IF(OR(B797="",E797&lt;&gt;""),"",IFERROR(INDEX(KT_nguoc_theo_NL!$J$5:$J$304,MATCH(C797,KT_nguoc_theo_NL!$B$5:$B$304,0))/INDEX(KT_nguoc_theo_NL!$K$5:$K$304,MATCH(C797,KT_nguoc_theo_NL!$B$5:$B$304,0)),""))</f>
        <v/>
      </c>
      <c r="I797" s="39" t="str">
        <f t="shared" si="61"/>
        <v/>
      </c>
      <c r="J797" s="46" t="str">
        <f t="shared" si="62"/>
        <v/>
      </c>
      <c r="K797" s="46" t="str">
        <f t="shared" si="63"/>
        <v/>
      </c>
      <c r="L797" s="46" t="str">
        <f t="shared" si="64"/>
        <v/>
      </c>
      <c r="M797" s="35" t="str">
        <f>IF(B797="","",IF(E797="KXDDM","KXDDM – không ĐM",IF(E797&lt;&gt;"","Không KT ("&amp;E797&amp;")",IF(OR(K797="",L797=""),"Xem xét",IF(MAX(ABS(K797),ABS(L797))&lt;=ThongTin!$C$12,"OK","Xem xét")))))</f>
        <v/>
      </c>
    </row>
    <row r="798" spans="1:13" x14ac:dyDescent="0.25">
      <c r="A798" s="35" t="str">
        <f t="shared" si="60"/>
        <v/>
      </c>
      <c r="B798" s="35" t="str">
        <f>IF(BOM!A798="","",BOM!A798)</f>
        <v/>
      </c>
      <c r="C798" s="35" t="str">
        <f>IF(B798="","",BOM!B798)</f>
        <v/>
      </c>
      <c r="D798" s="35" t="str">
        <f>IF(B798="","",KT_DMTT_ChiTiet!E798)</f>
        <v/>
      </c>
      <c r="E798" s="36" t="str">
        <f>IF(B798="","",BOM!G798&amp;"")</f>
        <v/>
      </c>
      <c r="F798" s="39" t="str">
        <f>IF(B798="","",BOM!E798)</f>
        <v/>
      </c>
      <c r="G798" s="39" t="str">
        <f>IF(OR(B798="",E798="KXDDM"),"",BOM!F798)</f>
        <v/>
      </c>
      <c r="H798" s="39" t="str">
        <f>IF(OR(B798="",E798&lt;&gt;""),"",IFERROR(INDEX(KT_nguoc_theo_NL!$J$5:$J$304,MATCH(C798,KT_nguoc_theo_NL!$B$5:$B$304,0))/INDEX(KT_nguoc_theo_NL!$K$5:$K$304,MATCH(C798,KT_nguoc_theo_NL!$B$5:$B$304,0)),""))</f>
        <v/>
      </c>
      <c r="I798" s="39" t="str">
        <f t="shared" si="61"/>
        <v/>
      </c>
      <c r="J798" s="46" t="str">
        <f t="shared" si="62"/>
        <v/>
      </c>
      <c r="K798" s="46" t="str">
        <f t="shared" si="63"/>
        <v/>
      </c>
      <c r="L798" s="46" t="str">
        <f t="shared" si="64"/>
        <v/>
      </c>
      <c r="M798" s="35" t="str">
        <f>IF(B798="","",IF(E798="KXDDM","KXDDM – không ĐM",IF(E798&lt;&gt;"","Không KT ("&amp;E798&amp;")",IF(OR(K798="",L798=""),"Xem xét",IF(MAX(ABS(K798),ABS(L798))&lt;=ThongTin!$C$12,"OK","Xem xét")))))</f>
        <v/>
      </c>
    </row>
    <row r="799" spans="1:13" x14ac:dyDescent="0.25">
      <c r="A799" s="35" t="str">
        <f t="shared" si="60"/>
        <v/>
      </c>
      <c r="B799" s="35" t="str">
        <f>IF(BOM!A799="","",BOM!A799)</f>
        <v/>
      </c>
      <c r="C799" s="35" t="str">
        <f>IF(B799="","",BOM!B799)</f>
        <v/>
      </c>
      <c r="D799" s="35" t="str">
        <f>IF(B799="","",KT_DMTT_ChiTiet!E799)</f>
        <v/>
      </c>
      <c r="E799" s="36" t="str">
        <f>IF(B799="","",BOM!G799&amp;"")</f>
        <v/>
      </c>
      <c r="F799" s="39" t="str">
        <f>IF(B799="","",BOM!E799)</f>
        <v/>
      </c>
      <c r="G799" s="39" t="str">
        <f>IF(OR(B799="",E799="KXDDM"),"",BOM!F799)</f>
        <v/>
      </c>
      <c r="H799" s="39" t="str">
        <f>IF(OR(B799="",E799&lt;&gt;""),"",IFERROR(INDEX(KT_nguoc_theo_NL!$J$5:$J$304,MATCH(C799,KT_nguoc_theo_NL!$B$5:$B$304,0))/INDEX(KT_nguoc_theo_NL!$K$5:$K$304,MATCH(C799,KT_nguoc_theo_NL!$B$5:$B$304,0)),""))</f>
        <v/>
      </c>
      <c r="I799" s="39" t="str">
        <f t="shared" si="61"/>
        <v/>
      </c>
      <c r="J799" s="46" t="str">
        <f t="shared" si="62"/>
        <v/>
      </c>
      <c r="K799" s="46" t="str">
        <f t="shared" si="63"/>
        <v/>
      </c>
      <c r="L799" s="46" t="str">
        <f t="shared" si="64"/>
        <v/>
      </c>
      <c r="M799" s="35" t="str">
        <f>IF(B799="","",IF(E799="KXDDM","KXDDM – không ĐM",IF(E799&lt;&gt;"","Không KT ("&amp;E799&amp;")",IF(OR(K799="",L799=""),"Xem xét",IF(MAX(ABS(K799),ABS(L799))&lt;=ThongTin!$C$12,"OK","Xem xét")))))</f>
        <v/>
      </c>
    </row>
    <row r="800" spans="1:13" x14ac:dyDescent="0.25">
      <c r="A800" s="35" t="str">
        <f t="shared" si="60"/>
        <v/>
      </c>
      <c r="B800" s="35" t="str">
        <f>IF(BOM!A800="","",BOM!A800)</f>
        <v/>
      </c>
      <c r="C800" s="35" t="str">
        <f>IF(B800="","",BOM!B800)</f>
        <v/>
      </c>
      <c r="D800" s="35" t="str">
        <f>IF(B800="","",KT_DMTT_ChiTiet!E800)</f>
        <v/>
      </c>
      <c r="E800" s="36" t="str">
        <f>IF(B800="","",BOM!G800&amp;"")</f>
        <v/>
      </c>
      <c r="F800" s="39" t="str">
        <f>IF(B800="","",BOM!E800)</f>
        <v/>
      </c>
      <c r="G800" s="39" t="str">
        <f>IF(OR(B800="",E800="KXDDM"),"",BOM!F800)</f>
        <v/>
      </c>
      <c r="H800" s="39" t="str">
        <f>IF(OR(B800="",E800&lt;&gt;""),"",IFERROR(INDEX(KT_nguoc_theo_NL!$J$5:$J$304,MATCH(C800,KT_nguoc_theo_NL!$B$5:$B$304,0))/INDEX(KT_nguoc_theo_NL!$K$5:$K$304,MATCH(C800,KT_nguoc_theo_NL!$B$5:$B$304,0)),""))</f>
        <v/>
      </c>
      <c r="I800" s="39" t="str">
        <f t="shared" si="61"/>
        <v/>
      </c>
      <c r="J800" s="46" t="str">
        <f t="shared" si="62"/>
        <v/>
      </c>
      <c r="K800" s="46" t="str">
        <f t="shared" si="63"/>
        <v/>
      </c>
      <c r="L800" s="46" t="str">
        <f t="shared" si="64"/>
        <v/>
      </c>
      <c r="M800" s="35" t="str">
        <f>IF(B800="","",IF(E800="KXDDM","KXDDM – không ĐM",IF(E800&lt;&gt;"","Không KT ("&amp;E800&amp;")",IF(OR(K800="",L800=""),"Xem xét",IF(MAX(ABS(K800),ABS(L800))&lt;=ThongTin!$C$12,"OK","Xem xét")))))</f>
        <v/>
      </c>
    </row>
    <row r="801" spans="1:13" x14ac:dyDescent="0.25">
      <c r="A801" s="35" t="str">
        <f t="shared" si="60"/>
        <v/>
      </c>
      <c r="B801" s="35" t="str">
        <f>IF(BOM!A801="","",BOM!A801)</f>
        <v/>
      </c>
      <c r="C801" s="35" t="str">
        <f>IF(B801="","",BOM!B801)</f>
        <v/>
      </c>
      <c r="D801" s="35" t="str">
        <f>IF(B801="","",KT_DMTT_ChiTiet!E801)</f>
        <v/>
      </c>
      <c r="E801" s="36" t="str">
        <f>IF(B801="","",BOM!G801&amp;"")</f>
        <v/>
      </c>
      <c r="F801" s="39" t="str">
        <f>IF(B801="","",BOM!E801)</f>
        <v/>
      </c>
      <c r="G801" s="39" t="str">
        <f>IF(OR(B801="",E801="KXDDM"),"",BOM!F801)</f>
        <v/>
      </c>
      <c r="H801" s="39" t="str">
        <f>IF(OR(B801="",E801&lt;&gt;""),"",IFERROR(INDEX(KT_nguoc_theo_NL!$J$5:$J$304,MATCH(C801,KT_nguoc_theo_NL!$B$5:$B$304,0))/INDEX(KT_nguoc_theo_NL!$K$5:$K$304,MATCH(C801,KT_nguoc_theo_NL!$B$5:$B$304,0)),""))</f>
        <v/>
      </c>
      <c r="I801" s="39" t="str">
        <f t="shared" si="61"/>
        <v/>
      </c>
      <c r="J801" s="46" t="str">
        <f t="shared" si="62"/>
        <v/>
      </c>
      <c r="K801" s="46" t="str">
        <f t="shared" si="63"/>
        <v/>
      </c>
      <c r="L801" s="46" t="str">
        <f t="shared" si="64"/>
        <v/>
      </c>
      <c r="M801" s="35" t="str">
        <f>IF(B801="","",IF(E801="KXDDM","KXDDM – không ĐM",IF(E801&lt;&gt;"","Không KT ("&amp;E801&amp;")",IF(OR(K801="",L801=""),"Xem xét",IF(MAX(ABS(K801),ABS(L801))&lt;=ThongTin!$C$12,"OK","Xem xét")))))</f>
        <v/>
      </c>
    </row>
    <row r="802" spans="1:13" x14ac:dyDescent="0.25">
      <c r="A802" s="35" t="str">
        <f t="shared" si="60"/>
        <v/>
      </c>
      <c r="B802" s="35" t="str">
        <f>IF(BOM!A802="","",BOM!A802)</f>
        <v/>
      </c>
      <c r="C802" s="35" t="str">
        <f>IF(B802="","",BOM!B802)</f>
        <v/>
      </c>
      <c r="D802" s="35" t="str">
        <f>IF(B802="","",KT_DMTT_ChiTiet!E802)</f>
        <v/>
      </c>
      <c r="E802" s="36" t="str">
        <f>IF(B802="","",BOM!G802&amp;"")</f>
        <v/>
      </c>
      <c r="F802" s="39" t="str">
        <f>IF(B802="","",BOM!E802)</f>
        <v/>
      </c>
      <c r="G802" s="39" t="str">
        <f>IF(OR(B802="",E802="KXDDM"),"",BOM!F802)</f>
        <v/>
      </c>
      <c r="H802" s="39" t="str">
        <f>IF(OR(B802="",E802&lt;&gt;""),"",IFERROR(INDEX(KT_nguoc_theo_NL!$J$5:$J$304,MATCH(C802,KT_nguoc_theo_NL!$B$5:$B$304,0))/INDEX(KT_nguoc_theo_NL!$K$5:$K$304,MATCH(C802,KT_nguoc_theo_NL!$B$5:$B$304,0)),""))</f>
        <v/>
      </c>
      <c r="I802" s="39" t="str">
        <f t="shared" si="61"/>
        <v/>
      </c>
      <c r="J802" s="46" t="str">
        <f t="shared" si="62"/>
        <v/>
      </c>
      <c r="K802" s="46" t="str">
        <f t="shared" si="63"/>
        <v/>
      </c>
      <c r="L802" s="46" t="str">
        <f t="shared" si="64"/>
        <v/>
      </c>
      <c r="M802" s="35" t="str">
        <f>IF(B802="","",IF(E802="KXDDM","KXDDM – không ĐM",IF(E802&lt;&gt;"","Không KT ("&amp;E802&amp;")",IF(OR(K802="",L802=""),"Xem xét",IF(MAX(ABS(K802),ABS(L802))&lt;=ThongTin!$C$12,"OK","Xem xét")))))</f>
        <v/>
      </c>
    </row>
    <row r="803" spans="1:13" x14ac:dyDescent="0.25">
      <c r="A803" s="35" t="str">
        <f t="shared" si="60"/>
        <v/>
      </c>
      <c r="B803" s="35" t="str">
        <f>IF(BOM!A803="","",BOM!A803)</f>
        <v/>
      </c>
      <c r="C803" s="35" t="str">
        <f>IF(B803="","",BOM!B803)</f>
        <v/>
      </c>
      <c r="D803" s="35" t="str">
        <f>IF(B803="","",KT_DMTT_ChiTiet!E803)</f>
        <v/>
      </c>
      <c r="E803" s="36" t="str">
        <f>IF(B803="","",BOM!G803&amp;"")</f>
        <v/>
      </c>
      <c r="F803" s="39" t="str">
        <f>IF(B803="","",BOM!E803)</f>
        <v/>
      </c>
      <c r="G803" s="39" t="str">
        <f>IF(OR(B803="",E803="KXDDM"),"",BOM!F803)</f>
        <v/>
      </c>
      <c r="H803" s="39" t="str">
        <f>IF(OR(B803="",E803&lt;&gt;""),"",IFERROR(INDEX(KT_nguoc_theo_NL!$J$5:$J$304,MATCH(C803,KT_nguoc_theo_NL!$B$5:$B$304,0))/INDEX(KT_nguoc_theo_NL!$K$5:$K$304,MATCH(C803,KT_nguoc_theo_NL!$B$5:$B$304,0)),""))</f>
        <v/>
      </c>
      <c r="I803" s="39" t="str">
        <f t="shared" si="61"/>
        <v/>
      </c>
      <c r="J803" s="46" t="str">
        <f t="shared" si="62"/>
        <v/>
      </c>
      <c r="K803" s="46" t="str">
        <f t="shared" si="63"/>
        <v/>
      </c>
      <c r="L803" s="46" t="str">
        <f t="shared" si="64"/>
        <v/>
      </c>
      <c r="M803" s="35" t="str">
        <f>IF(B803="","",IF(E803="KXDDM","KXDDM – không ĐM",IF(E803&lt;&gt;"","Không KT ("&amp;E803&amp;")",IF(OR(K803="",L803=""),"Xem xét",IF(MAX(ABS(K803),ABS(L803))&lt;=ThongTin!$C$12,"OK","Xem xét")))))</f>
        <v/>
      </c>
    </row>
    <row r="804" spans="1:13" x14ac:dyDescent="0.25">
      <c r="A804" s="35" t="str">
        <f t="shared" si="60"/>
        <v/>
      </c>
      <c r="B804" s="35" t="str">
        <f>IF(BOM!A804="","",BOM!A804)</f>
        <v/>
      </c>
      <c r="C804" s="35" t="str">
        <f>IF(B804="","",BOM!B804)</f>
        <v/>
      </c>
      <c r="D804" s="35" t="str">
        <f>IF(B804="","",KT_DMTT_ChiTiet!E804)</f>
        <v/>
      </c>
      <c r="E804" s="36" t="str">
        <f>IF(B804="","",BOM!G804&amp;"")</f>
        <v/>
      </c>
      <c r="F804" s="39" t="str">
        <f>IF(B804="","",BOM!E804)</f>
        <v/>
      </c>
      <c r="G804" s="39" t="str">
        <f>IF(OR(B804="",E804="KXDDM"),"",BOM!F804)</f>
        <v/>
      </c>
      <c r="H804" s="39" t="str">
        <f>IF(OR(B804="",E804&lt;&gt;""),"",IFERROR(INDEX(KT_nguoc_theo_NL!$J$5:$J$304,MATCH(C804,KT_nguoc_theo_NL!$B$5:$B$304,0))/INDEX(KT_nguoc_theo_NL!$K$5:$K$304,MATCH(C804,KT_nguoc_theo_NL!$B$5:$B$304,0)),""))</f>
        <v/>
      </c>
      <c r="I804" s="39" t="str">
        <f t="shared" si="61"/>
        <v/>
      </c>
      <c r="J804" s="46" t="str">
        <f t="shared" si="62"/>
        <v/>
      </c>
      <c r="K804" s="46" t="str">
        <f t="shared" si="63"/>
        <v/>
      </c>
      <c r="L804" s="46" t="str">
        <f t="shared" si="64"/>
        <v/>
      </c>
      <c r="M804" s="35" t="str">
        <f>IF(B804="","",IF(E804="KXDDM","KXDDM – không ĐM",IF(E804&lt;&gt;"","Không KT ("&amp;E804&amp;")",IF(OR(K804="",L804=""),"Xem xét",IF(MAX(ABS(K804),ABS(L804))&lt;=ThongTin!$C$12,"OK","Xem xét")))))</f>
        <v/>
      </c>
    </row>
    <row r="805" spans="1:13" x14ac:dyDescent="0.25">
      <c r="A805" s="35" t="str">
        <f t="shared" si="60"/>
        <v/>
      </c>
      <c r="B805" s="35" t="str">
        <f>IF(BOM!A805="","",BOM!A805)</f>
        <v/>
      </c>
      <c r="C805" s="35" t="str">
        <f>IF(B805="","",BOM!B805)</f>
        <v/>
      </c>
      <c r="D805" s="35" t="str">
        <f>IF(B805="","",KT_DMTT_ChiTiet!E805)</f>
        <v/>
      </c>
      <c r="E805" s="36" t="str">
        <f>IF(B805="","",BOM!G805&amp;"")</f>
        <v/>
      </c>
      <c r="F805" s="39" t="str">
        <f>IF(B805="","",BOM!E805)</f>
        <v/>
      </c>
      <c r="G805" s="39" t="str">
        <f>IF(OR(B805="",E805="KXDDM"),"",BOM!F805)</f>
        <v/>
      </c>
      <c r="H805" s="39" t="str">
        <f>IF(OR(B805="",E805&lt;&gt;""),"",IFERROR(INDEX(KT_nguoc_theo_NL!$J$5:$J$304,MATCH(C805,KT_nguoc_theo_NL!$B$5:$B$304,0))/INDEX(KT_nguoc_theo_NL!$K$5:$K$304,MATCH(C805,KT_nguoc_theo_NL!$B$5:$B$304,0)),""))</f>
        <v/>
      </c>
      <c r="I805" s="39" t="str">
        <f t="shared" si="61"/>
        <v/>
      </c>
      <c r="J805" s="46" t="str">
        <f t="shared" si="62"/>
        <v/>
      </c>
      <c r="K805" s="46" t="str">
        <f t="shared" si="63"/>
        <v/>
      </c>
      <c r="L805" s="46" t="str">
        <f t="shared" si="64"/>
        <v/>
      </c>
      <c r="M805" s="35" t="str">
        <f>IF(B805="","",IF(E805="KXDDM","KXDDM – không ĐM",IF(E805&lt;&gt;"","Không KT ("&amp;E805&amp;")",IF(OR(K805="",L805=""),"Xem xét",IF(MAX(ABS(K805),ABS(L805))&lt;=ThongTin!$C$12,"OK","Xem xét")))))</f>
        <v/>
      </c>
    </row>
    <row r="806" spans="1:13" x14ac:dyDescent="0.25">
      <c r="A806" s="35" t="str">
        <f t="shared" si="60"/>
        <v/>
      </c>
      <c r="B806" s="35" t="str">
        <f>IF(BOM!A806="","",BOM!A806)</f>
        <v/>
      </c>
      <c r="C806" s="35" t="str">
        <f>IF(B806="","",BOM!B806)</f>
        <v/>
      </c>
      <c r="D806" s="35" t="str">
        <f>IF(B806="","",KT_DMTT_ChiTiet!E806)</f>
        <v/>
      </c>
      <c r="E806" s="36" t="str">
        <f>IF(B806="","",BOM!G806&amp;"")</f>
        <v/>
      </c>
      <c r="F806" s="39" t="str">
        <f>IF(B806="","",BOM!E806)</f>
        <v/>
      </c>
      <c r="G806" s="39" t="str">
        <f>IF(OR(B806="",E806="KXDDM"),"",BOM!F806)</f>
        <v/>
      </c>
      <c r="H806" s="39" t="str">
        <f>IF(OR(B806="",E806&lt;&gt;""),"",IFERROR(INDEX(KT_nguoc_theo_NL!$J$5:$J$304,MATCH(C806,KT_nguoc_theo_NL!$B$5:$B$304,0))/INDEX(KT_nguoc_theo_NL!$K$5:$K$304,MATCH(C806,KT_nguoc_theo_NL!$B$5:$B$304,0)),""))</f>
        <v/>
      </c>
      <c r="I806" s="39" t="str">
        <f t="shared" si="61"/>
        <v/>
      </c>
      <c r="J806" s="46" t="str">
        <f t="shared" si="62"/>
        <v/>
      </c>
      <c r="K806" s="46" t="str">
        <f t="shared" si="63"/>
        <v/>
      </c>
      <c r="L806" s="46" t="str">
        <f t="shared" si="64"/>
        <v/>
      </c>
      <c r="M806" s="35" t="str">
        <f>IF(B806="","",IF(E806="KXDDM","KXDDM – không ĐM",IF(E806&lt;&gt;"","Không KT ("&amp;E806&amp;")",IF(OR(K806="",L806=""),"Xem xét",IF(MAX(ABS(K806),ABS(L806))&lt;=ThongTin!$C$12,"OK","Xem xét")))))</f>
        <v/>
      </c>
    </row>
    <row r="807" spans="1:13" x14ac:dyDescent="0.25">
      <c r="A807" s="35" t="str">
        <f t="shared" si="60"/>
        <v/>
      </c>
      <c r="B807" s="35" t="str">
        <f>IF(BOM!A807="","",BOM!A807)</f>
        <v/>
      </c>
      <c r="C807" s="35" t="str">
        <f>IF(B807="","",BOM!B807)</f>
        <v/>
      </c>
      <c r="D807" s="35" t="str">
        <f>IF(B807="","",KT_DMTT_ChiTiet!E807)</f>
        <v/>
      </c>
      <c r="E807" s="36" t="str">
        <f>IF(B807="","",BOM!G807&amp;"")</f>
        <v/>
      </c>
      <c r="F807" s="39" t="str">
        <f>IF(B807="","",BOM!E807)</f>
        <v/>
      </c>
      <c r="G807" s="39" t="str">
        <f>IF(OR(B807="",E807="KXDDM"),"",BOM!F807)</f>
        <v/>
      </c>
      <c r="H807" s="39" t="str">
        <f>IF(OR(B807="",E807&lt;&gt;""),"",IFERROR(INDEX(KT_nguoc_theo_NL!$J$5:$J$304,MATCH(C807,KT_nguoc_theo_NL!$B$5:$B$304,0))/INDEX(KT_nguoc_theo_NL!$K$5:$K$304,MATCH(C807,KT_nguoc_theo_NL!$B$5:$B$304,0)),""))</f>
        <v/>
      </c>
      <c r="I807" s="39" t="str">
        <f t="shared" si="61"/>
        <v/>
      </c>
      <c r="J807" s="46" t="str">
        <f t="shared" si="62"/>
        <v/>
      </c>
      <c r="K807" s="46" t="str">
        <f t="shared" si="63"/>
        <v/>
      </c>
      <c r="L807" s="46" t="str">
        <f t="shared" si="64"/>
        <v/>
      </c>
      <c r="M807" s="35" t="str">
        <f>IF(B807="","",IF(E807="KXDDM","KXDDM – không ĐM",IF(E807&lt;&gt;"","Không KT ("&amp;E807&amp;")",IF(OR(K807="",L807=""),"Xem xét",IF(MAX(ABS(K807),ABS(L807))&lt;=ThongTin!$C$12,"OK","Xem xét")))))</f>
        <v/>
      </c>
    </row>
    <row r="808" spans="1:13" x14ac:dyDescent="0.25">
      <c r="A808" s="35" t="str">
        <f t="shared" si="60"/>
        <v/>
      </c>
      <c r="B808" s="35" t="str">
        <f>IF(BOM!A808="","",BOM!A808)</f>
        <v/>
      </c>
      <c r="C808" s="35" t="str">
        <f>IF(B808="","",BOM!B808)</f>
        <v/>
      </c>
      <c r="D808" s="35" t="str">
        <f>IF(B808="","",KT_DMTT_ChiTiet!E808)</f>
        <v/>
      </c>
      <c r="E808" s="36" t="str">
        <f>IF(B808="","",BOM!G808&amp;"")</f>
        <v/>
      </c>
      <c r="F808" s="39" t="str">
        <f>IF(B808="","",BOM!E808)</f>
        <v/>
      </c>
      <c r="G808" s="39" t="str">
        <f>IF(OR(B808="",E808="KXDDM"),"",BOM!F808)</f>
        <v/>
      </c>
      <c r="H808" s="39" t="str">
        <f>IF(OR(B808="",E808&lt;&gt;""),"",IFERROR(INDEX(KT_nguoc_theo_NL!$J$5:$J$304,MATCH(C808,KT_nguoc_theo_NL!$B$5:$B$304,0))/INDEX(KT_nguoc_theo_NL!$K$5:$K$304,MATCH(C808,KT_nguoc_theo_NL!$B$5:$B$304,0)),""))</f>
        <v/>
      </c>
      <c r="I808" s="39" t="str">
        <f t="shared" si="61"/>
        <v/>
      </c>
      <c r="J808" s="46" t="str">
        <f t="shared" si="62"/>
        <v/>
      </c>
      <c r="K808" s="46" t="str">
        <f t="shared" si="63"/>
        <v/>
      </c>
      <c r="L808" s="46" t="str">
        <f t="shared" si="64"/>
        <v/>
      </c>
      <c r="M808" s="35" t="str">
        <f>IF(B808="","",IF(E808="KXDDM","KXDDM – không ĐM",IF(E808&lt;&gt;"","Không KT ("&amp;E808&amp;")",IF(OR(K808="",L808=""),"Xem xét",IF(MAX(ABS(K808),ABS(L808))&lt;=ThongTin!$C$12,"OK","Xem xét")))))</f>
        <v/>
      </c>
    </row>
    <row r="809" spans="1:13" x14ac:dyDescent="0.25">
      <c r="A809" s="35" t="str">
        <f t="shared" si="60"/>
        <v/>
      </c>
      <c r="B809" s="35" t="str">
        <f>IF(BOM!A809="","",BOM!A809)</f>
        <v/>
      </c>
      <c r="C809" s="35" t="str">
        <f>IF(B809="","",BOM!B809)</f>
        <v/>
      </c>
      <c r="D809" s="35" t="str">
        <f>IF(B809="","",KT_DMTT_ChiTiet!E809)</f>
        <v/>
      </c>
      <c r="E809" s="36" t="str">
        <f>IF(B809="","",BOM!G809&amp;"")</f>
        <v/>
      </c>
      <c r="F809" s="39" t="str">
        <f>IF(B809="","",BOM!E809)</f>
        <v/>
      </c>
      <c r="G809" s="39" t="str">
        <f>IF(OR(B809="",E809="KXDDM"),"",BOM!F809)</f>
        <v/>
      </c>
      <c r="H809" s="39" t="str">
        <f>IF(OR(B809="",E809&lt;&gt;""),"",IFERROR(INDEX(KT_nguoc_theo_NL!$J$5:$J$304,MATCH(C809,KT_nguoc_theo_NL!$B$5:$B$304,0))/INDEX(KT_nguoc_theo_NL!$K$5:$K$304,MATCH(C809,KT_nguoc_theo_NL!$B$5:$B$304,0)),""))</f>
        <v/>
      </c>
      <c r="I809" s="39" t="str">
        <f t="shared" si="61"/>
        <v/>
      </c>
      <c r="J809" s="46" t="str">
        <f t="shared" si="62"/>
        <v/>
      </c>
      <c r="K809" s="46" t="str">
        <f t="shared" si="63"/>
        <v/>
      </c>
      <c r="L809" s="46" t="str">
        <f t="shared" si="64"/>
        <v/>
      </c>
      <c r="M809" s="35" t="str">
        <f>IF(B809="","",IF(E809="KXDDM","KXDDM – không ĐM",IF(E809&lt;&gt;"","Không KT ("&amp;E809&amp;")",IF(OR(K809="",L809=""),"Xem xét",IF(MAX(ABS(K809),ABS(L809))&lt;=ThongTin!$C$12,"OK","Xem xét")))))</f>
        <v/>
      </c>
    </row>
    <row r="810" spans="1:13" x14ac:dyDescent="0.25">
      <c r="A810" s="35" t="str">
        <f t="shared" si="60"/>
        <v/>
      </c>
      <c r="B810" s="35" t="str">
        <f>IF(BOM!A810="","",BOM!A810)</f>
        <v/>
      </c>
      <c r="C810" s="35" t="str">
        <f>IF(B810="","",BOM!B810)</f>
        <v/>
      </c>
      <c r="D810" s="35" t="str">
        <f>IF(B810="","",KT_DMTT_ChiTiet!E810)</f>
        <v/>
      </c>
      <c r="E810" s="36" t="str">
        <f>IF(B810="","",BOM!G810&amp;"")</f>
        <v/>
      </c>
      <c r="F810" s="39" t="str">
        <f>IF(B810="","",BOM!E810)</f>
        <v/>
      </c>
      <c r="G810" s="39" t="str">
        <f>IF(OR(B810="",E810="KXDDM"),"",BOM!F810)</f>
        <v/>
      </c>
      <c r="H810" s="39" t="str">
        <f>IF(OR(B810="",E810&lt;&gt;""),"",IFERROR(INDEX(KT_nguoc_theo_NL!$J$5:$J$304,MATCH(C810,KT_nguoc_theo_NL!$B$5:$B$304,0))/INDEX(KT_nguoc_theo_NL!$K$5:$K$304,MATCH(C810,KT_nguoc_theo_NL!$B$5:$B$304,0)),""))</f>
        <v/>
      </c>
      <c r="I810" s="39" t="str">
        <f t="shared" si="61"/>
        <v/>
      </c>
      <c r="J810" s="46" t="str">
        <f t="shared" si="62"/>
        <v/>
      </c>
      <c r="K810" s="46" t="str">
        <f t="shared" si="63"/>
        <v/>
      </c>
      <c r="L810" s="46" t="str">
        <f t="shared" si="64"/>
        <v/>
      </c>
      <c r="M810" s="35" t="str">
        <f>IF(B810="","",IF(E810="KXDDM","KXDDM – không ĐM",IF(E810&lt;&gt;"","Không KT ("&amp;E810&amp;")",IF(OR(K810="",L810=""),"Xem xét",IF(MAX(ABS(K810),ABS(L810))&lt;=ThongTin!$C$12,"OK","Xem xét")))))</f>
        <v/>
      </c>
    </row>
    <row r="811" spans="1:13" x14ac:dyDescent="0.25">
      <c r="A811" s="35" t="str">
        <f t="shared" si="60"/>
        <v/>
      </c>
      <c r="B811" s="35" t="str">
        <f>IF(BOM!A811="","",BOM!A811)</f>
        <v/>
      </c>
      <c r="C811" s="35" t="str">
        <f>IF(B811="","",BOM!B811)</f>
        <v/>
      </c>
      <c r="D811" s="35" t="str">
        <f>IF(B811="","",KT_DMTT_ChiTiet!E811)</f>
        <v/>
      </c>
      <c r="E811" s="36" t="str">
        <f>IF(B811="","",BOM!G811&amp;"")</f>
        <v/>
      </c>
      <c r="F811" s="39" t="str">
        <f>IF(B811="","",BOM!E811)</f>
        <v/>
      </c>
      <c r="G811" s="39" t="str">
        <f>IF(OR(B811="",E811="KXDDM"),"",BOM!F811)</f>
        <v/>
      </c>
      <c r="H811" s="39" t="str">
        <f>IF(OR(B811="",E811&lt;&gt;""),"",IFERROR(INDEX(KT_nguoc_theo_NL!$J$5:$J$304,MATCH(C811,KT_nguoc_theo_NL!$B$5:$B$304,0))/INDEX(KT_nguoc_theo_NL!$K$5:$K$304,MATCH(C811,KT_nguoc_theo_NL!$B$5:$B$304,0)),""))</f>
        <v/>
      </c>
      <c r="I811" s="39" t="str">
        <f t="shared" si="61"/>
        <v/>
      </c>
      <c r="J811" s="46" t="str">
        <f t="shared" si="62"/>
        <v/>
      </c>
      <c r="K811" s="46" t="str">
        <f t="shared" si="63"/>
        <v/>
      </c>
      <c r="L811" s="46" t="str">
        <f t="shared" si="64"/>
        <v/>
      </c>
      <c r="M811" s="35" t="str">
        <f>IF(B811="","",IF(E811="KXDDM","KXDDM – không ĐM",IF(E811&lt;&gt;"","Không KT ("&amp;E811&amp;")",IF(OR(K811="",L811=""),"Xem xét",IF(MAX(ABS(K811),ABS(L811))&lt;=ThongTin!$C$12,"OK","Xem xét")))))</f>
        <v/>
      </c>
    </row>
    <row r="812" spans="1:13" x14ac:dyDescent="0.25">
      <c r="A812" s="35" t="str">
        <f t="shared" si="60"/>
        <v/>
      </c>
      <c r="B812" s="35" t="str">
        <f>IF(BOM!A812="","",BOM!A812)</f>
        <v/>
      </c>
      <c r="C812" s="35" t="str">
        <f>IF(B812="","",BOM!B812)</f>
        <v/>
      </c>
      <c r="D812" s="35" t="str">
        <f>IF(B812="","",KT_DMTT_ChiTiet!E812)</f>
        <v/>
      </c>
      <c r="E812" s="36" t="str">
        <f>IF(B812="","",BOM!G812&amp;"")</f>
        <v/>
      </c>
      <c r="F812" s="39" t="str">
        <f>IF(B812="","",BOM!E812)</f>
        <v/>
      </c>
      <c r="G812" s="39" t="str">
        <f>IF(OR(B812="",E812="KXDDM"),"",BOM!F812)</f>
        <v/>
      </c>
      <c r="H812" s="39" t="str">
        <f>IF(OR(B812="",E812&lt;&gt;""),"",IFERROR(INDEX(KT_nguoc_theo_NL!$J$5:$J$304,MATCH(C812,KT_nguoc_theo_NL!$B$5:$B$304,0))/INDEX(KT_nguoc_theo_NL!$K$5:$K$304,MATCH(C812,KT_nguoc_theo_NL!$B$5:$B$304,0)),""))</f>
        <v/>
      </c>
      <c r="I812" s="39" t="str">
        <f t="shared" si="61"/>
        <v/>
      </c>
      <c r="J812" s="46" t="str">
        <f t="shared" si="62"/>
        <v/>
      </c>
      <c r="K812" s="46" t="str">
        <f t="shared" si="63"/>
        <v/>
      </c>
      <c r="L812" s="46" t="str">
        <f t="shared" si="64"/>
        <v/>
      </c>
      <c r="M812" s="35" t="str">
        <f>IF(B812="","",IF(E812="KXDDM","KXDDM – không ĐM",IF(E812&lt;&gt;"","Không KT ("&amp;E812&amp;")",IF(OR(K812="",L812=""),"Xem xét",IF(MAX(ABS(K812),ABS(L812))&lt;=ThongTin!$C$12,"OK","Xem xét")))))</f>
        <v/>
      </c>
    </row>
    <row r="813" spans="1:13" x14ac:dyDescent="0.25">
      <c r="A813" s="35" t="str">
        <f t="shared" si="60"/>
        <v/>
      </c>
      <c r="B813" s="35" t="str">
        <f>IF(BOM!A813="","",BOM!A813)</f>
        <v/>
      </c>
      <c r="C813" s="35" t="str">
        <f>IF(B813="","",BOM!B813)</f>
        <v/>
      </c>
      <c r="D813" s="35" t="str">
        <f>IF(B813="","",KT_DMTT_ChiTiet!E813)</f>
        <v/>
      </c>
      <c r="E813" s="36" t="str">
        <f>IF(B813="","",BOM!G813&amp;"")</f>
        <v/>
      </c>
      <c r="F813" s="39" t="str">
        <f>IF(B813="","",BOM!E813)</f>
        <v/>
      </c>
      <c r="G813" s="39" t="str">
        <f>IF(OR(B813="",E813="KXDDM"),"",BOM!F813)</f>
        <v/>
      </c>
      <c r="H813" s="39" t="str">
        <f>IF(OR(B813="",E813&lt;&gt;""),"",IFERROR(INDEX(KT_nguoc_theo_NL!$J$5:$J$304,MATCH(C813,KT_nguoc_theo_NL!$B$5:$B$304,0))/INDEX(KT_nguoc_theo_NL!$K$5:$K$304,MATCH(C813,KT_nguoc_theo_NL!$B$5:$B$304,0)),""))</f>
        <v/>
      </c>
      <c r="I813" s="39" t="str">
        <f t="shared" si="61"/>
        <v/>
      </c>
      <c r="J813" s="46" t="str">
        <f t="shared" si="62"/>
        <v/>
      </c>
      <c r="K813" s="46" t="str">
        <f t="shared" si="63"/>
        <v/>
      </c>
      <c r="L813" s="46" t="str">
        <f t="shared" si="64"/>
        <v/>
      </c>
      <c r="M813" s="35" t="str">
        <f>IF(B813="","",IF(E813="KXDDM","KXDDM – không ĐM",IF(E813&lt;&gt;"","Không KT ("&amp;E813&amp;")",IF(OR(K813="",L813=""),"Xem xét",IF(MAX(ABS(K813),ABS(L813))&lt;=ThongTin!$C$12,"OK","Xem xét")))))</f>
        <v/>
      </c>
    </row>
    <row r="814" spans="1:13" x14ac:dyDescent="0.25">
      <c r="A814" s="35" t="str">
        <f t="shared" si="60"/>
        <v/>
      </c>
      <c r="B814" s="35" t="str">
        <f>IF(BOM!A814="","",BOM!A814)</f>
        <v/>
      </c>
      <c r="C814" s="35" t="str">
        <f>IF(B814="","",BOM!B814)</f>
        <v/>
      </c>
      <c r="D814" s="35" t="str">
        <f>IF(B814="","",KT_DMTT_ChiTiet!E814)</f>
        <v/>
      </c>
      <c r="E814" s="36" t="str">
        <f>IF(B814="","",BOM!G814&amp;"")</f>
        <v/>
      </c>
      <c r="F814" s="39" t="str">
        <f>IF(B814="","",BOM!E814)</f>
        <v/>
      </c>
      <c r="G814" s="39" t="str">
        <f>IF(OR(B814="",E814="KXDDM"),"",BOM!F814)</f>
        <v/>
      </c>
      <c r="H814" s="39" t="str">
        <f>IF(OR(B814="",E814&lt;&gt;""),"",IFERROR(INDEX(KT_nguoc_theo_NL!$J$5:$J$304,MATCH(C814,KT_nguoc_theo_NL!$B$5:$B$304,0))/INDEX(KT_nguoc_theo_NL!$K$5:$K$304,MATCH(C814,KT_nguoc_theo_NL!$B$5:$B$304,0)),""))</f>
        <v/>
      </c>
      <c r="I814" s="39" t="str">
        <f t="shared" si="61"/>
        <v/>
      </c>
      <c r="J814" s="46" t="str">
        <f t="shared" si="62"/>
        <v/>
      </c>
      <c r="K814" s="46" t="str">
        <f t="shared" si="63"/>
        <v/>
      </c>
      <c r="L814" s="46" t="str">
        <f t="shared" si="64"/>
        <v/>
      </c>
      <c r="M814" s="35" t="str">
        <f>IF(B814="","",IF(E814="KXDDM","KXDDM – không ĐM",IF(E814&lt;&gt;"","Không KT ("&amp;E814&amp;")",IF(OR(K814="",L814=""),"Xem xét",IF(MAX(ABS(K814),ABS(L814))&lt;=ThongTin!$C$12,"OK","Xem xét")))))</f>
        <v/>
      </c>
    </row>
    <row r="815" spans="1:13" x14ac:dyDescent="0.25">
      <c r="A815" s="35" t="str">
        <f t="shared" si="60"/>
        <v/>
      </c>
      <c r="B815" s="35" t="str">
        <f>IF(BOM!A815="","",BOM!A815)</f>
        <v/>
      </c>
      <c r="C815" s="35" t="str">
        <f>IF(B815="","",BOM!B815)</f>
        <v/>
      </c>
      <c r="D815" s="35" t="str">
        <f>IF(B815="","",KT_DMTT_ChiTiet!E815)</f>
        <v/>
      </c>
      <c r="E815" s="36" t="str">
        <f>IF(B815="","",BOM!G815&amp;"")</f>
        <v/>
      </c>
      <c r="F815" s="39" t="str">
        <f>IF(B815="","",BOM!E815)</f>
        <v/>
      </c>
      <c r="G815" s="39" t="str">
        <f>IF(OR(B815="",E815="KXDDM"),"",BOM!F815)</f>
        <v/>
      </c>
      <c r="H815" s="39" t="str">
        <f>IF(OR(B815="",E815&lt;&gt;""),"",IFERROR(INDEX(KT_nguoc_theo_NL!$J$5:$J$304,MATCH(C815,KT_nguoc_theo_NL!$B$5:$B$304,0))/INDEX(KT_nguoc_theo_NL!$K$5:$K$304,MATCH(C815,KT_nguoc_theo_NL!$B$5:$B$304,0)),""))</f>
        <v/>
      </c>
      <c r="I815" s="39" t="str">
        <f t="shared" si="61"/>
        <v/>
      </c>
      <c r="J815" s="46" t="str">
        <f t="shared" si="62"/>
        <v/>
      </c>
      <c r="K815" s="46" t="str">
        <f t="shared" si="63"/>
        <v/>
      </c>
      <c r="L815" s="46" t="str">
        <f t="shared" si="64"/>
        <v/>
      </c>
      <c r="M815" s="35" t="str">
        <f>IF(B815="","",IF(E815="KXDDM","KXDDM – không ĐM",IF(E815&lt;&gt;"","Không KT ("&amp;E815&amp;")",IF(OR(K815="",L815=""),"Xem xét",IF(MAX(ABS(K815),ABS(L815))&lt;=ThongTin!$C$12,"OK","Xem xét")))))</f>
        <v/>
      </c>
    </row>
    <row r="816" spans="1:13" x14ac:dyDescent="0.25">
      <c r="A816" s="35" t="str">
        <f t="shared" si="60"/>
        <v/>
      </c>
      <c r="B816" s="35" t="str">
        <f>IF(BOM!A816="","",BOM!A816)</f>
        <v/>
      </c>
      <c r="C816" s="35" t="str">
        <f>IF(B816="","",BOM!B816)</f>
        <v/>
      </c>
      <c r="D816" s="35" t="str">
        <f>IF(B816="","",KT_DMTT_ChiTiet!E816)</f>
        <v/>
      </c>
      <c r="E816" s="36" t="str">
        <f>IF(B816="","",BOM!G816&amp;"")</f>
        <v/>
      </c>
      <c r="F816" s="39" t="str">
        <f>IF(B816="","",BOM!E816)</f>
        <v/>
      </c>
      <c r="G816" s="39" t="str">
        <f>IF(OR(B816="",E816="KXDDM"),"",BOM!F816)</f>
        <v/>
      </c>
      <c r="H816" s="39" t="str">
        <f>IF(OR(B816="",E816&lt;&gt;""),"",IFERROR(INDEX(KT_nguoc_theo_NL!$J$5:$J$304,MATCH(C816,KT_nguoc_theo_NL!$B$5:$B$304,0))/INDEX(KT_nguoc_theo_NL!$K$5:$K$304,MATCH(C816,KT_nguoc_theo_NL!$B$5:$B$304,0)),""))</f>
        <v/>
      </c>
      <c r="I816" s="39" t="str">
        <f t="shared" si="61"/>
        <v/>
      </c>
      <c r="J816" s="46" t="str">
        <f t="shared" si="62"/>
        <v/>
      </c>
      <c r="K816" s="46" t="str">
        <f t="shared" si="63"/>
        <v/>
      </c>
      <c r="L816" s="46" t="str">
        <f t="shared" si="64"/>
        <v/>
      </c>
      <c r="M816" s="35" t="str">
        <f>IF(B816="","",IF(E816="KXDDM","KXDDM – không ĐM",IF(E816&lt;&gt;"","Không KT ("&amp;E816&amp;")",IF(OR(K816="",L816=""),"Xem xét",IF(MAX(ABS(K816),ABS(L816))&lt;=ThongTin!$C$12,"OK","Xem xét")))))</f>
        <v/>
      </c>
    </row>
    <row r="817" spans="1:13" x14ac:dyDescent="0.25">
      <c r="A817" s="35" t="str">
        <f t="shared" si="60"/>
        <v/>
      </c>
      <c r="B817" s="35" t="str">
        <f>IF(BOM!A817="","",BOM!A817)</f>
        <v/>
      </c>
      <c r="C817" s="35" t="str">
        <f>IF(B817="","",BOM!B817)</f>
        <v/>
      </c>
      <c r="D817" s="35" t="str">
        <f>IF(B817="","",KT_DMTT_ChiTiet!E817)</f>
        <v/>
      </c>
      <c r="E817" s="36" t="str">
        <f>IF(B817="","",BOM!G817&amp;"")</f>
        <v/>
      </c>
      <c r="F817" s="39" t="str">
        <f>IF(B817="","",BOM!E817)</f>
        <v/>
      </c>
      <c r="G817" s="39" t="str">
        <f>IF(OR(B817="",E817="KXDDM"),"",BOM!F817)</f>
        <v/>
      </c>
      <c r="H817" s="39" t="str">
        <f>IF(OR(B817="",E817&lt;&gt;""),"",IFERROR(INDEX(KT_nguoc_theo_NL!$J$5:$J$304,MATCH(C817,KT_nguoc_theo_NL!$B$5:$B$304,0))/INDEX(KT_nguoc_theo_NL!$K$5:$K$304,MATCH(C817,KT_nguoc_theo_NL!$B$5:$B$304,0)),""))</f>
        <v/>
      </c>
      <c r="I817" s="39" t="str">
        <f t="shared" si="61"/>
        <v/>
      </c>
      <c r="J817" s="46" t="str">
        <f t="shared" si="62"/>
        <v/>
      </c>
      <c r="K817" s="46" t="str">
        <f t="shared" si="63"/>
        <v/>
      </c>
      <c r="L817" s="46" t="str">
        <f t="shared" si="64"/>
        <v/>
      </c>
      <c r="M817" s="35" t="str">
        <f>IF(B817="","",IF(E817="KXDDM","KXDDM – không ĐM",IF(E817&lt;&gt;"","Không KT ("&amp;E817&amp;")",IF(OR(K817="",L817=""),"Xem xét",IF(MAX(ABS(K817),ABS(L817))&lt;=ThongTin!$C$12,"OK","Xem xét")))))</f>
        <v/>
      </c>
    </row>
    <row r="818" spans="1:13" x14ac:dyDescent="0.25">
      <c r="A818" s="35" t="str">
        <f t="shared" si="60"/>
        <v/>
      </c>
      <c r="B818" s="35" t="str">
        <f>IF(BOM!A818="","",BOM!A818)</f>
        <v/>
      </c>
      <c r="C818" s="35" t="str">
        <f>IF(B818="","",BOM!B818)</f>
        <v/>
      </c>
      <c r="D818" s="35" t="str">
        <f>IF(B818="","",KT_DMTT_ChiTiet!E818)</f>
        <v/>
      </c>
      <c r="E818" s="36" t="str">
        <f>IF(B818="","",BOM!G818&amp;"")</f>
        <v/>
      </c>
      <c r="F818" s="39" t="str">
        <f>IF(B818="","",BOM!E818)</f>
        <v/>
      </c>
      <c r="G818" s="39" t="str">
        <f>IF(OR(B818="",E818="KXDDM"),"",BOM!F818)</f>
        <v/>
      </c>
      <c r="H818" s="39" t="str">
        <f>IF(OR(B818="",E818&lt;&gt;""),"",IFERROR(INDEX(KT_nguoc_theo_NL!$J$5:$J$304,MATCH(C818,KT_nguoc_theo_NL!$B$5:$B$304,0))/INDEX(KT_nguoc_theo_NL!$K$5:$K$304,MATCH(C818,KT_nguoc_theo_NL!$B$5:$B$304,0)),""))</f>
        <v/>
      </c>
      <c r="I818" s="39" t="str">
        <f t="shared" si="61"/>
        <v/>
      </c>
      <c r="J818" s="46" t="str">
        <f t="shared" si="62"/>
        <v/>
      </c>
      <c r="K818" s="46" t="str">
        <f t="shared" si="63"/>
        <v/>
      </c>
      <c r="L818" s="46" t="str">
        <f t="shared" si="64"/>
        <v/>
      </c>
      <c r="M818" s="35" t="str">
        <f>IF(B818="","",IF(E818="KXDDM","KXDDM – không ĐM",IF(E818&lt;&gt;"","Không KT ("&amp;E818&amp;")",IF(OR(K818="",L818=""),"Xem xét",IF(MAX(ABS(K818),ABS(L818))&lt;=ThongTin!$C$12,"OK","Xem xét")))))</f>
        <v/>
      </c>
    </row>
    <row r="819" spans="1:13" x14ac:dyDescent="0.25">
      <c r="A819" s="35" t="str">
        <f t="shared" si="60"/>
        <v/>
      </c>
      <c r="B819" s="35" t="str">
        <f>IF(BOM!A819="","",BOM!A819)</f>
        <v/>
      </c>
      <c r="C819" s="35" t="str">
        <f>IF(B819="","",BOM!B819)</f>
        <v/>
      </c>
      <c r="D819" s="35" t="str">
        <f>IF(B819="","",KT_DMTT_ChiTiet!E819)</f>
        <v/>
      </c>
      <c r="E819" s="36" t="str">
        <f>IF(B819="","",BOM!G819&amp;"")</f>
        <v/>
      </c>
      <c r="F819" s="39" t="str">
        <f>IF(B819="","",BOM!E819)</f>
        <v/>
      </c>
      <c r="G819" s="39" t="str">
        <f>IF(OR(B819="",E819="KXDDM"),"",BOM!F819)</f>
        <v/>
      </c>
      <c r="H819" s="39" t="str">
        <f>IF(OR(B819="",E819&lt;&gt;""),"",IFERROR(INDEX(KT_nguoc_theo_NL!$J$5:$J$304,MATCH(C819,KT_nguoc_theo_NL!$B$5:$B$304,0))/INDEX(KT_nguoc_theo_NL!$K$5:$K$304,MATCH(C819,KT_nguoc_theo_NL!$B$5:$B$304,0)),""))</f>
        <v/>
      </c>
      <c r="I819" s="39" t="str">
        <f t="shared" si="61"/>
        <v/>
      </c>
      <c r="J819" s="46" t="str">
        <f t="shared" si="62"/>
        <v/>
      </c>
      <c r="K819" s="46" t="str">
        <f t="shared" si="63"/>
        <v/>
      </c>
      <c r="L819" s="46" t="str">
        <f t="shared" si="64"/>
        <v/>
      </c>
      <c r="M819" s="35" t="str">
        <f>IF(B819="","",IF(E819="KXDDM","KXDDM – không ĐM",IF(E819&lt;&gt;"","Không KT ("&amp;E819&amp;")",IF(OR(K819="",L819=""),"Xem xét",IF(MAX(ABS(K819),ABS(L819))&lt;=ThongTin!$C$12,"OK","Xem xét")))))</f>
        <v/>
      </c>
    </row>
    <row r="820" spans="1:13" x14ac:dyDescent="0.25">
      <c r="A820" s="35" t="str">
        <f t="shared" si="60"/>
        <v/>
      </c>
      <c r="B820" s="35" t="str">
        <f>IF(BOM!A820="","",BOM!A820)</f>
        <v/>
      </c>
      <c r="C820" s="35" t="str">
        <f>IF(B820="","",BOM!B820)</f>
        <v/>
      </c>
      <c r="D820" s="35" t="str">
        <f>IF(B820="","",KT_DMTT_ChiTiet!E820)</f>
        <v/>
      </c>
      <c r="E820" s="36" t="str">
        <f>IF(B820="","",BOM!G820&amp;"")</f>
        <v/>
      </c>
      <c r="F820" s="39" t="str">
        <f>IF(B820="","",BOM!E820)</f>
        <v/>
      </c>
      <c r="G820" s="39" t="str">
        <f>IF(OR(B820="",E820="KXDDM"),"",BOM!F820)</f>
        <v/>
      </c>
      <c r="H820" s="39" t="str">
        <f>IF(OR(B820="",E820&lt;&gt;""),"",IFERROR(INDEX(KT_nguoc_theo_NL!$J$5:$J$304,MATCH(C820,KT_nguoc_theo_NL!$B$5:$B$304,0))/INDEX(KT_nguoc_theo_NL!$K$5:$K$304,MATCH(C820,KT_nguoc_theo_NL!$B$5:$B$304,0)),""))</f>
        <v/>
      </c>
      <c r="I820" s="39" t="str">
        <f t="shared" si="61"/>
        <v/>
      </c>
      <c r="J820" s="46" t="str">
        <f t="shared" si="62"/>
        <v/>
      </c>
      <c r="K820" s="46" t="str">
        <f t="shared" si="63"/>
        <v/>
      </c>
      <c r="L820" s="46" t="str">
        <f t="shared" si="64"/>
        <v/>
      </c>
      <c r="M820" s="35" t="str">
        <f>IF(B820="","",IF(E820="KXDDM","KXDDM – không ĐM",IF(E820&lt;&gt;"","Không KT ("&amp;E820&amp;")",IF(OR(K820="",L820=""),"Xem xét",IF(MAX(ABS(K820),ABS(L820))&lt;=ThongTin!$C$12,"OK","Xem xét")))))</f>
        <v/>
      </c>
    </row>
    <row r="821" spans="1:13" x14ac:dyDescent="0.25">
      <c r="A821" s="35" t="str">
        <f t="shared" si="60"/>
        <v/>
      </c>
      <c r="B821" s="35" t="str">
        <f>IF(BOM!A821="","",BOM!A821)</f>
        <v/>
      </c>
      <c r="C821" s="35" t="str">
        <f>IF(B821="","",BOM!B821)</f>
        <v/>
      </c>
      <c r="D821" s="35" t="str">
        <f>IF(B821="","",KT_DMTT_ChiTiet!E821)</f>
        <v/>
      </c>
      <c r="E821" s="36" t="str">
        <f>IF(B821="","",BOM!G821&amp;"")</f>
        <v/>
      </c>
      <c r="F821" s="39" t="str">
        <f>IF(B821="","",BOM!E821)</f>
        <v/>
      </c>
      <c r="G821" s="39" t="str">
        <f>IF(OR(B821="",E821="KXDDM"),"",BOM!F821)</f>
        <v/>
      </c>
      <c r="H821" s="39" t="str">
        <f>IF(OR(B821="",E821&lt;&gt;""),"",IFERROR(INDEX(KT_nguoc_theo_NL!$J$5:$J$304,MATCH(C821,KT_nguoc_theo_NL!$B$5:$B$304,0))/INDEX(KT_nguoc_theo_NL!$K$5:$K$304,MATCH(C821,KT_nguoc_theo_NL!$B$5:$B$304,0)),""))</f>
        <v/>
      </c>
      <c r="I821" s="39" t="str">
        <f t="shared" si="61"/>
        <v/>
      </c>
      <c r="J821" s="46" t="str">
        <f t="shared" si="62"/>
        <v/>
      </c>
      <c r="K821" s="46" t="str">
        <f t="shared" si="63"/>
        <v/>
      </c>
      <c r="L821" s="46" t="str">
        <f t="shared" si="64"/>
        <v/>
      </c>
      <c r="M821" s="35" t="str">
        <f>IF(B821="","",IF(E821="KXDDM","KXDDM – không ĐM",IF(E821&lt;&gt;"","Không KT ("&amp;E821&amp;")",IF(OR(K821="",L821=""),"Xem xét",IF(MAX(ABS(K821),ABS(L821))&lt;=ThongTin!$C$12,"OK","Xem xét")))))</f>
        <v/>
      </c>
    </row>
    <row r="822" spans="1:13" x14ac:dyDescent="0.25">
      <c r="A822" s="35" t="str">
        <f t="shared" si="60"/>
        <v/>
      </c>
      <c r="B822" s="35" t="str">
        <f>IF(BOM!A822="","",BOM!A822)</f>
        <v/>
      </c>
      <c r="C822" s="35" t="str">
        <f>IF(B822="","",BOM!B822)</f>
        <v/>
      </c>
      <c r="D822" s="35" t="str">
        <f>IF(B822="","",KT_DMTT_ChiTiet!E822)</f>
        <v/>
      </c>
      <c r="E822" s="36" t="str">
        <f>IF(B822="","",BOM!G822&amp;"")</f>
        <v/>
      </c>
      <c r="F822" s="39" t="str">
        <f>IF(B822="","",BOM!E822)</f>
        <v/>
      </c>
      <c r="G822" s="39" t="str">
        <f>IF(OR(B822="",E822="KXDDM"),"",BOM!F822)</f>
        <v/>
      </c>
      <c r="H822" s="39" t="str">
        <f>IF(OR(B822="",E822&lt;&gt;""),"",IFERROR(INDEX(KT_nguoc_theo_NL!$J$5:$J$304,MATCH(C822,KT_nguoc_theo_NL!$B$5:$B$304,0))/INDEX(KT_nguoc_theo_NL!$K$5:$K$304,MATCH(C822,KT_nguoc_theo_NL!$B$5:$B$304,0)),""))</f>
        <v/>
      </c>
      <c r="I822" s="39" t="str">
        <f t="shared" si="61"/>
        <v/>
      </c>
      <c r="J822" s="46" t="str">
        <f t="shared" si="62"/>
        <v/>
      </c>
      <c r="K822" s="46" t="str">
        <f t="shared" si="63"/>
        <v/>
      </c>
      <c r="L822" s="46" t="str">
        <f t="shared" si="64"/>
        <v/>
      </c>
      <c r="M822" s="35" t="str">
        <f>IF(B822="","",IF(E822="KXDDM","KXDDM – không ĐM",IF(E822&lt;&gt;"","Không KT ("&amp;E822&amp;")",IF(OR(K822="",L822=""),"Xem xét",IF(MAX(ABS(K822),ABS(L822))&lt;=ThongTin!$C$12,"OK","Xem xét")))))</f>
        <v/>
      </c>
    </row>
    <row r="823" spans="1:13" x14ac:dyDescent="0.25">
      <c r="A823" s="35" t="str">
        <f t="shared" si="60"/>
        <v/>
      </c>
      <c r="B823" s="35" t="str">
        <f>IF(BOM!A823="","",BOM!A823)</f>
        <v/>
      </c>
      <c r="C823" s="35" t="str">
        <f>IF(B823="","",BOM!B823)</f>
        <v/>
      </c>
      <c r="D823" s="35" t="str">
        <f>IF(B823="","",KT_DMTT_ChiTiet!E823)</f>
        <v/>
      </c>
      <c r="E823" s="36" t="str">
        <f>IF(B823="","",BOM!G823&amp;"")</f>
        <v/>
      </c>
      <c r="F823" s="39" t="str">
        <f>IF(B823="","",BOM!E823)</f>
        <v/>
      </c>
      <c r="G823" s="39" t="str">
        <f>IF(OR(B823="",E823="KXDDM"),"",BOM!F823)</f>
        <v/>
      </c>
      <c r="H823" s="39" t="str">
        <f>IF(OR(B823="",E823&lt;&gt;""),"",IFERROR(INDEX(KT_nguoc_theo_NL!$J$5:$J$304,MATCH(C823,KT_nguoc_theo_NL!$B$5:$B$304,0))/INDEX(KT_nguoc_theo_NL!$K$5:$K$304,MATCH(C823,KT_nguoc_theo_NL!$B$5:$B$304,0)),""))</f>
        <v/>
      </c>
      <c r="I823" s="39" t="str">
        <f t="shared" si="61"/>
        <v/>
      </c>
      <c r="J823" s="46" t="str">
        <f t="shared" si="62"/>
        <v/>
      </c>
      <c r="K823" s="46" t="str">
        <f t="shared" si="63"/>
        <v/>
      </c>
      <c r="L823" s="46" t="str">
        <f t="shared" si="64"/>
        <v/>
      </c>
      <c r="M823" s="35" t="str">
        <f>IF(B823="","",IF(E823="KXDDM","KXDDM – không ĐM",IF(E823&lt;&gt;"","Không KT ("&amp;E823&amp;")",IF(OR(K823="",L823=""),"Xem xét",IF(MAX(ABS(K823),ABS(L823))&lt;=ThongTin!$C$12,"OK","Xem xét")))))</f>
        <v/>
      </c>
    </row>
    <row r="824" spans="1:13" x14ac:dyDescent="0.25">
      <c r="A824" s="35" t="str">
        <f t="shared" si="60"/>
        <v/>
      </c>
      <c r="B824" s="35" t="str">
        <f>IF(BOM!A824="","",BOM!A824)</f>
        <v/>
      </c>
      <c r="C824" s="35" t="str">
        <f>IF(B824="","",BOM!B824)</f>
        <v/>
      </c>
      <c r="D824" s="35" t="str">
        <f>IF(B824="","",KT_DMTT_ChiTiet!E824)</f>
        <v/>
      </c>
      <c r="E824" s="36" t="str">
        <f>IF(B824="","",BOM!G824&amp;"")</f>
        <v/>
      </c>
      <c r="F824" s="39" t="str">
        <f>IF(B824="","",BOM!E824)</f>
        <v/>
      </c>
      <c r="G824" s="39" t="str">
        <f>IF(OR(B824="",E824="KXDDM"),"",BOM!F824)</f>
        <v/>
      </c>
      <c r="H824" s="39" t="str">
        <f>IF(OR(B824="",E824&lt;&gt;""),"",IFERROR(INDEX(KT_nguoc_theo_NL!$J$5:$J$304,MATCH(C824,KT_nguoc_theo_NL!$B$5:$B$304,0))/INDEX(KT_nguoc_theo_NL!$K$5:$K$304,MATCH(C824,KT_nguoc_theo_NL!$B$5:$B$304,0)),""))</f>
        <v/>
      </c>
      <c r="I824" s="39" t="str">
        <f t="shared" si="61"/>
        <v/>
      </c>
      <c r="J824" s="46" t="str">
        <f t="shared" si="62"/>
        <v/>
      </c>
      <c r="K824" s="46" t="str">
        <f t="shared" si="63"/>
        <v/>
      </c>
      <c r="L824" s="46" t="str">
        <f t="shared" si="64"/>
        <v/>
      </c>
      <c r="M824" s="35" t="str">
        <f>IF(B824="","",IF(E824="KXDDM","KXDDM – không ĐM",IF(E824&lt;&gt;"","Không KT ("&amp;E824&amp;")",IF(OR(K824="",L824=""),"Xem xét",IF(MAX(ABS(K824),ABS(L824))&lt;=ThongTin!$C$12,"OK","Xem xét")))))</f>
        <v/>
      </c>
    </row>
    <row r="825" spans="1:13" x14ac:dyDescent="0.25">
      <c r="A825" s="35" t="str">
        <f t="shared" si="60"/>
        <v/>
      </c>
      <c r="B825" s="35" t="str">
        <f>IF(BOM!A825="","",BOM!A825)</f>
        <v/>
      </c>
      <c r="C825" s="35" t="str">
        <f>IF(B825="","",BOM!B825)</f>
        <v/>
      </c>
      <c r="D825" s="35" t="str">
        <f>IF(B825="","",KT_DMTT_ChiTiet!E825)</f>
        <v/>
      </c>
      <c r="E825" s="36" t="str">
        <f>IF(B825="","",BOM!G825&amp;"")</f>
        <v/>
      </c>
      <c r="F825" s="39" t="str">
        <f>IF(B825="","",BOM!E825)</f>
        <v/>
      </c>
      <c r="G825" s="39" t="str">
        <f>IF(OR(B825="",E825="KXDDM"),"",BOM!F825)</f>
        <v/>
      </c>
      <c r="H825" s="39" t="str">
        <f>IF(OR(B825="",E825&lt;&gt;""),"",IFERROR(INDEX(KT_nguoc_theo_NL!$J$5:$J$304,MATCH(C825,KT_nguoc_theo_NL!$B$5:$B$304,0))/INDEX(KT_nguoc_theo_NL!$K$5:$K$304,MATCH(C825,KT_nguoc_theo_NL!$B$5:$B$304,0)),""))</f>
        <v/>
      </c>
      <c r="I825" s="39" t="str">
        <f t="shared" si="61"/>
        <v/>
      </c>
      <c r="J825" s="46" t="str">
        <f t="shared" si="62"/>
        <v/>
      </c>
      <c r="K825" s="46" t="str">
        <f t="shared" si="63"/>
        <v/>
      </c>
      <c r="L825" s="46" t="str">
        <f t="shared" si="64"/>
        <v/>
      </c>
      <c r="M825" s="35" t="str">
        <f>IF(B825="","",IF(E825="KXDDM","KXDDM – không ĐM",IF(E825&lt;&gt;"","Không KT ("&amp;E825&amp;")",IF(OR(K825="",L825=""),"Xem xét",IF(MAX(ABS(K825),ABS(L825))&lt;=ThongTin!$C$12,"OK","Xem xét")))))</f>
        <v/>
      </c>
    </row>
    <row r="826" spans="1:13" x14ac:dyDescent="0.25">
      <c r="A826" s="35" t="str">
        <f t="shared" si="60"/>
        <v/>
      </c>
      <c r="B826" s="35" t="str">
        <f>IF(BOM!A826="","",BOM!A826)</f>
        <v/>
      </c>
      <c r="C826" s="35" t="str">
        <f>IF(B826="","",BOM!B826)</f>
        <v/>
      </c>
      <c r="D826" s="35" t="str">
        <f>IF(B826="","",KT_DMTT_ChiTiet!E826)</f>
        <v/>
      </c>
      <c r="E826" s="36" t="str">
        <f>IF(B826="","",BOM!G826&amp;"")</f>
        <v/>
      </c>
      <c r="F826" s="39" t="str">
        <f>IF(B826="","",BOM!E826)</f>
        <v/>
      </c>
      <c r="G826" s="39" t="str">
        <f>IF(OR(B826="",E826="KXDDM"),"",BOM!F826)</f>
        <v/>
      </c>
      <c r="H826" s="39" t="str">
        <f>IF(OR(B826="",E826&lt;&gt;""),"",IFERROR(INDEX(KT_nguoc_theo_NL!$J$5:$J$304,MATCH(C826,KT_nguoc_theo_NL!$B$5:$B$304,0))/INDEX(KT_nguoc_theo_NL!$K$5:$K$304,MATCH(C826,KT_nguoc_theo_NL!$B$5:$B$304,0)),""))</f>
        <v/>
      </c>
      <c r="I826" s="39" t="str">
        <f t="shared" si="61"/>
        <v/>
      </c>
      <c r="J826" s="46" t="str">
        <f t="shared" si="62"/>
        <v/>
      </c>
      <c r="K826" s="46" t="str">
        <f t="shared" si="63"/>
        <v/>
      </c>
      <c r="L826" s="46" t="str">
        <f t="shared" si="64"/>
        <v/>
      </c>
      <c r="M826" s="35" t="str">
        <f>IF(B826="","",IF(E826="KXDDM","KXDDM – không ĐM",IF(E826&lt;&gt;"","Không KT ("&amp;E826&amp;")",IF(OR(K826="",L826=""),"Xem xét",IF(MAX(ABS(K826),ABS(L826))&lt;=ThongTin!$C$12,"OK","Xem xét")))))</f>
        <v/>
      </c>
    </row>
    <row r="827" spans="1:13" x14ac:dyDescent="0.25">
      <c r="A827" s="35" t="str">
        <f t="shared" si="60"/>
        <v/>
      </c>
      <c r="B827" s="35" t="str">
        <f>IF(BOM!A827="","",BOM!A827)</f>
        <v/>
      </c>
      <c r="C827" s="35" t="str">
        <f>IF(B827="","",BOM!B827)</f>
        <v/>
      </c>
      <c r="D827" s="35" t="str">
        <f>IF(B827="","",KT_DMTT_ChiTiet!E827)</f>
        <v/>
      </c>
      <c r="E827" s="36" t="str">
        <f>IF(B827="","",BOM!G827&amp;"")</f>
        <v/>
      </c>
      <c r="F827" s="39" t="str">
        <f>IF(B827="","",BOM!E827)</f>
        <v/>
      </c>
      <c r="G827" s="39" t="str">
        <f>IF(OR(B827="",E827="KXDDM"),"",BOM!F827)</f>
        <v/>
      </c>
      <c r="H827" s="39" t="str">
        <f>IF(OR(B827="",E827&lt;&gt;""),"",IFERROR(INDEX(KT_nguoc_theo_NL!$J$5:$J$304,MATCH(C827,KT_nguoc_theo_NL!$B$5:$B$304,0))/INDEX(KT_nguoc_theo_NL!$K$5:$K$304,MATCH(C827,KT_nguoc_theo_NL!$B$5:$B$304,0)),""))</f>
        <v/>
      </c>
      <c r="I827" s="39" t="str">
        <f t="shared" si="61"/>
        <v/>
      </c>
      <c r="J827" s="46" t="str">
        <f t="shared" si="62"/>
        <v/>
      </c>
      <c r="K827" s="46" t="str">
        <f t="shared" si="63"/>
        <v/>
      </c>
      <c r="L827" s="46" t="str">
        <f t="shared" si="64"/>
        <v/>
      </c>
      <c r="M827" s="35" t="str">
        <f>IF(B827="","",IF(E827="KXDDM","KXDDM – không ĐM",IF(E827&lt;&gt;"","Không KT ("&amp;E827&amp;")",IF(OR(K827="",L827=""),"Xem xét",IF(MAX(ABS(K827),ABS(L827))&lt;=ThongTin!$C$12,"OK","Xem xét")))))</f>
        <v/>
      </c>
    </row>
    <row r="828" spans="1:13" x14ac:dyDescent="0.25">
      <c r="A828" s="35" t="str">
        <f t="shared" si="60"/>
        <v/>
      </c>
      <c r="B828" s="35" t="str">
        <f>IF(BOM!A828="","",BOM!A828)</f>
        <v/>
      </c>
      <c r="C828" s="35" t="str">
        <f>IF(B828="","",BOM!B828)</f>
        <v/>
      </c>
      <c r="D828" s="35" t="str">
        <f>IF(B828="","",KT_DMTT_ChiTiet!E828)</f>
        <v/>
      </c>
      <c r="E828" s="36" t="str">
        <f>IF(B828="","",BOM!G828&amp;"")</f>
        <v/>
      </c>
      <c r="F828" s="39" t="str">
        <f>IF(B828="","",BOM!E828)</f>
        <v/>
      </c>
      <c r="G828" s="39" t="str">
        <f>IF(OR(B828="",E828="KXDDM"),"",BOM!F828)</f>
        <v/>
      </c>
      <c r="H828" s="39" t="str">
        <f>IF(OR(B828="",E828&lt;&gt;""),"",IFERROR(INDEX(KT_nguoc_theo_NL!$J$5:$J$304,MATCH(C828,KT_nguoc_theo_NL!$B$5:$B$304,0))/INDEX(KT_nguoc_theo_NL!$K$5:$K$304,MATCH(C828,KT_nguoc_theo_NL!$B$5:$B$304,0)),""))</f>
        <v/>
      </c>
      <c r="I828" s="39" t="str">
        <f t="shared" si="61"/>
        <v/>
      </c>
      <c r="J828" s="46" t="str">
        <f t="shared" si="62"/>
        <v/>
      </c>
      <c r="K828" s="46" t="str">
        <f t="shared" si="63"/>
        <v/>
      </c>
      <c r="L828" s="46" t="str">
        <f t="shared" si="64"/>
        <v/>
      </c>
      <c r="M828" s="35" t="str">
        <f>IF(B828="","",IF(E828="KXDDM","KXDDM – không ĐM",IF(E828&lt;&gt;"","Không KT ("&amp;E828&amp;")",IF(OR(K828="",L828=""),"Xem xét",IF(MAX(ABS(K828),ABS(L828))&lt;=ThongTin!$C$12,"OK","Xem xét")))))</f>
        <v/>
      </c>
    </row>
    <row r="829" spans="1:13" x14ac:dyDescent="0.25">
      <c r="A829" s="35" t="str">
        <f t="shared" si="60"/>
        <v/>
      </c>
      <c r="B829" s="35" t="str">
        <f>IF(BOM!A829="","",BOM!A829)</f>
        <v/>
      </c>
      <c r="C829" s="35" t="str">
        <f>IF(B829="","",BOM!B829)</f>
        <v/>
      </c>
      <c r="D829" s="35" t="str">
        <f>IF(B829="","",KT_DMTT_ChiTiet!E829)</f>
        <v/>
      </c>
      <c r="E829" s="36" t="str">
        <f>IF(B829="","",BOM!G829&amp;"")</f>
        <v/>
      </c>
      <c r="F829" s="39" t="str">
        <f>IF(B829="","",BOM!E829)</f>
        <v/>
      </c>
      <c r="G829" s="39" t="str">
        <f>IF(OR(B829="",E829="KXDDM"),"",BOM!F829)</f>
        <v/>
      </c>
      <c r="H829" s="39" t="str">
        <f>IF(OR(B829="",E829&lt;&gt;""),"",IFERROR(INDEX(KT_nguoc_theo_NL!$J$5:$J$304,MATCH(C829,KT_nguoc_theo_NL!$B$5:$B$304,0))/INDEX(KT_nguoc_theo_NL!$K$5:$K$304,MATCH(C829,KT_nguoc_theo_NL!$B$5:$B$304,0)),""))</f>
        <v/>
      </c>
      <c r="I829" s="39" t="str">
        <f t="shared" si="61"/>
        <v/>
      </c>
      <c r="J829" s="46" t="str">
        <f t="shared" si="62"/>
        <v/>
      </c>
      <c r="K829" s="46" t="str">
        <f t="shared" si="63"/>
        <v/>
      </c>
      <c r="L829" s="46" t="str">
        <f t="shared" si="64"/>
        <v/>
      </c>
      <c r="M829" s="35" t="str">
        <f>IF(B829="","",IF(E829="KXDDM","KXDDM – không ĐM",IF(E829&lt;&gt;"","Không KT ("&amp;E829&amp;")",IF(OR(K829="",L829=""),"Xem xét",IF(MAX(ABS(K829),ABS(L829))&lt;=ThongTin!$C$12,"OK","Xem xét")))))</f>
        <v/>
      </c>
    </row>
    <row r="830" spans="1:13" x14ac:dyDescent="0.25">
      <c r="A830" s="35" t="str">
        <f t="shared" si="60"/>
        <v/>
      </c>
      <c r="B830" s="35" t="str">
        <f>IF(BOM!A830="","",BOM!A830)</f>
        <v/>
      </c>
      <c r="C830" s="35" t="str">
        <f>IF(B830="","",BOM!B830)</f>
        <v/>
      </c>
      <c r="D830" s="35" t="str">
        <f>IF(B830="","",KT_DMTT_ChiTiet!E830)</f>
        <v/>
      </c>
      <c r="E830" s="36" t="str">
        <f>IF(B830="","",BOM!G830&amp;"")</f>
        <v/>
      </c>
      <c r="F830" s="39" t="str">
        <f>IF(B830="","",BOM!E830)</f>
        <v/>
      </c>
      <c r="G830" s="39" t="str">
        <f>IF(OR(B830="",E830="KXDDM"),"",BOM!F830)</f>
        <v/>
      </c>
      <c r="H830" s="39" t="str">
        <f>IF(OR(B830="",E830&lt;&gt;""),"",IFERROR(INDEX(KT_nguoc_theo_NL!$J$5:$J$304,MATCH(C830,KT_nguoc_theo_NL!$B$5:$B$304,0))/INDEX(KT_nguoc_theo_NL!$K$5:$K$304,MATCH(C830,KT_nguoc_theo_NL!$B$5:$B$304,0)),""))</f>
        <v/>
      </c>
      <c r="I830" s="39" t="str">
        <f t="shared" si="61"/>
        <v/>
      </c>
      <c r="J830" s="46" t="str">
        <f t="shared" si="62"/>
        <v/>
      </c>
      <c r="K830" s="46" t="str">
        <f t="shared" si="63"/>
        <v/>
      </c>
      <c r="L830" s="46" t="str">
        <f t="shared" si="64"/>
        <v/>
      </c>
      <c r="M830" s="35" t="str">
        <f>IF(B830="","",IF(E830="KXDDM","KXDDM – không ĐM",IF(E830&lt;&gt;"","Không KT ("&amp;E830&amp;")",IF(OR(K830="",L830=""),"Xem xét",IF(MAX(ABS(K830),ABS(L830))&lt;=ThongTin!$C$12,"OK","Xem xét")))))</f>
        <v/>
      </c>
    </row>
    <row r="831" spans="1:13" x14ac:dyDescent="0.25">
      <c r="A831" s="35" t="str">
        <f t="shared" si="60"/>
        <v/>
      </c>
      <c r="B831" s="35" t="str">
        <f>IF(BOM!A831="","",BOM!A831)</f>
        <v/>
      </c>
      <c r="C831" s="35" t="str">
        <f>IF(B831="","",BOM!B831)</f>
        <v/>
      </c>
      <c r="D831" s="35" t="str">
        <f>IF(B831="","",KT_DMTT_ChiTiet!E831)</f>
        <v/>
      </c>
      <c r="E831" s="36" t="str">
        <f>IF(B831="","",BOM!G831&amp;"")</f>
        <v/>
      </c>
      <c r="F831" s="39" t="str">
        <f>IF(B831="","",BOM!E831)</f>
        <v/>
      </c>
      <c r="G831" s="39" t="str">
        <f>IF(OR(B831="",E831="KXDDM"),"",BOM!F831)</f>
        <v/>
      </c>
      <c r="H831" s="39" t="str">
        <f>IF(OR(B831="",E831&lt;&gt;""),"",IFERROR(INDEX(KT_nguoc_theo_NL!$J$5:$J$304,MATCH(C831,KT_nguoc_theo_NL!$B$5:$B$304,0))/INDEX(KT_nguoc_theo_NL!$K$5:$K$304,MATCH(C831,KT_nguoc_theo_NL!$B$5:$B$304,0)),""))</f>
        <v/>
      </c>
      <c r="I831" s="39" t="str">
        <f t="shared" si="61"/>
        <v/>
      </c>
      <c r="J831" s="46" t="str">
        <f t="shared" si="62"/>
        <v/>
      </c>
      <c r="K831" s="46" t="str">
        <f t="shared" si="63"/>
        <v/>
      </c>
      <c r="L831" s="46" t="str">
        <f t="shared" si="64"/>
        <v/>
      </c>
      <c r="M831" s="35" t="str">
        <f>IF(B831="","",IF(E831="KXDDM","KXDDM – không ĐM",IF(E831&lt;&gt;"","Không KT ("&amp;E831&amp;")",IF(OR(K831="",L831=""),"Xem xét",IF(MAX(ABS(K831),ABS(L831))&lt;=ThongTin!$C$12,"OK","Xem xét")))))</f>
        <v/>
      </c>
    </row>
    <row r="832" spans="1:13" x14ac:dyDescent="0.25">
      <c r="A832" s="35" t="str">
        <f t="shared" si="60"/>
        <v/>
      </c>
      <c r="B832" s="35" t="str">
        <f>IF(BOM!A832="","",BOM!A832)</f>
        <v/>
      </c>
      <c r="C832" s="35" t="str">
        <f>IF(B832="","",BOM!B832)</f>
        <v/>
      </c>
      <c r="D832" s="35" t="str">
        <f>IF(B832="","",KT_DMTT_ChiTiet!E832)</f>
        <v/>
      </c>
      <c r="E832" s="36" t="str">
        <f>IF(B832="","",BOM!G832&amp;"")</f>
        <v/>
      </c>
      <c r="F832" s="39" t="str">
        <f>IF(B832="","",BOM!E832)</f>
        <v/>
      </c>
      <c r="G832" s="39" t="str">
        <f>IF(OR(B832="",E832="KXDDM"),"",BOM!F832)</f>
        <v/>
      </c>
      <c r="H832" s="39" t="str">
        <f>IF(OR(B832="",E832&lt;&gt;""),"",IFERROR(INDEX(KT_nguoc_theo_NL!$J$5:$J$304,MATCH(C832,KT_nguoc_theo_NL!$B$5:$B$304,0))/INDEX(KT_nguoc_theo_NL!$K$5:$K$304,MATCH(C832,KT_nguoc_theo_NL!$B$5:$B$304,0)),""))</f>
        <v/>
      </c>
      <c r="I832" s="39" t="str">
        <f t="shared" si="61"/>
        <v/>
      </c>
      <c r="J832" s="46" t="str">
        <f t="shared" si="62"/>
        <v/>
      </c>
      <c r="K832" s="46" t="str">
        <f t="shared" si="63"/>
        <v/>
      </c>
      <c r="L832" s="46" t="str">
        <f t="shared" si="64"/>
        <v/>
      </c>
      <c r="M832" s="35" t="str">
        <f>IF(B832="","",IF(E832="KXDDM","KXDDM – không ĐM",IF(E832&lt;&gt;"","Không KT ("&amp;E832&amp;")",IF(OR(K832="",L832=""),"Xem xét",IF(MAX(ABS(K832),ABS(L832))&lt;=ThongTin!$C$12,"OK","Xem xét")))))</f>
        <v/>
      </c>
    </row>
    <row r="833" spans="1:13" x14ac:dyDescent="0.25">
      <c r="A833" s="35" t="str">
        <f t="shared" si="60"/>
        <v/>
      </c>
      <c r="B833" s="35" t="str">
        <f>IF(BOM!A833="","",BOM!A833)</f>
        <v/>
      </c>
      <c r="C833" s="35" t="str">
        <f>IF(B833="","",BOM!B833)</f>
        <v/>
      </c>
      <c r="D833" s="35" t="str">
        <f>IF(B833="","",KT_DMTT_ChiTiet!E833)</f>
        <v/>
      </c>
      <c r="E833" s="36" t="str">
        <f>IF(B833="","",BOM!G833&amp;"")</f>
        <v/>
      </c>
      <c r="F833" s="39" t="str">
        <f>IF(B833="","",BOM!E833)</f>
        <v/>
      </c>
      <c r="G833" s="39" t="str">
        <f>IF(OR(B833="",E833="KXDDM"),"",BOM!F833)</f>
        <v/>
      </c>
      <c r="H833" s="39" t="str">
        <f>IF(OR(B833="",E833&lt;&gt;""),"",IFERROR(INDEX(KT_nguoc_theo_NL!$J$5:$J$304,MATCH(C833,KT_nguoc_theo_NL!$B$5:$B$304,0))/INDEX(KT_nguoc_theo_NL!$K$5:$K$304,MATCH(C833,KT_nguoc_theo_NL!$B$5:$B$304,0)),""))</f>
        <v/>
      </c>
      <c r="I833" s="39" t="str">
        <f t="shared" si="61"/>
        <v/>
      </c>
      <c r="J833" s="46" t="str">
        <f t="shared" si="62"/>
        <v/>
      </c>
      <c r="K833" s="46" t="str">
        <f t="shared" si="63"/>
        <v/>
      </c>
      <c r="L833" s="46" t="str">
        <f t="shared" si="64"/>
        <v/>
      </c>
      <c r="M833" s="35" t="str">
        <f>IF(B833="","",IF(E833="KXDDM","KXDDM – không ĐM",IF(E833&lt;&gt;"","Không KT ("&amp;E833&amp;")",IF(OR(K833="",L833=""),"Xem xét",IF(MAX(ABS(K833),ABS(L833))&lt;=ThongTin!$C$12,"OK","Xem xét")))))</f>
        <v/>
      </c>
    </row>
    <row r="834" spans="1:13" x14ac:dyDescent="0.25">
      <c r="A834" s="35" t="str">
        <f t="shared" si="60"/>
        <v/>
      </c>
      <c r="B834" s="35" t="str">
        <f>IF(BOM!A834="","",BOM!A834)</f>
        <v/>
      </c>
      <c r="C834" s="35" t="str">
        <f>IF(B834="","",BOM!B834)</f>
        <v/>
      </c>
      <c r="D834" s="35" t="str">
        <f>IF(B834="","",KT_DMTT_ChiTiet!E834)</f>
        <v/>
      </c>
      <c r="E834" s="36" t="str">
        <f>IF(B834="","",BOM!G834&amp;"")</f>
        <v/>
      </c>
      <c r="F834" s="39" t="str">
        <f>IF(B834="","",BOM!E834)</f>
        <v/>
      </c>
      <c r="G834" s="39" t="str">
        <f>IF(OR(B834="",E834="KXDDM"),"",BOM!F834)</f>
        <v/>
      </c>
      <c r="H834" s="39" t="str">
        <f>IF(OR(B834="",E834&lt;&gt;""),"",IFERROR(INDEX(KT_nguoc_theo_NL!$J$5:$J$304,MATCH(C834,KT_nguoc_theo_NL!$B$5:$B$304,0))/INDEX(KT_nguoc_theo_NL!$K$5:$K$304,MATCH(C834,KT_nguoc_theo_NL!$B$5:$B$304,0)),""))</f>
        <v/>
      </c>
      <c r="I834" s="39" t="str">
        <f t="shared" si="61"/>
        <v/>
      </c>
      <c r="J834" s="46" t="str">
        <f t="shared" si="62"/>
        <v/>
      </c>
      <c r="K834" s="46" t="str">
        <f t="shared" si="63"/>
        <v/>
      </c>
      <c r="L834" s="46" t="str">
        <f t="shared" si="64"/>
        <v/>
      </c>
      <c r="M834" s="35" t="str">
        <f>IF(B834="","",IF(E834="KXDDM","KXDDM – không ĐM",IF(E834&lt;&gt;"","Không KT ("&amp;E834&amp;")",IF(OR(K834="",L834=""),"Xem xét",IF(MAX(ABS(K834),ABS(L834))&lt;=ThongTin!$C$12,"OK","Xem xét")))))</f>
        <v/>
      </c>
    </row>
    <row r="835" spans="1:13" x14ac:dyDescent="0.25">
      <c r="A835" s="35" t="str">
        <f t="shared" si="60"/>
        <v/>
      </c>
      <c r="B835" s="35" t="str">
        <f>IF(BOM!A835="","",BOM!A835)</f>
        <v/>
      </c>
      <c r="C835" s="35" t="str">
        <f>IF(B835="","",BOM!B835)</f>
        <v/>
      </c>
      <c r="D835" s="35" t="str">
        <f>IF(B835="","",KT_DMTT_ChiTiet!E835)</f>
        <v/>
      </c>
      <c r="E835" s="36" t="str">
        <f>IF(B835="","",BOM!G835&amp;"")</f>
        <v/>
      </c>
      <c r="F835" s="39" t="str">
        <f>IF(B835="","",BOM!E835)</f>
        <v/>
      </c>
      <c r="G835" s="39" t="str">
        <f>IF(OR(B835="",E835="KXDDM"),"",BOM!F835)</f>
        <v/>
      </c>
      <c r="H835" s="39" t="str">
        <f>IF(OR(B835="",E835&lt;&gt;""),"",IFERROR(INDEX(KT_nguoc_theo_NL!$J$5:$J$304,MATCH(C835,KT_nguoc_theo_NL!$B$5:$B$304,0))/INDEX(KT_nguoc_theo_NL!$K$5:$K$304,MATCH(C835,KT_nguoc_theo_NL!$B$5:$B$304,0)),""))</f>
        <v/>
      </c>
      <c r="I835" s="39" t="str">
        <f t="shared" si="61"/>
        <v/>
      </c>
      <c r="J835" s="46" t="str">
        <f t="shared" si="62"/>
        <v/>
      </c>
      <c r="K835" s="46" t="str">
        <f t="shared" si="63"/>
        <v/>
      </c>
      <c r="L835" s="46" t="str">
        <f t="shared" si="64"/>
        <v/>
      </c>
      <c r="M835" s="35" t="str">
        <f>IF(B835="","",IF(E835="KXDDM","KXDDM – không ĐM",IF(E835&lt;&gt;"","Không KT ("&amp;E835&amp;")",IF(OR(K835="",L835=""),"Xem xét",IF(MAX(ABS(K835),ABS(L835))&lt;=ThongTin!$C$12,"OK","Xem xét")))))</f>
        <v/>
      </c>
    </row>
    <row r="836" spans="1:13" x14ac:dyDescent="0.25">
      <c r="A836" s="35" t="str">
        <f t="shared" si="60"/>
        <v/>
      </c>
      <c r="B836" s="35" t="str">
        <f>IF(BOM!A836="","",BOM!A836)</f>
        <v/>
      </c>
      <c r="C836" s="35" t="str">
        <f>IF(B836="","",BOM!B836)</f>
        <v/>
      </c>
      <c r="D836" s="35" t="str">
        <f>IF(B836="","",KT_DMTT_ChiTiet!E836)</f>
        <v/>
      </c>
      <c r="E836" s="36" t="str">
        <f>IF(B836="","",BOM!G836&amp;"")</f>
        <v/>
      </c>
      <c r="F836" s="39" t="str">
        <f>IF(B836="","",BOM!E836)</f>
        <v/>
      </c>
      <c r="G836" s="39" t="str">
        <f>IF(OR(B836="",E836="KXDDM"),"",BOM!F836)</f>
        <v/>
      </c>
      <c r="H836" s="39" t="str">
        <f>IF(OR(B836="",E836&lt;&gt;""),"",IFERROR(INDEX(KT_nguoc_theo_NL!$J$5:$J$304,MATCH(C836,KT_nguoc_theo_NL!$B$5:$B$304,0))/INDEX(KT_nguoc_theo_NL!$K$5:$K$304,MATCH(C836,KT_nguoc_theo_NL!$B$5:$B$304,0)),""))</f>
        <v/>
      </c>
      <c r="I836" s="39" t="str">
        <f t="shared" si="61"/>
        <v/>
      </c>
      <c r="J836" s="46" t="str">
        <f t="shared" si="62"/>
        <v/>
      </c>
      <c r="K836" s="46" t="str">
        <f t="shared" si="63"/>
        <v/>
      </c>
      <c r="L836" s="46" t="str">
        <f t="shared" si="64"/>
        <v/>
      </c>
      <c r="M836" s="35" t="str">
        <f>IF(B836="","",IF(E836="KXDDM","KXDDM – không ĐM",IF(E836&lt;&gt;"","Không KT ("&amp;E836&amp;")",IF(OR(K836="",L836=""),"Xem xét",IF(MAX(ABS(K836),ABS(L836))&lt;=ThongTin!$C$12,"OK","Xem xét")))))</f>
        <v/>
      </c>
    </row>
    <row r="837" spans="1:13" x14ac:dyDescent="0.25">
      <c r="A837" s="35" t="str">
        <f t="shared" ref="A837:A900" si="65">IF(B837="","",ROW()-4)</f>
        <v/>
      </c>
      <c r="B837" s="35" t="str">
        <f>IF(BOM!A837="","",BOM!A837)</f>
        <v/>
      </c>
      <c r="C837" s="35" t="str">
        <f>IF(B837="","",BOM!B837)</f>
        <v/>
      </c>
      <c r="D837" s="35" t="str">
        <f>IF(B837="","",KT_DMTT_ChiTiet!E837)</f>
        <v/>
      </c>
      <c r="E837" s="36" t="str">
        <f>IF(B837="","",BOM!G837&amp;"")</f>
        <v/>
      </c>
      <c r="F837" s="39" t="str">
        <f>IF(B837="","",BOM!E837)</f>
        <v/>
      </c>
      <c r="G837" s="39" t="str">
        <f>IF(OR(B837="",E837="KXDDM"),"",BOM!F837)</f>
        <v/>
      </c>
      <c r="H837" s="39" t="str">
        <f>IF(OR(B837="",E837&lt;&gt;""),"",IFERROR(INDEX(KT_nguoc_theo_NL!$J$5:$J$304,MATCH(C837,KT_nguoc_theo_NL!$B$5:$B$304,0))/INDEX(KT_nguoc_theo_NL!$K$5:$K$304,MATCH(C837,KT_nguoc_theo_NL!$B$5:$B$304,0)),""))</f>
        <v/>
      </c>
      <c r="I837" s="39" t="str">
        <f t="shared" ref="I837:I900" si="66">IF(OR(H837="",G837=""),"",G837*H837)</f>
        <v/>
      </c>
      <c r="J837" s="46" t="str">
        <f t="shared" ref="J837:J900" si="67">IF(OR(I837="",I837=0),"",(G837-I837)/I837)</f>
        <v/>
      </c>
      <c r="K837" s="46" t="str">
        <f t="shared" ref="K837:K900" si="68">IF(OR(G837="",F837="",F837=0),"",(G837-F837)/F837)</f>
        <v/>
      </c>
      <c r="L837" s="46" t="str">
        <f t="shared" ref="L837:L900" si="69">IF(OR(I837="",F837="",F837=0),"",(I837-F837)/F837)</f>
        <v/>
      </c>
      <c r="M837" s="35" t="str">
        <f>IF(B837="","",IF(E837="KXDDM","KXDDM – không ĐM",IF(E837&lt;&gt;"","Không KT ("&amp;E837&amp;")",IF(OR(K837="",L837=""),"Xem xét",IF(MAX(ABS(K837),ABS(L837))&lt;=ThongTin!$C$12,"OK","Xem xét")))))</f>
        <v/>
      </c>
    </row>
    <row r="838" spans="1:13" x14ac:dyDescent="0.25">
      <c r="A838" s="35" t="str">
        <f t="shared" si="65"/>
        <v/>
      </c>
      <c r="B838" s="35" t="str">
        <f>IF(BOM!A838="","",BOM!A838)</f>
        <v/>
      </c>
      <c r="C838" s="35" t="str">
        <f>IF(B838="","",BOM!B838)</f>
        <v/>
      </c>
      <c r="D838" s="35" t="str">
        <f>IF(B838="","",KT_DMTT_ChiTiet!E838)</f>
        <v/>
      </c>
      <c r="E838" s="36" t="str">
        <f>IF(B838="","",BOM!G838&amp;"")</f>
        <v/>
      </c>
      <c r="F838" s="39" t="str">
        <f>IF(B838="","",BOM!E838)</f>
        <v/>
      </c>
      <c r="G838" s="39" t="str">
        <f>IF(OR(B838="",E838="KXDDM"),"",BOM!F838)</f>
        <v/>
      </c>
      <c r="H838" s="39" t="str">
        <f>IF(OR(B838="",E838&lt;&gt;""),"",IFERROR(INDEX(KT_nguoc_theo_NL!$J$5:$J$304,MATCH(C838,KT_nguoc_theo_NL!$B$5:$B$304,0))/INDEX(KT_nguoc_theo_NL!$K$5:$K$304,MATCH(C838,KT_nguoc_theo_NL!$B$5:$B$304,0)),""))</f>
        <v/>
      </c>
      <c r="I838" s="39" t="str">
        <f t="shared" si="66"/>
        <v/>
      </c>
      <c r="J838" s="46" t="str">
        <f t="shared" si="67"/>
        <v/>
      </c>
      <c r="K838" s="46" t="str">
        <f t="shared" si="68"/>
        <v/>
      </c>
      <c r="L838" s="46" t="str">
        <f t="shared" si="69"/>
        <v/>
      </c>
      <c r="M838" s="35" t="str">
        <f>IF(B838="","",IF(E838="KXDDM","KXDDM – không ĐM",IF(E838&lt;&gt;"","Không KT ("&amp;E838&amp;")",IF(OR(K838="",L838=""),"Xem xét",IF(MAX(ABS(K838),ABS(L838))&lt;=ThongTin!$C$12,"OK","Xem xét")))))</f>
        <v/>
      </c>
    </row>
    <row r="839" spans="1:13" x14ac:dyDescent="0.25">
      <c r="A839" s="35" t="str">
        <f t="shared" si="65"/>
        <v/>
      </c>
      <c r="B839" s="35" t="str">
        <f>IF(BOM!A839="","",BOM!A839)</f>
        <v/>
      </c>
      <c r="C839" s="35" t="str">
        <f>IF(B839="","",BOM!B839)</f>
        <v/>
      </c>
      <c r="D839" s="35" t="str">
        <f>IF(B839="","",KT_DMTT_ChiTiet!E839)</f>
        <v/>
      </c>
      <c r="E839" s="36" t="str">
        <f>IF(B839="","",BOM!G839&amp;"")</f>
        <v/>
      </c>
      <c r="F839" s="39" t="str">
        <f>IF(B839="","",BOM!E839)</f>
        <v/>
      </c>
      <c r="G839" s="39" t="str">
        <f>IF(OR(B839="",E839="KXDDM"),"",BOM!F839)</f>
        <v/>
      </c>
      <c r="H839" s="39" t="str">
        <f>IF(OR(B839="",E839&lt;&gt;""),"",IFERROR(INDEX(KT_nguoc_theo_NL!$J$5:$J$304,MATCH(C839,KT_nguoc_theo_NL!$B$5:$B$304,0))/INDEX(KT_nguoc_theo_NL!$K$5:$K$304,MATCH(C839,KT_nguoc_theo_NL!$B$5:$B$304,0)),""))</f>
        <v/>
      </c>
      <c r="I839" s="39" t="str">
        <f t="shared" si="66"/>
        <v/>
      </c>
      <c r="J839" s="46" t="str">
        <f t="shared" si="67"/>
        <v/>
      </c>
      <c r="K839" s="46" t="str">
        <f t="shared" si="68"/>
        <v/>
      </c>
      <c r="L839" s="46" t="str">
        <f t="shared" si="69"/>
        <v/>
      </c>
      <c r="M839" s="35" t="str">
        <f>IF(B839="","",IF(E839="KXDDM","KXDDM – không ĐM",IF(E839&lt;&gt;"","Không KT ("&amp;E839&amp;")",IF(OR(K839="",L839=""),"Xem xét",IF(MAX(ABS(K839),ABS(L839))&lt;=ThongTin!$C$12,"OK","Xem xét")))))</f>
        <v/>
      </c>
    </row>
    <row r="840" spans="1:13" x14ac:dyDescent="0.25">
      <c r="A840" s="35" t="str">
        <f t="shared" si="65"/>
        <v/>
      </c>
      <c r="B840" s="35" t="str">
        <f>IF(BOM!A840="","",BOM!A840)</f>
        <v/>
      </c>
      <c r="C840" s="35" t="str">
        <f>IF(B840="","",BOM!B840)</f>
        <v/>
      </c>
      <c r="D840" s="35" t="str">
        <f>IF(B840="","",KT_DMTT_ChiTiet!E840)</f>
        <v/>
      </c>
      <c r="E840" s="36" t="str">
        <f>IF(B840="","",BOM!G840&amp;"")</f>
        <v/>
      </c>
      <c r="F840" s="39" t="str">
        <f>IF(B840="","",BOM!E840)</f>
        <v/>
      </c>
      <c r="G840" s="39" t="str">
        <f>IF(OR(B840="",E840="KXDDM"),"",BOM!F840)</f>
        <v/>
      </c>
      <c r="H840" s="39" t="str">
        <f>IF(OR(B840="",E840&lt;&gt;""),"",IFERROR(INDEX(KT_nguoc_theo_NL!$J$5:$J$304,MATCH(C840,KT_nguoc_theo_NL!$B$5:$B$304,0))/INDEX(KT_nguoc_theo_NL!$K$5:$K$304,MATCH(C840,KT_nguoc_theo_NL!$B$5:$B$304,0)),""))</f>
        <v/>
      </c>
      <c r="I840" s="39" t="str">
        <f t="shared" si="66"/>
        <v/>
      </c>
      <c r="J840" s="46" t="str">
        <f t="shared" si="67"/>
        <v/>
      </c>
      <c r="K840" s="46" t="str">
        <f t="shared" si="68"/>
        <v/>
      </c>
      <c r="L840" s="46" t="str">
        <f t="shared" si="69"/>
        <v/>
      </c>
      <c r="M840" s="35" t="str">
        <f>IF(B840="","",IF(E840="KXDDM","KXDDM – không ĐM",IF(E840&lt;&gt;"","Không KT ("&amp;E840&amp;")",IF(OR(K840="",L840=""),"Xem xét",IF(MAX(ABS(K840),ABS(L840))&lt;=ThongTin!$C$12,"OK","Xem xét")))))</f>
        <v/>
      </c>
    </row>
    <row r="841" spans="1:13" x14ac:dyDescent="0.25">
      <c r="A841" s="35" t="str">
        <f t="shared" si="65"/>
        <v/>
      </c>
      <c r="B841" s="35" t="str">
        <f>IF(BOM!A841="","",BOM!A841)</f>
        <v/>
      </c>
      <c r="C841" s="35" t="str">
        <f>IF(B841="","",BOM!B841)</f>
        <v/>
      </c>
      <c r="D841" s="35" t="str">
        <f>IF(B841="","",KT_DMTT_ChiTiet!E841)</f>
        <v/>
      </c>
      <c r="E841" s="36" t="str">
        <f>IF(B841="","",BOM!G841&amp;"")</f>
        <v/>
      </c>
      <c r="F841" s="39" t="str">
        <f>IF(B841="","",BOM!E841)</f>
        <v/>
      </c>
      <c r="G841" s="39" t="str">
        <f>IF(OR(B841="",E841="KXDDM"),"",BOM!F841)</f>
        <v/>
      </c>
      <c r="H841" s="39" t="str">
        <f>IF(OR(B841="",E841&lt;&gt;""),"",IFERROR(INDEX(KT_nguoc_theo_NL!$J$5:$J$304,MATCH(C841,KT_nguoc_theo_NL!$B$5:$B$304,0))/INDEX(KT_nguoc_theo_NL!$K$5:$K$304,MATCH(C841,KT_nguoc_theo_NL!$B$5:$B$304,0)),""))</f>
        <v/>
      </c>
      <c r="I841" s="39" t="str">
        <f t="shared" si="66"/>
        <v/>
      </c>
      <c r="J841" s="46" t="str">
        <f t="shared" si="67"/>
        <v/>
      </c>
      <c r="K841" s="46" t="str">
        <f t="shared" si="68"/>
        <v/>
      </c>
      <c r="L841" s="46" t="str">
        <f t="shared" si="69"/>
        <v/>
      </c>
      <c r="M841" s="35" t="str">
        <f>IF(B841="","",IF(E841="KXDDM","KXDDM – không ĐM",IF(E841&lt;&gt;"","Không KT ("&amp;E841&amp;")",IF(OR(K841="",L841=""),"Xem xét",IF(MAX(ABS(K841),ABS(L841))&lt;=ThongTin!$C$12,"OK","Xem xét")))))</f>
        <v/>
      </c>
    </row>
    <row r="842" spans="1:13" x14ac:dyDescent="0.25">
      <c r="A842" s="35" t="str">
        <f t="shared" si="65"/>
        <v/>
      </c>
      <c r="B842" s="35" t="str">
        <f>IF(BOM!A842="","",BOM!A842)</f>
        <v/>
      </c>
      <c r="C842" s="35" t="str">
        <f>IF(B842="","",BOM!B842)</f>
        <v/>
      </c>
      <c r="D842" s="35" t="str">
        <f>IF(B842="","",KT_DMTT_ChiTiet!E842)</f>
        <v/>
      </c>
      <c r="E842" s="36" t="str">
        <f>IF(B842="","",BOM!G842&amp;"")</f>
        <v/>
      </c>
      <c r="F842" s="39" t="str">
        <f>IF(B842="","",BOM!E842)</f>
        <v/>
      </c>
      <c r="G842" s="39" t="str">
        <f>IF(OR(B842="",E842="KXDDM"),"",BOM!F842)</f>
        <v/>
      </c>
      <c r="H842" s="39" t="str">
        <f>IF(OR(B842="",E842&lt;&gt;""),"",IFERROR(INDEX(KT_nguoc_theo_NL!$J$5:$J$304,MATCH(C842,KT_nguoc_theo_NL!$B$5:$B$304,0))/INDEX(KT_nguoc_theo_NL!$K$5:$K$304,MATCH(C842,KT_nguoc_theo_NL!$B$5:$B$304,0)),""))</f>
        <v/>
      </c>
      <c r="I842" s="39" t="str">
        <f t="shared" si="66"/>
        <v/>
      </c>
      <c r="J842" s="46" t="str">
        <f t="shared" si="67"/>
        <v/>
      </c>
      <c r="K842" s="46" t="str">
        <f t="shared" si="68"/>
        <v/>
      </c>
      <c r="L842" s="46" t="str">
        <f t="shared" si="69"/>
        <v/>
      </c>
      <c r="M842" s="35" t="str">
        <f>IF(B842="","",IF(E842="KXDDM","KXDDM – không ĐM",IF(E842&lt;&gt;"","Không KT ("&amp;E842&amp;")",IF(OR(K842="",L842=""),"Xem xét",IF(MAX(ABS(K842),ABS(L842))&lt;=ThongTin!$C$12,"OK","Xem xét")))))</f>
        <v/>
      </c>
    </row>
    <row r="843" spans="1:13" x14ac:dyDescent="0.25">
      <c r="A843" s="35" t="str">
        <f t="shared" si="65"/>
        <v/>
      </c>
      <c r="B843" s="35" t="str">
        <f>IF(BOM!A843="","",BOM!A843)</f>
        <v/>
      </c>
      <c r="C843" s="35" t="str">
        <f>IF(B843="","",BOM!B843)</f>
        <v/>
      </c>
      <c r="D843" s="35" t="str">
        <f>IF(B843="","",KT_DMTT_ChiTiet!E843)</f>
        <v/>
      </c>
      <c r="E843" s="36" t="str">
        <f>IF(B843="","",BOM!G843&amp;"")</f>
        <v/>
      </c>
      <c r="F843" s="39" t="str">
        <f>IF(B843="","",BOM!E843)</f>
        <v/>
      </c>
      <c r="G843" s="39" t="str">
        <f>IF(OR(B843="",E843="KXDDM"),"",BOM!F843)</f>
        <v/>
      </c>
      <c r="H843" s="39" t="str">
        <f>IF(OR(B843="",E843&lt;&gt;""),"",IFERROR(INDEX(KT_nguoc_theo_NL!$J$5:$J$304,MATCH(C843,KT_nguoc_theo_NL!$B$5:$B$304,0))/INDEX(KT_nguoc_theo_NL!$K$5:$K$304,MATCH(C843,KT_nguoc_theo_NL!$B$5:$B$304,0)),""))</f>
        <v/>
      </c>
      <c r="I843" s="39" t="str">
        <f t="shared" si="66"/>
        <v/>
      </c>
      <c r="J843" s="46" t="str">
        <f t="shared" si="67"/>
        <v/>
      </c>
      <c r="K843" s="46" t="str">
        <f t="shared" si="68"/>
        <v/>
      </c>
      <c r="L843" s="46" t="str">
        <f t="shared" si="69"/>
        <v/>
      </c>
      <c r="M843" s="35" t="str">
        <f>IF(B843="","",IF(E843="KXDDM","KXDDM – không ĐM",IF(E843&lt;&gt;"","Không KT ("&amp;E843&amp;")",IF(OR(K843="",L843=""),"Xem xét",IF(MAX(ABS(K843),ABS(L843))&lt;=ThongTin!$C$12,"OK","Xem xét")))))</f>
        <v/>
      </c>
    </row>
    <row r="844" spans="1:13" x14ac:dyDescent="0.25">
      <c r="A844" s="35" t="str">
        <f t="shared" si="65"/>
        <v/>
      </c>
      <c r="B844" s="35" t="str">
        <f>IF(BOM!A844="","",BOM!A844)</f>
        <v/>
      </c>
      <c r="C844" s="35" t="str">
        <f>IF(B844="","",BOM!B844)</f>
        <v/>
      </c>
      <c r="D844" s="35" t="str">
        <f>IF(B844="","",KT_DMTT_ChiTiet!E844)</f>
        <v/>
      </c>
      <c r="E844" s="36" t="str">
        <f>IF(B844="","",BOM!G844&amp;"")</f>
        <v/>
      </c>
      <c r="F844" s="39" t="str">
        <f>IF(B844="","",BOM!E844)</f>
        <v/>
      </c>
      <c r="G844" s="39" t="str">
        <f>IF(OR(B844="",E844="KXDDM"),"",BOM!F844)</f>
        <v/>
      </c>
      <c r="H844" s="39" t="str">
        <f>IF(OR(B844="",E844&lt;&gt;""),"",IFERROR(INDEX(KT_nguoc_theo_NL!$J$5:$J$304,MATCH(C844,KT_nguoc_theo_NL!$B$5:$B$304,0))/INDEX(KT_nguoc_theo_NL!$K$5:$K$304,MATCH(C844,KT_nguoc_theo_NL!$B$5:$B$304,0)),""))</f>
        <v/>
      </c>
      <c r="I844" s="39" t="str">
        <f t="shared" si="66"/>
        <v/>
      </c>
      <c r="J844" s="46" t="str">
        <f t="shared" si="67"/>
        <v/>
      </c>
      <c r="K844" s="46" t="str">
        <f t="shared" si="68"/>
        <v/>
      </c>
      <c r="L844" s="46" t="str">
        <f t="shared" si="69"/>
        <v/>
      </c>
      <c r="M844" s="35" t="str">
        <f>IF(B844="","",IF(E844="KXDDM","KXDDM – không ĐM",IF(E844&lt;&gt;"","Không KT ("&amp;E844&amp;")",IF(OR(K844="",L844=""),"Xem xét",IF(MAX(ABS(K844),ABS(L844))&lt;=ThongTin!$C$12,"OK","Xem xét")))))</f>
        <v/>
      </c>
    </row>
    <row r="845" spans="1:13" x14ac:dyDescent="0.25">
      <c r="A845" s="35" t="str">
        <f t="shared" si="65"/>
        <v/>
      </c>
      <c r="B845" s="35" t="str">
        <f>IF(BOM!A845="","",BOM!A845)</f>
        <v/>
      </c>
      <c r="C845" s="35" t="str">
        <f>IF(B845="","",BOM!B845)</f>
        <v/>
      </c>
      <c r="D845" s="35" t="str">
        <f>IF(B845="","",KT_DMTT_ChiTiet!E845)</f>
        <v/>
      </c>
      <c r="E845" s="36" t="str">
        <f>IF(B845="","",BOM!G845&amp;"")</f>
        <v/>
      </c>
      <c r="F845" s="39" t="str">
        <f>IF(B845="","",BOM!E845)</f>
        <v/>
      </c>
      <c r="G845" s="39" t="str">
        <f>IF(OR(B845="",E845="KXDDM"),"",BOM!F845)</f>
        <v/>
      </c>
      <c r="H845" s="39" t="str">
        <f>IF(OR(B845="",E845&lt;&gt;""),"",IFERROR(INDEX(KT_nguoc_theo_NL!$J$5:$J$304,MATCH(C845,KT_nguoc_theo_NL!$B$5:$B$304,0))/INDEX(KT_nguoc_theo_NL!$K$5:$K$304,MATCH(C845,KT_nguoc_theo_NL!$B$5:$B$304,0)),""))</f>
        <v/>
      </c>
      <c r="I845" s="39" t="str">
        <f t="shared" si="66"/>
        <v/>
      </c>
      <c r="J845" s="46" t="str">
        <f t="shared" si="67"/>
        <v/>
      </c>
      <c r="K845" s="46" t="str">
        <f t="shared" si="68"/>
        <v/>
      </c>
      <c r="L845" s="46" t="str">
        <f t="shared" si="69"/>
        <v/>
      </c>
      <c r="M845" s="35" t="str">
        <f>IF(B845="","",IF(E845="KXDDM","KXDDM – không ĐM",IF(E845&lt;&gt;"","Không KT ("&amp;E845&amp;")",IF(OR(K845="",L845=""),"Xem xét",IF(MAX(ABS(K845),ABS(L845))&lt;=ThongTin!$C$12,"OK","Xem xét")))))</f>
        <v/>
      </c>
    </row>
    <row r="846" spans="1:13" x14ac:dyDescent="0.25">
      <c r="A846" s="35" t="str">
        <f t="shared" si="65"/>
        <v/>
      </c>
      <c r="B846" s="35" t="str">
        <f>IF(BOM!A846="","",BOM!A846)</f>
        <v/>
      </c>
      <c r="C846" s="35" t="str">
        <f>IF(B846="","",BOM!B846)</f>
        <v/>
      </c>
      <c r="D846" s="35" t="str">
        <f>IF(B846="","",KT_DMTT_ChiTiet!E846)</f>
        <v/>
      </c>
      <c r="E846" s="36" t="str">
        <f>IF(B846="","",BOM!G846&amp;"")</f>
        <v/>
      </c>
      <c r="F846" s="39" t="str">
        <f>IF(B846="","",BOM!E846)</f>
        <v/>
      </c>
      <c r="G846" s="39" t="str">
        <f>IF(OR(B846="",E846="KXDDM"),"",BOM!F846)</f>
        <v/>
      </c>
      <c r="H846" s="39" t="str">
        <f>IF(OR(B846="",E846&lt;&gt;""),"",IFERROR(INDEX(KT_nguoc_theo_NL!$J$5:$J$304,MATCH(C846,KT_nguoc_theo_NL!$B$5:$B$304,0))/INDEX(KT_nguoc_theo_NL!$K$5:$K$304,MATCH(C846,KT_nguoc_theo_NL!$B$5:$B$304,0)),""))</f>
        <v/>
      </c>
      <c r="I846" s="39" t="str">
        <f t="shared" si="66"/>
        <v/>
      </c>
      <c r="J846" s="46" t="str">
        <f t="shared" si="67"/>
        <v/>
      </c>
      <c r="K846" s="46" t="str">
        <f t="shared" si="68"/>
        <v/>
      </c>
      <c r="L846" s="46" t="str">
        <f t="shared" si="69"/>
        <v/>
      </c>
      <c r="M846" s="35" t="str">
        <f>IF(B846="","",IF(E846="KXDDM","KXDDM – không ĐM",IF(E846&lt;&gt;"","Không KT ("&amp;E846&amp;")",IF(OR(K846="",L846=""),"Xem xét",IF(MAX(ABS(K846),ABS(L846))&lt;=ThongTin!$C$12,"OK","Xem xét")))))</f>
        <v/>
      </c>
    </row>
    <row r="847" spans="1:13" x14ac:dyDescent="0.25">
      <c r="A847" s="35" t="str">
        <f t="shared" si="65"/>
        <v/>
      </c>
      <c r="B847" s="35" t="str">
        <f>IF(BOM!A847="","",BOM!A847)</f>
        <v/>
      </c>
      <c r="C847" s="35" t="str">
        <f>IF(B847="","",BOM!B847)</f>
        <v/>
      </c>
      <c r="D847" s="35" t="str">
        <f>IF(B847="","",KT_DMTT_ChiTiet!E847)</f>
        <v/>
      </c>
      <c r="E847" s="36" t="str">
        <f>IF(B847="","",BOM!G847&amp;"")</f>
        <v/>
      </c>
      <c r="F847" s="39" t="str">
        <f>IF(B847="","",BOM!E847)</f>
        <v/>
      </c>
      <c r="G847" s="39" t="str">
        <f>IF(OR(B847="",E847="KXDDM"),"",BOM!F847)</f>
        <v/>
      </c>
      <c r="H847" s="39" t="str">
        <f>IF(OR(B847="",E847&lt;&gt;""),"",IFERROR(INDEX(KT_nguoc_theo_NL!$J$5:$J$304,MATCH(C847,KT_nguoc_theo_NL!$B$5:$B$304,0))/INDEX(KT_nguoc_theo_NL!$K$5:$K$304,MATCH(C847,KT_nguoc_theo_NL!$B$5:$B$304,0)),""))</f>
        <v/>
      </c>
      <c r="I847" s="39" t="str">
        <f t="shared" si="66"/>
        <v/>
      </c>
      <c r="J847" s="46" t="str">
        <f t="shared" si="67"/>
        <v/>
      </c>
      <c r="K847" s="46" t="str">
        <f t="shared" si="68"/>
        <v/>
      </c>
      <c r="L847" s="46" t="str">
        <f t="shared" si="69"/>
        <v/>
      </c>
      <c r="M847" s="35" t="str">
        <f>IF(B847="","",IF(E847="KXDDM","KXDDM – không ĐM",IF(E847&lt;&gt;"","Không KT ("&amp;E847&amp;")",IF(OR(K847="",L847=""),"Xem xét",IF(MAX(ABS(K847),ABS(L847))&lt;=ThongTin!$C$12,"OK","Xem xét")))))</f>
        <v/>
      </c>
    </row>
    <row r="848" spans="1:13" x14ac:dyDescent="0.25">
      <c r="A848" s="35" t="str">
        <f t="shared" si="65"/>
        <v/>
      </c>
      <c r="B848" s="35" t="str">
        <f>IF(BOM!A848="","",BOM!A848)</f>
        <v/>
      </c>
      <c r="C848" s="35" t="str">
        <f>IF(B848="","",BOM!B848)</f>
        <v/>
      </c>
      <c r="D848" s="35" t="str">
        <f>IF(B848="","",KT_DMTT_ChiTiet!E848)</f>
        <v/>
      </c>
      <c r="E848" s="36" t="str">
        <f>IF(B848="","",BOM!G848&amp;"")</f>
        <v/>
      </c>
      <c r="F848" s="39" t="str">
        <f>IF(B848="","",BOM!E848)</f>
        <v/>
      </c>
      <c r="G848" s="39" t="str">
        <f>IF(OR(B848="",E848="KXDDM"),"",BOM!F848)</f>
        <v/>
      </c>
      <c r="H848" s="39" t="str">
        <f>IF(OR(B848="",E848&lt;&gt;""),"",IFERROR(INDEX(KT_nguoc_theo_NL!$J$5:$J$304,MATCH(C848,KT_nguoc_theo_NL!$B$5:$B$304,0))/INDEX(KT_nguoc_theo_NL!$K$5:$K$304,MATCH(C848,KT_nguoc_theo_NL!$B$5:$B$304,0)),""))</f>
        <v/>
      </c>
      <c r="I848" s="39" t="str">
        <f t="shared" si="66"/>
        <v/>
      </c>
      <c r="J848" s="46" t="str">
        <f t="shared" si="67"/>
        <v/>
      </c>
      <c r="K848" s="46" t="str">
        <f t="shared" si="68"/>
        <v/>
      </c>
      <c r="L848" s="46" t="str">
        <f t="shared" si="69"/>
        <v/>
      </c>
      <c r="M848" s="35" t="str">
        <f>IF(B848="","",IF(E848="KXDDM","KXDDM – không ĐM",IF(E848&lt;&gt;"","Không KT ("&amp;E848&amp;")",IF(OR(K848="",L848=""),"Xem xét",IF(MAX(ABS(K848),ABS(L848))&lt;=ThongTin!$C$12,"OK","Xem xét")))))</f>
        <v/>
      </c>
    </row>
    <row r="849" spans="1:13" x14ac:dyDescent="0.25">
      <c r="A849" s="35" t="str">
        <f t="shared" si="65"/>
        <v/>
      </c>
      <c r="B849" s="35" t="str">
        <f>IF(BOM!A849="","",BOM!A849)</f>
        <v/>
      </c>
      <c r="C849" s="35" t="str">
        <f>IF(B849="","",BOM!B849)</f>
        <v/>
      </c>
      <c r="D849" s="35" t="str">
        <f>IF(B849="","",KT_DMTT_ChiTiet!E849)</f>
        <v/>
      </c>
      <c r="E849" s="36" t="str">
        <f>IF(B849="","",BOM!G849&amp;"")</f>
        <v/>
      </c>
      <c r="F849" s="39" t="str">
        <f>IF(B849="","",BOM!E849)</f>
        <v/>
      </c>
      <c r="G849" s="39" t="str">
        <f>IF(OR(B849="",E849="KXDDM"),"",BOM!F849)</f>
        <v/>
      </c>
      <c r="H849" s="39" t="str">
        <f>IF(OR(B849="",E849&lt;&gt;""),"",IFERROR(INDEX(KT_nguoc_theo_NL!$J$5:$J$304,MATCH(C849,KT_nguoc_theo_NL!$B$5:$B$304,0))/INDEX(KT_nguoc_theo_NL!$K$5:$K$304,MATCH(C849,KT_nguoc_theo_NL!$B$5:$B$304,0)),""))</f>
        <v/>
      </c>
      <c r="I849" s="39" t="str">
        <f t="shared" si="66"/>
        <v/>
      </c>
      <c r="J849" s="46" t="str">
        <f t="shared" si="67"/>
        <v/>
      </c>
      <c r="K849" s="46" t="str">
        <f t="shared" si="68"/>
        <v/>
      </c>
      <c r="L849" s="46" t="str">
        <f t="shared" si="69"/>
        <v/>
      </c>
      <c r="M849" s="35" t="str">
        <f>IF(B849="","",IF(E849="KXDDM","KXDDM – không ĐM",IF(E849&lt;&gt;"","Không KT ("&amp;E849&amp;")",IF(OR(K849="",L849=""),"Xem xét",IF(MAX(ABS(K849),ABS(L849))&lt;=ThongTin!$C$12,"OK","Xem xét")))))</f>
        <v/>
      </c>
    </row>
    <row r="850" spans="1:13" x14ac:dyDescent="0.25">
      <c r="A850" s="35" t="str">
        <f t="shared" si="65"/>
        <v/>
      </c>
      <c r="B850" s="35" t="str">
        <f>IF(BOM!A850="","",BOM!A850)</f>
        <v/>
      </c>
      <c r="C850" s="35" t="str">
        <f>IF(B850="","",BOM!B850)</f>
        <v/>
      </c>
      <c r="D850" s="35" t="str">
        <f>IF(B850="","",KT_DMTT_ChiTiet!E850)</f>
        <v/>
      </c>
      <c r="E850" s="36" t="str">
        <f>IF(B850="","",BOM!G850&amp;"")</f>
        <v/>
      </c>
      <c r="F850" s="39" t="str">
        <f>IF(B850="","",BOM!E850)</f>
        <v/>
      </c>
      <c r="G850" s="39" t="str">
        <f>IF(OR(B850="",E850="KXDDM"),"",BOM!F850)</f>
        <v/>
      </c>
      <c r="H850" s="39" t="str">
        <f>IF(OR(B850="",E850&lt;&gt;""),"",IFERROR(INDEX(KT_nguoc_theo_NL!$J$5:$J$304,MATCH(C850,KT_nguoc_theo_NL!$B$5:$B$304,0))/INDEX(KT_nguoc_theo_NL!$K$5:$K$304,MATCH(C850,KT_nguoc_theo_NL!$B$5:$B$304,0)),""))</f>
        <v/>
      </c>
      <c r="I850" s="39" t="str">
        <f t="shared" si="66"/>
        <v/>
      </c>
      <c r="J850" s="46" t="str">
        <f t="shared" si="67"/>
        <v/>
      </c>
      <c r="K850" s="46" t="str">
        <f t="shared" si="68"/>
        <v/>
      </c>
      <c r="L850" s="46" t="str">
        <f t="shared" si="69"/>
        <v/>
      </c>
      <c r="M850" s="35" t="str">
        <f>IF(B850="","",IF(E850="KXDDM","KXDDM – không ĐM",IF(E850&lt;&gt;"","Không KT ("&amp;E850&amp;")",IF(OR(K850="",L850=""),"Xem xét",IF(MAX(ABS(K850),ABS(L850))&lt;=ThongTin!$C$12,"OK","Xem xét")))))</f>
        <v/>
      </c>
    </row>
    <row r="851" spans="1:13" x14ac:dyDescent="0.25">
      <c r="A851" s="35" t="str">
        <f t="shared" si="65"/>
        <v/>
      </c>
      <c r="B851" s="35" t="str">
        <f>IF(BOM!A851="","",BOM!A851)</f>
        <v/>
      </c>
      <c r="C851" s="35" t="str">
        <f>IF(B851="","",BOM!B851)</f>
        <v/>
      </c>
      <c r="D851" s="35" t="str">
        <f>IF(B851="","",KT_DMTT_ChiTiet!E851)</f>
        <v/>
      </c>
      <c r="E851" s="36" t="str">
        <f>IF(B851="","",BOM!G851&amp;"")</f>
        <v/>
      </c>
      <c r="F851" s="39" t="str">
        <f>IF(B851="","",BOM!E851)</f>
        <v/>
      </c>
      <c r="G851" s="39" t="str">
        <f>IF(OR(B851="",E851="KXDDM"),"",BOM!F851)</f>
        <v/>
      </c>
      <c r="H851" s="39" t="str">
        <f>IF(OR(B851="",E851&lt;&gt;""),"",IFERROR(INDEX(KT_nguoc_theo_NL!$J$5:$J$304,MATCH(C851,KT_nguoc_theo_NL!$B$5:$B$304,0))/INDEX(KT_nguoc_theo_NL!$K$5:$K$304,MATCH(C851,KT_nguoc_theo_NL!$B$5:$B$304,0)),""))</f>
        <v/>
      </c>
      <c r="I851" s="39" t="str">
        <f t="shared" si="66"/>
        <v/>
      </c>
      <c r="J851" s="46" t="str">
        <f t="shared" si="67"/>
        <v/>
      </c>
      <c r="K851" s="46" t="str">
        <f t="shared" si="68"/>
        <v/>
      </c>
      <c r="L851" s="46" t="str">
        <f t="shared" si="69"/>
        <v/>
      </c>
      <c r="M851" s="35" t="str">
        <f>IF(B851="","",IF(E851="KXDDM","KXDDM – không ĐM",IF(E851&lt;&gt;"","Không KT ("&amp;E851&amp;")",IF(OR(K851="",L851=""),"Xem xét",IF(MAX(ABS(K851),ABS(L851))&lt;=ThongTin!$C$12,"OK","Xem xét")))))</f>
        <v/>
      </c>
    </row>
    <row r="852" spans="1:13" x14ac:dyDescent="0.25">
      <c r="A852" s="35" t="str">
        <f t="shared" si="65"/>
        <v/>
      </c>
      <c r="B852" s="35" t="str">
        <f>IF(BOM!A852="","",BOM!A852)</f>
        <v/>
      </c>
      <c r="C852" s="35" t="str">
        <f>IF(B852="","",BOM!B852)</f>
        <v/>
      </c>
      <c r="D852" s="35" t="str">
        <f>IF(B852="","",KT_DMTT_ChiTiet!E852)</f>
        <v/>
      </c>
      <c r="E852" s="36" t="str">
        <f>IF(B852="","",BOM!G852&amp;"")</f>
        <v/>
      </c>
      <c r="F852" s="39" t="str">
        <f>IF(B852="","",BOM!E852)</f>
        <v/>
      </c>
      <c r="G852" s="39" t="str">
        <f>IF(OR(B852="",E852="KXDDM"),"",BOM!F852)</f>
        <v/>
      </c>
      <c r="H852" s="39" t="str">
        <f>IF(OR(B852="",E852&lt;&gt;""),"",IFERROR(INDEX(KT_nguoc_theo_NL!$J$5:$J$304,MATCH(C852,KT_nguoc_theo_NL!$B$5:$B$304,0))/INDEX(KT_nguoc_theo_NL!$K$5:$K$304,MATCH(C852,KT_nguoc_theo_NL!$B$5:$B$304,0)),""))</f>
        <v/>
      </c>
      <c r="I852" s="39" t="str">
        <f t="shared" si="66"/>
        <v/>
      </c>
      <c r="J852" s="46" t="str">
        <f t="shared" si="67"/>
        <v/>
      </c>
      <c r="K852" s="46" t="str">
        <f t="shared" si="68"/>
        <v/>
      </c>
      <c r="L852" s="46" t="str">
        <f t="shared" si="69"/>
        <v/>
      </c>
      <c r="M852" s="35" t="str">
        <f>IF(B852="","",IF(E852="KXDDM","KXDDM – không ĐM",IF(E852&lt;&gt;"","Không KT ("&amp;E852&amp;")",IF(OR(K852="",L852=""),"Xem xét",IF(MAX(ABS(K852),ABS(L852))&lt;=ThongTin!$C$12,"OK","Xem xét")))))</f>
        <v/>
      </c>
    </row>
    <row r="853" spans="1:13" x14ac:dyDescent="0.25">
      <c r="A853" s="35" t="str">
        <f t="shared" si="65"/>
        <v/>
      </c>
      <c r="B853" s="35" t="str">
        <f>IF(BOM!A853="","",BOM!A853)</f>
        <v/>
      </c>
      <c r="C853" s="35" t="str">
        <f>IF(B853="","",BOM!B853)</f>
        <v/>
      </c>
      <c r="D853" s="35" t="str">
        <f>IF(B853="","",KT_DMTT_ChiTiet!E853)</f>
        <v/>
      </c>
      <c r="E853" s="36" t="str">
        <f>IF(B853="","",BOM!G853&amp;"")</f>
        <v/>
      </c>
      <c r="F853" s="39" t="str">
        <f>IF(B853="","",BOM!E853)</f>
        <v/>
      </c>
      <c r="G853" s="39" t="str">
        <f>IF(OR(B853="",E853="KXDDM"),"",BOM!F853)</f>
        <v/>
      </c>
      <c r="H853" s="39" t="str">
        <f>IF(OR(B853="",E853&lt;&gt;""),"",IFERROR(INDEX(KT_nguoc_theo_NL!$J$5:$J$304,MATCH(C853,KT_nguoc_theo_NL!$B$5:$B$304,0))/INDEX(KT_nguoc_theo_NL!$K$5:$K$304,MATCH(C853,KT_nguoc_theo_NL!$B$5:$B$304,0)),""))</f>
        <v/>
      </c>
      <c r="I853" s="39" t="str">
        <f t="shared" si="66"/>
        <v/>
      </c>
      <c r="J853" s="46" t="str">
        <f t="shared" si="67"/>
        <v/>
      </c>
      <c r="K853" s="46" t="str">
        <f t="shared" si="68"/>
        <v/>
      </c>
      <c r="L853" s="46" t="str">
        <f t="shared" si="69"/>
        <v/>
      </c>
      <c r="M853" s="35" t="str">
        <f>IF(B853="","",IF(E853="KXDDM","KXDDM – không ĐM",IF(E853&lt;&gt;"","Không KT ("&amp;E853&amp;")",IF(OR(K853="",L853=""),"Xem xét",IF(MAX(ABS(K853),ABS(L853))&lt;=ThongTin!$C$12,"OK","Xem xét")))))</f>
        <v/>
      </c>
    </row>
    <row r="854" spans="1:13" x14ac:dyDescent="0.25">
      <c r="A854" s="35" t="str">
        <f t="shared" si="65"/>
        <v/>
      </c>
      <c r="B854" s="35" t="str">
        <f>IF(BOM!A854="","",BOM!A854)</f>
        <v/>
      </c>
      <c r="C854" s="35" t="str">
        <f>IF(B854="","",BOM!B854)</f>
        <v/>
      </c>
      <c r="D854" s="35" t="str">
        <f>IF(B854="","",KT_DMTT_ChiTiet!E854)</f>
        <v/>
      </c>
      <c r="E854" s="36" t="str">
        <f>IF(B854="","",BOM!G854&amp;"")</f>
        <v/>
      </c>
      <c r="F854" s="39" t="str">
        <f>IF(B854="","",BOM!E854)</f>
        <v/>
      </c>
      <c r="G854" s="39" t="str">
        <f>IF(OR(B854="",E854="KXDDM"),"",BOM!F854)</f>
        <v/>
      </c>
      <c r="H854" s="39" t="str">
        <f>IF(OR(B854="",E854&lt;&gt;""),"",IFERROR(INDEX(KT_nguoc_theo_NL!$J$5:$J$304,MATCH(C854,KT_nguoc_theo_NL!$B$5:$B$304,0))/INDEX(KT_nguoc_theo_NL!$K$5:$K$304,MATCH(C854,KT_nguoc_theo_NL!$B$5:$B$304,0)),""))</f>
        <v/>
      </c>
      <c r="I854" s="39" t="str">
        <f t="shared" si="66"/>
        <v/>
      </c>
      <c r="J854" s="46" t="str">
        <f t="shared" si="67"/>
        <v/>
      </c>
      <c r="K854" s="46" t="str">
        <f t="shared" si="68"/>
        <v/>
      </c>
      <c r="L854" s="46" t="str">
        <f t="shared" si="69"/>
        <v/>
      </c>
      <c r="M854" s="35" t="str">
        <f>IF(B854="","",IF(E854="KXDDM","KXDDM – không ĐM",IF(E854&lt;&gt;"","Không KT ("&amp;E854&amp;")",IF(OR(K854="",L854=""),"Xem xét",IF(MAX(ABS(K854),ABS(L854))&lt;=ThongTin!$C$12,"OK","Xem xét")))))</f>
        <v/>
      </c>
    </row>
    <row r="855" spans="1:13" x14ac:dyDescent="0.25">
      <c r="A855" s="35" t="str">
        <f t="shared" si="65"/>
        <v/>
      </c>
      <c r="B855" s="35" t="str">
        <f>IF(BOM!A855="","",BOM!A855)</f>
        <v/>
      </c>
      <c r="C855" s="35" t="str">
        <f>IF(B855="","",BOM!B855)</f>
        <v/>
      </c>
      <c r="D855" s="35" t="str">
        <f>IF(B855="","",KT_DMTT_ChiTiet!E855)</f>
        <v/>
      </c>
      <c r="E855" s="36" t="str">
        <f>IF(B855="","",BOM!G855&amp;"")</f>
        <v/>
      </c>
      <c r="F855" s="39" t="str">
        <f>IF(B855="","",BOM!E855)</f>
        <v/>
      </c>
      <c r="G855" s="39" t="str">
        <f>IF(OR(B855="",E855="KXDDM"),"",BOM!F855)</f>
        <v/>
      </c>
      <c r="H855" s="39" t="str">
        <f>IF(OR(B855="",E855&lt;&gt;""),"",IFERROR(INDEX(KT_nguoc_theo_NL!$J$5:$J$304,MATCH(C855,KT_nguoc_theo_NL!$B$5:$B$304,0))/INDEX(KT_nguoc_theo_NL!$K$5:$K$304,MATCH(C855,KT_nguoc_theo_NL!$B$5:$B$304,0)),""))</f>
        <v/>
      </c>
      <c r="I855" s="39" t="str">
        <f t="shared" si="66"/>
        <v/>
      </c>
      <c r="J855" s="46" t="str">
        <f t="shared" si="67"/>
        <v/>
      </c>
      <c r="K855" s="46" t="str">
        <f t="shared" si="68"/>
        <v/>
      </c>
      <c r="L855" s="46" t="str">
        <f t="shared" si="69"/>
        <v/>
      </c>
      <c r="M855" s="35" t="str">
        <f>IF(B855="","",IF(E855="KXDDM","KXDDM – không ĐM",IF(E855&lt;&gt;"","Không KT ("&amp;E855&amp;")",IF(OR(K855="",L855=""),"Xem xét",IF(MAX(ABS(K855),ABS(L855))&lt;=ThongTin!$C$12,"OK","Xem xét")))))</f>
        <v/>
      </c>
    </row>
    <row r="856" spans="1:13" x14ac:dyDescent="0.25">
      <c r="A856" s="35" t="str">
        <f t="shared" si="65"/>
        <v/>
      </c>
      <c r="B856" s="35" t="str">
        <f>IF(BOM!A856="","",BOM!A856)</f>
        <v/>
      </c>
      <c r="C856" s="35" t="str">
        <f>IF(B856="","",BOM!B856)</f>
        <v/>
      </c>
      <c r="D856" s="35" t="str">
        <f>IF(B856="","",KT_DMTT_ChiTiet!E856)</f>
        <v/>
      </c>
      <c r="E856" s="36" t="str">
        <f>IF(B856="","",BOM!G856&amp;"")</f>
        <v/>
      </c>
      <c r="F856" s="39" t="str">
        <f>IF(B856="","",BOM!E856)</f>
        <v/>
      </c>
      <c r="G856" s="39" t="str">
        <f>IF(OR(B856="",E856="KXDDM"),"",BOM!F856)</f>
        <v/>
      </c>
      <c r="H856" s="39" t="str">
        <f>IF(OR(B856="",E856&lt;&gt;""),"",IFERROR(INDEX(KT_nguoc_theo_NL!$J$5:$J$304,MATCH(C856,KT_nguoc_theo_NL!$B$5:$B$304,0))/INDEX(KT_nguoc_theo_NL!$K$5:$K$304,MATCH(C856,KT_nguoc_theo_NL!$B$5:$B$304,0)),""))</f>
        <v/>
      </c>
      <c r="I856" s="39" t="str">
        <f t="shared" si="66"/>
        <v/>
      </c>
      <c r="J856" s="46" t="str">
        <f t="shared" si="67"/>
        <v/>
      </c>
      <c r="K856" s="46" t="str">
        <f t="shared" si="68"/>
        <v/>
      </c>
      <c r="L856" s="46" t="str">
        <f t="shared" si="69"/>
        <v/>
      </c>
      <c r="M856" s="35" t="str">
        <f>IF(B856="","",IF(E856="KXDDM","KXDDM – không ĐM",IF(E856&lt;&gt;"","Không KT ("&amp;E856&amp;")",IF(OR(K856="",L856=""),"Xem xét",IF(MAX(ABS(K856),ABS(L856))&lt;=ThongTin!$C$12,"OK","Xem xét")))))</f>
        <v/>
      </c>
    </row>
    <row r="857" spans="1:13" x14ac:dyDescent="0.25">
      <c r="A857" s="35" t="str">
        <f t="shared" si="65"/>
        <v/>
      </c>
      <c r="B857" s="35" t="str">
        <f>IF(BOM!A857="","",BOM!A857)</f>
        <v/>
      </c>
      <c r="C857" s="35" t="str">
        <f>IF(B857="","",BOM!B857)</f>
        <v/>
      </c>
      <c r="D857" s="35" t="str">
        <f>IF(B857="","",KT_DMTT_ChiTiet!E857)</f>
        <v/>
      </c>
      <c r="E857" s="36" t="str">
        <f>IF(B857="","",BOM!G857&amp;"")</f>
        <v/>
      </c>
      <c r="F857" s="39" t="str">
        <f>IF(B857="","",BOM!E857)</f>
        <v/>
      </c>
      <c r="G857" s="39" t="str">
        <f>IF(OR(B857="",E857="KXDDM"),"",BOM!F857)</f>
        <v/>
      </c>
      <c r="H857" s="39" t="str">
        <f>IF(OR(B857="",E857&lt;&gt;""),"",IFERROR(INDEX(KT_nguoc_theo_NL!$J$5:$J$304,MATCH(C857,KT_nguoc_theo_NL!$B$5:$B$304,0))/INDEX(KT_nguoc_theo_NL!$K$5:$K$304,MATCH(C857,KT_nguoc_theo_NL!$B$5:$B$304,0)),""))</f>
        <v/>
      </c>
      <c r="I857" s="39" t="str">
        <f t="shared" si="66"/>
        <v/>
      </c>
      <c r="J857" s="46" t="str">
        <f t="shared" si="67"/>
        <v/>
      </c>
      <c r="K857" s="46" t="str">
        <f t="shared" si="68"/>
        <v/>
      </c>
      <c r="L857" s="46" t="str">
        <f t="shared" si="69"/>
        <v/>
      </c>
      <c r="M857" s="35" t="str">
        <f>IF(B857="","",IF(E857="KXDDM","KXDDM – không ĐM",IF(E857&lt;&gt;"","Không KT ("&amp;E857&amp;")",IF(OR(K857="",L857=""),"Xem xét",IF(MAX(ABS(K857),ABS(L857))&lt;=ThongTin!$C$12,"OK","Xem xét")))))</f>
        <v/>
      </c>
    </row>
    <row r="858" spans="1:13" x14ac:dyDescent="0.25">
      <c r="A858" s="35" t="str">
        <f t="shared" si="65"/>
        <v/>
      </c>
      <c r="B858" s="35" t="str">
        <f>IF(BOM!A858="","",BOM!A858)</f>
        <v/>
      </c>
      <c r="C858" s="35" t="str">
        <f>IF(B858="","",BOM!B858)</f>
        <v/>
      </c>
      <c r="D858" s="35" t="str">
        <f>IF(B858="","",KT_DMTT_ChiTiet!E858)</f>
        <v/>
      </c>
      <c r="E858" s="36" t="str">
        <f>IF(B858="","",BOM!G858&amp;"")</f>
        <v/>
      </c>
      <c r="F858" s="39" t="str">
        <f>IF(B858="","",BOM!E858)</f>
        <v/>
      </c>
      <c r="G858" s="39" t="str">
        <f>IF(OR(B858="",E858="KXDDM"),"",BOM!F858)</f>
        <v/>
      </c>
      <c r="H858" s="39" t="str">
        <f>IF(OR(B858="",E858&lt;&gt;""),"",IFERROR(INDEX(KT_nguoc_theo_NL!$J$5:$J$304,MATCH(C858,KT_nguoc_theo_NL!$B$5:$B$304,0))/INDEX(KT_nguoc_theo_NL!$K$5:$K$304,MATCH(C858,KT_nguoc_theo_NL!$B$5:$B$304,0)),""))</f>
        <v/>
      </c>
      <c r="I858" s="39" t="str">
        <f t="shared" si="66"/>
        <v/>
      </c>
      <c r="J858" s="46" t="str">
        <f t="shared" si="67"/>
        <v/>
      </c>
      <c r="K858" s="46" t="str">
        <f t="shared" si="68"/>
        <v/>
      </c>
      <c r="L858" s="46" t="str">
        <f t="shared" si="69"/>
        <v/>
      </c>
      <c r="M858" s="35" t="str">
        <f>IF(B858="","",IF(E858="KXDDM","KXDDM – không ĐM",IF(E858&lt;&gt;"","Không KT ("&amp;E858&amp;")",IF(OR(K858="",L858=""),"Xem xét",IF(MAX(ABS(K858),ABS(L858))&lt;=ThongTin!$C$12,"OK","Xem xét")))))</f>
        <v/>
      </c>
    </row>
    <row r="859" spans="1:13" x14ac:dyDescent="0.25">
      <c r="A859" s="35" t="str">
        <f t="shared" si="65"/>
        <v/>
      </c>
      <c r="B859" s="35" t="str">
        <f>IF(BOM!A859="","",BOM!A859)</f>
        <v/>
      </c>
      <c r="C859" s="35" t="str">
        <f>IF(B859="","",BOM!B859)</f>
        <v/>
      </c>
      <c r="D859" s="35" t="str">
        <f>IF(B859="","",KT_DMTT_ChiTiet!E859)</f>
        <v/>
      </c>
      <c r="E859" s="36" t="str">
        <f>IF(B859="","",BOM!G859&amp;"")</f>
        <v/>
      </c>
      <c r="F859" s="39" t="str">
        <f>IF(B859="","",BOM!E859)</f>
        <v/>
      </c>
      <c r="G859" s="39" t="str">
        <f>IF(OR(B859="",E859="KXDDM"),"",BOM!F859)</f>
        <v/>
      </c>
      <c r="H859" s="39" t="str">
        <f>IF(OR(B859="",E859&lt;&gt;""),"",IFERROR(INDEX(KT_nguoc_theo_NL!$J$5:$J$304,MATCH(C859,KT_nguoc_theo_NL!$B$5:$B$304,0))/INDEX(KT_nguoc_theo_NL!$K$5:$K$304,MATCH(C859,KT_nguoc_theo_NL!$B$5:$B$304,0)),""))</f>
        <v/>
      </c>
      <c r="I859" s="39" t="str">
        <f t="shared" si="66"/>
        <v/>
      </c>
      <c r="J859" s="46" t="str">
        <f t="shared" si="67"/>
        <v/>
      </c>
      <c r="K859" s="46" t="str">
        <f t="shared" si="68"/>
        <v/>
      </c>
      <c r="L859" s="46" t="str">
        <f t="shared" si="69"/>
        <v/>
      </c>
      <c r="M859" s="35" t="str">
        <f>IF(B859="","",IF(E859="KXDDM","KXDDM – không ĐM",IF(E859&lt;&gt;"","Không KT ("&amp;E859&amp;")",IF(OR(K859="",L859=""),"Xem xét",IF(MAX(ABS(K859),ABS(L859))&lt;=ThongTin!$C$12,"OK","Xem xét")))))</f>
        <v/>
      </c>
    </row>
    <row r="860" spans="1:13" x14ac:dyDescent="0.25">
      <c r="A860" s="35" t="str">
        <f t="shared" si="65"/>
        <v/>
      </c>
      <c r="B860" s="35" t="str">
        <f>IF(BOM!A860="","",BOM!A860)</f>
        <v/>
      </c>
      <c r="C860" s="35" t="str">
        <f>IF(B860="","",BOM!B860)</f>
        <v/>
      </c>
      <c r="D860" s="35" t="str">
        <f>IF(B860="","",KT_DMTT_ChiTiet!E860)</f>
        <v/>
      </c>
      <c r="E860" s="36" t="str">
        <f>IF(B860="","",BOM!G860&amp;"")</f>
        <v/>
      </c>
      <c r="F860" s="39" t="str">
        <f>IF(B860="","",BOM!E860)</f>
        <v/>
      </c>
      <c r="G860" s="39" t="str">
        <f>IF(OR(B860="",E860="KXDDM"),"",BOM!F860)</f>
        <v/>
      </c>
      <c r="H860" s="39" t="str">
        <f>IF(OR(B860="",E860&lt;&gt;""),"",IFERROR(INDEX(KT_nguoc_theo_NL!$J$5:$J$304,MATCH(C860,KT_nguoc_theo_NL!$B$5:$B$304,0))/INDEX(KT_nguoc_theo_NL!$K$5:$K$304,MATCH(C860,KT_nguoc_theo_NL!$B$5:$B$304,0)),""))</f>
        <v/>
      </c>
      <c r="I860" s="39" t="str">
        <f t="shared" si="66"/>
        <v/>
      </c>
      <c r="J860" s="46" t="str">
        <f t="shared" si="67"/>
        <v/>
      </c>
      <c r="K860" s="46" t="str">
        <f t="shared" si="68"/>
        <v/>
      </c>
      <c r="L860" s="46" t="str">
        <f t="shared" si="69"/>
        <v/>
      </c>
      <c r="M860" s="35" t="str">
        <f>IF(B860="","",IF(E860="KXDDM","KXDDM – không ĐM",IF(E860&lt;&gt;"","Không KT ("&amp;E860&amp;")",IF(OR(K860="",L860=""),"Xem xét",IF(MAX(ABS(K860),ABS(L860))&lt;=ThongTin!$C$12,"OK","Xem xét")))))</f>
        <v/>
      </c>
    </row>
    <row r="861" spans="1:13" x14ac:dyDescent="0.25">
      <c r="A861" s="35" t="str">
        <f t="shared" si="65"/>
        <v/>
      </c>
      <c r="B861" s="35" t="str">
        <f>IF(BOM!A861="","",BOM!A861)</f>
        <v/>
      </c>
      <c r="C861" s="35" t="str">
        <f>IF(B861="","",BOM!B861)</f>
        <v/>
      </c>
      <c r="D861" s="35" t="str">
        <f>IF(B861="","",KT_DMTT_ChiTiet!E861)</f>
        <v/>
      </c>
      <c r="E861" s="36" t="str">
        <f>IF(B861="","",BOM!G861&amp;"")</f>
        <v/>
      </c>
      <c r="F861" s="39" t="str">
        <f>IF(B861="","",BOM!E861)</f>
        <v/>
      </c>
      <c r="G861" s="39" t="str">
        <f>IF(OR(B861="",E861="KXDDM"),"",BOM!F861)</f>
        <v/>
      </c>
      <c r="H861" s="39" t="str">
        <f>IF(OR(B861="",E861&lt;&gt;""),"",IFERROR(INDEX(KT_nguoc_theo_NL!$J$5:$J$304,MATCH(C861,KT_nguoc_theo_NL!$B$5:$B$304,0))/INDEX(KT_nguoc_theo_NL!$K$5:$K$304,MATCH(C861,KT_nguoc_theo_NL!$B$5:$B$304,0)),""))</f>
        <v/>
      </c>
      <c r="I861" s="39" t="str">
        <f t="shared" si="66"/>
        <v/>
      </c>
      <c r="J861" s="46" t="str">
        <f t="shared" si="67"/>
        <v/>
      </c>
      <c r="K861" s="46" t="str">
        <f t="shared" si="68"/>
        <v/>
      </c>
      <c r="L861" s="46" t="str">
        <f t="shared" si="69"/>
        <v/>
      </c>
      <c r="M861" s="35" t="str">
        <f>IF(B861="","",IF(E861="KXDDM","KXDDM – không ĐM",IF(E861&lt;&gt;"","Không KT ("&amp;E861&amp;")",IF(OR(K861="",L861=""),"Xem xét",IF(MAX(ABS(K861),ABS(L861))&lt;=ThongTin!$C$12,"OK","Xem xét")))))</f>
        <v/>
      </c>
    </row>
    <row r="862" spans="1:13" x14ac:dyDescent="0.25">
      <c r="A862" s="35" t="str">
        <f t="shared" si="65"/>
        <v/>
      </c>
      <c r="B862" s="35" t="str">
        <f>IF(BOM!A862="","",BOM!A862)</f>
        <v/>
      </c>
      <c r="C862" s="35" t="str">
        <f>IF(B862="","",BOM!B862)</f>
        <v/>
      </c>
      <c r="D862" s="35" t="str">
        <f>IF(B862="","",KT_DMTT_ChiTiet!E862)</f>
        <v/>
      </c>
      <c r="E862" s="36" t="str">
        <f>IF(B862="","",BOM!G862&amp;"")</f>
        <v/>
      </c>
      <c r="F862" s="39" t="str">
        <f>IF(B862="","",BOM!E862)</f>
        <v/>
      </c>
      <c r="G862" s="39" t="str">
        <f>IF(OR(B862="",E862="KXDDM"),"",BOM!F862)</f>
        <v/>
      </c>
      <c r="H862" s="39" t="str">
        <f>IF(OR(B862="",E862&lt;&gt;""),"",IFERROR(INDEX(KT_nguoc_theo_NL!$J$5:$J$304,MATCH(C862,KT_nguoc_theo_NL!$B$5:$B$304,0))/INDEX(KT_nguoc_theo_NL!$K$5:$K$304,MATCH(C862,KT_nguoc_theo_NL!$B$5:$B$304,0)),""))</f>
        <v/>
      </c>
      <c r="I862" s="39" t="str">
        <f t="shared" si="66"/>
        <v/>
      </c>
      <c r="J862" s="46" t="str">
        <f t="shared" si="67"/>
        <v/>
      </c>
      <c r="K862" s="46" t="str">
        <f t="shared" si="68"/>
        <v/>
      </c>
      <c r="L862" s="46" t="str">
        <f t="shared" si="69"/>
        <v/>
      </c>
      <c r="M862" s="35" t="str">
        <f>IF(B862="","",IF(E862="KXDDM","KXDDM – không ĐM",IF(E862&lt;&gt;"","Không KT ("&amp;E862&amp;")",IF(OR(K862="",L862=""),"Xem xét",IF(MAX(ABS(K862),ABS(L862))&lt;=ThongTin!$C$12,"OK","Xem xét")))))</f>
        <v/>
      </c>
    </row>
    <row r="863" spans="1:13" x14ac:dyDescent="0.25">
      <c r="A863" s="35" t="str">
        <f t="shared" si="65"/>
        <v/>
      </c>
      <c r="B863" s="35" t="str">
        <f>IF(BOM!A863="","",BOM!A863)</f>
        <v/>
      </c>
      <c r="C863" s="35" t="str">
        <f>IF(B863="","",BOM!B863)</f>
        <v/>
      </c>
      <c r="D863" s="35" t="str">
        <f>IF(B863="","",KT_DMTT_ChiTiet!E863)</f>
        <v/>
      </c>
      <c r="E863" s="36" t="str">
        <f>IF(B863="","",BOM!G863&amp;"")</f>
        <v/>
      </c>
      <c r="F863" s="39" t="str">
        <f>IF(B863="","",BOM!E863)</f>
        <v/>
      </c>
      <c r="G863" s="39" t="str">
        <f>IF(OR(B863="",E863="KXDDM"),"",BOM!F863)</f>
        <v/>
      </c>
      <c r="H863" s="39" t="str">
        <f>IF(OR(B863="",E863&lt;&gt;""),"",IFERROR(INDEX(KT_nguoc_theo_NL!$J$5:$J$304,MATCH(C863,KT_nguoc_theo_NL!$B$5:$B$304,0))/INDEX(KT_nguoc_theo_NL!$K$5:$K$304,MATCH(C863,KT_nguoc_theo_NL!$B$5:$B$304,0)),""))</f>
        <v/>
      </c>
      <c r="I863" s="39" t="str">
        <f t="shared" si="66"/>
        <v/>
      </c>
      <c r="J863" s="46" t="str">
        <f t="shared" si="67"/>
        <v/>
      </c>
      <c r="K863" s="46" t="str">
        <f t="shared" si="68"/>
        <v/>
      </c>
      <c r="L863" s="46" t="str">
        <f t="shared" si="69"/>
        <v/>
      </c>
      <c r="M863" s="35" t="str">
        <f>IF(B863="","",IF(E863="KXDDM","KXDDM – không ĐM",IF(E863&lt;&gt;"","Không KT ("&amp;E863&amp;")",IF(OR(K863="",L863=""),"Xem xét",IF(MAX(ABS(K863),ABS(L863))&lt;=ThongTin!$C$12,"OK","Xem xét")))))</f>
        <v/>
      </c>
    </row>
    <row r="864" spans="1:13" x14ac:dyDescent="0.25">
      <c r="A864" s="35" t="str">
        <f t="shared" si="65"/>
        <v/>
      </c>
      <c r="B864" s="35" t="str">
        <f>IF(BOM!A864="","",BOM!A864)</f>
        <v/>
      </c>
      <c r="C864" s="35" t="str">
        <f>IF(B864="","",BOM!B864)</f>
        <v/>
      </c>
      <c r="D864" s="35" t="str">
        <f>IF(B864="","",KT_DMTT_ChiTiet!E864)</f>
        <v/>
      </c>
      <c r="E864" s="36" t="str">
        <f>IF(B864="","",BOM!G864&amp;"")</f>
        <v/>
      </c>
      <c r="F864" s="39" t="str">
        <f>IF(B864="","",BOM!E864)</f>
        <v/>
      </c>
      <c r="G864" s="39" t="str">
        <f>IF(OR(B864="",E864="KXDDM"),"",BOM!F864)</f>
        <v/>
      </c>
      <c r="H864" s="39" t="str">
        <f>IF(OR(B864="",E864&lt;&gt;""),"",IFERROR(INDEX(KT_nguoc_theo_NL!$J$5:$J$304,MATCH(C864,KT_nguoc_theo_NL!$B$5:$B$304,0))/INDEX(KT_nguoc_theo_NL!$K$5:$K$304,MATCH(C864,KT_nguoc_theo_NL!$B$5:$B$304,0)),""))</f>
        <v/>
      </c>
      <c r="I864" s="39" t="str">
        <f t="shared" si="66"/>
        <v/>
      </c>
      <c r="J864" s="46" t="str">
        <f t="shared" si="67"/>
        <v/>
      </c>
      <c r="K864" s="46" t="str">
        <f t="shared" si="68"/>
        <v/>
      </c>
      <c r="L864" s="46" t="str">
        <f t="shared" si="69"/>
        <v/>
      </c>
      <c r="M864" s="35" t="str">
        <f>IF(B864="","",IF(E864="KXDDM","KXDDM – không ĐM",IF(E864&lt;&gt;"","Không KT ("&amp;E864&amp;")",IF(OR(K864="",L864=""),"Xem xét",IF(MAX(ABS(K864),ABS(L864))&lt;=ThongTin!$C$12,"OK","Xem xét")))))</f>
        <v/>
      </c>
    </row>
    <row r="865" spans="1:13" x14ac:dyDescent="0.25">
      <c r="A865" s="35" t="str">
        <f t="shared" si="65"/>
        <v/>
      </c>
      <c r="B865" s="35" t="str">
        <f>IF(BOM!A865="","",BOM!A865)</f>
        <v/>
      </c>
      <c r="C865" s="35" t="str">
        <f>IF(B865="","",BOM!B865)</f>
        <v/>
      </c>
      <c r="D865" s="35" t="str">
        <f>IF(B865="","",KT_DMTT_ChiTiet!E865)</f>
        <v/>
      </c>
      <c r="E865" s="36" t="str">
        <f>IF(B865="","",BOM!G865&amp;"")</f>
        <v/>
      </c>
      <c r="F865" s="39" t="str">
        <f>IF(B865="","",BOM!E865)</f>
        <v/>
      </c>
      <c r="G865" s="39" t="str">
        <f>IF(OR(B865="",E865="KXDDM"),"",BOM!F865)</f>
        <v/>
      </c>
      <c r="H865" s="39" t="str">
        <f>IF(OR(B865="",E865&lt;&gt;""),"",IFERROR(INDEX(KT_nguoc_theo_NL!$J$5:$J$304,MATCH(C865,KT_nguoc_theo_NL!$B$5:$B$304,0))/INDEX(KT_nguoc_theo_NL!$K$5:$K$304,MATCH(C865,KT_nguoc_theo_NL!$B$5:$B$304,0)),""))</f>
        <v/>
      </c>
      <c r="I865" s="39" t="str">
        <f t="shared" si="66"/>
        <v/>
      </c>
      <c r="J865" s="46" t="str">
        <f t="shared" si="67"/>
        <v/>
      </c>
      <c r="K865" s="46" t="str">
        <f t="shared" si="68"/>
        <v/>
      </c>
      <c r="L865" s="46" t="str">
        <f t="shared" si="69"/>
        <v/>
      </c>
      <c r="M865" s="35" t="str">
        <f>IF(B865="","",IF(E865="KXDDM","KXDDM – không ĐM",IF(E865&lt;&gt;"","Không KT ("&amp;E865&amp;")",IF(OR(K865="",L865=""),"Xem xét",IF(MAX(ABS(K865),ABS(L865))&lt;=ThongTin!$C$12,"OK","Xem xét")))))</f>
        <v/>
      </c>
    </row>
    <row r="866" spans="1:13" x14ac:dyDescent="0.25">
      <c r="A866" s="35" t="str">
        <f t="shared" si="65"/>
        <v/>
      </c>
      <c r="B866" s="35" t="str">
        <f>IF(BOM!A866="","",BOM!A866)</f>
        <v/>
      </c>
      <c r="C866" s="35" t="str">
        <f>IF(B866="","",BOM!B866)</f>
        <v/>
      </c>
      <c r="D866" s="35" t="str">
        <f>IF(B866="","",KT_DMTT_ChiTiet!E866)</f>
        <v/>
      </c>
      <c r="E866" s="36" t="str">
        <f>IF(B866="","",BOM!G866&amp;"")</f>
        <v/>
      </c>
      <c r="F866" s="39" t="str">
        <f>IF(B866="","",BOM!E866)</f>
        <v/>
      </c>
      <c r="G866" s="39" t="str">
        <f>IF(OR(B866="",E866="KXDDM"),"",BOM!F866)</f>
        <v/>
      </c>
      <c r="H866" s="39" t="str">
        <f>IF(OR(B866="",E866&lt;&gt;""),"",IFERROR(INDEX(KT_nguoc_theo_NL!$J$5:$J$304,MATCH(C866,KT_nguoc_theo_NL!$B$5:$B$304,0))/INDEX(KT_nguoc_theo_NL!$K$5:$K$304,MATCH(C866,KT_nguoc_theo_NL!$B$5:$B$304,0)),""))</f>
        <v/>
      </c>
      <c r="I866" s="39" t="str">
        <f t="shared" si="66"/>
        <v/>
      </c>
      <c r="J866" s="46" t="str">
        <f t="shared" si="67"/>
        <v/>
      </c>
      <c r="K866" s="46" t="str">
        <f t="shared" si="68"/>
        <v/>
      </c>
      <c r="L866" s="46" t="str">
        <f t="shared" si="69"/>
        <v/>
      </c>
      <c r="M866" s="35" t="str">
        <f>IF(B866="","",IF(E866="KXDDM","KXDDM – không ĐM",IF(E866&lt;&gt;"","Không KT ("&amp;E866&amp;")",IF(OR(K866="",L866=""),"Xem xét",IF(MAX(ABS(K866),ABS(L866))&lt;=ThongTin!$C$12,"OK","Xem xét")))))</f>
        <v/>
      </c>
    </row>
    <row r="867" spans="1:13" x14ac:dyDescent="0.25">
      <c r="A867" s="35" t="str">
        <f t="shared" si="65"/>
        <v/>
      </c>
      <c r="B867" s="35" t="str">
        <f>IF(BOM!A867="","",BOM!A867)</f>
        <v/>
      </c>
      <c r="C867" s="35" t="str">
        <f>IF(B867="","",BOM!B867)</f>
        <v/>
      </c>
      <c r="D867" s="35" t="str">
        <f>IF(B867="","",KT_DMTT_ChiTiet!E867)</f>
        <v/>
      </c>
      <c r="E867" s="36" t="str">
        <f>IF(B867="","",BOM!G867&amp;"")</f>
        <v/>
      </c>
      <c r="F867" s="39" t="str">
        <f>IF(B867="","",BOM!E867)</f>
        <v/>
      </c>
      <c r="G867" s="39" t="str">
        <f>IF(OR(B867="",E867="KXDDM"),"",BOM!F867)</f>
        <v/>
      </c>
      <c r="H867" s="39" t="str">
        <f>IF(OR(B867="",E867&lt;&gt;""),"",IFERROR(INDEX(KT_nguoc_theo_NL!$J$5:$J$304,MATCH(C867,KT_nguoc_theo_NL!$B$5:$B$304,0))/INDEX(KT_nguoc_theo_NL!$K$5:$K$304,MATCH(C867,KT_nguoc_theo_NL!$B$5:$B$304,0)),""))</f>
        <v/>
      </c>
      <c r="I867" s="39" t="str">
        <f t="shared" si="66"/>
        <v/>
      </c>
      <c r="J867" s="46" t="str">
        <f t="shared" si="67"/>
        <v/>
      </c>
      <c r="K867" s="46" t="str">
        <f t="shared" si="68"/>
        <v/>
      </c>
      <c r="L867" s="46" t="str">
        <f t="shared" si="69"/>
        <v/>
      </c>
      <c r="M867" s="35" t="str">
        <f>IF(B867="","",IF(E867="KXDDM","KXDDM – không ĐM",IF(E867&lt;&gt;"","Không KT ("&amp;E867&amp;")",IF(OR(K867="",L867=""),"Xem xét",IF(MAX(ABS(K867),ABS(L867))&lt;=ThongTin!$C$12,"OK","Xem xét")))))</f>
        <v/>
      </c>
    </row>
    <row r="868" spans="1:13" x14ac:dyDescent="0.25">
      <c r="A868" s="35" t="str">
        <f t="shared" si="65"/>
        <v/>
      </c>
      <c r="B868" s="35" t="str">
        <f>IF(BOM!A868="","",BOM!A868)</f>
        <v/>
      </c>
      <c r="C868" s="35" t="str">
        <f>IF(B868="","",BOM!B868)</f>
        <v/>
      </c>
      <c r="D868" s="35" t="str">
        <f>IF(B868="","",KT_DMTT_ChiTiet!E868)</f>
        <v/>
      </c>
      <c r="E868" s="36" t="str">
        <f>IF(B868="","",BOM!G868&amp;"")</f>
        <v/>
      </c>
      <c r="F868" s="39" t="str">
        <f>IF(B868="","",BOM!E868)</f>
        <v/>
      </c>
      <c r="G868" s="39" t="str">
        <f>IF(OR(B868="",E868="KXDDM"),"",BOM!F868)</f>
        <v/>
      </c>
      <c r="H868" s="39" t="str">
        <f>IF(OR(B868="",E868&lt;&gt;""),"",IFERROR(INDEX(KT_nguoc_theo_NL!$J$5:$J$304,MATCH(C868,KT_nguoc_theo_NL!$B$5:$B$304,0))/INDEX(KT_nguoc_theo_NL!$K$5:$K$304,MATCH(C868,KT_nguoc_theo_NL!$B$5:$B$304,0)),""))</f>
        <v/>
      </c>
      <c r="I868" s="39" t="str">
        <f t="shared" si="66"/>
        <v/>
      </c>
      <c r="J868" s="46" t="str">
        <f t="shared" si="67"/>
        <v/>
      </c>
      <c r="K868" s="46" t="str">
        <f t="shared" si="68"/>
        <v/>
      </c>
      <c r="L868" s="46" t="str">
        <f t="shared" si="69"/>
        <v/>
      </c>
      <c r="M868" s="35" t="str">
        <f>IF(B868="","",IF(E868="KXDDM","KXDDM – không ĐM",IF(E868&lt;&gt;"","Không KT ("&amp;E868&amp;")",IF(OR(K868="",L868=""),"Xem xét",IF(MAX(ABS(K868),ABS(L868))&lt;=ThongTin!$C$12,"OK","Xem xét")))))</f>
        <v/>
      </c>
    </row>
    <row r="869" spans="1:13" x14ac:dyDescent="0.25">
      <c r="A869" s="35" t="str">
        <f t="shared" si="65"/>
        <v/>
      </c>
      <c r="B869" s="35" t="str">
        <f>IF(BOM!A869="","",BOM!A869)</f>
        <v/>
      </c>
      <c r="C869" s="35" t="str">
        <f>IF(B869="","",BOM!B869)</f>
        <v/>
      </c>
      <c r="D869" s="35" t="str">
        <f>IF(B869="","",KT_DMTT_ChiTiet!E869)</f>
        <v/>
      </c>
      <c r="E869" s="36" t="str">
        <f>IF(B869="","",BOM!G869&amp;"")</f>
        <v/>
      </c>
      <c r="F869" s="39" t="str">
        <f>IF(B869="","",BOM!E869)</f>
        <v/>
      </c>
      <c r="G869" s="39" t="str">
        <f>IF(OR(B869="",E869="KXDDM"),"",BOM!F869)</f>
        <v/>
      </c>
      <c r="H869" s="39" t="str">
        <f>IF(OR(B869="",E869&lt;&gt;""),"",IFERROR(INDEX(KT_nguoc_theo_NL!$J$5:$J$304,MATCH(C869,KT_nguoc_theo_NL!$B$5:$B$304,0))/INDEX(KT_nguoc_theo_NL!$K$5:$K$304,MATCH(C869,KT_nguoc_theo_NL!$B$5:$B$304,0)),""))</f>
        <v/>
      </c>
      <c r="I869" s="39" t="str">
        <f t="shared" si="66"/>
        <v/>
      </c>
      <c r="J869" s="46" t="str">
        <f t="shared" si="67"/>
        <v/>
      </c>
      <c r="K869" s="46" t="str">
        <f t="shared" si="68"/>
        <v/>
      </c>
      <c r="L869" s="46" t="str">
        <f t="shared" si="69"/>
        <v/>
      </c>
      <c r="M869" s="35" t="str">
        <f>IF(B869="","",IF(E869="KXDDM","KXDDM – không ĐM",IF(E869&lt;&gt;"","Không KT ("&amp;E869&amp;")",IF(OR(K869="",L869=""),"Xem xét",IF(MAX(ABS(K869),ABS(L869))&lt;=ThongTin!$C$12,"OK","Xem xét")))))</f>
        <v/>
      </c>
    </row>
    <row r="870" spans="1:13" x14ac:dyDescent="0.25">
      <c r="A870" s="35" t="str">
        <f t="shared" si="65"/>
        <v/>
      </c>
      <c r="B870" s="35" t="str">
        <f>IF(BOM!A870="","",BOM!A870)</f>
        <v/>
      </c>
      <c r="C870" s="35" t="str">
        <f>IF(B870="","",BOM!B870)</f>
        <v/>
      </c>
      <c r="D870" s="35" t="str">
        <f>IF(B870="","",KT_DMTT_ChiTiet!E870)</f>
        <v/>
      </c>
      <c r="E870" s="36" t="str">
        <f>IF(B870="","",BOM!G870&amp;"")</f>
        <v/>
      </c>
      <c r="F870" s="39" t="str">
        <f>IF(B870="","",BOM!E870)</f>
        <v/>
      </c>
      <c r="G870" s="39" t="str">
        <f>IF(OR(B870="",E870="KXDDM"),"",BOM!F870)</f>
        <v/>
      </c>
      <c r="H870" s="39" t="str">
        <f>IF(OR(B870="",E870&lt;&gt;""),"",IFERROR(INDEX(KT_nguoc_theo_NL!$J$5:$J$304,MATCH(C870,KT_nguoc_theo_NL!$B$5:$B$304,0))/INDEX(KT_nguoc_theo_NL!$K$5:$K$304,MATCH(C870,KT_nguoc_theo_NL!$B$5:$B$304,0)),""))</f>
        <v/>
      </c>
      <c r="I870" s="39" t="str">
        <f t="shared" si="66"/>
        <v/>
      </c>
      <c r="J870" s="46" t="str">
        <f t="shared" si="67"/>
        <v/>
      </c>
      <c r="K870" s="46" t="str">
        <f t="shared" si="68"/>
        <v/>
      </c>
      <c r="L870" s="46" t="str">
        <f t="shared" si="69"/>
        <v/>
      </c>
      <c r="M870" s="35" t="str">
        <f>IF(B870="","",IF(E870="KXDDM","KXDDM – không ĐM",IF(E870&lt;&gt;"","Không KT ("&amp;E870&amp;")",IF(OR(K870="",L870=""),"Xem xét",IF(MAX(ABS(K870),ABS(L870))&lt;=ThongTin!$C$12,"OK","Xem xét")))))</f>
        <v/>
      </c>
    </row>
    <row r="871" spans="1:13" x14ac:dyDescent="0.25">
      <c r="A871" s="35" t="str">
        <f t="shared" si="65"/>
        <v/>
      </c>
      <c r="B871" s="35" t="str">
        <f>IF(BOM!A871="","",BOM!A871)</f>
        <v/>
      </c>
      <c r="C871" s="35" t="str">
        <f>IF(B871="","",BOM!B871)</f>
        <v/>
      </c>
      <c r="D871" s="35" t="str">
        <f>IF(B871="","",KT_DMTT_ChiTiet!E871)</f>
        <v/>
      </c>
      <c r="E871" s="36" t="str">
        <f>IF(B871="","",BOM!G871&amp;"")</f>
        <v/>
      </c>
      <c r="F871" s="39" t="str">
        <f>IF(B871="","",BOM!E871)</f>
        <v/>
      </c>
      <c r="G871" s="39" t="str">
        <f>IF(OR(B871="",E871="KXDDM"),"",BOM!F871)</f>
        <v/>
      </c>
      <c r="H871" s="39" t="str">
        <f>IF(OR(B871="",E871&lt;&gt;""),"",IFERROR(INDEX(KT_nguoc_theo_NL!$J$5:$J$304,MATCH(C871,KT_nguoc_theo_NL!$B$5:$B$304,0))/INDEX(KT_nguoc_theo_NL!$K$5:$K$304,MATCH(C871,KT_nguoc_theo_NL!$B$5:$B$304,0)),""))</f>
        <v/>
      </c>
      <c r="I871" s="39" t="str">
        <f t="shared" si="66"/>
        <v/>
      </c>
      <c r="J871" s="46" t="str">
        <f t="shared" si="67"/>
        <v/>
      </c>
      <c r="K871" s="46" t="str">
        <f t="shared" si="68"/>
        <v/>
      </c>
      <c r="L871" s="46" t="str">
        <f t="shared" si="69"/>
        <v/>
      </c>
      <c r="M871" s="35" t="str">
        <f>IF(B871="","",IF(E871="KXDDM","KXDDM – không ĐM",IF(E871&lt;&gt;"","Không KT ("&amp;E871&amp;")",IF(OR(K871="",L871=""),"Xem xét",IF(MAX(ABS(K871),ABS(L871))&lt;=ThongTin!$C$12,"OK","Xem xét")))))</f>
        <v/>
      </c>
    </row>
    <row r="872" spans="1:13" x14ac:dyDescent="0.25">
      <c r="A872" s="35" t="str">
        <f t="shared" si="65"/>
        <v/>
      </c>
      <c r="B872" s="35" t="str">
        <f>IF(BOM!A872="","",BOM!A872)</f>
        <v/>
      </c>
      <c r="C872" s="35" t="str">
        <f>IF(B872="","",BOM!B872)</f>
        <v/>
      </c>
      <c r="D872" s="35" t="str">
        <f>IF(B872="","",KT_DMTT_ChiTiet!E872)</f>
        <v/>
      </c>
      <c r="E872" s="36" t="str">
        <f>IF(B872="","",BOM!G872&amp;"")</f>
        <v/>
      </c>
      <c r="F872" s="39" t="str">
        <f>IF(B872="","",BOM!E872)</f>
        <v/>
      </c>
      <c r="G872" s="39" t="str">
        <f>IF(OR(B872="",E872="KXDDM"),"",BOM!F872)</f>
        <v/>
      </c>
      <c r="H872" s="39" t="str">
        <f>IF(OR(B872="",E872&lt;&gt;""),"",IFERROR(INDEX(KT_nguoc_theo_NL!$J$5:$J$304,MATCH(C872,KT_nguoc_theo_NL!$B$5:$B$304,0))/INDEX(KT_nguoc_theo_NL!$K$5:$K$304,MATCH(C872,KT_nguoc_theo_NL!$B$5:$B$304,0)),""))</f>
        <v/>
      </c>
      <c r="I872" s="39" t="str">
        <f t="shared" si="66"/>
        <v/>
      </c>
      <c r="J872" s="46" t="str">
        <f t="shared" si="67"/>
        <v/>
      </c>
      <c r="K872" s="46" t="str">
        <f t="shared" si="68"/>
        <v/>
      </c>
      <c r="L872" s="46" t="str">
        <f t="shared" si="69"/>
        <v/>
      </c>
      <c r="M872" s="35" t="str">
        <f>IF(B872="","",IF(E872="KXDDM","KXDDM – không ĐM",IF(E872&lt;&gt;"","Không KT ("&amp;E872&amp;")",IF(OR(K872="",L872=""),"Xem xét",IF(MAX(ABS(K872),ABS(L872))&lt;=ThongTin!$C$12,"OK","Xem xét")))))</f>
        <v/>
      </c>
    </row>
    <row r="873" spans="1:13" x14ac:dyDescent="0.25">
      <c r="A873" s="35" t="str">
        <f t="shared" si="65"/>
        <v/>
      </c>
      <c r="B873" s="35" t="str">
        <f>IF(BOM!A873="","",BOM!A873)</f>
        <v/>
      </c>
      <c r="C873" s="35" t="str">
        <f>IF(B873="","",BOM!B873)</f>
        <v/>
      </c>
      <c r="D873" s="35" t="str">
        <f>IF(B873="","",KT_DMTT_ChiTiet!E873)</f>
        <v/>
      </c>
      <c r="E873" s="36" t="str">
        <f>IF(B873="","",BOM!G873&amp;"")</f>
        <v/>
      </c>
      <c r="F873" s="39" t="str">
        <f>IF(B873="","",BOM!E873)</f>
        <v/>
      </c>
      <c r="G873" s="39" t="str">
        <f>IF(OR(B873="",E873="KXDDM"),"",BOM!F873)</f>
        <v/>
      </c>
      <c r="H873" s="39" t="str">
        <f>IF(OR(B873="",E873&lt;&gt;""),"",IFERROR(INDEX(KT_nguoc_theo_NL!$J$5:$J$304,MATCH(C873,KT_nguoc_theo_NL!$B$5:$B$304,0))/INDEX(KT_nguoc_theo_NL!$K$5:$K$304,MATCH(C873,KT_nguoc_theo_NL!$B$5:$B$304,0)),""))</f>
        <v/>
      </c>
      <c r="I873" s="39" t="str">
        <f t="shared" si="66"/>
        <v/>
      </c>
      <c r="J873" s="46" t="str">
        <f t="shared" si="67"/>
        <v/>
      </c>
      <c r="K873" s="46" t="str">
        <f t="shared" si="68"/>
        <v/>
      </c>
      <c r="L873" s="46" t="str">
        <f t="shared" si="69"/>
        <v/>
      </c>
      <c r="M873" s="35" t="str">
        <f>IF(B873="","",IF(E873="KXDDM","KXDDM – không ĐM",IF(E873&lt;&gt;"","Không KT ("&amp;E873&amp;")",IF(OR(K873="",L873=""),"Xem xét",IF(MAX(ABS(K873),ABS(L873))&lt;=ThongTin!$C$12,"OK","Xem xét")))))</f>
        <v/>
      </c>
    </row>
    <row r="874" spans="1:13" x14ac:dyDescent="0.25">
      <c r="A874" s="35" t="str">
        <f t="shared" si="65"/>
        <v/>
      </c>
      <c r="B874" s="35" t="str">
        <f>IF(BOM!A874="","",BOM!A874)</f>
        <v/>
      </c>
      <c r="C874" s="35" t="str">
        <f>IF(B874="","",BOM!B874)</f>
        <v/>
      </c>
      <c r="D874" s="35" t="str">
        <f>IF(B874="","",KT_DMTT_ChiTiet!E874)</f>
        <v/>
      </c>
      <c r="E874" s="36" t="str">
        <f>IF(B874="","",BOM!G874&amp;"")</f>
        <v/>
      </c>
      <c r="F874" s="39" t="str">
        <f>IF(B874="","",BOM!E874)</f>
        <v/>
      </c>
      <c r="G874" s="39" t="str">
        <f>IF(OR(B874="",E874="KXDDM"),"",BOM!F874)</f>
        <v/>
      </c>
      <c r="H874" s="39" t="str">
        <f>IF(OR(B874="",E874&lt;&gt;""),"",IFERROR(INDEX(KT_nguoc_theo_NL!$J$5:$J$304,MATCH(C874,KT_nguoc_theo_NL!$B$5:$B$304,0))/INDEX(KT_nguoc_theo_NL!$K$5:$K$304,MATCH(C874,KT_nguoc_theo_NL!$B$5:$B$304,0)),""))</f>
        <v/>
      </c>
      <c r="I874" s="39" t="str">
        <f t="shared" si="66"/>
        <v/>
      </c>
      <c r="J874" s="46" t="str">
        <f t="shared" si="67"/>
        <v/>
      </c>
      <c r="K874" s="46" t="str">
        <f t="shared" si="68"/>
        <v/>
      </c>
      <c r="L874" s="46" t="str">
        <f t="shared" si="69"/>
        <v/>
      </c>
      <c r="M874" s="35" t="str">
        <f>IF(B874="","",IF(E874="KXDDM","KXDDM – không ĐM",IF(E874&lt;&gt;"","Không KT ("&amp;E874&amp;")",IF(OR(K874="",L874=""),"Xem xét",IF(MAX(ABS(K874),ABS(L874))&lt;=ThongTin!$C$12,"OK","Xem xét")))))</f>
        <v/>
      </c>
    </row>
    <row r="875" spans="1:13" x14ac:dyDescent="0.25">
      <c r="A875" s="35" t="str">
        <f t="shared" si="65"/>
        <v/>
      </c>
      <c r="B875" s="35" t="str">
        <f>IF(BOM!A875="","",BOM!A875)</f>
        <v/>
      </c>
      <c r="C875" s="35" t="str">
        <f>IF(B875="","",BOM!B875)</f>
        <v/>
      </c>
      <c r="D875" s="35" t="str">
        <f>IF(B875="","",KT_DMTT_ChiTiet!E875)</f>
        <v/>
      </c>
      <c r="E875" s="36" t="str">
        <f>IF(B875="","",BOM!G875&amp;"")</f>
        <v/>
      </c>
      <c r="F875" s="39" t="str">
        <f>IF(B875="","",BOM!E875)</f>
        <v/>
      </c>
      <c r="G875" s="39" t="str">
        <f>IF(OR(B875="",E875="KXDDM"),"",BOM!F875)</f>
        <v/>
      </c>
      <c r="H875" s="39" t="str">
        <f>IF(OR(B875="",E875&lt;&gt;""),"",IFERROR(INDEX(KT_nguoc_theo_NL!$J$5:$J$304,MATCH(C875,KT_nguoc_theo_NL!$B$5:$B$304,0))/INDEX(KT_nguoc_theo_NL!$K$5:$K$304,MATCH(C875,KT_nguoc_theo_NL!$B$5:$B$304,0)),""))</f>
        <v/>
      </c>
      <c r="I875" s="39" t="str">
        <f t="shared" si="66"/>
        <v/>
      </c>
      <c r="J875" s="46" t="str">
        <f t="shared" si="67"/>
        <v/>
      </c>
      <c r="K875" s="46" t="str">
        <f t="shared" si="68"/>
        <v/>
      </c>
      <c r="L875" s="46" t="str">
        <f t="shared" si="69"/>
        <v/>
      </c>
      <c r="M875" s="35" t="str">
        <f>IF(B875="","",IF(E875="KXDDM","KXDDM – không ĐM",IF(E875&lt;&gt;"","Không KT ("&amp;E875&amp;")",IF(OR(K875="",L875=""),"Xem xét",IF(MAX(ABS(K875),ABS(L875))&lt;=ThongTin!$C$12,"OK","Xem xét")))))</f>
        <v/>
      </c>
    </row>
    <row r="876" spans="1:13" x14ac:dyDescent="0.25">
      <c r="A876" s="35" t="str">
        <f t="shared" si="65"/>
        <v/>
      </c>
      <c r="B876" s="35" t="str">
        <f>IF(BOM!A876="","",BOM!A876)</f>
        <v/>
      </c>
      <c r="C876" s="35" t="str">
        <f>IF(B876="","",BOM!B876)</f>
        <v/>
      </c>
      <c r="D876" s="35" t="str">
        <f>IF(B876="","",KT_DMTT_ChiTiet!E876)</f>
        <v/>
      </c>
      <c r="E876" s="36" t="str">
        <f>IF(B876="","",BOM!G876&amp;"")</f>
        <v/>
      </c>
      <c r="F876" s="39" t="str">
        <f>IF(B876="","",BOM!E876)</f>
        <v/>
      </c>
      <c r="G876" s="39" t="str">
        <f>IF(OR(B876="",E876="KXDDM"),"",BOM!F876)</f>
        <v/>
      </c>
      <c r="H876" s="39" t="str">
        <f>IF(OR(B876="",E876&lt;&gt;""),"",IFERROR(INDEX(KT_nguoc_theo_NL!$J$5:$J$304,MATCH(C876,KT_nguoc_theo_NL!$B$5:$B$304,0))/INDEX(KT_nguoc_theo_NL!$K$5:$K$304,MATCH(C876,KT_nguoc_theo_NL!$B$5:$B$304,0)),""))</f>
        <v/>
      </c>
      <c r="I876" s="39" t="str">
        <f t="shared" si="66"/>
        <v/>
      </c>
      <c r="J876" s="46" t="str">
        <f t="shared" si="67"/>
        <v/>
      </c>
      <c r="K876" s="46" t="str">
        <f t="shared" si="68"/>
        <v/>
      </c>
      <c r="L876" s="46" t="str">
        <f t="shared" si="69"/>
        <v/>
      </c>
      <c r="M876" s="35" t="str">
        <f>IF(B876="","",IF(E876="KXDDM","KXDDM – không ĐM",IF(E876&lt;&gt;"","Không KT ("&amp;E876&amp;")",IF(OR(K876="",L876=""),"Xem xét",IF(MAX(ABS(K876),ABS(L876))&lt;=ThongTin!$C$12,"OK","Xem xét")))))</f>
        <v/>
      </c>
    </row>
    <row r="877" spans="1:13" x14ac:dyDescent="0.25">
      <c r="A877" s="35" t="str">
        <f t="shared" si="65"/>
        <v/>
      </c>
      <c r="B877" s="35" t="str">
        <f>IF(BOM!A877="","",BOM!A877)</f>
        <v/>
      </c>
      <c r="C877" s="35" t="str">
        <f>IF(B877="","",BOM!B877)</f>
        <v/>
      </c>
      <c r="D877" s="35" t="str">
        <f>IF(B877="","",KT_DMTT_ChiTiet!E877)</f>
        <v/>
      </c>
      <c r="E877" s="36" t="str">
        <f>IF(B877="","",BOM!G877&amp;"")</f>
        <v/>
      </c>
      <c r="F877" s="39" t="str">
        <f>IF(B877="","",BOM!E877)</f>
        <v/>
      </c>
      <c r="G877" s="39" t="str">
        <f>IF(OR(B877="",E877="KXDDM"),"",BOM!F877)</f>
        <v/>
      </c>
      <c r="H877" s="39" t="str">
        <f>IF(OR(B877="",E877&lt;&gt;""),"",IFERROR(INDEX(KT_nguoc_theo_NL!$J$5:$J$304,MATCH(C877,KT_nguoc_theo_NL!$B$5:$B$304,0))/INDEX(KT_nguoc_theo_NL!$K$5:$K$304,MATCH(C877,KT_nguoc_theo_NL!$B$5:$B$304,0)),""))</f>
        <v/>
      </c>
      <c r="I877" s="39" t="str">
        <f t="shared" si="66"/>
        <v/>
      </c>
      <c r="J877" s="46" t="str">
        <f t="shared" si="67"/>
        <v/>
      </c>
      <c r="K877" s="46" t="str">
        <f t="shared" si="68"/>
        <v/>
      </c>
      <c r="L877" s="46" t="str">
        <f t="shared" si="69"/>
        <v/>
      </c>
      <c r="M877" s="35" t="str">
        <f>IF(B877="","",IF(E877="KXDDM","KXDDM – không ĐM",IF(E877&lt;&gt;"","Không KT ("&amp;E877&amp;")",IF(OR(K877="",L877=""),"Xem xét",IF(MAX(ABS(K877),ABS(L877))&lt;=ThongTin!$C$12,"OK","Xem xét")))))</f>
        <v/>
      </c>
    </row>
    <row r="878" spans="1:13" x14ac:dyDescent="0.25">
      <c r="A878" s="35" t="str">
        <f t="shared" si="65"/>
        <v/>
      </c>
      <c r="B878" s="35" t="str">
        <f>IF(BOM!A878="","",BOM!A878)</f>
        <v/>
      </c>
      <c r="C878" s="35" t="str">
        <f>IF(B878="","",BOM!B878)</f>
        <v/>
      </c>
      <c r="D878" s="35" t="str">
        <f>IF(B878="","",KT_DMTT_ChiTiet!E878)</f>
        <v/>
      </c>
      <c r="E878" s="36" t="str">
        <f>IF(B878="","",BOM!G878&amp;"")</f>
        <v/>
      </c>
      <c r="F878" s="39" t="str">
        <f>IF(B878="","",BOM!E878)</f>
        <v/>
      </c>
      <c r="G878" s="39" t="str">
        <f>IF(OR(B878="",E878="KXDDM"),"",BOM!F878)</f>
        <v/>
      </c>
      <c r="H878" s="39" t="str">
        <f>IF(OR(B878="",E878&lt;&gt;""),"",IFERROR(INDEX(KT_nguoc_theo_NL!$J$5:$J$304,MATCH(C878,KT_nguoc_theo_NL!$B$5:$B$304,0))/INDEX(KT_nguoc_theo_NL!$K$5:$K$304,MATCH(C878,KT_nguoc_theo_NL!$B$5:$B$304,0)),""))</f>
        <v/>
      </c>
      <c r="I878" s="39" t="str">
        <f t="shared" si="66"/>
        <v/>
      </c>
      <c r="J878" s="46" t="str">
        <f t="shared" si="67"/>
        <v/>
      </c>
      <c r="K878" s="46" t="str">
        <f t="shared" si="68"/>
        <v/>
      </c>
      <c r="L878" s="46" t="str">
        <f t="shared" si="69"/>
        <v/>
      </c>
      <c r="M878" s="35" t="str">
        <f>IF(B878="","",IF(E878="KXDDM","KXDDM – không ĐM",IF(E878&lt;&gt;"","Không KT ("&amp;E878&amp;")",IF(OR(K878="",L878=""),"Xem xét",IF(MAX(ABS(K878),ABS(L878))&lt;=ThongTin!$C$12,"OK","Xem xét")))))</f>
        <v/>
      </c>
    </row>
    <row r="879" spans="1:13" x14ac:dyDescent="0.25">
      <c r="A879" s="35" t="str">
        <f t="shared" si="65"/>
        <v/>
      </c>
      <c r="B879" s="35" t="str">
        <f>IF(BOM!A879="","",BOM!A879)</f>
        <v/>
      </c>
      <c r="C879" s="35" t="str">
        <f>IF(B879="","",BOM!B879)</f>
        <v/>
      </c>
      <c r="D879" s="35" t="str">
        <f>IF(B879="","",KT_DMTT_ChiTiet!E879)</f>
        <v/>
      </c>
      <c r="E879" s="36" t="str">
        <f>IF(B879="","",BOM!G879&amp;"")</f>
        <v/>
      </c>
      <c r="F879" s="39" t="str">
        <f>IF(B879="","",BOM!E879)</f>
        <v/>
      </c>
      <c r="G879" s="39" t="str">
        <f>IF(OR(B879="",E879="KXDDM"),"",BOM!F879)</f>
        <v/>
      </c>
      <c r="H879" s="39" t="str">
        <f>IF(OR(B879="",E879&lt;&gt;""),"",IFERROR(INDEX(KT_nguoc_theo_NL!$J$5:$J$304,MATCH(C879,KT_nguoc_theo_NL!$B$5:$B$304,0))/INDEX(KT_nguoc_theo_NL!$K$5:$K$304,MATCH(C879,KT_nguoc_theo_NL!$B$5:$B$304,0)),""))</f>
        <v/>
      </c>
      <c r="I879" s="39" t="str">
        <f t="shared" si="66"/>
        <v/>
      </c>
      <c r="J879" s="46" t="str">
        <f t="shared" si="67"/>
        <v/>
      </c>
      <c r="K879" s="46" t="str">
        <f t="shared" si="68"/>
        <v/>
      </c>
      <c r="L879" s="46" t="str">
        <f t="shared" si="69"/>
        <v/>
      </c>
      <c r="M879" s="35" t="str">
        <f>IF(B879="","",IF(E879="KXDDM","KXDDM – không ĐM",IF(E879&lt;&gt;"","Không KT ("&amp;E879&amp;")",IF(OR(K879="",L879=""),"Xem xét",IF(MAX(ABS(K879),ABS(L879))&lt;=ThongTin!$C$12,"OK","Xem xét")))))</f>
        <v/>
      </c>
    </row>
    <row r="880" spans="1:13" x14ac:dyDescent="0.25">
      <c r="A880" s="35" t="str">
        <f t="shared" si="65"/>
        <v/>
      </c>
      <c r="B880" s="35" t="str">
        <f>IF(BOM!A880="","",BOM!A880)</f>
        <v/>
      </c>
      <c r="C880" s="35" t="str">
        <f>IF(B880="","",BOM!B880)</f>
        <v/>
      </c>
      <c r="D880" s="35" t="str">
        <f>IF(B880="","",KT_DMTT_ChiTiet!E880)</f>
        <v/>
      </c>
      <c r="E880" s="36" t="str">
        <f>IF(B880="","",BOM!G880&amp;"")</f>
        <v/>
      </c>
      <c r="F880" s="39" t="str">
        <f>IF(B880="","",BOM!E880)</f>
        <v/>
      </c>
      <c r="G880" s="39" t="str">
        <f>IF(OR(B880="",E880="KXDDM"),"",BOM!F880)</f>
        <v/>
      </c>
      <c r="H880" s="39" t="str">
        <f>IF(OR(B880="",E880&lt;&gt;""),"",IFERROR(INDEX(KT_nguoc_theo_NL!$J$5:$J$304,MATCH(C880,KT_nguoc_theo_NL!$B$5:$B$304,0))/INDEX(KT_nguoc_theo_NL!$K$5:$K$304,MATCH(C880,KT_nguoc_theo_NL!$B$5:$B$304,0)),""))</f>
        <v/>
      </c>
      <c r="I880" s="39" t="str">
        <f t="shared" si="66"/>
        <v/>
      </c>
      <c r="J880" s="46" t="str">
        <f t="shared" si="67"/>
        <v/>
      </c>
      <c r="K880" s="46" t="str">
        <f t="shared" si="68"/>
        <v/>
      </c>
      <c r="L880" s="46" t="str">
        <f t="shared" si="69"/>
        <v/>
      </c>
      <c r="M880" s="35" t="str">
        <f>IF(B880="","",IF(E880="KXDDM","KXDDM – không ĐM",IF(E880&lt;&gt;"","Không KT ("&amp;E880&amp;")",IF(OR(K880="",L880=""),"Xem xét",IF(MAX(ABS(K880),ABS(L880))&lt;=ThongTin!$C$12,"OK","Xem xét")))))</f>
        <v/>
      </c>
    </row>
    <row r="881" spans="1:13" x14ac:dyDescent="0.25">
      <c r="A881" s="35" t="str">
        <f t="shared" si="65"/>
        <v/>
      </c>
      <c r="B881" s="35" t="str">
        <f>IF(BOM!A881="","",BOM!A881)</f>
        <v/>
      </c>
      <c r="C881" s="35" t="str">
        <f>IF(B881="","",BOM!B881)</f>
        <v/>
      </c>
      <c r="D881" s="35" t="str">
        <f>IF(B881="","",KT_DMTT_ChiTiet!E881)</f>
        <v/>
      </c>
      <c r="E881" s="36" t="str">
        <f>IF(B881="","",BOM!G881&amp;"")</f>
        <v/>
      </c>
      <c r="F881" s="39" t="str">
        <f>IF(B881="","",BOM!E881)</f>
        <v/>
      </c>
      <c r="G881" s="39" t="str">
        <f>IF(OR(B881="",E881="KXDDM"),"",BOM!F881)</f>
        <v/>
      </c>
      <c r="H881" s="39" t="str">
        <f>IF(OR(B881="",E881&lt;&gt;""),"",IFERROR(INDEX(KT_nguoc_theo_NL!$J$5:$J$304,MATCH(C881,KT_nguoc_theo_NL!$B$5:$B$304,0))/INDEX(KT_nguoc_theo_NL!$K$5:$K$304,MATCH(C881,KT_nguoc_theo_NL!$B$5:$B$304,0)),""))</f>
        <v/>
      </c>
      <c r="I881" s="39" t="str">
        <f t="shared" si="66"/>
        <v/>
      </c>
      <c r="J881" s="46" t="str">
        <f t="shared" si="67"/>
        <v/>
      </c>
      <c r="K881" s="46" t="str">
        <f t="shared" si="68"/>
        <v/>
      </c>
      <c r="L881" s="46" t="str">
        <f t="shared" si="69"/>
        <v/>
      </c>
      <c r="M881" s="35" t="str">
        <f>IF(B881="","",IF(E881="KXDDM","KXDDM – không ĐM",IF(E881&lt;&gt;"","Không KT ("&amp;E881&amp;")",IF(OR(K881="",L881=""),"Xem xét",IF(MAX(ABS(K881),ABS(L881))&lt;=ThongTin!$C$12,"OK","Xem xét")))))</f>
        <v/>
      </c>
    </row>
    <row r="882" spans="1:13" x14ac:dyDescent="0.25">
      <c r="A882" s="35" t="str">
        <f t="shared" si="65"/>
        <v/>
      </c>
      <c r="B882" s="35" t="str">
        <f>IF(BOM!A882="","",BOM!A882)</f>
        <v/>
      </c>
      <c r="C882" s="35" t="str">
        <f>IF(B882="","",BOM!B882)</f>
        <v/>
      </c>
      <c r="D882" s="35" t="str">
        <f>IF(B882="","",KT_DMTT_ChiTiet!E882)</f>
        <v/>
      </c>
      <c r="E882" s="36" t="str">
        <f>IF(B882="","",BOM!G882&amp;"")</f>
        <v/>
      </c>
      <c r="F882" s="39" t="str">
        <f>IF(B882="","",BOM!E882)</f>
        <v/>
      </c>
      <c r="G882" s="39" t="str">
        <f>IF(OR(B882="",E882="KXDDM"),"",BOM!F882)</f>
        <v/>
      </c>
      <c r="H882" s="39" t="str">
        <f>IF(OR(B882="",E882&lt;&gt;""),"",IFERROR(INDEX(KT_nguoc_theo_NL!$J$5:$J$304,MATCH(C882,KT_nguoc_theo_NL!$B$5:$B$304,0))/INDEX(KT_nguoc_theo_NL!$K$5:$K$304,MATCH(C882,KT_nguoc_theo_NL!$B$5:$B$304,0)),""))</f>
        <v/>
      </c>
      <c r="I882" s="39" t="str">
        <f t="shared" si="66"/>
        <v/>
      </c>
      <c r="J882" s="46" t="str">
        <f t="shared" si="67"/>
        <v/>
      </c>
      <c r="K882" s="46" t="str">
        <f t="shared" si="68"/>
        <v/>
      </c>
      <c r="L882" s="46" t="str">
        <f t="shared" si="69"/>
        <v/>
      </c>
      <c r="M882" s="35" t="str">
        <f>IF(B882="","",IF(E882="KXDDM","KXDDM – không ĐM",IF(E882&lt;&gt;"","Không KT ("&amp;E882&amp;")",IF(OR(K882="",L882=""),"Xem xét",IF(MAX(ABS(K882),ABS(L882))&lt;=ThongTin!$C$12,"OK","Xem xét")))))</f>
        <v/>
      </c>
    </row>
    <row r="883" spans="1:13" x14ac:dyDescent="0.25">
      <c r="A883" s="35" t="str">
        <f t="shared" si="65"/>
        <v/>
      </c>
      <c r="B883" s="35" t="str">
        <f>IF(BOM!A883="","",BOM!A883)</f>
        <v/>
      </c>
      <c r="C883" s="35" t="str">
        <f>IF(B883="","",BOM!B883)</f>
        <v/>
      </c>
      <c r="D883" s="35" t="str">
        <f>IF(B883="","",KT_DMTT_ChiTiet!E883)</f>
        <v/>
      </c>
      <c r="E883" s="36" t="str">
        <f>IF(B883="","",BOM!G883&amp;"")</f>
        <v/>
      </c>
      <c r="F883" s="39" t="str">
        <f>IF(B883="","",BOM!E883)</f>
        <v/>
      </c>
      <c r="G883" s="39" t="str">
        <f>IF(OR(B883="",E883="KXDDM"),"",BOM!F883)</f>
        <v/>
      </c>
      <c r="H883" s="39" t="str">
        <f>IF(OR(B883="",E883&lt;&gt;""),"",IFERROR(INDEX(KT_nguoc_theo_NL!$J$5:$J$304,MATCH(C883,KT_nguoc_theo_NL!$B$5:$B$304,0))/INDEX(KT_nguoc_theo_NL!$K$5:$K$304,MATCH(C883,KT_nguoc_theo_NL!$B$5:$B$304,0)),""))</f>
        <v/>
      </c>
      <c r="I883" s="39" t="str">
        <f t="shared" si="66"/>
        <v/>
      </c>
      <c r="J883" s="46" t="str">
        <f t="shared" si="67"/>
        <v/>
      </c>
      <c r="K883" s="46" t="str">
        <f t="shared" si="68"/>
        <v/>
      </c>
      <c r="L883" s="46" t="str">
        <f t="shared" si="69"/>
        <v/>
      </c>
      <c r="M883" s="35" t="str">
        <f>IF(B883="","",IF(E883="KXDDM","KXDDM – không ĐM",IF(E883&lt;&gt;"","Không KT ("&amp;E883&amp;")",IF(OR(K883="",L883=""),"Xem xét",IF(MAX(ABS(K883),ABS(L883))&lt;=ThongTin!$C$12,"OK","Xem xét")))))</f>
        <v/>
      </c>
    </row>
    <row r="884" spans="1:13" x14ac:dyDescent="0.25">
      <c r="A884" s="35" t="str">
        <f t="shared" si="65"/>
        <v/>
      </c>
      <c r="B884" s="35" t="str">
        <f>IF(BOM!A884="","",BOM!A884)</f>
        <v/>
      </c>
      <c r="C884" s="35" t="str">
        <f>IF(B884="","",BOM!B884)</f>
        <v/>
      </c>
      <c r="D884" s="35" t="str">
        <f>IF(B884="","",KT_DMTT_ChiTiet!E884)</f>
        <v/>
      </c>
      <c r="E884" s="36" t="str">
        <f>IF(B884="","",BOM!G884&amp;"")</f>
        <v/>
      </c>
      <c r="F884" s="39" t="str">
        <f>IF(B884="","",BOM!E884)</f>
        <v/>
      </c>
      <c r="G884" s="39" t="str">
        <f>IF(OR(B884="",E884="KXDDM"),"",BOM!F884)</f>
        <v/>
      </c>
      <c r="H884" s="39" t="str">
        <f>IF(OR(B884="",E884&lt;&gt;""),"",IFERROR(INDEX(KT_nguoc_theo_NL!$J$5:$J$304,MATCH(C884,KT_nguoc_theo_NL!$B$5:$B$304,0))/INDEX(KT_nguoc_theo_NL!$K$5:$K$304,MATCH(C884,KT_nguoc_theo_NL!$B$5:$B$304,0)),""))</f>
        <v/>
      </c>
      <c r="I884" s="39" t="str">
        <f t="shared" si="66"/>
        <v/>
      </c>
      <c r="J884" s="46" t="str">
        <f t="shared" si="67"/>
        <v/>
      </c>
      <c r="K884" s="46" t="str">
        <f t="shared" si="68"/>
        <v/>
      </c>
      <c r="L884" s="46" t="str">
        <f t="shared" si="69"/>
        <v/>
      </c>
      <c r="M884" s="35" t="str">
        <f>IF(B884="","",IF(E884="KXDDM","KXDDM – không ĐM",IF(E884&lt;&gt;"","Không KT ("&amp;E884&amp;")",IF(OR(K884="",L884=""),"Xem xét",IF(MAX(ABS(K884),ABS(L884))&lt;=ThongTin!$C$12,"OK","Xem xét")))))</f>
        <v/>
      </c>
    </row>
    <row r="885" spans="1:13" x14ac:dyDescent="0.25">
      <c r="A885" s="35" t="str">
        <f t="shared" si="65"/>
        <v/>
      </c>
      <c r="B885" s="35" t="str">
        <f>IF(BOM!A885="","",BOM!A885)</f>
        <v/>
      </c>
      <c r="C885" s="35" t="str">
        <f>IF(B885="","",BOM!B885)</f>
        <v/>
      </c>
      <c r="D885" s="35" t="str">
        <f>IF(B885="","",KT_DMTT_ChiTiet!E885)</f>
        <v/>
      </c>
      <c r="E885" s="36" t="str">
        <f>IF(B885="","",BOM!G885&amp;"")</f>
        <v/>
      </c>
      <c r="F885" s="39" t="str">
        <f>IF(B885="","",BOM!E885)</f>
        <v/>
      </c>
      <c r="G885" s="39" t="str">
        <f>IF(OR(B885="",E885="KXDDM"),"",BOM!F885)</f>
        <v/>
      </c>
      <c r="H885" s="39" t="str">
        <f>IF(OR(B885="",E885&lt;&gt;""),"",IFERROR(INDEX(KT_nguoc_theo_NL!$J$5:$J$304,MATCH(C885,KT_nguoc_theo_NL!$B$5:$B$304,0))/INDEX(KT_nguoc_theo_NL!$K$5:$K$304,MATCH(C885,KT_nguoc_theo_NL!$B$5:$B$304,0)),""))</f>
        <v/>
      </c>
      <c r="I885" s="39" t="str">
        <f t="shared" si="66"/>
        <v/>
      </c>
      <c r="J885" s="46" t="str">
        <f t="shared" si="67"/>
        <v/>
      </c>
      <c r="K885" s="46" t="str">
        <f t="shared" si="68"/>
        <v/>
      </c>
      <c r="L885" s="46" t="str">
        <f t="shared" si="69"/>
        <v/>
      </c>
      <c r="M885" s="35" t="str">
        <f>IF(B885="","",IF(E885="KXDDM","KXDDM – không ĐM",IF(E885&lt;&gt;"","Không KT ("&amp;E885&amp;")",IF(OR(K885="",L885=""),"Xem xét",IF(MAX(ABS(K885),ABS(L885))&lt;=ThongTin!$C$12,"OK","Xem xét")))))</f>
        <v/>
      </c>
    </row>
    <row r="886" spans="1:13" x14ac:dyDescent="0.25">
      <c r="A886" s="35" t="str">
        <f t="shared" si="65"/>
        <v/>
      </c>
      <c r="B886" s="35" t="str">
        <f>IF(BOM!A886="","",BOM!A886)</f>
        <v/>
      </c>
      <c r="C886" s="35" t="str">
        <f>IF(B886="","",BOM!B886)</f>
        <v/>
      </c>
      <c r="D886" s="35" t="str">
        <f>IF(B886="","",KT_DMTT_ChiTiet!E886)</f>
        <v/>
      </c>
      <c r="E886" s="36" t="str">
        <f>IF(B886="","",BOM!G886&amp;"")</f>
        <v/>
      </c>
      <c r="F886" s="39" t="str">
        <f>IF(B886="","",BOM!E886)</f>
        <v/>
      </c>
      <c r="G886" s="39" t="str">
        <f>IF(OR(B886="",E886="KXDDM"),"",BOM!F886)</f>
        <v/>
      </c>
      <c r="H886" s="39" t="str">
        <f>IF(OR(B886="",E886&lt;&gt;""),"",IFERROR(INDEX(KT_nguoc_theo_NL!$J$5:$J$304,MATCH(C886,KT_nguoc_theo_NL!$B$5:$B$304,0))/INDEX(KT_nguoc_theo_NL!$K$5:$K$304,MATCH(C886,KT_nguoc_theo_NL!$B$5:$B$304,0)),""))</f>
        <v/>
      </c>
      <c r="I886" s="39" t="str">
        <f t="shared" si="66"/>
        <v/>
      </c>
      <c r="J886" s="46" t="str">
        <f t="shared" si="67"/>
        <v/>
      </c>
      <c r="K886" s="46" t="str">
        <f t="shared" si="68"/>
        <v/>
      </c>
      <c r="L886" s="46" t="str">
        <f t="shared" si="69"/>
        <v/>
      </c>
      <c r="M886" s="35" t="str">
        <f>IF(B886="","",IF(E886="KXDDM","KXDDM – không ĐM",IF(E886&lt;&gt;"","Không KT ("&amp;E886&amp;")",IF(OR(K886="",L886=""),"Xem xét",IF(MAX(ABS(K886),ABS(L886))&lt;=ThongTin!$C$12,"OK","Xem xét")))))</f>
        <v/>
      </c>
    </row>
    <row r="887" spans="1:13" x14ac:dyDescent="0.25">
      <c r="A887" s="35" t="str">
        <f t="shared" si="65"/>
        <v/>
      </c>
      <c r="B887" s="35" t="str">
        <f>IF(BOM!A887="","",BOM!A887)</f>
        <v/>
      </c>
      <c r="C887" s="35" t="str">
        <f>IF(B887="","",BOM!B887)</f>
        <v/>
      </c>
      <c r="D887" s="35" t="str">
        <f>IF(B887="","",KT_DMTT_ChiTiet!E887)</f>
        <v/>
      </c>
      <c r="E887" s="36" t="str">
        <f>IF(B887="","",BOM!G887&amp;"")</f>
        <v/>
      </c>
      <c r="F887" s="39" t="str">
        <f>IF(B887="","",BOM!E887)</f>
        <v/>
      </c>
      <c r="G887" s="39" t="str">
        <f>IF(OR(B887="",E887="KXDDM"),"",BOM!F887)</f>
        <v/>
      </c>
      <c r="H887" s="39" t="str">
        <f>IF(OR(B887="",E887&lt;&gt;""),"",IFERROR(INDEX(KT_nguoc_theo_NL!$J$5:$J$304,MATCH(C887,KT_nguoc_theo_NL!$B$5:$B$304,0))/INDEX(KT_nguoc_theo_NL!$K$5:$K$304,MATCH(C887,KT_nguoc_theo_NL!$B$5:$B$304,0)),""))</f>
        <v/>
      </c>
      <c r="I887" s="39" t="str">
        <f t="shared" si="66"/>
        <v/>
      </c>
      <c r="J887" s="46" t="str">
        <f t="shared" si="67"/>
        <v/>
      </c>
      <c r="K887" s="46" t="str">
        <f t="shared" si="68"/>
        <v/>
      </c>
      <c r="L887" s="46" t="str">
        <f t="shared" si="69"/>
        <v/>
      </c>
      <c r="M887" s="35" t="str">
        <f>IF(B887="","",IF(E887="KXDDM","KXDDM – không ĐM",IF(E887&lt;&gt;"","Không KT ("&amp;E887&amp;")",IF(OR(K887="",L887=""),"Xem xét",IF(MAX(ABS(K887),ABS(L887))&lt;=ThongTin!$C$12,"OK","Xem xét")))))</f>
        <v/>
      </c>
    </row>
    <row r="888" spans="1:13" x14ac:dyDescent="0.25">
      <c r="A888" s="35" t="str">
        <f t="shared" si="65"/>
        <v/>
      </c>
      <c r="B888" s="35" t="str">
        <f>IF(BOM!A888="","",BOM!A888)</f>
        <v/>
      </c>
      <c r="C888" s="35" t="str">
        <f>IF(B888="","",BOM!B888)</f>
        <v/>
      </c>
      <c r="D888" s="35" t="str">
        <f>IF(B888="","",KT_DMTT_ChiTiet!E888)</f>
        <v/>
      </c>
      <c r="E888" s="36" t="str">
        <f>IF(B888="","",BOM!G888&amp;"")</f>
        <v/>
      </c>
      <c r="F888" s="39" t="str">
        <f>IF(B888="","",BOM!E888)</f>
        <v/>
      </c>
      <c r="G888" s="39" t="str">
        <f>IF(OR(B888="",E888="KXDDM"),"",BOM!F888)</f>
        <v/>
      </c>
      <c r="H888" s="39" t="str">
        <f>IF(OR(B888="",E888&lt;&gt;""),"",IFERROR(INDEX(KT_nguoc_theo_NL!$J$5:$J$304,MATCH(C888,KT_nguoc_theo_NL!$B$5:$B$304,0))/INDEX(KT_nguoc_theo_NL!$K$5:$K$304,MATCH(C888,KT_nguoc_theo_NL!$B$5:$B$304,0)),""))</f>
        <v/>
      </c>
      <c r="I888" s="39" t="str">
        <f t="shared" si="66"/>
        <v/>
      </c>
      <c r="J888" s="46" t="str">
        <f t="shared" si="67"/>
        <v/>
      </c>
      <c r="K888" s="46" t="str">
        <f t="shared" si="68"/>
        <v/>
      </c>
      <c r="L888" s="46" t="str">
        <f t="shared" si="69"/>
        <v/>
      </c>
      <c r="M888" s="35" t="str">
        <f>IF(B888="","",IF(E888="KXDDM","KXDDM – không ĐM",IF(E888&lt;&gt;"","Không KT ("&amp;E888&amp;")",IF(OR(K888="",L888=""),"Xem xét",IF(MAX(ABS(K888),ABS(L888))&lt;=ThongTin!$C$12,"OK","Xem xét")))))</f>
        <v/>
      </c>
    </row>
    <row r="889" spans="1:13" x14ac:dyDescent="0.25">
      <c r="A889" s="35" t="str">
        <f t="shared" si="65"/>
        <v/>
      </c>
      <c r="B889" s="35" t="str">
        <f>IF(BOM!A889="","",BOM!A889)</f>
        <v/>
      </c>
      <c r="C889" s="35" t="str">
        <f>IF(B889="","",BOM!B889)</f>
        <v/>
      </c>
      <c r="D889" s="35" t="str">
        <f>IF(B889="","",KT_DMTT_ChiTiet!E889)</f>
        <v/>
      </c>
      <c r="E889" s="36" t="str">
        <f>IF(B889="","",BOM!G889&amp;"")</f>
        <v/>
      </c>
      <c r="F889" s="39" t="str">
        <f>IF(B889="","",BOM!E889)</f>
        <v/>
      </c>
      <c r="G889" s="39" t="str">
        <f>IF(OR(B889="",E889="KXDDM"),"",BOM!F889)</f>
        <v/>
      </c>
      <c r="H889" s="39" t="str">
        <f>IF(OR(B889="",E889&lt;&gt;""),"",IFERROR(INDEX(KT_nguoc_theo_NL!$J$5:$J$304,MATCH(C889,KT_nguoc_theo_NL!$B$5:$B$304,0))/INDEX(KT_nguoc_theo_NL!$K$5:$K$304,MATCH(C889,KT_nguoc_theo_NL!$B$5:$B$304,0)),""))</f>
        <v/>
      </c>
      <c r="I889" s="39" t="str">
        <f t="shared" si="66"/>
        <v/>
      </c>
      <c r="J889" s="46" t="str">
        <f t="shared" si="67"/>
        <v/>
      </c>
      <c r="K889" s="46" t="str">
        <f t="shared" si="68"/>
        <v/>
      </c>
      <c r="L889" s="46" t="str">
        <f t="shared" si="69"/>
        <v/>
      </c>
      <c r="M889" s="35" t="str">
        <f>IF(B889="","",IF(E889="KXDDM","KXDDM – không ĐM",IF(E889&lt;&gt;"","Không KT ("&amp;E889&amp;")",IF(OR(K889="",L889=""),"Xem xét",IF(MAX(ABS(K889),ABS(L889))&lt;=ThongTin!$C$12,"OK","Xem xét")))))</f>
        <v/>
      </c>
    </row>
    <row r="890" spans="1:13" x14ac:dyDescent="0.25">
      <c r="A890" s="35" t="str">
        <f t="shared" si="65"/>
        <v/>
      </c>
      <c r="B890" s="35" t="str">
        <f>IF(BOM!A890="","",BOM!A890)</f>
        <v/>
      </c>
      <c r="C890" s="35" t="str">
        <f>IF(B890="","",BOM!B890)</f>
        <v/>
      </c>
      <c r="D890" s="35" t="str">
        <f>IF(B890="","",KT_DMTT_ChiTiet!E890)</f>
        <v/>
      </c>
      <c r="E890" s="36" t="str">
        <f>IF(B890="","",BOM!G890&amp;"")</f>
        <v/>
      </c>
      <c r="F890" s="39" t="str">
        <f>IF(B890="","",BOM!E890)</f>
        <v/>
      </c>
      <c r="G890" s="39" t="str">
        <f>IF(OR(B890="",E890="KXDDM"),"",BOM!F890)</f>
        <v/>
      </c>
      <c r="H890" s="39" t="str">
        <f>IF(OR(B890="",E890&lt;&gt;""),"",IFERROR(INDEX(KT_nguoc_theo_NL!$J$5:$J$304,MATCH(C890,KT_nguoc_theo_NL!$B$5:$B$304,0))/INDEX(KT_nguoc_theo_NL!$K$5:$K$304,MATCH(C890,KT_nguoc_theo_NL!$B$5:$B$304,0)),""))</f>
        <v/>
      </c>
      <c r="I890" s="39" t="str">
        <f t="shared" si="66"/>
        <v/>
      </c>
      <c r="J890" s="46" t="str">
        <f t="shared" si="67"/>
        <v/>
      </c>
      <c r="K890" s="46" t="str">
        <f t="shared" si="68"/>
        <v/>
      </c>
      <c r="L890" s="46" t="str">
        <f t="shared" si="69"/>
        <v/>
      </c>
      <c r="M890" s="35" t="str">
        <f>IF(B890="","",IF(E890="KXDDM","KXDDM – không ĐM",IF(E890&lt;&gt;"","Không KT ("&amp;E890&amp;")",IF(OR(K890="",L890=""),"Xem xét",IF(MAX(ABS(K890),ABS(L890))&lt;=ThongTin!$C$12,"OK","Xem xét")))))</f>
        <v/>
      </c>
    </row>
    <row r="891" spans="1:13" x14ac:dyDescent="0.25">
      <c r="A891" s="35" t="str">
        <f t="shared" si="65"/>
        <v/>
      </c>
      <c r="B891" s="35" t="str">
        <f>IF(BOM!A891="","",BOM!A891)</f>
        <v/>
      </c>
      <c r="C891" s="35" t="str">
        <f>IF(B891="","",BOM!B891)</f>
        <v/>
      </c>
      <c r="D891" s="35" t="str">
        <f>IF(B891="","",KT_DMTT_ChiTiet!E891)</f>
        <v/>
      </c>
      <c r="E891" s="36" t="str">
        <f>IF(B891="","",BOM!G891&amp;"")</f>
        <v/>
      </c>
      <c r="F891" s="39" t="str">
        <f>IF(B891="","",BOM!E891)</f>
        <v/>
      </c>
      <c r="G891" s="39" t="str">
        <f>IF(OR(B891="",E891="KXDDM"),"",BOM!F891)</f>
        <v/>
      </c>
      <c r="H891" s="39" t="str">
        <f>IF(OR(B891="",E891&lt;&gt;""),"",IFERROR(INDEX(KT_nguoc_theo_NL!$J$5:$J$304,MATCH(C891,KT_nguoc_theo_NL!$B$5:$B$304,0))/INDEX(KT_nguoc_theo_NL!$K$5:$K$304,MATCH(C891,KT_nguoc_theo_NL!$B$5:$B$304,0)),""))</f>
        <v/>
      </c>
      <c r="I891" s="39" t="str">
        <f t="shared" si="66"/>
        <v/>
      </c>
      <c r="J891" s="46" t="str">
        <f t="shared" si="67"/>
        <v/>
      </c>
      <c r="K891" s="46" t="str">
        <f t="shared" si="68"/>
        <v/>
      </c>
      <c r="L891" s="46" t="str">
        <f t="shared" si="69"/>
        <v/>
      </c>
      <c r="M891" s="35" t="str">
        <f>IF(B891="","",IF(E891="KXDDM","KXDDM – không ĐM",IF(E891&lt;&gt;"","Không KT ("&amp;E891&amp;")",IF(OR(K891="",L891=""),"Xem xét",IF(MAX(ABS(K891),ABS(L891))&lt;=ThongTin!$C$12,"OK","Xem xét")))))</f>
        <v/>
      </c>
    </row>
    <row r="892" spans="1:13" x14ac:dyDescent="0.25">
      <c r="A892" s="35" t="str">
        <f t="shared" si="65"/>
        <v/>
      </c>
      <c r="B892" s="35" t="str">
        <f>IF(BOM!A892="","",BOM!A892)</f>
        <v/>
      </c>
      <c r="C892" s="35" t="str">
        <f>IF(B892="","",BOM!B892)</f>
        <v/>
      </c>
      <c r="D892" s="35" t="str">
        <f>IF(B892="","",KT_DMTT_ChiTiet!E892)</f>
        <v/>
      </c>
      <c r="E892" s="36" t="str">
        <f>IF(B892="","",BOM!G892&amp;"")</f>
        <v/>
      </c>
      <c r="F892" s="39" t="str">
        <f>IF(B892="","",BOM!E892)</f>
        <v/>
      </c>
      <c r="G892" s="39" t="str">
        <f>IF(OR(B892="",E892="KXDDM"),"",BOM!F892)</f>
        <v/>
      </c>
      <c r="H892" s="39" t="str">
        <f>IF(OR(B892="",E892&lt;&gt;""),"",IFERROR(INDEX(KT_nguoc_theo_NL!$J$5:$J$304,MATCH(C892,KT_nguoc_theo_NL!$B$5:$B$304,0))/INDEX(KT_nguoc_theo_NL!$K$5:$K$304,MATCH(C892,KT_nguoc_theo_NL!$B$5:$B$304,0)),""))</f>
        <v/>
      </c>
      <c r="I892" s="39" t="str">
        <f t="shared" si="66"/>
        <v/>
      </c>
      <c r="J892" s="46" t="str">
        <f t="shared" si="67"/>
        <v/>
      </c>
      <c r="K892" s="46" t="str">
        <f t="shared" si="68"/>
        <v/>
      </c>
      <c r="L892" s="46" t="str">
        <f t="shared" si="69"/>
        <v/>
      </c>
      <c r="M892" s="35" t="str">
        <f>IF(B892="","",IF(E892="KXDDM","KXDDM – không ĐM",IF(E892&lt;&gt;"","Không KT ("&amp;E892&amp;")",IF(OR(K892="",L892=""),"Xem xét",IF(MAX(ABS(K892),ABS(L892))&lt;=ThongTin!$C$12,"OK","Xem xét")))))</f>
        <v/>
      </c>
    </row>
    <row r="893" spans="1:13" x14ac:dyDescent="0.25">
      <c r="A893" s="35" t="str">
        <f t="shared" si="65"/>
        <v/>
      </c>
      <c r="B893" s="35" t="str">
        <f>IF(BOM!A893="","",BOM!A893)</f>
        <v/>
      </c>
      <c r="C893" s="35" t="str">
        <f>IF(B893="","",BOM!B893)</f>
        <v/>
      </c>
      <c r="D893" s="35" t="str">
        <f>IF(B893="","",KT_DMTT_ChiTiet!E893)</f>
        <v/>
      </c>
      <c r="E893" s="36" t="str">
        <f>IF(B893="","",BOM!G893&amp;"")</f>
        <v/>
      </c>
      <c r="F893" s="39" t="str">
        <f>IF(B893="","",BOM!E893)</f>
        <v/>
      </c>
      <c r="G893" s="39" t="str">
        <f>IF(OR(B893="",E893="KXDDM"),"",BOM!F893)</f>
        <v/>
      </c>
      <c r="H893" s="39" t="str">
        <f>IF(OR(B893="",E893&lt;&gt;""),"",IFERROR(INDEX(KT_nguoc_theo_NL!$J$5:$J$304,MATCH(C893,KT_nguoc_theo_NL!$B$5:$B$304,0))/INDEX(KT_nguoc_theo_NL!$K$5:$K$304,MATCH(C893,KT_nguoc_theo_NL!$B$5:$B$304,0)),""))</f>
        <v/>
      </c>
      <c r="I893" s="39" t="str">
        <f t="shared" si="66"/>
        <v/>
      </c>
      <c r="J893" s="46" t="str">
        <f t="shared" si="67"/>
        <v/>
      </c>
      <c r="K893" s="46" t="str">
        <f t="shared" si="68"/>
        <v/>
      </c>
      <c r="L893" s="46" t="str">
        <f t="shared" si="69"/>
        <v/>
      </c>
      <c r="M893" s="35" t="str">
        <f>IF(B893="","",IF(E893="KXDDM","KXDDM – không ĐM",IF(E893&lt;&gt;"","Không KT ("&amp;E893&amp;")",IF(OR(K893="",L893=""),"Xem xét",IF(MAX(ABS(K893),ABS(L893))&lt;=ThongTin!$C$12,"OK","Xem xét")))))</f>
        <v/>
      </c>
    </row>
    <row r="894" spans="1:13" x14ac:dyDescent="0.25">
      <c r="A894" s="35" t="str">
        <f t="shared" si="65"/>
        <v/>
      </c>
      <c r="B894" s="35" t="str">
        <f>IF(BOM!A894="","",BOM!A894)</f>
        <v/>
      </c>
      <c r="C894" s="35" t="str">
        <f>IF(B894="","",BOM!B894)</f>
        <v/>
      </c>
      <c r="D894" s="35" t="str">
        <f>IF(B894="","",KT_DMTT_ChiTiet!E894)</f>
        <v/>
      </c>
      <c r="E894" s="36" t="str">
        <f>IF(B894="","",BOM!G894&amp;"")</f>
        <v/>
      </c>
      <c r="F894" s="39" t="str">
        <f>IF(B894="","",BOM!E894)</f>
        <v/>
      </c>
      <c r="G894" s="39" t="str">
        <f>IF(OR(B894="",E894="KXDDM"),"",BOM!F894)</f>
        <v/>
      </c>
      <c r="H894" s="39" t="str">
        <f>IF(OR(B894="",E894&lt;&gt;""),"",IFERROR(INDEX(KT_nguoc_theo_NL!$J$5:$J$304,MATCH(C894,KT_nguoc_theo_NL!$B$5:$B$304,0))/INDEX(KT_nguoc_theo_NL!$K$5:$K$304,MATCH(C894,KT_nguoc_theo_NL!$B$5:$B$304,0)),""))</f>
        <v/>
      </c>
      <c r="I894" s="39" t="str">
        <f t="shared" si="66"/>
        <v/>
      </c>
      <c r="J894" s="46" t="str">
        <f t="shared" si="67"/>
        <v/>
      </c>
      <c r="K894" s="46" t="str">
        <f t="shared" si="68"/>
        <v/>
      </c>
      <c r="L894" s="46" t="str">
        <f t="shared" si="69"/>
        <v/>
      </c>
      <c r="M894" s="35" t="str">
        <f>IF(B894="","",IF(E894="KXDDM","KXDDM – không ĐM",IF(E894&lt;&gt;"","Không KT ("&amp;E894&amp;")",IF(OR(K894="",L894=""),"Xem xét",IF(MAX(ABS(K894),ABS(L894))&lt;=ThongTin!$C$12,"OK","Xem xét")))))</f>
        <v/>
      </c>
    </row>
    <row r="895" spans="1:13" x14ac:dyDescent="0.25">
      <c r="A895" s="35" t="str">
        <f t="shared" si="65"/>
        <v/>
      </c>
      <c r="B895" s="35" t="str">
        <f>IF(BOM!A895="","",BOM!A895)</f>
        <v/>
      </c>
      <c r="C895" s="35" t="str">
        <f>IF(B895="","",BOM!B895)</f>
        <v/>
      </c>
      <c r="D895" s="35" t="str">
        <f>IF(B895="","",KT_DMTT_ChiTiet!E895)</f>
        <v/>
      </c>
      <c r="E895" s="36" t="str">
        <f>IF(B895="","",BOM!G895&amp;"")</f>
        <v/>
      </c>
      <c r="F895" s="39" t="str">
        <f>IF(B895="","",BOM!E895)</f>
        <v/>
      </c>
      <c r="G895" s="39" t="str">
        <f>IF(OR(B895="",E895="KXDDM"),"",BOM!F895)</f>
        <v/>
      </c>
      <c r="H895" s="39" t="str">
        <f>IF(OR(B895="",E895&lt;&gt;""),"",IFERROR(INDEX(KT_nguoc_theo_NL!$J$5:$J$304,MATCH(C895,KT_nguoc_theo_NL!$B$5:$B$304,0))/INDEX(KT_nguoc_theo_NL!$K$5:$K$304,MATCH(C895,KT_nguoc_theo_NL!$B$5:$B$304,0)),""))</f>
        <v/>
      </c>
      <c r="I895" s="39" t="str">
        <f t="shared" si="66"/>
        <v/>
      </c>
      <c r="J895" s="46" t="str">
        <f t="shared" si="67"/>
        <v/>
      </c>
      <c r="K895" s="46" t="str">
        <f t="shared" si="68"/>
        <v/>
      </c>
      <c r="L895" s="46" t="str">
        <f t="shared" si="69"/>
        <v/>
      </c>
      <c r="M895" s="35" t="str">
        <f>IF(B895="","",IF(E895="KXDDM","KXDDM – không ĐM",IF(E895&lt;&gt;"","Không KT ("&amp;E895&amp;")",IF(OR(K895="",L895=""),"Xem xét",IF(MAX(ABS(K895),ABS(L895))&lt;=ThongTin!$C$12,"OK","Xem xét")))))</f>
        <v/>
      </c>
    </row>
    <row r="896" spans="1:13" x14ac:dyDescent="0.25">
      <c r="A896" s="35" t="str">
        <f t="shared" si="65"/>
        <v/>
      </c>
      <c r="B896" s="35" t="str">
        <f>IF(BOM!A896="","",BOM!A896)</f>
        <v/>
      </c>
      <c r="C896" s="35" t="str">
        <f>IF(B896="","",BOM!B896)</f>
        <v/>
      </c>
      <c r="D896" s="35" t="str">
        <f>IF(B896="","",KT_DMTT_ChiTiet!E896)</f>
        <v/>
      </c>
      <c r="E896" s="36" t="str">
        <f>IF(B896="","",BOM!G896&amp;"")</f>
        <v/>
      </c>
      <c r="F896" s="39" t="str">
        <f>IF(B896="","",BOM!E896)</f>
        <v/>
      </c>
      <c r="G896" s="39" t="str">
        <f>IF(OR(B896="",E896="KXDDM"),"",BOM!F896)</f>
        <v/>
      </c>
      <c r="H896" s="39" t="str">
        <f>IF(OR(B896="",E896&lt;&gt;""),"",IFERROR(INDEX(KT_nguoc_theo_NL!$J$5:$J$304,MATCH(C896,KT_nguoc_theo_NL!$B$5:$B$304,0))/INDEX(KT_nguoc_theo_NL!$K$5:$K$304,MATCH(C896,KT_nguoc_theo_NL!$B$5:$B$304,0)),""))</f>
        <v/>
      </c>
      <c r="I896" s="39" t="str">
        <f t="shared" si="66"/>
        <v/>
      </c>
      <c r="J896" s="46" t="str">
        <f t="shared" si="67"/>
        <v/>
      </c>
      <c r="K896" s="46" t="str">
        <f t="shared" si="68"/>
        <v/>
      </c>
      <c r="L896" s="46" t="str">
        <f t="shared" si="69"/>
        <v/>
      </c>
      <c r="M896" s="35" t="str">
        <f>IF(B896="","",IF(E896="KXDDM","KXDDM – không ĐM",IF(E896&lt;&gt;"","Không KT ("&amp;E896&amp;")",IF(OR(K896="",L896=""),"Xem xét",IF(MAX(ABS(K896),ABS(L896))&lt;=ThongTin!$C$12,"OK","Xem xét")))))</f>
        <v/>
      </c>
    </row>
    <row r="897" spans="1:13" x14ac:dyDescent="0.25">
      <c r="A897" s="35" t="str">
        <f t="shared" si="65"/>
        <v/>
      </c>
      <c r="B897" s="35" t="str">
        <f>IF(BOM!A897="","",BOM!A897)</f>
        <v/>
      </c>
      <c r="C897" s="35" t="str">
        <f>IF(B897="","",BOM!B897)</f>
        <v/>
      </c>
      <c r="D897" s="35" t="str">
        <f>IF(B897="","",KT_DMTT_ChiTiet!E897)</f>
        <v/>
      </c>
      <c r="E897" s="36" t="str">
        <f>IF(B897="","",BOM!G897&amp;"")</f>
        <v/>
      </c>
      <c r="F897" s="39" t="str">
        <f>IF(B897="","",BOM!E897)</f>
        <v/>
      </c>
      <c r="G897" s="39" t="str">
        <f>IF(OR(B897="",E897="KXDDM"),"",BOM!F897)</f>
        <v/>
      </c>
      <c r="H897" s="39" t="str">
        <f>IF(OR(B897="",E897&lt;&gt;""),"",IFERROR(INDEX(KT_nguoc_theo_NL!$J$5:$J$304,MATCH(C897,KT_nguoc_theo_NL!$B$5:$B$304,0))/INDEX(KT_nguoc_theo_NL!$K$5:$K$304,MATCH(C897,KT_nguoc_theo_NL!$B$5:$B$304,0)),""))</f>
        <v/>
      </c>
      <c r="I897" s="39" t="str">
        <f t="shared" si="66"/>
        <v/>
      </c>
      <c r="J897" s="46" t="str">
        <f t="shared" si="67"/>
        <v/>
      </c>
      <c r="K897" s="46" t="str">
        <f t="shared" si="68"/>
        <v/>
      </c>
      <c r="L897" s="46" t="str">
        <f t="shared" si="69"/>
        <v/>
      </c>
      <c r="M897" s="35" t="str">
        <f>IF(B897="","",IF(E897="KXDDM","KXDDM – không ĐM",IF(E897&lt;&gt;"","Không KT ("&amp;E897&amp;")",IF(OR(K897="",L897=""),"Xem xét",IF(MAX(ABS(K897),ABS(L897))&lt;=ThongTin!$C$12,"OK","Xem xét")))))</f>
        <v/>
      </c>
    </row>
    <row r="898" spans="1:13" x14ac:dyDescent="0.25">
      <c r="A898" s="35" t="str">
        <f t="shared" si="65"/>
        <v/>
      </c>
      <c r="B898" s="35" t="str">
        <f>IF(BOM!A898="","",BOM!A898)</f>
        <v/>
      </c>
      <c r="C898" s="35" t="str">
        <f>IF(B898="","",BOM!B898)</f>
        <v/>
      </c>
      <c r="D898" s="35" t="str">
        <f>IF(B898="","",KT_DMTT_ChiTiet!E898)</f>
        <v/>
      </c>
      <c r="E898" s="36" t="str">
        <f>IF(B898="","",BOM!G898&amp;"")</f>
        <v/>
      </c>
      <c r="F898" s="39" t="str">
        <f>IF(B898="","",BOM!E898)</f>
        <v/>
      </c>
      <c r="G898" s="39" t="str">
        <f>IF(OR(B898="",E898="KXDDM"),"",BOM!F898)</f>
        <v/>
      </c>
      <c r="H898" s="39" t="str">
        <f>IF(OR(B898="",E898&lt;&gt;""),"",IFERROR(INDEX(KT_nguoc_theo_NL!$J$5:$J$304,MATCH(C898,KT_nguoc_theo_NL!$B$5:$B$304,0))/INDEX(KT_nguoc_theo_NL!$K$5:$K$304,MATCH(C898,KT_nguoc_theo_NL!$B$5:$B$304,0)),""))</f>
        <v/>
      </c>
      <c r="I898" s="39" t="str">
        <f t="shared" si="66"/>
        <v/>
      </c>
      <c r="J898" s="46" t="str">
        <f t="shared" si="67"/>
        <v/>
      </c>
      <c r="K898" s="46" t="str">
        <f t="shared" si="68"/>
        <v/>
      </c>
      <c r="L898" s="46" t="str">
        <f t="shared" si="69"/>
        <v/>
      </c>
      <c r="M898" s="35" t="str">
        <f>IF(B898="","",IF(E898="KXDDM","KXDDM – không ĐM",IF(E898&lt;&gt;"","Không KT ("&amp;E898&amp;")",IF(OR(K898="",L898=""),"Xem xét",IF(MAX(ABS(K898),ABS(L898))&lt;=ThongTin!$C$12,"OK","Xem xét")))))</f>
        <v/>
      </c>
    </row>
    <row r="899" spans="1:13" x14ac:dyDescent="0.25">
      <c r="A899" s="35" t="str">
        <f t="shared" si="65"/>
        <v/>
      </c>
      <c r="B899" s="35" t="str">
        <f>IF(BOM!A899="","",BOM!A899)</f>
        <v/>
      </c>
      <c r="C899" s="35" t="str">
        <f>IF(B899="","",BOM!B899)</f>
        <v/>
      </c>
      <c r="D899" s="35" t="str">
        <f>IF(B899="","",KT_DMTT_ChiTiet!E899)</f>
        <v/>
      </c>
      <c r="E899" s="36" t="str">
        <f>IF(B899="","",BOM!G899&amp;"")</f>
        <v/>
      </c>
      <c r="F899" s="39" t="str">
        <f>IF(B899="","",BOM!E899)</f>
        <v/>
      </c>
      <c r="G899" s="39" t="str">
        <f>IF(OR(B899="",E899="KXDDM"),"",BOM!F899)</f>
        <v/>
      </c>
      <c r="H899" s="39" t="str">
        <f>IF(OR(B899="",E899&lt;&gt;""),"",IFERROR(INDEX(KT_nguoc_theo_NL!$J$5:$J$304,MATCH(C899,KT_nguoc_theo_NL!$B$5:$B$304,0))/INDEX(KT_nguoc_theo_NL!$K$5:$K$304,MATCH(C899,KT_nguoc_theo_NL!$B$5:$B$304,0)),""))</f>
        <v/>
      </c>
      <c r="I899" s="39" t="str">
        <f t="shared" si="66"/>
        <v/>
      </c>
      <c r="J899" s="46" t="str">
        <f t="shared" si="67"/>
        <v/>
      </c>
      <c r="K899" s="46" t="str">
        <f t="shared" si="68"/>
        <v/>
      </c>
      <c r="L899" s="46" t="str">
        <f t="shared" si="69"/>
        <v/>
      </c>
      <c r="M899" s="35" t="str">
        <f>IF(B899="","",IF(E899="KXDDM","KXDDM – không ĐM",IF(E899&lt;&gt;"","Không KT ("&amp;E899&amp;")",IF(OR(K899="",L899=""),"Xem xét",IF(MAX(ABS(K899),ABS(L899))&lt;=ThongTin!$C$12,"OK","Xem xét")))))</f>
        <v/>
      </c>
    </row>
    <row r="900" spans="1:13" x14ac:dyDescent="0.25">
      <c r="A900" s="35" t="str">
        <f t="shared" si="65"/>
        <v/>
      </c>
      <c r="B900" s="35" t="str">
        <f>IF(BOM!A900="","",BOM!A900)</f>
        <v/>
      </c>
      <c r="C900" s="35" t="str">
        <f>IF(B900="","",BOM!B900)</f>
        <v/>
      </c>
      <c r="D900" s="35" t="str">
        <f>IF(B900="","",KT_DMTT_ChiTiet!E900)</f>
        <v/>
      </c>
      <c r="E900" s="36" t="str">
        <f>IF(B900="","",BOM!G900&amp;"")</f>
        <v/>
      </c>
      <c r="F900" s="39" t="str">
        <f>IF(B900="","",BOM!E900)</f>
        <v/>
      </c>
      <c r="G900" s="39" t="str">
        <f>IF(OR(B900="",E900="KXDDM"),"",BOM!F900)</f>
        <v/>
      </c>
      <c r="H900" s="39" t="str">
        <f>IF(OR(B900="",E900&lt;&gt;""),"",IFERROR(INDEX(KT_nguoc_theo_NL!$J$5:$J$304,MATCH(C900,KT_nguoc_theo_NL!$B$5:$B$304,0))/INDEX(KT_nguoc_theo_NL!$K$5:$K$304,MATCH(C900,KT_nguoc_theo_NL!$B$5:$B$304,0)),""))</f>
        <v/>
      </c>
      <c r="I900" s="39" t="str">
        <f t="shared" si="66"/>
        <v/>
      </c>
      <c r="J900" s="46" t="str">
        <f t="shared" si="67"/>
        <v/>
      </c>
      <c r="K900" s="46" t="str">
        <f t="shared" si="68"/>
        <v/>
      </c>
      <c r="L900" s="46" t="str">
        <f t="shared" si="69"/>
        <v/>
      </c>
      <c r="M900" s="35" t="str">
        <f>IF(B900="","",IF(E900="KXDDM","KXDDM – không ĐM",IF(E900&lt;&gt;"","Không KT ("&amp;E900&amp;")",IF(OR(K900="",L900=""),"Xem xét",IF(MAX(ABS(K900),ABS(L900))&lt;=ThongTin!$C$12,"OK","Xem xét")))))</f>
        <v/>
      </c>
    </row>
    <row r="901" spans="1:13" x14ac:dyDescent="0.25">
      <c r="A901" s="35" t="str">
        <f t="shared" ref="A901:A964" si="70">IF(B901="","",ROW()-4)</f>
        <v/>
      </c>
      <c r="B901" s="35" t="str">
        <f>IF(BOM!A901="","",BOM!A901)</f>
        <v/>
      </c>
      <c r="C901" s="35" t="str">
        <f>IF(B901="","",BOM!B901)</f>
        <v/>
      </c>
      <c r="D901" s="35" t="str">
        <f>IF(B901="","",KT_DMTT_ChiTiet!E901)</f>
        <v/>
      </c>
      <c r="E901" s="36" t="str">
        <f>IF(B901="","",BOM!G901&amp;"")</f>
        <v/>
      </c>
      <c r="F901" s="39" t="str">
        <f>IF(B901="","",BOM!E901)</f>
        <v/>
      </c>
      <c r="G901" s="39" t="str">
        <f>IF(OR(B901="",E901="KXDDM"),"",BOM!F901)</f>
        <v/>
      </c>
      <c r="H901" s="39" t="str">
        <f>IF(OR(B901="",E901&lt;&gt;""),"",IFERROR(INDEX(KT_nguoc_theo_NL!$J$5:$J$304,MATCH(C901,KT_nguoc_theo_NL!$B$5:$B$304,0))/INDEX(KT_nguoc_theo_NL!$K$5:$K$304,MATCH(C901,KT_nguoc_theo_NL!$B$5:$B$304,0)),""))</f>
        <v/>
      </c>
      <c r="I901" s="39" t="str">
        <f t="shared" ref="I901:I964" si="71">IF(OR(H901="",G901=""),"",G901*H901)</f>
        <v/>
      </c>
      <c r="J901" s="46" t="str">
        <f t="shared" ref="J901:J964" si="72">IF(OR(I901="",I901=0),"",(G901-I901)/I901)</f>
        <v/>
      </c>
      <c r="K901" s="46" t="str">
        <f t="shared" ref="K901:K964" si="73">IF(OR(G901="",F901="",F901=0),"",(G901-F901)/F901)</f>
        <v/>
      </c>
      <c r="L901" s="46" t="str">
        <f t="shared" ref="L901:L964" si="74">IF(OR(I901="",F901="",F901=0),"",(I901-F901)/F901)</f>
        <v/>
      </c>
      <c r="M901" s="35" t="str">
        <f>IF(B901="","",IF(E901="KXDDM","KXDDM – không ĐM",IF(E901&lt;&gt;"","Không KT ("&amp;E901&amp;")",IF(OR(K901="",L901=""),"Xem xét",IF(MAX(ABS(K901),ABS(L901))&lt;=ThongTin!$C$12,"OK","Xem xét")))))</f>
        <v/>
      </c>
    </row>
    <row r="902" spans="1:13" x14ac:dyDescent="0.25">
      <c r="A902" s="35" t="str">
        <f t="shared" si="70"/>
        <v/>
      </c>
      <c r="B902" s="35" t="str">
        <f>IF(BOM!A902="","",BOM!A902)</f>
        <v/>
      </c>
      <c r="C902" s="35" t="str">
        <f>IF(B902="","",BOM!B902)</f>
        <v/>
      </c>
      <c r="D902" s="35" t="str">
        <f>IF(B902="","",KT_DMTT_ChiTiet!E902)</f>
        <v/>
      </c>
      <c r="E902" s="36" t="str">
        <f>IF(B902="","",BOM!G902&amp;"")</f>
        <v/>
      </c>
      <c r="F902" s="39" t="str">
        <f>IF(B902="","",BOM!E902)</f>
        <v/>
      </c>
      <c r="G902" s="39" t="str">
        <f>IF(OR(B902="",E902="KXDDM"),"",BOM!F902)</f>
        <v/>
      </c>
      <c r="H902" s="39" t="str">
        <f>IF(OR(B902="",E902&lt;&gt;""),"",IFERROR(INDEX(KT_nguoc_theo_NL!$J$5:$J$304,MATCH(C902,KT_nguoc_theo_NL!$B$5:$B$304,0))/INDEX(KT_nguoc_theo_NL!$K$5:$K$304,MATCH(C902,KT_nguoc_theo_NL!$B$5:$B$304,0)),""))</f>
        <v/>
      </c>
      <c r="I902" s="39" t="str">
        <f t="shared" si="71"/>
        <v/>
      </c>
      <c r="J902" s="46" t="str">
        <f t="shared" si="72"/>
        <v/>
      </c>
      <c r="K902" s="46" t="str">
        <f t="shared" si="73"/>
        <v/>
      </c>
      <c r="L902" s="46" t="str">
        <f t="shared" si="74"/>
        <v/>
      </c>
      <c r="M902" s="35" t="str">
        <f>IF(B902="","",IF(E902="KXDDM","KXDDM – không ĐM",IF(E902&lt;&gt;"","Không KT ("&amp;E902&amp;")",IF(OR(K902="",L902=""),"Xem xét",IF(MAX(ABS(K902),ABS(L902))&lt;=ThongTin!$C$12,"OK","Xem xét")))))</f>
        <v/>
      </c>
    </row>
    <row r="903" spans="1:13" x14ac:dyDescent="0.25">
      <c r="A903" s="35" t="str">
        <f t="shared" si="70"/>
        <v/>
      </c>
      <c r="B903" s="35" t="str">
        <f>IF(BOM!A903="","",BOM!A903)</f>
        <v/>
      </c>
      <c r="C903" s="35" t="str">
        <f>IF(B903="","",BOM!B903)</f>
        <v/>
      </c>
      <c r="D903" s="35" t="str">
        <f>IF(B903="","",KT_DMTT_ChiTiet!E903)</f>
        <v/>
      </c>
      <c r="E903" s="36" t="str">
        <f>IF(B903="","",BOM!G903&amp;"")</f>
        <v/>
      </c>
      <c r="F903" s="39" t="str">
        <f>IF(B903="","",BOM!E903)</f>
        <v/>
      </c>
      <c r="G903" s="39" t="str">
        <f>IF(OR(B903="",E903="KXDDM"),"",BOM!F903)</f>
        <v/>
      </c>
      <c r="H903" s="39" t="str">
        <f>IF(OR(B903="",E903&lt;&gt;""),"",IFERROR(INDEX(KT_nguoc_theo_NL!$J$5:$J$304,MATCH(C903,KT_nguoc_theo_NL!$B$5:$B$304,0))/INDEX(KT_nguoc_theo_NL!$K$5:$K$304,MATCH(C903,KT_nguoc_theo_NL!$B$5:$B$304,0)),""))</f>
        <v/>
      </c>
      <c r="I903" s="39" t="str">
        <f t="shared" si="71"/>
        <v/>
      </c>
      <c r="J903" s="46" t="str">
        <f t="shared" si="72"/>
        <v/>
      </c>
      <c r="K903" s="46" t="str">
        <f t="shared" si="73"/>
        <v/>
      </c>
      <c r="L903" s="46" t="str">
        <f t="shared" si="74"/>
        <v/>
      </c>
      <c r="M903" s="35" t="str">
        <f>IF(B903="","",IF(E903="KXDDM","KXDDM – không ĐM",IF(E903&lt;&gt;"","Không KT ("&amp;E903&amp;")",IF(OR(K903="",L903=""),"Xem xét",IF(MAX(ABS(K903),ABS(L903))&lt;=ThongTin!$C$12,"OK","Xem xét")))))</f>
        <v/>
      </c>
    </row>
    <row r="904" spans="1:13" x14ac:dyDescent="0.25">
      <c r="A904" s="35" t="str">
        <f t="shared" si="70"/>
        <v/>
      </c>
      <c r="B904" s="35" t="str">
        <f>IF(BOM!A904="","",BOM!A904)</f>
        <v/>
      </c>
      <c r="C904" s="35" t="str">
        <f>IF(B904="","",BOM!B904)</f>
        <v/>
      </c>
      <c r="D904" s="35" t="str">
        <f>IF(B904="","",KT_DMTT_ChiTiet!E904)</f>
        <v/>
      </c>
      <c r="E904" s="36" t="str">
        <f>IF(B904="","",BOM!G904&amp;"")</f>
        <v/>
      </c>
      <c r="F904" s="39" t="str">
        <f>IF(B904="","",BOM!E904)</f>
        <v/>
      </c>
      <c r="G904" s="39" t="str">
        <f>IF(OR(B904="",E904="KXDDM"),"",BOM!F904)</f>
        <v/>
      </c>
      <c r="H904" s="39" t="str">
        <f>IF(OR(B904="",E904&lt;&gt;""),"",IFERROR(INDEX(KT_nguoc_theo_NL!$J$5:$J$304,MATCH(C904,KT_nguoc_theo_NL!$B$5:$B$304,0))/INDEX(KT_nguoc_theo_NL!$K$5:$K$304,MATCH(C904,KT_nguoc_theo_NL!$B$5:$B$304,0)),""))</f>
        <v/>
      </c>
      <c r="I904" s="39" t="str">
        <f t="shared" si="71"/>
        <v/>
      </c>
      <c r="J904" s="46" t="str">
        <f t="shared" si="72"/>
        <v/>
      </c>
      <c r="K904" s="46" t="str">
        <f t="shared" si="73"/>
        <v/>
      </c>
      <c r="L904" s="46" t="str">
        <f t="shared" si="74"/>
        <v/>
      </c>
      <c r="M904" s="35" t="str">
        <f>IF(B904="","",IF(E904="KXDDM","KXDDM – không ĐM",IF(E904&lt;&gt;"","Không KT ("&amp;E904&amp;")",IF(OR(K904="",L904=""),"Xem xét",IF(MAX(ABS(K904),ABS(L904))&lt;=ThongTin!$C$12,"OK","Xem xét")))))</f>
        <v/>
      </c>
    </row>
    <row r="905" spans="1:13" x14ac:dyDescent="0.25">
      <c r="A905" s="35" t="str">
        <f t="shared" si="70"/>
        <v/>
      </c>
      <c r="B905" s="35" t="str">
        <f>IF(BOM!A905="","",BOM!A905)</f>
        <v/>
      </c>
      <c r="C905" s="35" t="str">
        <f>IF(B905="","",BOM!B905)</f>
        <v/>
      </c>
      <c r="D905" s="35" t="str">
        <f>IF(B905="","",KT_DMTT_ChiTiet!E905)</f>
        <v/>
      </c>
      <c r="E905" s="36" t="str">
        <f>IF(B905="","",BOM!G905&amp;"")</f>
        <v/>
      </c>
      <c r="F905" s="39" t="str">
        <f>IF(B905="","",BOM!E905)</f>
        <v/>
      </c>
      <c r="G905" s="39" t="str">
        <f>IF(OR(B905="",E905="KXDDM"),"",BOM!F905)</f>
        <v/>
      </c>
      <c r="H905" s="39" t="str">
        <f>IF(OR(B905="",E905&lt;&gt;""),"",IFERROR(INDEX(KT_nguoc_theo_NL!$J$5:$J$304,MATCH(C905,KT_nguoc_theo_NL!$B$5:$B$304,0))/INDEX(KT_nguoc_theo_NL!$K$5:$K$304,MATCH(C905,KT_nguoc_theo_NL!$B$5:$B$304,0)),""))</f>
        <v/>
      </c>
      <c r="I905" s="39" t="str">
        <f t="shared" si="71"/>
        <v/>
      </c>
      <c r="J905" s="46" t="str">
        <f t="shared" si="72"/>
        <v/>
      </c>
      <c r="K905" s="46" t="str">
        <f t="shared" si="73"/>
        <v/>
      </c>
      <c r="L905" s="46" t="str">
        <f t="shared" si="74"/>
        <v/>
      </c>
      <c r="M905" s="35" t="str">
        <f>IF(B905="","",IF(E905="KXDDM","KXDDM – không ĐM",IF(E905&lt;&gt;"","Không KT ("&amp;E905&amp;")",IF(OR(K905="",L905=""),"Xem xét",IF(MAX(ABS(K905),ABS(L905))&lt;=ThongTin!$C$12,"OK","Xem xét")))))</f>
        <v/>
      </c>
    </row>
    <row r="906" spans="1:13" x14ac:dyDescent="0.25">
      <c r="A906" s="35" t="str">
        <f t="shared" si="70"/>
        <v/>
      </c>
      <c r="B906" s="35" t="str">
        <f>IF(BOM!A906="","",BOM!A906)</f>
        <v/>
      </c>
      <c r="C906" s="35" t="str">
        <f>IF(B906="","",BOM!B906)</f>
        <v/>
      </c>
      <c r="D906" s="35" t="str">
        <f>IF(B906="","",KT_DMTT_ChiTiet!E906)</f>
        <v/>
      </c>
      <c r="E906" s="36" t="str">
        <f>IF(B906="","",BOM!G906&amp;"")</f>
        <v/>
      </c>
      <c r="F906" s="39" t="str">
        <f>IF(B906="","",BOM!E906)</f>
        <v/>
      </c>
      <c r="G906" s="39" t="str">
        <f>IF(OR(B906="",E906="KXDDM"),"",BOM!F906)</f>
        <v/>
      </c>
      <c r="H906" s="39" t="str">
        <f>IF(OR(B906="",E906&lt;&gt;""),"",IFERROR(INDEX(KT_nguoc_theo_NL!$J$5:$J$304,MATCH(C906,KT_nguoc_theo_NL!$B$5:$B$304,0))/INDEX(KT_nguoc_theo_NL!$K$5:$K$304,MATCH(C906,KT_nguoc_theo_NL!$B$5:$B$304,0)),""))</f>
        <v/>
      </c>
      <c r="I906" s="39" t="str">
        <f t="shared" si="71"/>
        <v/>
      </c>
      <c r="J906" s="46" t="str">
        <f t="shared" si="72"/>
        <v/>
      </c>
      <c r="K906" s="46" t="str">
        <f t="shared" si="73"/>
        <v/>
      </c>
      <c r="L906" s="46" t="str">
        <f t="shared" si="74"/>
        <v/>
      </c>
      <c r="M906" s="35" t="str">
        <f>IF(B906="","",IF(E906="KXDDM","KXDDM – không ĐM",IF(E906&lt;&gt;"","Không KT ("&amp;E906&amp;")",IF(OR(K906="",L906=""),"Xem xét",IF(MAX(ABS(K906),ABS(L906))&lt;=ThongTin!$C$12,"OK","Xem xét")))))</f>
        <v/>
      </c>
    </row>
    <row r="907" spans="1:13" x14ac:dyDescent="0.25">
      <c r="A907" s="35" t="str">
        <f t="shared" si="70"/>
        <v/>
      </c>
      <c r="B907" s="35" t="str">
        <f>IF(BOM!A907="","",BOM!A907)</f>
        <v/>
      </c>
      <c r="C907" s="35" t="str">
        <f>IF(B907="","",BOM!B907)</f>
        <v/>
      </c>
      <c r="D907" s="35" t="str">
        <f>IF(B907="","",KT_DMTT_ChiTiet!E907)</f>
        <v/>
      </c>
      <c r="E907" s="36" t="str">
        <f>IF(B907="","",BOM!G907&amp;"")</f>
        <v/>
      </c>
      <c r="F907" s="39" t="str">
        <f>IF(B907="","",BOM!E907)</f>
        <v/>
      </c>
      <c r="G907" s="39" t="str">
        <f>IF(OR(B907="",E907="KXDDM"),"",BOM!F907)</f>
        <v/>
      </c>
      <c r="H907" s="39" t="str">
        <f>IF(OR(B907="",E907&lt;&gt;""),"",IFERROR(INDEX(KT_nguoc_theo_NL!$J$5:$J$304,MATCH(C907,KT_nguoc_theo_NL!$B$5:$B$304,0))/INDEX(KT_nguoc_theo_NL!$K$5:$K$304,MATCH(C907,KT_nguoc_theo_NL!$B$5:$B$304,0)),""))</f>
        <v/>
      </c>
      <c r="I907" s="39" t="str">
        <f t="shared" si="71"/>
        <v/>
      </c>
      <c r="J907" s="46" t="str">
        <f t="shared" si="72"/>
        <v/>
      </c>
      <c r="K907" s="46" t="str">
        <f t="shared" si="73"/>
        <v/>
      </c>
      <c r="L907" s="46" t="str">
        <f t="shared" si="74"/>
        <v/>
      </c>
      <c r="M907" s="35" t="str">
        <f>IF(B907="","",IF(E907="KXDDM","KXDDM – không ĐM",IF(E907&lt;&gt;"","Không KT ("&amp;E907&amp;")",IF(OR(K907="",L907=""),"Xem xét",IF(MAX(ABS(K907),ABS(L907))&lt;=ThongTin!$C$12,"OK","Xem xét")))))</f>
        <v/>
      </c>
    </row>
    <row r="908" spans="1:13" x14ac:dyDescent="0.25">
      <c r="A908" s="35" t="str">
        <f t="shared" si="70"/>
        <v/>
      </c>
      <c r="B908" s="35" t="str">
        <f>IF(BOM!A908="","",BOM!A908)</f>
        <v/>
      </c>
      <c r="C908" s="35" t="str">
        <f>IF(B908="","",BOM!B908)</f>
        <v/>
      </c>
      <c r="D908" s="35" t="str">
        <f>IF(B908="","",KT_DMTT_ChiTiet!E908)</f>
        <v/>
      </c>
      <c r="E908" s="36" t="str">
        <f>IF(B908="","",BOM!G908&amp;"")</f>
        <v/>
      </c>
      <c r="F908" s="39" t="str">
        <f>IF(B908="","",BOM!E908)</f>
        <v/>
      </c>
      <c r="G908" s="39" t="str">
        <f>IF(OR(B908="",E908="KXDDM"),"",BOM!F908)</f>
        <v/>
      </c>
      <c r="H908" s="39" t="str">
        <f>IF(OR(B908="",E908&lt;&gt;""),"",IFERROR(INDEX(KT_nguoc_theo_NL!$J$5:$J$304,MATCH(C908,KT_nguoc_theo_NL!$B$5:$B$304,0))/INDEX(KT_nguoc_theo_NL!$K$5:$K$304,MATCH(C908,KT_nguoc_theo_NL!$B$5:$B$304,0)),""))</f>
        <v/>
      </c>
      <c r="I908" s="39" t="str">
        <f t="shared" si="71"/>
        <v/>
      </c>
      <c r="J908" s="46" t="str">
        <f t="shared" si="72"/>
        <v/>
      </c>
      <c r="K908" s="46" t="str">
        <f t="shared" si="73"/>
        <v/>
      </c>
      <c r="L908" s="46" t="str">
        <f t="shared" si="74"/>
        <v/>
      </c>
      <c r="M908" s="35" t="str">
        <f>IF(B908="","",IF(E908="KXDDM","KXDDM – không ĐM",IF(E908&lt;&gt;"","Không KT ("&amp;E908&amp;")",IF(OR(K908="",L908=""),"Xem xét",IF(MAX(ABS(K908),ABS(L908))&lt;=ThongTin!$C$12,"OK","Xem xét")))))</f>
        <v/>
      </c>
    </row>
    <row r="909" spans="1:13" x14ac:dyDescent="0.25">
      <c r="A909" s="35" t="str">
        <f t="shared" si="70"/>
        <v/>
      </c>
      <c r="B909" s="35" t="str">
        <f>IF(BOM!A909="","",BOM!A909)</f>
        <v/>
      </c>
      <c r="C909" s="35" t="str">
        <f>IF(B909="","",BOM!B909)</f>
        <v/>
      </c>
      <c r="D909" s="35" t="str">
        <f>IF(B909="","",KT_DMTT_ChiTiet!E909)</f>
        <v/>
      </c>
      <c r="E909" s="36" t="str">
        <f>IF(B909="","",BOM!G909&amp;"")</f>
        <v/>
      </c>
      <c r="F909" s="39" t="str">
        <f>IF(B909="","",BOM!E909)</f>
        <v/>
      </c>
      <c r="G909" s="39" t="str">
        <f>IF(OR(B909="",E909="KXDDM"),"",BOM!F909)</f>
        <v/>
      </c>
      <c r="H909" s="39" t="str">
        <f>IF(OR(B909="",E909&lt;&gt;""),"",IFERROR(INDEX(KT_nguoc_theo_NL!$J$5:$J$304,MATCH(C909,KT_nguoc_theo_NL!$B$5:$B$304,0))/INDEX(KT_nguoc_theo_NL!$K$5:$K$304,MATCH(C909,KT_nguoc_theo_NL!$B$5:$B$304,0)),""))</f>
        <v/>
      </c>
      <c r="I909" s="39" t="str">
        <f t="shared" si="71"/>
        <v/>
      </c>
      <c r="J909" s="46" t="str">
        <f t="shared" si="72"/>
        <v/>
      </c>
      <c r="K909" s="46" t="str">
        <f t="shared" si="73"/>
        <v/>
      </c>
      <c r="L909" s="46" t="str">
        <f t="shared" si="74"/>
        <v/>
      </c>
      <c r="M909" s="35" t="str">
        <f>IF(B909="","",IF(E909="KXDDM","KXDDM – không ĐM",IF(E909&lt;&gt;"","Không KT ("&amp;E909&amp;")",IF(OR(K909="",L909=""),"Xem xét",IF(MAX(ABS(K909),ABS(L909))&lt;=ThongTin!$C$12,"OK","Xem xét")))))</f>
        <v/>
      </c>
    </row>
    <row r="910" spans="1:13" x14ac:dyDescent="0.25">
      <c r="A910" s="35" t="str">
        <f t="shared" si="70"/>
        <v/>
      </c>
      <c r="B910" s="35" t="str">
        <f>IF(BOM!A910="","",BOM!A910)</f>
        <v/>
      </c>
      <c r="C910" s="35" t="str">
        <f>IF(B910="","",BOM!B910)</f>
        <v/>
      </c>
      <c r="D910" s="35" t="str">
        <f>IF(B910="","",KT_DMTT_ChiTiet!E910)</f>
        <v/>
      </c>
      <c r="E910" s="36" t="str">
        <f>IF(B910="","",BOM!G910&amp;"")</f>
        <v/>
      </c>
      <c r="F910" s="39" t="str">
        <f>IF(B910="","",BOM!E910)</f>
        <v/>
      </c>
      <c r="G910" s="39" t="str">
        <f>IF(OR(B910="",E910="KXDDM"),"",BOM!F910)</f>
        <v/>
      </c>
      <c r="H910" s="39" t="str">
        <f>IF(OR(B910="",E910&lt;&gt;""),"",IFERROR(INDEX(KT_nguoc_theo_NL!$J$5:$J$304,MATCH(C910,KT_nguoc_theo_NL!$B$5:$B$304,0))/INDEX(KT_nguoc_theo_NL!$K$5:$K$304,MATCH(C910,KT_nguoc_theo_NL!$B$5:$B$304,0)),""))</f>
        <v/>
      </c>
      <c r="I910" s="39" t="str">
        <f t="shared" si="71"/>
        <v/>
      </c>
      <c r="J910" s="46" t="str">
        <f t="shared" si="72"/>
        <v/>
      </c>
      <c r="K910" s="46" t="str">
        <f t="shared" si="73"/>
        <v/>
      </c>
      <c r="L910" s="46" t="str">
        <f t="shared" si="74"/>
        <v/>
      </c>
      <c r="M910" s="35" t="str">
        <f>IF(B910="","",IF(E910="KXDDM","KXDDM – không ĐM",IF(E910&lt;&gt;"","Không KT ("&amp;E910&amp;")",IF(OR(K910="",L910=""),"Xem xét",IF(MAX(ABS(K910),ABS(L910))&lt;=ThongTin!$C$12,"OK","Xem xét")))))</f>
        <v/>
      </c>
    </row>
    <row r="911" spans="1:13" x14ac:dyDescent="0.25">
      <c r="A911" s="35" t="str">
        <f t="shared" si="70"/>
        <v/>
      </c>
      <c r="B911" s="35" t="str">
        <f>IF(BOM!A911="","",BOM!A911)</f>
        <v/>
      </c>
      <c r="C911" s="35" t="str">
        <f>IF(B911="","",BOM!B911)</f>
        <v/>
      </c>
      <c r="D911" s="35" t="str">
        <f>IF(B911="","",KT_DMTT_ChiTiet!E911)</f>
        <v/>
      </c>
      <c r="E911" s="36" t="str">
        <f>IF(B911="","",BOM!G911&amp;"")</f>
        <v/>
      </c>
      <c r="F911" s="39" t="str">
        <f>IF(B911="","",BOM!E911)</f>
        <v/>
      </c>
      <c r="G911" s="39" t="str">
        <f>IF(OR(B911="",E911="KXDDM"),"",BOM!F911)</f>
        <v/>
      </c>
      <c r="H911" s="39" t="str">
        <f>IF(OR(B911="",E911&lt;&gt;""),"",IFERROR(INDEX(KT_nguoc_theo_NL!$J$5:$J$304,MATCH(C911,KT_nguoc_theo_NL!$B$5:$B$304,0))/INDEX(KT_nguoc_theo_NL!$K$5:$K$304,MATCH(C911,KT_nguoc_theo_NL!$B$5:$B$304,0)),""))</f>
        <v/>
      </c>
      <c r="I911" s="39" t="str">
        <f t="shared" si="71"/>
        <v/>
      </c>
      <c r="J911" s="46" t="str">
        <f t="shared" si="72"/>
        <v/>
      </c>
      <c r="K911" s="46" t="str">
        <f t="shared" si="73"/>
        <v/>
      </c>
      <c r="L911" s="46" t="str">
        <f t="shared" si="74"/>
        <v/>
      </c>
      <c r="M911" s="35" t="str">
        <f>IF(B911="","",IF(E911="KXDDM","KXDDM – không ĐM",IF(E911&lt;&gt;"","Không KT ("&amp;E911&amp;")",IF(OR(K911="",L911=""),"Xem xét",IF(MAX(ABS(K911),ABS(L911))&lt;=ThongTin!$C$12,"OK","Xem xét")))))</f>
        <v/>
      </c>
    </row>
    <row r="912" spans="1:13" x14ac:dyDescent="0.25">
      <c r="A912" s="35" t="str">
        <f t="shared" si="70"/>
        <v/>
      </c>
      <c r="B912" s="35" t="str">
        <f>IF(BOM!A912="","",BOM!A912)</f>
        <v/>
      </c>
      <c r="C912" s="35" t="str">
        <f>IF(B912="","",BOM!B912)</f>
        <v/>
      </c>
      <c r="D912" s="35" t="str">
        <f>IF(B912="","",KT_DMTT_ChiTiet!E912)</f>
        <v/>
      </c>
      <c r="E912" s="36" t="str">
        <f>IF(B912="","",BOM!G912&amp;"")</f>
        <v/>
      </c>
      <c r="F912" s="39" t="str">
        <f>IF(B912="","",BOM!E912)</f>
        <v/>
      </c>
      <c r="G912" s="39" t="str">
        <f>IF(OR(B912="",E912="KXDDM"),"",BOM!F912)</f>
        <v/>
      </c>
      <c r="H912" s="39" t="str">
        <f>IF(OR(B912="",E912&lt;&gt;""),"",IFERROR(INDEX(KT_nguoc_theo_NL!$J$5:$J$304,MATCH(C912,KT_nguoc_theo_NL!$B$5:$B$304,0))/INDEX(KT_nguoc_theo_NL!$K$5:$K$304,MATCH(C912,KT_nguoc_theo_NL!$B$5:$B$304,0)),""))</f>
        <v/>
      </c>
      <c r="I912" s="39" t="str">
        <f t="shared" si="71"/>
        <v/>
      </c>
      <c r="J912" s="46" t="str">
        <f t="shared" si="72"/>
        <v/>
      </c>
      <c r="K912" s="46" t="str">
        <f t="shared" si="73"/>
        <v/>
      </c>
      <c r="L912" s="46" t="str">
        <f t="shared" si="74"/>
        <v/>
      </c>
      <c r="M912" s="35" t="str">
        <f>IF(B912="","",IF(E912="KXDDM","KXDDM – không ĐM",IF(E912&lt;&gt;"","Không KT ("&amp;E912&amp;")",IF(OR(K912="",L912=""),"Xem xét",IF(MAX(ABS(K912),ABS(L912))&lt;=ThongTin!$C$12,"OK","Xem xét")))))</f>
        <v/>
      </c>
    </row>
    <row r="913" spans="1:13" x14ac:dyDescent="0.25">
      <c r="A913" s="35" t="str">
        <f t="shared" si="70"/>
        <v/>
      </c>
      <c r="B913" s="35" t="str">
        <f>IF(BOM!A913="","",BOM!A913)</f>
        <v/>
      </c>
      <c r="C913" s="35" t="str">
        <f>IF(B913="","",BOM!B913)</f>
        <v/>
      </c>
      <c r="D913" s="35" t="str">
        <f>IF(B913="","",KT_DMTT_ChiTiet!E913)</f>
        <v/>
      </c>
      <c r="E913" s="36" t="str">
        <f>IF(B913="","",BOM!G913&amp;"")</f>
        <v/>
      </c>
      <c r="F913" s="39" t="str">
        <f>IF(B913="","",BOM!E913)</f>
        <v/>
      </c>
      <c r="G913" s="39" t="str">
        <f>IF(OR(B913="",E913="KXDDM"),"",BOM!F913)</f>
        <v/>
      </c>
      <c r="H913" s="39" t="str">
        <f>IF(OR(B913="",E913&lt;&gt;""),"",IFERROR(INDEX(KT_nguoc_theo_NL!$J$5:$J$304,MATCH(C913,KT_nguoc_theo_NL!$B$5:$B$304,0))/INDEX(KT_nguoc_theo_NL!$K$5:$K$304,MATCH(C913,KT_nguoc_theo_NL!$B$5:$B$304,0)),""))</f>
        <v/>
      </c>
      <c r="I913" s="39" t="str">
        <f t="shared" si="71"/>
        <v/>
      </c>
      <c r="J913" s="46" t="str">
        <f t="shared" si="72"/>
        <v/>
      </c>
      <c r="K913" s="46" t="str">
        <f t="shared" si="73"/>
        <v/>
      </c>
      <c r="L913" s="46" t="str">
        <f t="shared" si="74"/>
        <v/>
      </c>
      <c r="M913" s="35" t="str">
        <f>IF(B913="","",IF(E913="KXDDM","KXDDM – không ĐM",IF(E913&lt;&gt;"","Không KT ("&amp;E913&amp;")",IF(OR(K913="",L913=""),"Xem xét",IF(MAX(ABS(K913),ABS(L913))&lt;=ThongTin!$C$12,"OK","Xem xét")))))</f>
        <v/>
      </c>
    </row>
    <row r="914" spans="1:13" x14ac:dyDescent="0.25">
      <c r="A914" s="35" t="str">
        <f t="shared" si="70"/>
        <v/>
      </c>
      <c r="B914" s="35" t="str">
        <f>IF(BOM!A914="","",BOM!A914)</f>
        <v/>
      </c>
      <c r="C914" s="35" t="str">
        <f>IF(B914="","",BOM!B914)</f>
        <v/>
      </c>
      <c r="D914" s="35" t="str">
        <f>IF(B914="","",KT_DMTT_ChiTiet!E914)</f>
        <v/>
      </c>
      <c r="E914" s="36" t="str">
        <f>IF(B914="","",BOM!G914&amp;"")</f>
        <v/>
      </c>
      <c r="F914" s="39" t="str">
        <f>IF(B914="","",BOM!E914)</f>
        <v/>
      </c>
      <c r="G914" s="39" t="str">
        <f>IF(OR(B914="",E914="KXDDM"),"",BOM!F914)</f>
        <v/>
      </c>
      <c r="H914" s="39" t="str">
        <f>IF(OR(B914="",E914&lt;&gt;""),"",IFERROR(INDEX(KT_nguoc_theo_NL!$J$5:$J$304,MATCH(C914,KT_nguoc_theo_NL!$B$5:$B$304,0))/INDEX(KT_nguoc_theo_NL!$K$5:$K$304,MATCH(C914,KT_nguoc_theo_NL!$B$5:$B$304,0)),""))</f>
        <v/>
      </c>
      <c r="I914" s="39" t="str">
        <f t="shared" si="71"/>
        <v/>
      </c>
      <c r="J914" s="46" t="str">
        <f t="shared" si="72"/>
        <v/>
      </c>
      <c r="K914" s="46" t="str">
        <f t="shared" si="73"/>
        <v/>
      </c>
      <c r="L914" s="46" t="str">
        <f t="shared" si="74"/>
        <v/>
      </c>
      <c r="M914" s="35" t="str">
        <f>IF(B914="","",IF(E914="KXDDM","KXDDM – không ĐM",IF(E914&lt;&gt;"","Không KT ("&amp;E914&amp;")",IF(OR(K914="",L914=""),"Xem xét",IF(MAX(ABS(K914),ABS(L914))&lt;=ThongTin!$C$12,"OK","Xem xét")))))</f>
        <v/>
      </c>
    </row>
    <row r="915" spans="1:13" x14ac:dyDescent="0.25">
      <c r="A915" s="35" t="str">
        <f t="shared" si="70"/>
        <v/>
      </c>
      <c r="B915" s="35" t="str">
        <f>IF(BOM!A915="","",BOM!A915)</f>
        <v/>
      </c>
      <c r="C915" s="35" t="str">
        <f>IF(B915="","",BOM!B915)</f>
        <v/>
      </c>
      <c r="D915" s="35" t="str">
        <f>IF(B915="","",KT_DMTT_ChiTiet!E915)</f>
        <v/>
      </c>
      <c r="E915" s="36" t="str">
        <f>IF(B915="","",BOM!G915&amp;"")</f>
        <v/>
      </c>
      <c r="F915" s="39" t="str">
        <f>IF(B915="","",BOM!E915)</f>
        <v/>
      </c>
      <c r="G915" s="39" t="str">
        <f>IF(OR(B915="",E915="KXDDM"),"",BOM!F915)</f>
        <v/>
      </c>
      <c r="H915" s="39" t="str">
        <f>IF(OR(B915="",E915&lt;&gt;""),"",IFERROR(INDEX(KT_nguoc_theo_NL!$J$5:$J$304,MATCH(C915,KT_nguoc_theo_NL!$B$5:$B$304,0))/INDEX(KT_nguoc_theo_NL!$K$5:$K$304,MATCH(C915,KT_nguoc_theo_NL!$B$5:$B$304,0)),""))</f>
        <v/>
      </c>
      <c r="I915" s="39" t="str">
        <f t="shared" si="71"/>
        <v/>
      </c>
      <c r="J915" s="46" t="str">
        <f t="shared" si="72"/>
        <v/>
      </c>
      <c r="K915" s="46" t="str">
        <f t="shared" si="73"/>
        <v/>
      </c>
      <c r="L915" s="46" t="str">
        <f t="shared" si="74"/>
        <v/>
      </c>
      <c r="M915" s="35" t="str">
        <f>IF(B915="","",IF(E915="KXDDM","KXDDM – không ĐM",IF(E915&lt;&gt;"","Không KT ("&amp;E915&amp;")",IF(OR(K915="",L915=""),"Xem xét",IF(MAX(ABS(K915),ABS(L915))&lt;=ThongTin!$C$12,"OK","Xem xét")))))</f>
        <v/>
      </c>
    </row>
    <row r="916" spans="1:13" x14ac:dyDescent="0.25">
      <c r="A916" s="35" t="str">
        <f t="shared" si="70"/>
        <v/>
      </c>
      <c r="B916" s="35" t="str">
        <f>IF(BOM!A916="","",BOM!A916)</f>
        <v/>
      </c>
      <c r="C916" s="35" t="str">
        <f>IF(B916="","",BOM!B916)</f>
        <v/>
      </c>
      <c r="D916" s="35" t="str">
        <f>IF(B916="","",KT_DMTT_ChiTiet!E916)</f>
        <v/>
      </c>
      <c r="E916" s="36" t="str">
        <f>IF(B916="","",BOM!G916&amp;"")</f>
        <v/>
      </c>
      <c r="F916" s="39" t="str">
        <f>IF(B916="","",BOM!E916)</f>
        <v/>
      </c>
      <c r="G916" s="39" t="str">
        <f>IF(OR(B916="",E916="KXDDM"),"",BOM!F916)</f>
        <v/>
      </c>
      <c r="H916" s="39" t="str">
        <f>IF(OR(B916="",E916&lt;&gt;""),"",IFERROR(INDEX(KT_nguoc_theo_NL!$J$5:$J$304,MATCH(C916,KT_nguoc_theo_NL!$B$5:$B$304,0))/INDEX(KT_nguoc_theo_NL!$K$5:$K$304,MATCH(C916,KT_nguoc_theo_NL!$B$5:$B$304,0)),""))</f>
        <v/>
      </c>
      <c r="I916" s="39" t="str">
        <f t="shared" si="71"/>
        <v/>
      </c>
      <c r="J916" s="46" t="str">
        <f t="shared" si="72"/>
        <v/>
      </c>
      <c r="K916" s="46" t="str">
        <f t="shared" si="73"/>
        <v/>
      </c>
      <c r="L916" s="46" t="str">
        <f t="shared" si="74"/>
        <v/>
      </c>
      <c r="M916" s="35" t="str">
        <f>IF(B916="","",IF(E916="KXDDM","KXDDM – không ĐM",IF(E916&lt;&gt;"","Không KT ("&amp;E916&amp;")",IF(OR(K916="",L916=""),"Xem xét",IF(MAX(ABS(K916),ABS(L916))&lt;=ThongTin!$C$12,"OK","Xem xét")))))</f>
        <v/>
      </c>
    </row>
    <row r="917" spans="1:13" x14ac:dyDescent="0.25">
      <c r="A917" s="35" t="str">
        <f t="shared" si="70"/>
        <v/>
      </c>
      <c r="B917" s="35" t="str">
        <f>IF(BOM!A917="","",BOM!A917)</f>
        <v/>
      </c>
      <c r="C917" s="35" t="str">
        <f>IF(B917="","",BOM!B917)</f>
        <v/>
      </c>
      <c r="D917" s="35" t="str">
        <f>IF(B917="","",KT_DMTT_ChiTiet!E917)</f>
        <v/>
      </c>
      <c r="E917" s="36" t="str">
        <f>IF(B917="","",BOM!G917&amp;"")</f>
        <v/>
      </c>
      <c r="F917" s="39" t="str">
        <f>IF(B917="","",BOM!E917)</f>
        <v/>
      </c>
      <c r="G917" s="39" t="str">
        <f>IF(OR(B917="",E917="KXDDM"),"",BOM!F917)</f>
        <v/>
      </c>
      <c r="H917" s="39" t="str">
        <f>IF(OR(B917="",E917&lt;&gt;""),"",IFERROR(INDEX(KT_nguoc_theo_NL!$J$5:$J$304,MATCH(C917,KT_nguoc_theo_NL!$B$5:$B$304,0))/INDEX(KT_nguoc_theo_NL!$K$5:$K$304,MATCH(C917,KT_nguoc_theo_NL!$B$5:$B$304,0)),""))</f>
        <v/>
      </c>
      <c r="I917" s="39" t="str">
        <f t="shared" si="71"/>
        <v/>
      </c>
      <c r="J917" s="46" t="str">
        <f t="shared" si="72"/>
        <v/>
      </c>
      <c r="K917" s="46" t="str">
        <f t="shared" si="73"/>
        <v/>
      </c>
      <c r="L917" s="46" t="str">
        <f t="shared" si="74"/>
        <v/>
      </c>
      <c r="M917" s="35" t="str">
        <f>IF(B917="","",IF(E917="KXDDM","KXDDM – không ĐM",IF(E917&lt;&gt;"","Không KT ("&amp;E917&amp;")",IF(OR(K917="",L917=""),"Xem xét",IF(MAX(ABS(K917),ABS(L917))&lt;=ThongTin!$C$12,"OK","Xem xét")))))</f>
        <v/>
      </c>
    </row>
    <row r="918" spans="1:13" x14ac:dyDescent="0.25">
      <c r="A918" s="35" t="str">
        <f t="shared" si="70"/>
        <v/>
      </c>
      <c r="B918" s="35" t="str">
        <f>IF(BOM!A918="","",BOM!A918)</f>
        <v/>
      </c>
      <c r="C918" s="35" t="str">
        <f>IF(B918="","",BOM!B918)</f>
        <v/>
      </c>
      <c r="D918" s="35" t="str">
        <f>IF(B918="","",KT_DMTT_ChiTiet!E918)</f>
        <v/>
      </c>
      <c r="E918" s="36" t="str">
        <f>IF(B918="","",BOM!G918&amp;"")</f>
        <v/>
      </c>
      <c r="F918" s="39" t="str">
        <f>IF(B918="","",BOM!E918)</f>
        <v/>
      </c>
      <c r="G918" s="39" t="str">
        <f>IF(OR(B918="",E918="KXDDM"),"",BOM!F918)</f>
        <v/>
      </c>
      <c r="H918" s="39" t="str">
        <f>IF(OR(B918="",E918&lt;&gt;""),"",IFERROR(INDEX(KT_nguoc_theo_NL!$J$5:$J$304,MATCH(C918,KT_nguoc_theo_NL!$B$5:$B$304,0))/INDEX(KT_nguoc_theo_NL!$K$5:$K$304,MATCH(C918,KT_nguoc_theo_NL!$B$5:$B$304,0)),""))</f>
        <v/>
      </c>
      <c r="I918" s="39" t="str">
        <f t="shared" si="71"/>
        <v/>
      </c>
      <c r="J918" s="46" t="str">
        <f t="shared" si="72"/>
        <v/>
      </c>
      <c r="K918" s="46" t="str">
        <f t="shared" si="73"/>
        <v/>
      </c>
      <c r="L918" s="46" t="str">
        <f t="shared" si="74"/>
        <v/>
      </c>
      <c r="M918" s="35" t="str">
        <f>IF(B918="","",IF(E918="KXDDM","KXDDM – không ĐM",IF(E918&lt;&gt;"","Không KT ("&amp;E918&amp;")",IF(OR(K918="",L918=""),"Xem xét",IF(MAX(ABS(K918),ABS(L918))&lt;=ThongTin!$C$12,"OK","Xem xét")))))</f>
        <v/>
      </c>
    </row>
    <row r="919" spans="1:13" x14ac:dyDescent="0.25">
      <c r="A919" s="35" t="str">
        <f t="shared" si="70"/>
        <v/>
      </c>
      <c r="B919" s="35" t="str">
        <f>IF(BOM!A919="","",BOM!A919)</f>
        <v/>
      </c>
      <c r="C919" s="35" t="str">
        <f>IF(B919="","",BOM!B919)</f>
        <v/>
      </c>
      <c r="D919" s="35" t="str">
        <f>IF(B919="","",KT_DMTT_ChiTiet!E919)</f>
        <v/>
      </c>
      <c r="E919" s="36" t="str">
        <f>IF(B919="","",BOM!G919&amp;"")</f>
        <v/>
      </c>
      <c r="F919" s="39" t="str">
        <f>IF(B919="","",BOM!E919)</f>
        <v/>
      </c>
      <c r="G919" s="39" t="str">
        <f>IF(OR(B919="",E919="KXDDM"),"",BOM!F919)</f>
        <v/>
      </c>
      <c r="H919" s="39" t="str">
        <f>IF(OR(B919="",E919&lt;&gt;""),"",IFERROR(INDEX(KT_nguoc_theo_NL!$J$5:$J$304,MATCH(C919,KT_nguoc_theo_NL!$B$5:$B$304,0))/INDEX(KT_nguoc_theo_NL!$K$5:$K$304,MATCH(C919,KT_nguoc_theo_NL!$B$5:$B$304,0)),""))</f>
        <v/>
      </c>
      <c r="I919" s="39" t="str">
        <f t="shared" si="71"/>
        <v/>
      </c>
      <c r="J919" s="46" t="str">
        <f t="shared" si="72"/>
        <v/>
      </c>
      <c r="K919" s="46" t="str">
        <f t="shared" si="73"/>
        <v/>
      </c>
      <c r="L919" s="46" t="str">
        <f t="shared" si="74"/>
        <v/>
      </c>
      <c r="M919" s="35" t="str">
        <f>IF(B919="","",IF(E919="KXDDM","KXDDM – không ĐM",IF(E919&lt;&gt;"","Không KT ("&amp;E919&amp;")",IF(OR(K919="",L919=""),"Xem xét",IF(MAX(ABS(K919),ABS(L919))&lt;=ThongTin!$C$12,"OK","Xem xét")))))</f>
        <v/>
      </c>
    </row>
    <row r="920" spans="1:13" x14ac:dyDescent="0.25">
      <c r="A920" s="35" t="str">
        <f t="shared" si="70"/>
        <v/>
      </c>
      <c r="B920" s="35" t="str">
        <f>IF(BOM!A920="","",BOM!A920)</f>
        <v/>
      </c>
      <c r="C920" s="35" t="str">
        <f>IF(B920="","",BOM!B920)</f>
        <v/>
      </c>
      <c r="D920" s="35" t="str">
        <f>IF(B920="","",KT_DMTT_ChiTiet!E920)</f>
        <v/>
      </c>
      <c r="E920" s="36" t="str">
        <f>IF(B920="","",BOM!G920&amp;"")</f>
        <v/>
      </c>
      <c r="F920" s="39" t="str">
        <f>IF(B920="","",BOM!E920)</f>
        <v/>
      </c>
      <c r="G920" s="39" t="str">
        <f>IF(OR(B920="",E920="KXDDM"),"",BOM!F920)</f>
        <v/>
      </c>
      <c r="H920" s="39" t="str">
        <f>IF(OR(B920="",E920&lt;&gt;""),"",IFERROR(INDEX(KT_nguoc_theo_NL!$J$5:$J$304,MATCH(C920,KT_nguoc_theo_NL!$B$5:$B$304,0))/INDEX(KT_nguoc_theo_NL!$K$5:$K$304,MATCH(C920,KT_nguoc_theo_NL!$B$5:$B$304,0)),""))</f>
        <v/>
      </c>
      <c r="I920" s="39" t="str">
        <f t="shared" si="71"/>
        <v/>
      </c>
      <c r="J920" s="46" t="str">
        <f t="shared" si="72"/>
        <v/>
      </c>
      <c r="K920" s="46" t="str">
        <f t="shared" si="73"/>
        <v/>
      </c>
      <c r="L920" s="46" t="str">
        <f t="shared" si="74"/>
        <v/>
      </c>
      <c r="M920" s="35" t="str">
        <f>IF(B920="","",IF(E920="KXDDM","KXDDM – không ĐM",IF(E920&lt;&gt;"","Không KT ("&amp;E920&amp;")",IF(OR(K920="",L920=""),"Xem xét",IF(MAX(ABS(K920),ABS(L920))&lt;=ThongTin!$C$12,"OK","Xem xét")))))</f>
        <v/>
      </c>
    </row>
    <row r="921" spans="1:13" x14ac:dyDescent="0.25">
      <c r="A921" s="35" t="str">
        <f t="shared" si="70"/>
        <v/>
      </c>
      <c r="B921" s="35" t="str">
        <f>IF(BOM!A921="","",BOM!A921)</f>
        <v/>
      </c>
      <c r="C921" s="35" t="str">
        <f>IF(B921="","",BOM!B921)</f>
        <v/>
      </c>
      <c r="D921" s="35" t="str">
        <f>IF(B921="","",KT_DMTT_ChiTiet!E921)</f>
        <v/>
      </c>
      <c r="E921" s="36" t="str">
        <f>IF(B921="","",BOM!G921&amp;"")</f>
        <v/>
      </c>
      <c r="F921" s="39" t="str">
        <f>IF(B921="","",BOM!E921)</f>
        <v/>
      </c>
      <c r="G921" s="39" t="str">
        <f>IF(OR(B921="",E921="KXDDM"),"",BOM!F921)</f>
        <v/>
      </c>
      <c r="H921" s="39" t="str">
        <f>IF(OR(B921="",E921&lt;&gt;""),"",IFERROR(INDEX(KT_nguoc_theo_NL!$J$5:$J$304,MATCH(C921,KT_nguoc_theo_NL!$B$5:$B$304,0))/INDEX(KT_nguoc_theo_NL!$K$5:$K$304,MATCH(C921,KT_nguoc_theo_NL!$B$5:$B$304,0)),""))</f>
        <v/>
      </c>
      <c r="I921" s="39" t="str">
        <f t="shared" si="71"/>
        <v/>
      </c>
      <c r="J921" s="46" t="str">
        <f t="shared" si="72"/>
        <v/>
      </c>
      <c r="K921" s="46" t="str">
        <f t="shared" si="73"/>
        <v/>
      </c>
      <c r="L921" s="46" t="str">
        <f t="shared" si="74"/>
        <v/>
      </c>
      <c r="M921" s="35" t="str">
        <f>IF(B921="","",IF(E921="KXDDM","KXDDM – không ĐM",IF(E921&lt;&gt;"","Không KT ("&amp;E921&amp;")",IF(OR(K921="",L921=""),"Xem xét",IF(MAX(ABS(K921),ABS(L921))&lt;=ThongTin!$C$12,"OK","Xem xét")))))</f>
        <v/>
      </c>
    </row>
    <row r="922" spans="1:13" x14ac:dyDescent="0.25">
      <c r="A922" s="35" t="str">
        <f t="shared" si="70"/>
        <v/>
      </c>
      <c r="B922" s="35" t="str">
        <f>IF(BOM!A922="","",BOM!A922)</f>
        <v/>
      </c>
      <c r="C922" s="35" t="str">
        <f>IF(B922="","",BOM!B922)</f>
        <v/>
      </c>
      <c r="D922" s="35" t="str">
        <f>IF(B922="","",KT_DMTT_ChiTiet!E922)</f>
        <v/>
      </c>
      <c r="E922" s="36" t="str">
        <f>IF(B922="","",BOM!G922&amp;"")</f>
        <v/>
      </c>
      <c r="F922" s="39" t="str">
        <f>IF(B922="","",BOM!E922)</f>
        <v/>
      </c>
      <c r="G922" s="39" t="str">
        <f>IF(OR(B922="",E922="KXDDM"),"",BOM!F922)</f>
        <v/>
      </c>
      <c r="H922" s="39" t="str">
        <f>IF(OR(B922="",E922&lt;&gt;""),"",IFERROR(INDEX(KT_nguoc_theo_NL!$J$5:$J$304,MATCH(C922,KT_nguoc_theo_NL!$B$5:$B$304,0))/INDEX(KT_nguoc_theo_NL!$K$5:$K$304,MATCH(C922,KT_nguoc_theo_NL!$B$5:$B$304,0)),""))</f>
        <v/>
      </c>
      <c r="I922" s="39" t="str">
        <f t="shared" si="71"/>
        <v/>
      </c>
      <c r="J922" s="46" t="str">
        <f t="shared" si="72"/>
        <v/>
      </c>
      <c r="K922" s="46" t="str">
        <f t="shared" si="73"/>
        <v/>
      </c>
      <c r="L922" s="46" t="str">
        <f t="shared" si="74"/>
        <v/>
      </c>
      <c r="M922" s="35" t="str">
        <f>IF(B922="","",IF(E922="KXDDM","KXDDM – không ĐM",IF(E922&lt;&gt;"","Không KT ("&amp;E922&amp;")",IF(OR(K922="",L922=""),"Xem xét",IF(MAX(ABS(K922),ABS(L922))&lt;=ThongTin!$C$12,"OK","Xem xét")))))</f>
        <v/>
      </c>
    </row>
    <row r="923" spans="1:13" x14ac:dyDescent="0.25">
      <c r="A923" s="35" t="str">
        <f t="shared" si="70"/>
        <v/>
      </c>
      <c r="B923" s="35" t="str">
        <f>IF(BOM!A923="","",BOM!A923)</f>
        <v/>
      </c>
      <c r="C923" s="35" t="str">
        <f>IF(B923="","",BOM!B923)</f>
        <v/>
      </c>
      <c r="D923" s="35" t="str">
        <f>IF(B923="","",KT_DMTT_ChiTiet!E923)</f>
        <v/>
      </c>
      <c r="E923" s="36" t="str">
        <f>IF(B923="","",BOM!G923&amp;"")</f>
        <v/>
      </c>
      <c r="F923" s="39" t="str">
        <f>IF(B923="","",BOM!E923)</f>
        <v/>
      </c>
      <c r="G923" s="39" t="str">
        <f>IF(OR(B923="",E923="KXDDM"),"",BOM!F923)</f>
        <v/>
      </c>
      <c r="H923" s="39" t="str">
        <f>IF(OR(B923="",E923&lt;&gt;""),"",IFERROR(INDEX(KT_nguoc_theo_NL!$J$5:$J$304,MATCH(C923,KT_nguoc_theo_NL!$B$5:$B$304,0))/INDEX(KT_nguoc_theo_NL!$K$5:$K$304,MATCH(C923,KT_nguoc_theo_NL!$B$5:$B$304,0)),""))</f>
        <v/>
      </c>
      <c r="I923" s="39" t="str">
        <f t="shared" si="71"/>
        <v/>
      </c>
      <c r="J923" s="46" t="str">
        <f t="shared" si="72"/>
        <v/>
      </c>
      <c r="K923" s="46" t="str">
        <f t="shared" si="73"/>
        <v/>
      </c>
      <c r="L923" s="46" t="str">
        <f t="shared" si="74"/>
        <v/>
      </c>
      <c r="M923" s="35" t="str">
        <f>IF(B923="","",IF(E923="KXDDM","KXDDM – không ĐM",IF(E923&lt;&gt;"","Không KT ("&amp;E923&amp;")",IF(OR(K923="",L923=""),"Xem xét",IF(MAX(ABS(K923),ABS(L923))&lt;=ThongTin!$C$12,"OK","Xem xét")))))</f>
        <v/>
      </c>
    </row>
    <row r="924" spans="1:13" x14ac:dyDescent="0.25">
      <c r="A924" s="35" t="str">
        <f t="shared" si="70"/>
        <v/>
      </c>
      <c r="B924" s="35" t="str">
        <f>IF(BOM!A924="","",BOM!A924)</f>
        <v/>
      </c>
      <c r="C924" s="35" t="str">
        <f>IF(B924="","",BOM!B924)</f>
        <v/>
      </c>
      <c r="D924" s="35" t="str">
        <f>IF(B924="","",KT_DMTT_ChiTiet!E924)</f>
        <v/>
      </c>
      <c r="E924" s="36" t="str">
        <f>IF(B924="","",BOM!G924&amp;"")</f>
        <v/>
      </c>
      <c r="F924" s="39" t="str">
        <f>IF(B924="","",BOM!E924)</f>
        <v/>
      </c>
      <c r="G924" s="39" t="str">
        <f>IF(OR(B924="",E924="KXDDM"),"",BOM!F924)</f>
        <v/>
      </c>
      <c r="H924" s="39" t="str">
        <f>IF(OR(B924="",E924&lt;&gt;""),"",IFERROR(INDEX(KT_nguoc_theo_NL!$J$5:$J$304,MATCH(C924,KT_nguoc_theo_NL!$B$5:$B$304,0))/INDEX(KT_nguoc_theo_NL!$K$5:$K$304,MATCH(C924,KT_nguoc_theo_NL!$B$5:$B$304,0)),""))</f>
        <v/>
      </c>
      <c r="I924" s="39" t="str">
        <f t="shared" si="71"/>
        <v/>
      </c>
      <c r="J924" s="46" t="str">
        <f t="shared" si="72"/>
        <v/>
      </c>
      <c r="K924" s="46" t="str">
        <f t="shared" si="73"/>
        <v/>
      </c>
      <c r="L924" s="46" t="str">
        <f t="shared" si="74"/>
        <v/>
      </c>
      <c r="M924" s="35" t="str">
        <f>IF(B924="","",IF(E924="KXDDM","KXDDM – không ĐM",IF(E924&lt;&gt;"","Không KT ("&amp;E924&amp;")",IF(OR(K924="",L924=""),"Xem xét",IF(MAX(ABS(K924),ABS(L924))&lt;=ThongTin!$C$12,"OK","Xem xét")))))</f>
        <v/>
      </c>
    </row>
    <row r="925" spans="1:13" x14ac:dyDescent="0.25">
      <c r="A925" s="35" t="str">
        <f t="shared" si="70"/>
        <v/>
      </c>
      <c r="B925" s="35" t="str">
        <f>IF(BOM!A925="","",BOM!A925)</f>
        <v/>
      </c>
      <c r="C925" s="35" t="str">
        <f>IF(B925="","",BOM!B925)</f>
        <v/>
      </c>
      <c r="D925" s="35" t="str">
        <f>IF(B925="","",KT_DMTT_ChiTiet!E925)</f>
        <v/>
      </c>
      <c r="E925" s="36" t="str">
        <f>IF(B925="","",BOM!G925&amp;"")</f>
        <v/>
      </c>
      <c r="F925" s="39" t="str">
        <f>IF(B925="","",BOM!E925)</f>
        <v/>
      </c>
      <c r="G925" s="39" t="str">
        <f>IF(OR(B925="",E925="KXDDM"),"",BOM!F925)</f>
        <v/>
      </c>
      <c r="H925" s="39" t="str">
        <f>IF(OR(B925="",E925&lt;&gt;""),"",IFERROR(INDEX(KT_nguoc_theo_NL!$J$5:$J$304,MATCH(C925,KT_nguoc_theo_NL!$B$5:$B$304,0))/INDEX(KT_nguoc_theo_NL!$K$5:$K$304,MATCH(C925,KT_nguoc_theo_NL!$B$5:$B$304,0)),""))</f>
        <v/>
      </c>
      <c r="I925" s="39" t="str">
        <f t="shared" si="71"/>
        <v/>
      </c>
      <c r="J925" s="46" t="str">
        <f t="shared" si="72"/>
        <v/>
      </c>
      <c r="K925" s="46" t="str">
        <f t="shared" si="73"/>
        <v/>
      </c>
      <c r="L925" s="46" t="str">
        <f t="shared" si="74"/>
        <v/>
      </c>
      <c r="M925" s="35" t="str">
        <f>IF(B925="","",IF(E925="KXDDM","KXDDM – không ĐM",IF(E925&lt;&gt;"","Không KT ("&amp;E925&amp;")",IF(OR(K925="",L925=""),"Xem xét",IF(MAX(ABS(K925),ABS(L925))&lt;=ThongTin!$C$12,"OK","Xem xét")))))</f>
        <v/>
      </c>
    </row>
    <row r="926" spans="1:13" x14ac:dyDescent="0.25">
      <c r="A926" s="35" t="str">
        <f t="shared" si="70"/>
        <v/>
      </c>
      <c r="B926" s="35" t="str">
        <f>IF(BOM!A926="","",BOM!A926)</f>
        <v/>
      </c>
      <c r="C926" s="35" t="str">
        <f>IF(B926="","",BOM!B926)</f>
        <v/>
      </c>
      <c r="D926" s="35" t="str">
        <f>IF(B926="","",KT_DMTT_ChiTiet!E926)</f>
        <v/>
      </c>
      <c r="E926" s="36" t="str">
        <f>IF(B926="","",BOM!G926&amp;"")</f>
        <v/>
      </c>
      <c r="F926" s="39" t="str">
        <f>IF(B926="","",BOM!E926)</f>
        <v/>
      </c>
      <c r="G926" s="39" t="str">
        <f>IF(OR(B926="",E926="KXDDM"),"",BOM!F926)</f>
        <v/>
      </c>
      <c r="H926" s="39" t="str">
        <f>IF(OR(B926="",E926&lt;&gt;""),"",IFERROR(INDEX(KT_nguoc_theo_NL!$J$5:$J$304,MATCH(C926,KT_nguoc_theo_NL!$B$5:$B$304,0))/INDEX(KT_nguoc_theo_NL!$K$5:$K$304,MATCH(C926,KT_nguoc_theo_NL!$B$5:$B$304,0)),""))</f>
        <v/>
      </c>
      <c r="I926" s="39" t="str">
        <f t="shared" si="71"/>
        <v/>
      </c>
      <c r="J926" s="46" t="str">
        <f t="shared" si="72"/>
        <v/>
      </c>
      <c r="K926" s="46" t="str">
        <f t="shared" si="73"/>
        <v/>
      </c>
      <c r="L926" s="46" t="str">
        <f t="shared" si="74"/>
        <v/>
      </c>
      <c r="M926" s="35" t="str">
        <f>IF(B926="","",IF(E926="KXDDM","KXDDM – không ĐM",IF(E926&lt;&gt;"","Không KT ("&amp;E926&amp;")",IF(OR(K926="",L926=""),"Xem xét",IF(MAX(ABS(K926),ABS(L926))&lt;=ThongTin!$C$12,"OK","Xem xét")))))</f>
        <v/>
      </c>
    </row>
    <row r="927" spans="1:13" x14ac:dyDescent="0.25">
      <c r="A927" s="35" t="str">
        <f t="shared" si="70"/>
        <v/>
      </c>
      <c r="B927" s="35" t="str">
        <f>IF(BOM!A927="","",BOM!A927)</f>
        <v/>
      </c>
      <c r="C927" s="35" t="str">
        <f>IF(B927="","",BOM!B927)</f>
        <v/>
      </c>
      <c r="D927" s="35" t="str">
        <f>IF(B927="","",KT_DMTT_ChiTiet!E927)</f>
        <v/>
      </c>
      <c r="E927" s="36" t="str">
        <f>IF(B927="","",BOM!G927&amp;"")</f>
        <v/>
      </c>
      <c r="F927" s="39" t="str">
        <f>IF(B927="","",BOM!E927)</f>
        <v/>
      </c>
      <c r="G927" s="39" t="str">
        <f>IF(OR(B927="",E927="KXDDM"),"",BOM!F927)</f>
        <v/>
      </c>
      <c r="H927" s="39" t="str">
        <f>IF(OR(B927="",E927&lt;&gt;""),"",IFERROR(INDEX(KT_nguoc_theo_NL!$J$5:$J$304,MATCH(C927,KT_nguoc_theo_NL!$B$5:$B$304,0))/INDEX(KT_nguoc_theo_NL!$K$5:$K$304,MATCH(C927,KT_nguoc_theo_NL!$B$5:$B$304,0)),""))</f>
        <v/>
      </c>
      <c r="I927" s="39" t="str">
        <f t="shared" si="71"/>
        <v/>
      </c>
      <c r="J927" s="46" t="str">
        <f t="shared" si="72"/>
        <v/>
      </c>
      <c r="K927" s="46" t="str">
        <f t="shared" si="73"/>
        <v/>
      </c>
      <c r="L927" s="46" t="str">
        <f t="shared" si="74"/>
        <v/>
      </c>
      <c r="M927" s="35" t="str">
        <f>IF(B927="","",IF(E927="KXDDM","KXDDM – không ĐM",IF(E927&lt;&gt;"","Không KT ("&amp;E927&amp;")",IF(OR(K927="",L927=""),"Xem xét",IF(MAX(ABS(K927),ABS(L927))&lt;=ThongTin!$C$12,"OK","Xem xét")))))</f>
        <v/>
      </c>
    </row>
    <row r="928" spans="1:13" x14ac:dyDescent="0.25">
      <c r="A928" s="35" t="str">
        <f t="shared" si="70"/>
        <v/>
      </c>
      <c r="B928" s="35" t="str">
        <f>IF(BOM!A928="","",BOM!A928)</f>
        <v/>
      </c>
      <c r="C928" s="35" t="str">
        <f>IF(B928="","",BOM!B928)</f>
        <v/>
      </c>
      <c r="D928" s="35" t="str">
        <f>IF(B928="","",KT_DMTT_ChiTiet!E928)</f>
        <v/>
      </c>
      <c r="E928" s="36" t="str">
        <f>IF(B928="","",BOM!G928&amp;"")</f>
        <v/>
      </c>
      <c r="F928" s="39" t="str">
        <f>IF(B928="","",BOM!E928)</f>
        <v/>
      </c>
      <c r="G928" s="39" t="str">
        <f>IF(OR(B928="",E928="KXDDM"),"",BOM!F928)</f>
        <v/>
      </c>
      <c r="H928" s="39" t="str">
        <f>IF(OR(B928="",E928&lt;&gt;""),"",IFERROR(INDEX(KT_nguoc_theo_NL!$J$5:$J$304,MATCH(C928,KT_nguoc_theo_NL!$B$5:$B$304,0))/INDEX(KT_nguoc_theo_NL!$K$5:$K$304,MATCH(C928,KT_nguoc_theo_NL!$B$5:$B$304,0)),""))</f>
        <v/>
      </c>
      <c r="I928" s="39" t="str">
        <f t="shared" si="71"/>
        <v/>
      </c>
      <c r="J928" s="46" t="str">
        <f t="shared" si="72"/>
        <v/>
      </c>
      <c r="K928" s="46" t="str">
        <f t="shared" si="73"/>
        <v/>
      </c>
      <c r="L928" s="46" t="str">
        <f t="shared" si="74"/>
        <v/>
      </c>
      <c r="M928" s="35" t="str">
        <f>IF(B928="","",IF(E928="KXDDM","KXDDM – không ĐM",IF(E928&lt;&gt;"","Không KT ("&amp;E928&amp;")",IF(OR(K928="",L928=""),"Xem xét",IF(MAX(ABS(K928),ABS(L928))&lt;=ThongTin!$C$12,"OK","Xem xét")))))</f>
        <v/>
      </c>
    </row>
    <row r="929" spans="1:13" x14ac:dyDescent="0.25">
      <c r="A929" s="35" t="str">
        <f t="shared" si="70"/>
        <v/>
      </c>
      <c r="B929" s="35" t="str">
        <f>IF(BOM!A929="","",BOM!A929)</f>
        <v/>
      </c>
      <c r="C929" s="35" t="str">
        <f>IF(B929="","",BOM!B929)</f>
        <v/>
      </c>
      <c r="D929" s="35" t="str">
        <f>IF(B929="","",KT_DMTT_ChiTiet!E929)</f>
        <v/>
      </c>
      <c r="E929" s="36" t="str">
        <f>IF(B929="","",BOM!G929&amp;"")</f>
        <v/>
      </c>
      <c r="F929" s="39" t="str">
        <f>IF(B929="","",BOM!E929)</f>
        <v/>
      </c>
      <c r="G929" s="39" t="str">
        <f>IF(OR(B929="",E929="KXDDM"),"",BOM!F929)</f>
        <v/>
      </c>
      <c r="H929" s="39" t="str">
        <f>IF(OR(B929="",E929&lt;&gt;""),"",IFERROR(INDEX(KT_nguoc_theo_NL!$J$5:$J$304,MATCH(C929,KT_nguoc_theo_NL!$B$5:$B$304,0))/INDEX(KT_nguoc_theo_NL!$K$5:$K$304,MATCH(C929,KT_nguoc_theo_NL!$B$5:$B$304,0)),""))</f>
        <v/>
      </c>
      <c r="I929" s="39" t="str">
        <f t="shared" si="71"/>
        <v/>
      </c>
      <c r="J929" s="46" t="str">
        <f t="shared" si="72"/>
        <v/>
      </c>
      <c r="K929" s="46" t="str">
        <f t="shared" si="73"/>
        <v/>
      </c>
      <c r="L929" s="46" t="str">
        <f t="shared" si="74"/>
        <v/>
      </c>
      <c r="M929" s="35" t="str">
        <f>IF(B929="","",IF(E929="KXDDM","KXDDM – không ĐM",IF(E929&lt;&gt;"","Không KT ("&amp;E929&amp;")",IF(OR(K929="",L929=""),"Xem xét",IF(MAX(ABS(K929),ABS(L929))&lt;=ThongTin!$C$12,"OK","Xem xét")))))</f>
        <v/>
      </c>
    </row>
    <row r="930" spans="1:13" x14ac:dyDescent="0.25">
      <c r="A930" s="35" t="str">
        <f t="shared" si="70"/>
        <v/>
      </c>
      <c r="B930" s="35" t="str">
        <f>IF(BOM!A930="","",BOM!A930)</f>
        <v/>
      </c>
      <c r="C930" s="35" t="str">
        <f>IF(B930="","",BOM!B930)</f>
        <v/>
      </c>
      <c r="D930" s="35" t="str">
        <f>IF(B930="","",KT_DMTT_ChiTiet!E930)</f>
        <v/>
      </c>
      <c r="E930" s="36" t="str">
        <f>IF(B930="","",BOM!G930&amp;"")</f>
        <v/>
      </c>
      <c r="F930" s="39" t="str">
        <f>IF(B930="","",BOM!E930)</f>
        <v/>
      </c>
      <c r="G930" s="39" t="str">
        <f>IF(OR(B930="",E930="KXDDM"),"",BOM!F930)</f>
        <v/>
      </c>
      <c r="H930" s="39" t="str">
        <f>IF(OR(B930="",E930&lt;&gt;""),"",IFERROR(INDEX(KT_nguoc_theo_NL!$J$5:$J$304,MATCH(C930,KT_nguoc_theo_NL!$B$5:$B$304,0))/INDEX(KT_nguoc_theo_NL!$K$5:$K$304,MATCH(C930,KT_nguoc_theo_NL!$B$5:$B$304,0)),""))</f>
        <v/>
      </c>
      <c r="I930" s="39" t="str">
        <f t="shared" si="71"/>
        <v/>
      </c>
      <c r="J930" s="46" t="str">
        <f t="shared" si="72"/>
        <v/>
      </c>
      <c r="K930" s="46" t="str">
        <f t="shared" si="73"/>
        <v/>
      </c>
      <c r="L930" s="46" t="str">
        <f t="shared" si="74"/>
        <v/>
      </c>
      <c r="M930" s="35" t="str">
        <f>IF(B930="","",IF(E930="KXDDM","KXDDM – không ĐM",IF(E930&lt;&gt;"","Không KT ("&amp;E930&amp;")",IF(OR(K930="",L930=""),"Xem xét",IF(MAX(ABS(K930),ABS(L930))&lt;=ThongTin!$C$12,"OK","Xem xét")))))</f>
        <v/>
      </c>
    </row>
    <row r="931" spans="1:13" x14ac:dyDescent="0.25">
      <c r="A931" s="35" t="str">
        <f t="shared" si="70"/>
        <v/>
      </c>
      <c r="B931" s="35" t="str">
        <f>IF(BOM!A931="","",BOM!A931)</f>
        <v/>
      </c>
      <c r="C931" s="35" t="str">
        <f>IF(B931="","",BOM!B931)</f>
        <v/>
      </c>
      <c r="D931" s="35" t="str">
        <f>IF(B931="","",KT_DMTT_ChiTiet!E931)</f>
        <v/>
      </c>
      <c r="E931" s="36" t="str">
        <f>IF(B931="","",BOM!G931&amp;"")</f>
        <v/>
      </c>
      <c r="F931" s="39" t="str">
        <f>IF(B931="","",BOM!E931)</f>
        <v/>
      </c>
      <c r="G931" s="39" t="str">
        <f>IF(OR(B931="",E931="KXDDM"),"",BOM!F931)</f>
        <v/>
      </c>
      <c r="H931" s="39" t="str">
        <f>IF(OR(B931="",E931&lt;&gt;""),"",IFERROR(INDEX(KT_nguoc_theo_NL!$J$5:$J$304,MATCH(C931,KT_nguoc_theo_NL!$B$5:$B$304,0))/INDEX(KT_nguoc_theo_NL!$K$5:$K$304,MATCH(C931,KT_nguoc_theo_NL!$B$5:$B$304,0)),""))</f>
        <v/>
      </c>
      <c r="I931" s="39" t="str">
        <f t="shared" si="71"/>
        <v/>
      </c>
      <c r="J931" s="46" t="str">
        <f t="shared" si="72"/>
        <v/>
      </c>
      <c r="K931" s="46" t="str">
        <f t="shared" si="73"/>
        <v/>
      </c>
      <c r="L931" s="46" t="str">
        <f t="shared" si="74"/>
        <v/>
      </c>
      <c r="M931" s="35" t="str">
        <f>IF(B931="","",IF(E931="KXDDM","KXDDM – không ĐM",IF(E931&lt;&gt;"","Không KT ("&amp;E931&amp;")",IF(OR(K931="",L931=""),"Xem xét",IF(MAX(ABS(K931),ABS(L931))&lt;=ThongTin!$C$12,"OK","Xem xét")))))</f>
        <v/>
      </c>
    </row>
    <row r="932" spans="1:13" x14ac:dyDescent="0.25">
      <c r="A932" s="35" t="str">
        <f t="shared" si="70"/>
        <v/>
      </c>
      <c r="B932" s="35" t="str">
        <f>IF(BOM!A932="","",BOM!A932)</f>
        <v/>
      </c>
      <c r="C932" s="35" t="str">
        <f>IF(B932="","",BOM!B932)</f>
        <v/>
      </c>
      <c r="D932" s="35" t="str">
        <f>IF(B932="","",KT_DMTT_ChiTiet!E932)</f>
        <v/>
      </c>
      <c r="E932" s="36" t="str">
        <f>IF(B932="","",BOM!G932&amp;"")</f>
        <v/>
      </c>
      <c r="F932" s="39" t="str">
        <f>IF(B932="","",BOM!E932)</f>
        <v/>
      </c>
      <c r="G932" s="39" t="str">
        <f>IF(OR(B932="",E932="KXDDM"),"",BOM!F932)</f>
        <v/>
      </c>
      <c r="H932" s="39" t="str">
        <f>IF(OR(B932="",E932&lt;&gt;""),"",IFERROR(INDEX(KT_nguoc_theo_NL!$J$5:$J$304,MATCH(C932,KT_nguoc_theo_NL!$B$5:$B$304,0))/INDEX(KT_nguoc_theo_NL!$K$5:$K$304,MATCH(C932,KT_nguoc_theo_NL!$B$5:$B$304,0)),""))</f>
        <v/>
      </c>
      <c r="I932" s="39" t="str">
        <f t="shared" si="71"/>
        <v/>
      </c>
      <c r="J932" s="46" t="str">
        <f t="shared" si="72"/>
        <v/>
      </c>
      <c r="K932" s="46" t="str">
        <f t="shared" si="73"/>
        <v/>
      </c>
      <c r="L932" s="46" t="str">
        <f t="shared" si="74"/>
        <v/>
      </c>
      <c r="M932" s="35" t="str">
        <f>IF(B932="","",IF(E932="KXDDM","KXDDM – không ĐM",IF(E932&lt;&gt;"","Không KT ("&amp;E932&amp;")",IF(OR(K932="",L932=""),"Xem xét",IF(MAX(ABS(K932),ABS(L932))&lt;=ThongTin!$C$12,"OK","Xem xét")))))</f>
        <v/>
      </c>
    </row>
    <row r="933" spans="1:13" x14ac:dyDescent="0.25">
      <c r="A933" s="35" t="str">
        <f t="shared" si="70"/>
        <v/>
      </c>
      <c r="B933" s="35" t="str">
        <f>IF(BOM!A933="","",BOM!A933)</f>
        <v/>
      </c>
      <c r="C933" s="35" t="str">
        <f>IF(B933="","",BOM!B933)</f>
        <v/>
      </c>
      <c r="D933" s="35" t="str">
        <f>IF(B933="","",KT_DMTT_ChiTiet!E933)</f>
        <v/>
      </c>
      <c r="E933" s="36" t="str">
        <f>IF(B933="","",BOM!G933&amp;"")</f>
        <v/>
      </c>
      <c r="F933" s="39" t="str">
        <f>IF(B933="","",BOM!E933)</f>
        <v/>
      </c>
      <c r="G933" s="39" t="str">
        <f>IF(OR(B933="",E933="KXDDM"),"",BOM!F933)</f>
        <v/>
      </c>
      <c r="H933" s="39" t="str">
        <f>IF(OR(B933="",E933&lt;&gt;""),"",IFERROR(INDEX(KT_nguoc_theo_NL!$J$5:$J$304,MATCH(C933,KT_nguoc_theo_NL!$B$5:$B$304,0))/INDEX(KT_nguoc_theo_NL!$K$5:$K$304,MATCH(C933,KT_nguoc_theo_NL!$B$5:$B$304,0)),""))</f>
        <v/>
      </c>
      <c r="I933" s="39" t="str">
        <f t="shared" si="71"/>
        <v/>
      </c>
      <c r="J933" s="46" t="str">
        <f t="shared" si="72"/>
        <v/>
      </c>
      <c r="K933" s="46" t="str">
        <f t="shared" si="73"/>
        <v/>
      </c>
      <c r="L933" s="46" t="str">
        <f t="shared" si="74"/>
        <v/>
      </c>
      <c r="M933" s="35" t="str">
        <f>IF(B933="","",IF(E933="KXDDM","KXDDM – không ĐM",IF(E933&lt;&gt;"","Không KT ("&amp;E933&amp;")",IF(OR(K933="",L933=""),"Xem xét",IF(MAX(ABS(K933),ABS(L933))&lt;=ThongTin!$C$12,"OK","Xem xét")))))</f>
        <v/>
      </c>
    </row>
    <row r="934" spans="1:13" x14ac:dyDescent="0.25">
      <c r="A934" s="35" t="str">
        <f t="shared" si="70"/>
        <v/>
      </c>
      <c r="B934" s="35" t="str">
        <f>IF(BOM!A934="","",BOM!A934)</f>
        <v/>
      </c>
      <c r="C934" s="35" t="str">
        <f>IF(B934="","",BOM!B934)</f>
        <v/>
      </c>
      <c r="D934" s="35" t="str">
        <f>IF(B934="","",KT_DMTT_ChiTiet!E934)</f>
        <v/>
      </c>
      <c r="E934" s="36" t="str">
        <f>IF(B934="","",BOM!G934&amp;"")</f>
        <v/>
      </c>
      <c r="F934" s="39" t="str">
        <f>IF(B934="","",BOM!E934)</f>
        <v/>
      </c>
      <c r="G934" s="39" t="str">
        <f>IF(OR(B934="",E934="KXDDM"),"",BOM!F934)</f>
        <v/>
      </c>
      <c r="H934" s="39" t="str">
        <f>IF(OR(B934="",E934&lt;&gt;""),"",IFERROR(INDEX(KT_nguoc_theo_NL!$J$5:$J$304,MATCH(C934,KT_nguoc_theo_NL!$B$5:$B$304,0))/INDEX(KT_nguoc_theo_NL!$K$5:$K$304,MATCH(C934,KT_nguoc_theo_NL!$B$5:$B$304,0)),""))</f>
        <v/>
      </c>
      <c r="I934" s="39" t="str">
        <f t="shared" si="71"/>
        <v/>
      </c>
      <c r="J934" s="46" t="str">
        <f t="shared" si="72"/>
        <v/>
      </c>
      <c r="K934" s="46" t="str">
        <f t="shared" si="73"/>
        <v/>
      </c>
      <c r="L934" s="46" t="str">
        <f t="shared" si="74"/>
        <v/>
      </c>
      <c r="M934" s="35" t="str">
        <f>IF(B934="","",IF(E934="KXDDM","KXDDM – không ĐM",IF(E934&lt;&gt;"","Không KT ("&amp;E934&amp;")",IF(OR(K934="",L934=""),"Xem xét",IF(MAX(ABS(K934),ABS(L934))&lt;=ThongTin!$C$12,"OK","Xem xét")))))</f>
        <v/>
      </c>
    </row>
    <row r="935" spans="1:13" x14ac:dyDescent="0.25">
      <c r="A935" s="35" t="str">
        <f t="shared" si="70"/>
        <v/>
      </c>
      <c r="B935" s="35" t="str">
        <f>IF(BOM!A935="","",BOM!A935)</f>
        <v/>
      </c>
      <c r="C935" s="35" t="str">
        <f>IF(B935="","",BOM!B935)</f>
        <v/>
      </c>
      <c r="D935" s="35" t="str">
        <f>IF(B935="","",KT_DMTT_ChiTiet!E935)</f>
        <v/>
      </c>
      <c r="E935" s="36" t="str">
        <f>IF(B935="","",BOM!G935&amp;"")</f>
        <v/>
      </c>
      <c r="F935" s="39" t="str">
        <f>IF(B935="","",BOM!E935)</f>
        <v/>
      </c>
      <c r="G935" s="39" t="str">
        <f>IF(OR(B935="",E935="KXDDM"),"",BOM!F935)</f>
        <v/>
      </c>
      <c r="H935" s="39" t="str">
        <f>IF(OR(B935="",E935&lt;&gt;""),"",IFERROR(INDEX(KT_nguoc_theo_NL!$J$5:$J$304,MATCH(C935,KT_nguoc_theo_NL!$B$5:$B$304,0))/INDEX(KT_nguoc_theo_NL!$K$5:$K$304,MATCH(C935,KT_nguoc_theo_NL!$B$5:$B$304,0)),""))</f>
        <v/>
      </c>
      <c r="I935" s="39" t="str">
        <f t="shared" si="71"/>
        <v/>
      </c>
      <c r="J935" s="46" t="str">
        <f t="shared" si="72"/>
        <v/>
      </c>
      <c r="K935" s="46" t="str">
        <f t="shared" si="73"/>
        <v/>
      </c>
      <c r="L935" s="46" t="str">
        <f t="shared" si="74"/>
        <v/>
      </c>
      <c r="M935" s="35" t="str">
        <f>IF(B935="","",IF(E935="KXDDM","KXDDM – không ĐM",IF(E935&lt;&gt;"","Không KT ("&amp;E935&amp;")",IF(OR(K935="",L935=""),"Xem xét",IF(MAX(ABS(K935),ABS(L935))&lt;=ThongTin!$C$12,"OK","Xem xét")))))</f>
        <v/>
      </c>
    </row>
    <row r="936" spans="1:13" x14ac:dyDescent="0.25">
      <c r="A936" s="35" t="str">
        <f t="shared" si="70"/>
        <v/>
      </c>
      <c r="B936" s="35" t="str">
        <f>IF(BOM!A936="","",BOM!A936)</f>
        <v/>
      </c>
      <c r="C936" s="35" t="str">
        <f>IF(B936="","",BOM!B936)</f>
        <v/>
      </c>
      <c r="D936" s="35" t="str">
        <f>IF(B936="","",KT_DMTT_ChiTiet!E936)</f>
        <v/>
      </c>
      <c r="E936" s="36" t="str">
        <f>IF(B936="","",BOM!G936&amp;"")</f>
        <v/>
      </c>
      <c r="F936" s="39" t="str">
        <f>IF(B936="","",BOM!E936)</f>
        <v/>
      </c>
      <c r="G936" s="39" t="str">
        <f>IF(OR(B936="",E936="KXDDM"),"",BOM!F936)</f>
        <v/>
      </c>
      <c r="H936" s="39" t="str">
        <f>IF(OR(B936="",E936&lt;&gt;""),"",IFERROR(INDEX(KT_nguoc_theo_NL!$J$5:$J$304,MATCH(C936,KT_nguoc_theo_NL!$B$5:$B$304,0))/INDEX(KT_nguoc_theo_NL!$K$5:$K$304,MATCH(C936,KT_nguoc_theo_NL!$B$5:$B$304,0)),""))</f>
        <v/>
      </c>
      <c r="I936" s="39" t="str">
        <f t="shared" si="71"/>
        <v/>
      </c>
      <c r="J936" s="46" t="str">
        <f t="shared" si="72"/>
        <v/>
      </c>
      <c r="K936" s="46" t="str">
        <f t="shared" si="73"/>
        <v/>
      </c>
      <c r="L936" s="46" t="str">
        <f t="shared" si="74"/>
        <v/>
      </c>
      <c r="M936" s="35" t="str">
        <f>IF(B936="","",IF(E936="KXDDM","KXDDM – không ĐM",IF(E936&lt;&gt;"","Không KT ("&amp;E936&amp;")",IF(OR(K936="",L936=""),"Xem xét",IF(MAX(ABS(K936),ABS(L936))&lt;=ThongTin!$C$12,"OK","Xem xét")))))</f>
        <v/>
      </c>
    </row>
    <row r="937" spans="1:13" x14ac:dyDescent="0.25">
      <c r="A937" s="35" t="str">
        <f t="shared" si="70"/>
        <v/>
      </c>
      <c r="B937" s="35" t="str">
        <f>IF(BOM!A937="","",BOM!A937)</f>
        <v/>
      </c>
      <c r="C937" s="35" t="str">
        <f>IF(B937="","",BOM!B937)</f>
        <v/>
      </c>
      <c r="D937" s="35" t="str">
        <f>IF(B937="","",KT_DMTT_ChiTiet!E937)</f>
        <v/>
      </c>
      <c r="E937" s="36" t="str">
        <f>IF(B937="","",BOM!G937&amp;"")</f>
        <v/>
      </c>
      <c r="F937" s="39" t="str">
        <f>IF(B937="","",BOM!E937)</f>
        <v/>
      </c>
      <c r="G937" s="39" t="str">
        <f>IF(OR(B937="",E937="KXDDM"),"",BOM!F937)</f>
        <v/>
      </c>
      <c r="H937" s="39" t="str">
        <f>IF(OR(B937="",E937&lt;&gt;""),"",IFERROR(INDEX(KT_nguoc_theo_NL!$J$5:$J$304,MATCH(C937,KT_nguoc_theo_NL!$B$5:$B$304,0))/INDEX(KT_nguoc_theo_NL!$K$5:$K$304,MATCH(C937,KT_nguoc_theo_NL!$B$5:$B$304,0)),""))</f>
        <v/>
      </c>
      <c r="I937" s="39" t="str">
        <f t="shared" si="71"/>
        <v/>
      </c>
      <c r="J937" s="46" t="str">
        <f t="shared" si="72"/>
        <v/>
      </c>
      <c r="K937" s="46" t="str">
        <f t="shared" si="73"/>
        <v/>
      </c>
      <c r="L937" s="46" t="str">
        <f t="shared" si="74"/>
        <v/>
      </c>
      <c r="M937" s="35" t="str">
        <f>IF(B937="","",IF(E937="KXDDM","KXDDM – không ĐM",IF(E937&lt;&gt;"","Không KT ("&amp;E937&amp;")",IF(OR(K937="",L937=""),"Xem xét",IF(MAX(ABS(K937),ABS(L937))&lt;=ThongTin!$C$12,"OK","Xem xét")))))</f>
        <v/>
      </c>
    </row>
    <row r="938" spans="1:13" x14ac:dyDescent="0.25">
      <c r="A938" s="35" t="str">
        <f t="shared" si="70"/>
        <v/>
      </c>
      <c r="B938" s="35" t="str">
        <f>IF(BOM!A938="","",BOM!A938)</f>
        <v/>
      </c>
      <c r="C938" s="35" t="str">
        <f>IF(B938="","",BOM!B938)</f>
        <v/>
      </c>
      <c r="D938" s="35" t="str">
        <f>IF(B938="","",KT_DMTT_ChiTiet!E938)</f>
        <v/>
      </c>
      <c r="E938" s="36" t="str">
        <f>IF(B938="","",BOM!G938&amp;"")</f>
        <v/>
      </c>
      <c r="F938" s="39" t="str">
        <f>IF(B938="","",BOM!E938)</f>
        <v/>
      </c>
      <c r="G938" s="39" t="str">
        <f>IF(OR(B938="",E938="KXDDM"),"",BOM!F938)</f>
        <v/>
      </c>
      <c r="H938" s="39" t="str">
        <f>IF(OR(B938="",E938&lt;&gt;""),"",IFERROR(INDEX(KT_nguoc_theo_NL!$J$5:$J$304,MATCH(C938,KT_nguoc_theo_NL!$B$5:$B$304,0))/INDEX(KT_nguoc_theo_NL!$K$5:$K$304,MATCH(C938,KT_nguoc_theo_NL!$B$5:$B$304,0)),""))</f>
        <v/>
      </c>
      <c r="I938" s="39" t="str">
        <f t="shared" si="71"/>
        <v/>
      </c>
      <c r="J938" s="46" t="str">
        <f t="shared" si="72"/>
        <v/>
      </c>
      <c r="K938" s="46" t="str">
        <f t="shared" si="73"/>
        <v/>
      </c>
      <c r="L938" s="46" t="str">
        <f t="shared" si="74"/>
        <v/>
      </c>
      <c r="M938" s="35" t="str">
        <f>IF(B938="","",IF(E938="KXDDM","KXDDM – không ĐM",IF(E938&lt;&gt;"","Không KT ("&amp;E938&amp;")",IF(OR(K938="",L938=""),"Xem xét",IF(MAX(ABS(K938),ABS(L938))&lt;=ThongTin!$C$12,"OK","Xem xét")))))</f>
        <v/>
      </c>
    </row>
    <row r="939" spans="1:13" x14ac:dyDescent="0.25">
      <c r="A939" s="35" t="str">
        <f t="shared" si="70"/>
        <v/>
      </c>
      <c r="B939" s="35" t="str">
        <f>IF(BOM!A939="","",BOM!A939)</f>
        <v/>
      </c>
      <c r="C939" s="35" t="str">
        <f>IF(B939="","",BOM!B939)</f>
        <v/>
      </c>
      <c r="D939" s="35" t="str">
        <f>IF(B939="","",KT_DMTT_ChiTiet!E939)</f>
        <v/>
      </c>
      <c r="E939" s="36" t="str">
        <f>IF(B939="","",BOM!G939&amp;"")</f>
        <v/>
      </c>
      <c r="F939" s="39" t="str">
        <f>IF(B939="","",BOM!E939)</f>
        <v/>
      </c>
      <c r="G939" s="39" t="str">
        <f>IF(OR(B939="",E939="KXDDM"),"",BOM!F939)</f>
        <v/>
      </c>
      <c r="H939" s="39" t="str">
        <f>IF(OR(B939="",E939&lt;&gt;""),"",IFERROR(INDEX(KT_nguoc_theo_NL!$J$5:$J$304,MATCH(C939,KT_nguoc_theo_NL!$B$5:$B$304,0))/INDEX(KT_nguoc_theo_NL!$K$5:$K$304,MATCH(C939,KT_nguoc_theo_NL!$B$5:$B$304,0)),""))</f>
        <v/>
      </c>
      <c r="I939" s="39" t="str">
        <f t="shared" si="71"/>
        <v/>
      </c>
      <c r="J939" s="46" t="str">
        <f t="shared" si="72"/>
        <v/>
      </c>
      <c r="K939" s="46" t="str">
        <f t="shared" si="73"/>
        <v/>
      </c>
      <c r="L939" s="46" t="str">
        <f t="shared" si="74"/>
        <v/>
      </c>
      <c r="M939" s="35" t="str">
        <f>IF(B939="","",IF(E939="KXDDM","KXDDM – không ĐM",IF(E939&lt;&gt;"","Không KT ("&amp;E939&amp;")",IF(OR(K939="",L939=""),"Xem xét",IF(MAX(ABS(K939),ABS(L939))&lt;=ThongTin!$C$12,"OK","Xem xét")))))</f>
        <v/>
      </c>
    </row>
    <row r="940" spans="1:13" x14ac:dyDescent="0.25">
      <c r="A940" s="35" t="str">
        <f t="shared" si="70"/>
        <v/>
      </c>
      <c r="B940" s="35" t="str">
        <f>IF(BOM!A940="","",BOM!A940)</f>
        <v/>
      </c>
      <c r="C940" s="35" t="str">
        <f>IF(B940="","",BOM!B940)</f>
        <v/>
      </c>
      <c r="D940" s="35" t="str">
        <f>IF(B940="","",KT_DMTT_ChiTiet!E940)</f>
        <v/>
      </c>
      <c r="E940" s="36" t="str">
        <f>IF(B940="","",BOM!G940&amp;"")</f>
        <v/>
      </c>
      <c r="F940" s="39" t="str">
        <f>IF(B940="","",BOM!E940)</f>
        <v/>
      </c>
      <c r="G940" s="39" t="str">
        <f>IF(OR(B940="",E940="KXDDM"),"",BOM!F940)</f>
        <v/>
      </c>
      <c r="H940" s="39" t="str">
        <f>IF(OR(B940="",E940&lt;&gt;""),"",IFERROR(INDEX(KT_nguoc_theo_NL!$J$5:$J$304,MATCH(C940,KT_nguoc_theo_NL!$B$5:$B$304,0))/INDEX(KT_nguoc_theo_NL!$K$5:$K$304,MATCH(C940,KT_nguoc_theo_NL!$B$5:$B$304,0)),""))</f>
        <v/>
      </c>
      <c r="I940" s="39" t="str">
        <f t="shared" si="71"/>
        <v/>
      </c>
      <c r="J940" s="46" t="str">
        <f t="shared" si="72"/>
        <v/>
      </c>
      <c r="K940" s="46" t="str">
        <f t="shared" si="73"/>
        <v/>
      </c>
      <c r="L940" s="46" t="str">
        <f t="shared" si="74"/>
        <v/>
      </c>
      <c r="M940" s="35" t="str">
        <f>IF(B940="","",IF(E940="KXDDM","KXDDM – không ĐM",IF(E940&lt;&gt;"","Không KT ("&amp;E940&amp;")",IF(OR(K940="",L940=""),"Xem xét",IF(MAX(ABS(K940),ABS(L940))&lt;=ThongTin!$C$12,"OK","Xem xét")))))</f>
        <v/>
      </c>
    </row>
    <row r="941" spans="1:13" x14ac:dyDescent="0.25">
      <c r="A941" s="35" t="str">
        <f t="shared" si="70"/>
        <v/>
      </c>
      <c r="B941" s="35" t="str">
        <f>IF(BOM!A941="","",BOM!A941)</f>
        <v/>
      </c>
      <c r="C941" s="35" t="str">
        <f>IF(B941="","",BOM!B941)</f>
        <v/>
      </c>
      <c r="D941" s="35" t="str">
        <f>IF(B941="","",KT_DMTT_ChiTiet!E941)</f>
        <v/>
      </c>
      <c r="E941" s="36" t="str">
        <f>IF(B941="","",BOM!G941&amp;"")</f>
        <v/>
      </c>
      <c r="F941" s="39" t="str">
        <f>IF(B941="","",BOM!E941)</f>
        <v/>
      </c>
      <c r="G941" s="39" t="str">
        <f>IF(OR(B941="",E941="KXDDM"),"",BOM!F941)</f>
        <v/>
      </c>
      <c r="H941" s="39" t="str">
        <f>IF(OR(B941="",E941&lt;&gt;""),"",IFERROR(INDEX(KT_nguoc_theo_NL!$J$5:$J$304,MATCH(C941,KT_nguoc_theo_NL!$B$5:$B$304,0))/INDEX(KT_nguoc_theo_NL!$K$5:$K$304,MATCH(C941,KT_nguoc_theo_NL!$B$5:$B$304,0)),""))</f>
        <v/>
      </c>
      <c r="I941" s="39" t="str">
        <f t="shared" si="71"/>
        <v/>
      </c>
      <c r="J941" s="46" t="str">
        <f t="shared" si="72"/>
        <v/>
      </c>
      <c r="K941" s="46" t="str">
        <f t="shared" si="73"/>
        <v/>
      </c>
      <c r="L941" s="46" t="str">
        <f t="shared" si="74"/>
        <v/>
      </c>
      <c r="M941" s="35" t="str">
        <f>IF(B941="","",IF(E941="KXDDM","KXDDM – không ĐM",IF(E941&lt;&gt;"","Không KT ("&amp;E941&amp;")",IF(OR(K941="",L941=""),"Xem xét",IF(MAX(ABS(K941),ABS(L941))&lt;=ThongTin!$C$12,"OK","Xem xét")))))</f>
        <v/>
      </c>
    </row>
    <row r="942" spans="1:13" x14ac:dyDescent="0.25">
      <c r="A942" s="35" t="str">
        <f t="shared" si="70"/>
        <v/>
      </c>
      <c r="B942" s="35" t="str">
        <f>IF(BOM!A942="","",BOM!A942)</f>
        <v/>
      </c>
      <c r="C942" s="35" t="str">
        <f>IF(B942="","",BOM!B942)</f>
        <v/>
      </c>
      <c r="D942" s="35" t="str">
        <f>IF(B942="","",KT_DMTT_ChiTiet!E942)</f>
        <v/>
      </c>
      <c r="E942" s="36" t="str">
        <f>IF(B942="","",BOM!G942&amp;"")</f>
        <v/>
      </c>
      <c r="F942" s="39" t="str">
        <f>IF(B942="","",BOM!E942)</f>
        <v/>
      </c>
      <c r="G942" s="39" t="str">
        <f>IF(OR(B942="",E942="KXDDM"),"",BOM!F942)</f>
        <v/>
      </c>
      <c r="H942" s="39" t="str">
        <f>IF(OR(B942="",E942&lt;&gt;""),"",IFERROR(INDEX(KT_nguoc_theo_NL!$J$5:$J$304,MATCH(C942,KT_nguoc_theo_NL!$B$5:$B$304,0))/INDEX(KT_nguoc_theo_NL!$K$5:$K$304,MATCH(C942,KT_nguoc_theo_NL!$B$5:$B$304,0)),""))</f>
        <v/>
      </c>
      <c r="I942" s="39" t="str">
        <f t="shared" si="71"/>
        <v/>
      </c>
      <c r="J942" s="46" t="str">
        <f t="shared" si="72"/>
        <v/>
      </c>
      <c r="K942" s="46" t="str">
        <f t="shared" si="73"/>
        <v/>
      </c>
      <c r="L942" s="46" t="str">
        <f t="shared" si="74"/>
        <v/>
      </c>
      <c r="M942" s="35" t="str">
        <f>IF(B942="","",IF(E942="KXDDM","KXDDM – không ĐM",IF(E942&lt;&gt;"","Không KT ("&amp;E942&amp;")",IF(OR(K942="",L942=""),"Xem xét",IF(MAX(ABS(K942),ABS(L942))&lt;=ThongTin!$C$12,"OK","Xem xét")))))</f>
        <v/>
      </c>
    </row>
    <row r="943" spans="1:13" x14ac:dyDescent="0.25">
      <c r="A943" s="35" t="str">
        <f t="shared" si="70"/>
        <v/>
      </c>
      <c r="B943" s="35" t="str">
        <f>IF(BOM!A943="","",BOM!A943)</f>
        <v/>
      </c>
      <c r="C943" s="35" t="str">
        <f>IF(B943="","",BOM!B943)</f>
        <v/>
      </c>
      <c r="D943" s="35" t="str">
        <f>IF(B943="","",KT_DMTT_ChiTiet!E943)</f>
        <v/>
      </c>
      <c r="E943" s="36" t="str">
        <f>IF(B943="","",BOM!G943&amp;"")</f>
        <v/>
      </c>
      <c r="F943" s="39" t="str">
        <f>IF(B943="","",BOM!E943)</f>
        <v/>
      </c>
      <c r="G943" s="39" t="str">
        <f>IF(OR(B943="",E943="KXDDM"),"",BOM!F943)</f>
        <v/>
      </c>
      <c r="H943" s="39" t="str">
        <f>IF(OR(B943="",E943&lt;&gt;""),"",IFERROR(INDEX(KT_nguoc_theo_NL!$J$5:$J$304,MATCH(C943,KT_nguoc_theo_NL!$B$5:$B$304,0))/INDEX(KT_nguoc_theo_NL!$K$5:$K$304,MATCH(C943,KT_nguoc_theo_NL!$B$5:$B$304,0)),""))</f>
        <v/>
      </c>
      <c r="I943" s="39" t="str">
        <f t="shared" si="71"/>
        <v/>
      </c>
      <c r="J943" s="46" t="str">
        <f t="shared" si="72"/>
        <v/>
      </c>
      <c r="K943" s="46" t="str">
        <f t="shared" si="73"/>
        <v/>
      </c>
      <c r="L943" s="46" t="str">
        <f t="shared" si="74"/>
        <v/>
      </c>
      <c r="M943" s="35" t="str">
        <f>IF(B943="","",IF(E943="KXDDM","KXDDM – không ĐM",IF(E943&lt;&gt;"","Không KT ("&amp;E943&amp;")",IF(OR(K943="",L943=""),"Xem xét",IF(MAX(ABS(K943),ABS(L943))&lt;=ThongTin!$C$12,"OK","Xem xét")))))</f>
        <v/>
      </c>
    </row>
    <row r="944" spans="1:13" x14ac:dyDescent="0.25">
      <c r="A944" s="35" t="str">
        <f t="shared" si="70"/>
        <v/>
      </c>
      <c r="B944" s="35" t="str">
        <f>IF(BOM!A944="","",BOM!A944)</f>
        <v/>
      </c>
      <c r="C944" s="35" t="str">
        <f>IF(B944="","",BOM!B944)</f>
        <v/>
      </c>
      <c r="D944" s="35" t="str">
        <f>IF(B944="","",KT_DMTT_ChiTiet!E944)</f>
        <v/>
      </c>
      <c r="E944" s="36" t="str">
        <f>IF(B944="","",BOM!G944&amp;"")</f>
        <v/>
      </c>
      <c r="F944" s="39" t="str">
        <f>IF(B944="","",BOM!E944)</f>
        <v/>
      </c>
      <c r="G944" s="39" t="str">
        <f>IF(OR(B944="",E944="KXDDM"),"",BOM!F944)</f>
        <v/>
      </c>
      <c r="H944" s="39" t="str">
        <f>IF(OR(B944="",E944&lt;&gt;""),"",IFERROR(INDEX(KT_nguoc_theo_NL!$J$5:$J$304,MATCH(C944,KT_nguoc_theo_NL!$B$5:$B$304,0))/INDEX(KT_nguoc_theo_NL!$K$5:$K$304,MATCH(C944,KT_nguoc_theo_NL!$B$5:$B$304,0)),""))</f>
        <v/>
      </c>
      <c r="I944" s="39" t="str">
        <f t="shared" si="71"/>
        <v/>
      </c>
      <c r="J944" s="46" t="str">
        <f t="shared" si="72"/>
        <v/>
      </c>
      <c r="K944" s="46" t="str">
        <f t="shared" si="73"/>
        <v/>
      </c>
      <c r="L944" s="46" t="str">
        <f t="shared" si="74"/>
        <v/>
      </c>
      <c r="M944" s="35" t="str">
        <f>IF(B944="","",IF(E944="KXDDM","KXDDM – không ĐM",IF(E944&lt;&gt;"","Không KT ("&amp;E944&amp;")",IF(OR(K944="",L944=""),"Xem xét",IF(MAX(ABS(K944),ABS(L944))&lt;=ThongTin!$C$12,"OK","Xem xét")))))</f>
        <v/>
      </c>
    </row>
    <row r="945" spans="1:13" x14ac:dyDescent="0.25">
      <c r="A945" s="35" t="str">
        <f t="shared" si="70"/>
        <v/>
      </c>
      <c r="B945" s="35" t="str">
        <f>IF(BOM!A945="","",BOM!A945)</f>
        <v/>
      </c>
      <c r="C945" s="35" t="str">
        <f>IF(B945="","",BOM!B945)</f>
        <v/>
      </c>
      <c r="D945" s="35" t="str">
        <f>IF(B945="","",KT_DMTT_ChiTiet!E945)</f>
        <v/>
      </c>
      <c r="E945" s="36" t="str">
        <f>IF(B945="","",BOM!G945&amp;"")</f>
        <v/>
      </c>
      <c r="F945" s="39" t="str">
        <f>IF(B945="","",BOM!E945)</f>
        <v/>
      </c>
      <c r="G945" s="39" t="str">
        <f>IF(OR(B945="",E945="KXDDM"),"",BOM!F945)</f>
        <v/>
      </c>
      <c r="H945" s="39" t="str">
        <f>IF(OR(B945="",E945&lt;&gt;""),"",IFERROR(INDEX(KT_nguoc_theo_NL!$J$5:$J$304,MATCH(C945,KT_nguoc_theo_NL!$B$5:$B$304,0))/INDEX(KT_nguoc_theo_NL!$K$5:$K$304,MATCH(C945,KT_nguoc_theo_NL!$B$5:$B$304,0)),""))</f>
        <v/>
      </c>
      <c r="I945" s="39" t="str">
        <f t="shared" si="71"/>
        <v/>
      </c>
      <c r="J945" s="46" t="str">
        <f t="shared" si="72"/>
        <v/>
      </c>
      <c r="K945" s="46" t="str">
        <f t="shared" si="73"/>
        <v/>
      </c>
      <c r="L945" s="46" t="str">
        <f t="shared" si="74"/>
        <v/>
      </c>
      <c r="M945" s="35" t="str">
        <f>IF(B945="","",IF(E945="KXDDM","KXDDM – không ĐM",IF(E945&lt;&gt;"","Không KT ("&amp;E945&amp;")",IF(OR(K945="",L945=""),"Xem xét",IF(MAX(ABS(K945),ABS(L945))&lt;=ThongTin!$C$12,"OK","Xem xét")))))</f>
        <v/>
      </c>
    </row>
    <row r="946" spans="1:13" x14ac:dyDescent="0.25">
      <c r="A946" s="35" t="str">
        <f t="shared" si="70"/>
        <v/>
      </c>
      <c r="B946" s="35" t="str">
        <f>IF(BOM!A946="","",BOM!A946)</f>
        <v/>
      </c>
      <c r="C946" s="35" t="str">
        <f>IF(B946="","",BOM!B946)</f>
        <v/>
      </c>
      <c r="D946" s="35" t="str">
        <f>IF(B946="","",KT_DMTT_ChiTiet!E946)</f>
        <v/>
      </c>
      <c r="E946" s="36" t="str">
        <f>IF(B946="","",BOM!G946&amp;"")</f>
        <v/>
      </c>
      <c r="F946" s="39" t="str">
        <f>IF(B946="","",BOM!E946)</f>
        <v/>
      </c>
      <c r="G946" s="39" t="str">
        <f>IF(OR(B946="",E946="KXDDM"),"",BOM!F946)</f>
        <v/>
      </c>
      <c r="H946" s="39" t="str">
        <f>IF(OR(B946="",E946&lt;&gt;""),"",IFERROR(INDEX(KT_nguoc_theo_NL!$J$5:$J$304,MATCH(C946,KT_nguoc_theo_NL!$B$5:$B$304,0))/INDEX(KT_nguoc_theo_NL!$K$5:$K$304,MATCH(C946,KT_nguoc_theo_NL!$B$5:$B$304,0)),""))</f>
        <v/>
      </c>
      <c r="I946" s="39" t="str">
        <f t="shared" si="71"/>
        <v/>
      </c>
      <c r="J946" s="46" t="str">
        <f t="shared" si="72"/>
        <v/>
      </c>
      <c r="K946" s="46" t="str">
        <f t="shared" si="73"/>
        <v/>
      </c>
      <c r="L946" s="46" t="str">
        <f t="shared" si="74"/>
        <v/>
      </c>
      <c r="M946" s="35" t="str">
        <f>IF(B946="","",IF(E946="KXDDM","KXDDM – không ĐM",IF(E946&lt;&gt;"","Không KT ("&amp;E946&amp;")",IF(OR(K946="",L946=""),"Xem xét",IF(MAX(ABS(K946),ABS(L946))&lt;=ThongTin!$C$12,"OK","Xem xét")))))</f>
        <v/>
      </c>
    </row>
    <row r="947" spans="1:13" x14ac:dyDescent="0.25">
      <c r="A947" s="35" t="str">
        <f t="shared" si="70"/>
        <v/>
      </c>
      <c r="B947" s="35" t="str">
        <f>IF(BOM!A947="","",BOM!A947)</f>
        <v/>
      </c>
      <c r="C947" s="35" t="str">
        <f>IF(B947="","",BOM!B947)</f>
        <v/>
      </c>
      <c r="D947" s="35" t="str">
        <f>IF(B947="","",KT_DMTT_ChiTiet!E947)</f>
        <v/>
      </c>
      <c r="E947" s="36" t="str">
        <f>IF(B947="","",BOM!G947&amp;"")</f>
        <v/>
      </c>
      <c r="F947" s="39" t="str">
        <f>IF(B947="","",BOM!E947)</f>
        <v/>
      </c>
      <c r="G947" s="39" t="str">
        <f>IF(OR(B947="",E947="KXDDM"),"",BOM!F947)</f>
        <v/>
      </c>
      <c r="H947" s="39" t="str">
        <f>IF(OR(B947="",E947&lt;&gt;""),"",IFERROR(INDEX(KT_nguoc_theo_NL!$J$5:$J$304,MATCH(C947,KT_nguoc_theo_NL!$B$5:$B$304,0))/INDEX(KT_nguoc_theo_NL!$K$5:$K$304,MATCH(C947,KT_nguoc_theo_NL!$B$5:$B$304,0)),""))</f>
        <v/>
      </c>
      <c r="I947" s="39" t="str">
        <f t="shared" si="71"/>
        <v/>
      </c>
      <c r="J947" s="46" t="str">
        <f t="shared" si="72"/>
        <v/>
      </c>
      <c r="K947" s="46" t="str">
        <f t="shared" si="73"/>
        <v/>
      </c>
      <c r="L947" s="46" t="str">
        <f t="shared" si="74"/>
        <v/>
      </c>
      <c r="M947" s="35" t="str">
        <f>IF(B947="","",IF(E947="KXDDM","KXDDM – không ĐM",IF(E947&lt;&gt;"","Không KT ("&amp;E947&amp;")",IF(OR(K947="",L947=""),"Xem xét",IF(MAX(ABS(K947),ABS(L947))&lt;=ThongTin!$C$12,"OK","Xem xét")))))</f>
        <v/>
      </c>
    </row>
    <row r="948" spans="1:13" x14ac:dyDescent="0.25">
      <c r="A948" s="35" t="str">
        <f t="shared" si="70"/>
        <v/>
      </c>
      <c r="B948" s="35" t="str">
        <f>IF(BOM!A948="","",BOM!A948)</f>
        <v/>
      </c>
      <c r="C948" s="35" t="str">
        <f>IF(B948="","",BOM!B948)</f>
        <v/>
      </c>
      <c r="D948" s="35" t="str">
        <f>IF(B948="","",KT_DMTT_ChiTiet!E948)</f>
        <v/>
      </c>
      <c r="E948" s="36" t="str">
        <f>IF(B948="","",BOM!G948&amp;"")</f>
        <v/>
      </c>
      <c r="F948" s="39" t="str">
        <f>IF(B948="","",BOM!E948)</f>
        <v/>
      </c>
      <c r="G948" s="39" t="str">
        <f>IF(OR(B948="",E948="KXDDM"),"",BOM!F948)</f>
        <v/>
      </c>
      <c r="H948" s="39" t="str">
        <f>IF(OR(B948="",E948&lt;&gt;""),"",IFERROR(INDEX(KT_nguoc_theo_NL!$J$5:$J$304,MATCH(C948,KT_nguoc_theo_NL!$B$5:$B$304,0))/INDEX(KT_nguoc_theo_NL!$K$5:$K$304,MATCH(C948,KT_nguoc_theo_NL!$B$5:$B$304,0)),""))</f>
        <v/>
      </c>
      <c r="I948" s="39" t="str">
        <f t="shared" si="71"/>
        <v/>
      </c>
      <c r="J948" s="46" t="str">
        <f t="shared" si="72"/>
        <v/>
      </c>
      <c r="K948" s="46" t="str">
        <f t="shared" si="73"/>
        <v/>
      </c>
      <c r="L948" s="46" t="str">
        <f t="shared" si="74"/>
        <v/>
      </c>
      <c r="M948" s="35" t="str">
        <f>IF(B948="","",IF(E948="KXDDM","KXDDM – không ĐM",IF(E948&lt;&gt;"","Không KT ("&amp;E948&amp;")",IF(OR(K948="",L948=""),"Xem xét",IF(MAX(ABS(K948),ABS(L948))&lt;=ThongTin!$C$12,"OK","Xem xét")))))</f>
        <v/>
      </c>
    </row>
    <row r="949" spans="1:13" x14ac:dyDescent="0.25">
      <c r="A949" s="35" t="str">
        <f t="shared" si="70"/>
        <v/>
      </c>
      <c r="B949" s="35" t="str">
        <f>IF(BOM!A949="","",BOM!A949)</f>
        <v/>
      </c>
      <c r="C949" s="35" t="str">
        <f>IF(B949="","",BOM!B949)</f>
        <v/>
      </c>
      <c r="D949" s="35" t="str">
        <f>IF(B949="","",KT_DMTT_ChiTiet!E949)</f>
        <v/>
      </c>
      <c r="E949" s="36" t="str">
        <f>IF(B949="","",BOM!G949&amp;"")</f>
        <v/>
      </c>
      <c r="F949" s="39" t="str">
        <f>IF(B949="","",BOM!E949)</f>
        <v/>
      </c>
      <c r="G949" s="39" t="str">
        <f>IF(OR(B949="",E949="KXDDM"),"",BOM!F949)</f>
        <v/>
      </c>
      <c r="H949" s="39" t="str">
        <f>IF(OR(B949="",E949&lt;&gt;""),"",IFERROR(INDEX(KT_nguoc_theo_NL!$J$5:$J$304,MATCH(C949,KT_nguoc_theo_NL!$B$5:$B$304,0))/INDEX(KT_nguoc_theo_NL!$K$5:$K$304,MATCH(C949,KT_nguoc_theo_NL!$B$5:$B$304,0)),""))</f>
        <v/>
      </c>
      <c r="I949" s="39" t="str">
        <f t="shared" si="71"/>
        <v/>
      </c>
      <c r="J949" s="46" t="str">
        <f t="shared" si="72"/>
        <v/>
      </c>
      <c r="K949" s="46" t="str">
        <f t="shared" si="73"/>
        <v/>
      </c>
      <c r="L949" s="46" t="str">
        <f t="shared" si="74"/>
        <v/>
      </c>
      <c r="M949" s="35" t="str">
        <f>IF(B949="","",IF(E949="KXDDM","KXDDM – không ĐM",IF(E949&lt;&gt;"","Không KT ("&amp;E949&amp;")",IF(OR(K949="",L949=""),"Xem xét",IF(MAX(ABS(K949),ABS(L949))&lt;=ThongTin!$C$12,"OK","Xem xét")))))</f>
        <v/>
      </c>
    </row>
    <row r="950" spans="1:13" x14ac:dyDescent="0.25">
      <c r="A950" s="35" t="str">
        <f t="shared" si="70"/>
        <v/>
      </c>
      <c r="B950" s="35" t="str">
        <f>IF(BOM!A950="","",BOM!A950)</f>
        <v/>
      </c>
      <c r="C950" s="35" t="str">
        <f>IF(B950="","",BOM!B950)</f>
        <v/>
      </c>
      <c r="D950" s="35" t="str">
        <f>IF(B950="","",KT_DMTT_ChiTiet!E950)</f>
        <v/>
      </c>
      <c r="E950" s="36" t="str">
        <f>IF(B950="","",BOM!G950&amp;"")</f>
        <v/>
      </c>
      <c r="F950" s="39" t="str">
        <f>IF(B950="","",BOM!E950)</f>
        <v/>
      </c>
      <c r="G950" s="39" t="str">
        <f>IF(OR(B950="",E950="KXDDM"),"",BOM!F950)</f>
        <v/>
      </c>
      <c r="H950" s="39" t="str">
        <f>IF(OR(B950="",E950&lt;&gt;""),"",IFERROR(INDEX(KT_nguoc_theo_NL!$J$5:$J$304,MATCH(C950,KT_nguoc_theo_NL!$B$5:$B$304,0))/INDEX(KT_nguoc_theo_NL!$K$5:$K$304,MATCH(C950,KT_nguoc_theo_NL!$B$5:$B$304,0)),""))</f>
        <v/>
      </c>
      <c r="I950" s="39" t="str">
        <f t="shared" si="71"/>
        <v/>
      </c>
      <c r="J950" s="46" t="str">
        <f t="shared" si="72"/>
        <v/>
      </c>
      <c r="K950" s="46" t="str">
        <f t="shared" si="73"/>
        <v/>
      </c>
      <c r="L950" s="46" t="str">
        <f t="shared" si="74"/>
        <v/>
      </c>
      <c r="M950" s="35" t="str">
        <f>IF(B950="","",IF(E950="KXDDM","KXDDM – không ĐM",IF(E950&lt;&gt;"","Không KT ("&amp;E950&amp;")",IF(OR(K950="",L950=""),"Xem xét",IF(MAX(ABS(K950),ABS(L950))&lt;=ThongTin!$C$12,"OK","Xem xét")))))</f>
        <v/>
      </c>
    </row>
    <row r="951" spans="1:13" x14ac:dyDescent="0.25">
      <c r="A951" s="35" t="str">
        <f t="shared" si="70"/>
        <v/>
      </c>
      <c r="B951" s="35" t="str">
        <f>IF(BOM!A951="","",BOM!A951)</f>
        <v/>
      </c>
      <c r="C951" s="35" t="str">
        <f>IF(B951="","",BOM!B951)</f>
        <v/>
      </c>
      <c r="D951" s="35" t="str">
        <f>IF(B951="","",KT_DMTT_ChiTiet!E951)</f>
        <v/>
      </c>
      <c r="E951" s="36" t="str">
        <f>IF(B951="","",BOM!G951&amp;"")</f>
        <v/>
      </c>
      <c r="F951" s="39" t="str">
        <f>IF(B951="","",BOM!E951)</f>
        <v/>
      </c>
      <c r="G951" s="39" t="str">
        <f>IF(OR(B951="",E951="KXDDM"),"",BOM!F951)</f>
        <v/>
      </c>
      <c r="H951" s="39" t="str">
        <f>IF(OR(B951="",E951&lt;&gt;""),"",IFERROR(INDEX(KT_nguoc_theo_NL!$J$5:$J$304,MATCH(C951,KT_nguoc_theo_NL!$B$5:$B$304,0))/INDEX(KT_nguoc_theo_NL!$K$5:$K$304,MATCH(C951,KT_nguoc_theo_NL!$B$5:$B$304,0)),""))</f>
        <v/>
      </c>
      <c r="I951" s="39" t="str">
        <f t="shared" si="71"/>
        <v/>
      </c>
      <c r="J951" s="46" t="str">
        <f t="shared" si="72"/>
        <v/>
      </c>
      <c r="K951" s="46" t="str">
        <f t="shared" si="73"/>
        <v/>
      </c>
      <c r="L951" s="46" t="str">
        <f t="shared" si="74"/>
        <v/>
      </c>
      <c r="M951" s="35" t="str">
        <f>IF(B951="","",IF(E951="KXDDM","KXDDM – không ĐM",IF(E951&lt;&gt;"","Không KT ("&amp;E951&amp;")",IF(OR(K951="",L951=""),"Xem xét",IF(MAX(ABS(K951),ABS(L951))&lt;=ThongTin!$C$12,"OK","Xem xét")))))</f>
        <v/>
      </c>
    </row>
    <row r="952" spans="1:13" x14ac:dyDescent="0.25">
      <c r="A952" s="35" t="str">
        <f t="shared" si="70"/>
        <v/>
      </c>
      <c r="B952" s="35" t="str">
        <f>IF(BOM!A952="","",BOM!A952)</f>
        <v/>
      </c>
      <c r="C952" s="35" t="str">
        <f>IF(B952="","",BOM!B952)</f>
        <v/>
      </c>
      <c r="D952" s="35" t="str">
        <f>IF(B952="","",KT_DMTT_ChiTiet!E952)</f>
        <v/>
      </c>
      <c r="E952" s="36" t="str">
        <f>IF(B952="","",BOM!G952&amp;"")</f>
        <v/>
      </c>
      <c r="F952" s="39" t="str">
        <f>IF(B952="","",BOM!E952)</f>
        <v/>
      </c>
      <c r="G952" s="39" t="str">
        <f>IF(OR(B952="",E952="KXDDM"),"",BOM!F952)</f>
        <v/>
      </c>
      <c r="H952" s="39" t="str">
        <f>IF(OR(B952="",E952&lt;&gt;""),"",IFERROR(INDEX(KT_nguoc_theo_NL!$J$5:$J$304,MATCH(C952,KT_nguoc_theo_NL!$B$5:$B$304,0))/INDEX(KT_nguoc_theo_NL!$K$5:$K$304,MATCH(C952,KT_nguoc_theo_NL!$B$5:$B$304,0)),""))</f>
        <v/>
      </c>
      <c r="I952" s="39" t="str">
        <f t="shared" si="71"/>
        <v/>
      </c>
      <c r="J952" s="46" t="str">
        <f t="shared" si="72"/>
        <v/>
      </c>
      <c r="K952" s="46" t="str">
        <f t="shared" si="73"/>
        <v/>
      </c>
      <c r="L952" s="46" t="str">
        <f t="shared" si="74"/>
        <v/>
      </c>
      <c r="M952" s="35" t="str">
        <f>IF(B952="","",IF(E952="KXDDM","KXDDM – không ĐM",IF(E952&lt;&gt;"","Không KT ("&amp;E952&amp;")",IF(OR(K952="",L952=""),"Xem xét",IF(MAX(ABS(K952),ABS(L952))&lt;=ThongTin!$C$12,"OK","Xem xét")))))</f>
        <v/>
      </c>
    </row>
    <row r="953" spans="1:13" x14ac:dyDescent="0.25">
      <c r="A953" s="35" t="str">
        <f t="shared" si="70"/>
        <v/>
      </c>
      <c r="B953" s="35" t="str">
        <f>IF(BOM!A953="","",BOM!A953)</f>
        <v/>
      </c>
      <c r="C953" s="35" t="str">
        <f>IF(B953="","",BOM!B953)</f>
        <v/>
      </c>
      <c r="D953" s="35" t="str">
        <f>IF(B953="","",KT_DMTT_ChiTiet!E953)</f>
        <v/>
      </c>
      <c r="E953" s="36" t="str">
        <f>IF(B953="","",BOM!G953&amp;"")</f>
        <v/>
      </c>
      <c r="F953" s="39" t="str">
        <f>IF(B953="","",BOM!E953)</f>
        <v/>
      </c>
      <c r="G953" s="39" t="str">
        <f>IF(OR(B953="",E953="KXDDM"),"",BOM!F953)</f>
        <v/>
      </c>
      <c r="H953" s="39" t="str">
        <f>IF(OR(B953="",E953&lt;&gt;""),"",IFERROR(INDEX(KT_nguoc_theo_NL!$J$5:$J$304,MATCH(C953,KT_nguoc_theo_NL!$B$5:$B$304,0))/INDEX(KT_nguoc_theo_NL!$K$5:$K$304,MATCH(C953,KT_nguoc_theo_NL!$B$5:$B$304,0)),""))</f>
        <v/>
      </c>
      <c r="I953" s="39" t="str">
        <f t="shared" si="71"/>
        <v/>
      </c>
      <c r="J953" s="46" t="str">
        <f t="shared" si="72"/>
        <v/>
      </c>
      <c r="K953" s="46" t="str">
        <f t="shared" si="73"/>
        <v/>
      </c>
      <c r="L953" s="46" t="str">
        <f t="shared" si="74"/>
        <v/>
      </c>
      <c r="M953" s="35" t="str">
        <f>IF(B953="","",IF(E953="KXDDM","KXDDM – không ĐM",IF(E953&lt;&gt;"","Không KT ("&amp;E953&amp;")",IF(OR(K953="",L953=""),"Xem xét",IF(MAX(ABS(K953),ABS(L953))&lt;=ThongTin!$C$12,"OK","Xem xét")))))</f>
        <v/>
      </c>
    </row>
    <row r="954" spans="1:13" x14ac:dyDescent="0.25">
      <c r="A954" s="35" t="str">
        <f t="shared" si="70"/>
        <v/>
      </c>
      <c r="B954" s="35" t="str">
        <f>IF(BOM!A954="","",BOM!A954)</f>
        <v/>
      </c>
      <c r="C954" s="35" t="str">
        <f>IF(B954="","",BOM!B954)</f>
        <v/>
      </c>
      <c r="D954" s="35" t="str">
        <f>IF(B954="","",KT_DMTT_ChiTiet!E954)</f>
        <v/>
      </c>
      <c r="E954" s="36" t="str">
        <f>IF(B954="","",BOM!G954&amp;"")</f>
        <v/>
      </c>
      <c r="F954" s="39" t="str">
        <f>IF(B954="","",BOM!E954)</f>
        <v/>
      </c>
      <c r="G954" s="39" t="str">
        <f>IF(OR(B954="",E954="KXDDM"),"",BOM!F954)</f>
        <v/>
      </c>
      <c r="H954" s="39" t="str">
        <f>IF(OR(B954="",E954&lt;&gt;""),"",IFERROR(INDEX(KT_nguoc_theo_NL!$J$5:$J$304,MATCH(C954,KT_nguoc_theo_NL!$B$5:$B$304,0))/INDEX(KT_nguoc_theo_NL!$K$5:$K$304,MATCH(C954,KT_nguoc_theo_NL!$B$5:$B$304,0)),""))</f>
        <v/>
      </c>
      <c r="I954" s="39" t="str">
        <f t="shared" si="71"/>
        <v/>
      </c>
      <c r="J954" s="46" t="str">
        <f t="shared" si="72"/>
        <v/>
      </c>
      <c r="K954" s="46" t="str">
        <f t="shared" si="73"/>
        <v/>
      </c>
      <c r="L954" s="46" t="str">
        <f t="shared" si="74"/>
        <v/>
      </c>
      <c r="M954" s="35" t="str">
        <f>IF(B954="","",IF(E954="KXDDM","KXDDM – không ĐM",IF(E954&lt;&gt;"","Không KT ("&amp;E954&amp;")",IF(OR(K954="",L954=""),"Xem xét",IF(MAX(ABS(K954),ABS(L954))&lt;=ThongTin!$C$12,"OK","Xem xét")))))</f>
        <v/>
      </c>
    </row>
    <row r="955" spans="1:13" x14ac:dyDescent="0.25">
      <c r="A955" s="35" t="str">
        <f t="shared" si="70"/>
        <v/>
      </c>
      <c r="B955" s="35" t="str">
        <f>IF(BOM!A955="","",BOM!A955)</f>
        <v/>
      </c>
      <c r="C955" s="35" t="str">
        <f>IF(B955="","",BOM!B955)</f>
        <v/>
      </c>
      <c r="D955" s="35" t="str">
        <f>IF(B955="","",KT_DMTT_ChiTiet!E955)</f>
        <v/>
      </c>
      <c r="E955" s="36" t="str">
        <f>IF(B955="","",BOM!G955&amp;"")</f>
        <v/>
      </c>
      <c r="F955" s="39" t="str">
        <f>IF(B955="","",BOM!E955)</f>
        <v/>
      </c>
      <c r="G955" s="39" t="str">
        <f>IF(OR(B955="",E955="KXDDM"),"",BOM!F955)</f>
        <v/>
      </c>
      <c r="H955" s="39" t="str">
        <f>IF(OR(B955="",E955&lt;&gt;""),"",IFERROR(INDEX(KT_nguoc_theo_NL!$J$5:$J$304,MATCH(C955,KT_nguoc_theo_NL!$B$5:$B$304,0))/INDEX(KT_nguoc_theo_NL!$K$5:$K$304,MATCH(C955,KT_nguoc_theo_NL!$B$5:$B$304,0)),""))</f>
        <v/>
      </c>
      <c r="I955" s="39" t="str">
        <f t="shared" si="71"/>
        <v/>
      </c>
      <c r="J955" s="46" t="str">
        <f t="shared" si="72"/>
        <v/>
      </c>
      <c r="K955" s="46" t="str">
        <f t="shared" si="73"/>
        <v/>
      </c>
      <c r="L955" s="46" t="str">
        <f t="shared" si="74"/>
        <v/>
      </c>
      <c r="M955" s="35" t="str">
        <f>IF(B955="","",IF(E955="KXDDM","KXDDM – không ĐM",IF(E955&lt;&gt;"","Không KT ("&amp;E955&amp;")",IF(OR(K955="",L955=""),"Xem xét",IF(MAX(ABS(K955),ABS(L955))&lt;=ThongTin!$C$12,"OK","Xem xét")))))</f>
        <v/>
      </c>
    </row>
    <row r="956" spans="1:13" x14ac:dyDescent="0.25">
      <c r="A956" s="35" t="str">
        <f t="shared" si="70"/>
        <v/>
      </c>
      <c r="B956" s="35" t="str">
        <f>IF(BOM!A956="","",BOM!A956)</f>
        <v/>
      </c>
      <c r="C956" s="35" t="str">
        <f>IF(B956="","",BOM!B956)</f>
        <v/>
      </c>
      <c r="D956" s="35" t="str">
        <f>IF(B956="","",KT_DMTT_ChiTiet!E956)</f>
        <v/>
      </c>
      <c r="E956" s="36" t="str">
        <f>IF(B956="","",BOM!G956&amp;"")</f>
        <v/>
      </c>
      <c r="F956" s="39" t="str">
        <f>IF(B956="","",BOM!E956)</f>
        <v/>
      </c>
      <c r="G956" s="39" t="str">
        <f>IF(OR(B956="",E956="KXDDM"),"",BOM!F956)</f>
        <v/>
      </c>
      <c r="H956" s="39" t="str">
        <f>IF(OR(B956="",E956&lt;&gt;""),"",IFERROR(INDEX(KT_nguoc_theo_NL!$J$5:$J$304,MATCH(C956,KT_nguoc_theo_NL!$B$5:$B$304,0))/INDEX(KT_nguoc_theo_NL!$K$5:$K$304,MATCH(C956,KT_nguoc_theo_NL!$B$5:$B$304,0)),""))</f>
        <v/>
      </c>
      <c r="I956" s="39" t="str">
        <f t="shared" si="71"/>
        <v/>
      </c>
      <c r="J956" s="46" t="str">
        <f t="shared" si="72"/>
        <v/>
      </c>
      <c r="K956" s="46" t="str">
        <f t="shared" si="73"/>
        <v/>
      </c>
      <c r="L956" s="46" t="str">
        <f t="shared" si="74"/>
        <v/>
      </c>
      <c r="M956" s="35" t="str">
        <f>IF(B956="","",IF(E956="KXDDM","KXDDM – không ĐM",IF(E956&lt;&gt;"","Không KT ("&amp;E956&amp;")",IF(OR(K956="",L956=""),"Xem xét",IF(MAX(ABS(K956),ABS(L956))&lt;=ThongTin!$C$12,"OK","Xem xét")))))</f>
        <v/>
      </c>
    </row>
    <row r="957" spans="1:13" x14ac:dyDescent="0.25">
      <c r="A957" s="35" t="str">
        <f t="shared" si="70"/>
        <v/>
      </c>
      <c r="B957" s="35" t="str">
        <f>IF(BOM!A957="","",BOM!A957)</f>
        <v/>
      </c>
      <c r="C957" s="35" t="str">
        <f>IF(B957="","",BOM!B957)</f>
        <v/>
      </c>
      <c r="D957" s="35" t="str">
        <f>IF(B957="","",KT_DMTT_ChiTiet!E957)</f>
        <v/>
      </c>
      <c r="E957" s="36" t="str">
        <f>IF(B957="","",BOM!G957&amp;"")</f>
        <v/>
      </c>
      <c r="F957" s="39" t="str">
        <f>IF(B957="","",BOM!E957)</f>
        <v/>
      </c>
      <c r="G957" s="39" t="str">
        <f>IF(OR(B957="",E957="KXDDM"),"",BOM!F957)</f>
        <v/>
      </c>
      <c r="H957" s="39" t="str">
        <f>IF(OR(B957="",E957&lt;&gt;""),"",IFERROR(INDEX(KT_nguoc_theo_NL!$J$5:$J$304,MATCH(C957,KT_nguoc_theo_NL!$B$5:$B$304,0))/INDEX(KT_nguoc_theo_NL!$K$5:$K$304,MATCH(C957,KT_nguoc_theo_NL!$B$5:$B$304,0)),""))</f>
        <v/>
      </c>
      <c r="I957" s="39" t="str">
        <f t="shared" si="71"/>
        <v/>
      </c>
      <c r="J957" s="46" t="str">
        <f t="shared" si="72"/>
        <v/>
      </c>
      <c r="K957" s="46" t="str">
        <f t="shared" si="73"/>
        <v/>
      </c>
      <c r="L957" s="46" t="str">
        <f t="shared" si="74"/>
        <v/>
      </c>
      <c r="M957" s="35" t="str">
        <f>IF(B957="","",IF(E957="KXDDM","KXDDM – không ĐM",IF(E957&lt;&gt;"","Không KT ("&amp;E957&amp;")",IF(OR(K957="",L957=""),"Xem xét",IF(MAX(ABS(K957),ABS(L957))&lt;=ThongTin!$C$12,"OK","Xem xét")))))</f>
        <v/>
      </c>
    </row>
    <row r="958" spans="1:13" x14ac:dyDescent="0.25">
      <c r="A958" s="35" t="str">
        <f t="shared" si="70"/>
        <v/>
      </c>
      <c r="B958" s="35" t="str">
        <f>IF(BOM!A958="","",BOM!A958)</f>
        <v/>
      </c>
      <c r="C958" s="35" t="str">
        <f>IF(B958="","",BOM!B958)</f>
        <v/>
      </c>
      <c r="D958" s="35" t="str">
        <f>IF(B958="","",KT_DMTT_ChiTiet!E958)</f>
        <v/>
      </c>
      <c r="E958" s="36" t="str">
        <f>IF(B958="","",BOM!G958&amp;"")</f>
        <v/>
      </c>
      <c r="F958" s="39" t="str">
        <f>IF(B958="","",BOM!E958)</f>
        <v/>
      </c>
      <c r="G958" s="39" t="str">
        <f>IF(OR(B958="",E958="KXDDM"),"",BOM!F958)</f>
        <v/>
      </c>
      <c r="H958" s="39" t="str">
        <f>IF(OR(B958="",E958&lt;&gt;""),"",IFERROR(INDEX(KT_nguoc_theo_NL!$J$5:$J$304,MATCH(C958,KT_nguoc_theo_NL!$B$5:$B$304,0))/INDEX(KT_nguoc_theo_NL!$K$5:$K$304,MATCH(C958,KT_nguoc_theo_NL!$B$5:$B$304,0)),""))</f>
        <v/>
      </c>
      <c r="I958" s="39" t="str">
        <f t="shared" si="71"/>
        <v/>
      </c>
      <c r="J958" s="46" t="str">
        <f t="shared" si="72"/>
        <v/>
      </c>
      <c r="K958" s="46" t="str">
        <f t="shared" si="73"/>
        <v/>
      </c>
      <c r="L958" s="46" t="str">
        <f t="shared" si="74"/>
        <v/>
      </c>
      <c r="M958" s="35" t="str">
        <f>IF(B958="","",IF(E958="KXDDM","KXDDM – không ĐM",IF(E958&lt;&gt;"","Không KT ("&amp;E958&amp;")",IF(OR(K958="",L958=""),"Xem xét",IF(MAX(ABS(K958),ABS(L958))&lt;=ThongTin!$C$12,"OK","Xem xét")))))</f>
        <v/>
      </c>
    </row>
    <row r="959" spans="1:13" x14ac:dyDescent="0.25">
      <c r="A959" s="35" t="str">
        <f t="shared" si="70"/>
        <v/>
      </c>
      <c r="B959" s="35" t="str">
        <f>IF(BOM!A959="","",BOM!A959)</f>
        <v/>
      </c>
      <c r="C959" s="35" t="str">
        <f>IF(B959="","",BOM!B959)</f>
        <v/>
      </c>
      <c r="D959" s="35" t="str">
        <f>IF(B959="","",KT_DMTT_ChiTiet!E959)</f>
        <v/>
      </c>
      <c r="E959" s="36" t="str">
        <f>IF(B959="","",BOM!G959&amp;"")</f>
        <v/>
      </c>
      <c r="F959" s="39" t="str">
        <f>IF(B959="","",BOM!E959)</f>
        <v/>
      </c>
      <c r="G959" s="39" t="str">
        <f>IF(OR(B959="",E959="KXDDM"),"",BOM!F959)</f>
        <v/>
      </c>
      <c r="H959" s="39" t="str">
        <f>IF(OR(B959="",E959&lt;&gt;""),"",IFERROR(INDEX(KT_nguoc_theo_NL!$J$5:$J$304,MATCH(C959,KT_nguoc_theo_NL!$B$5:$B$304,0))/INDEX(KT_nguoc_theo_NL!$K$5:$K$304,MATCH(C959,KT_nguoc_theo_NL!$B$5:$B$304,0)),""))</f>
        <v/>
      </c>
      <c r="I959" s="39" t="str">
        <f t="shared" si="71"/>
        <v/>
      </c>
      <c r="J959" s="46" t="str">
        <f t="shared" si="72"/>
        <v/>
      </c>
      <c r="K959" s="46" t="str">
        <f t="shared" si="73"/>
        <v/>
      </c>
      <c r="L959" s="46" t="str">
        <f t="shared" si="74"/>
        <v/>
      </c>
      <c r="M959" s="35" t="str">
        <f>IF(B959="","",IF(E959="KXDDM","KXDDM – không ĐM",IF(E959&lt;&gt;"","Không KT ("&amp;E959&amp;")",IF(OR(K959="",L959=""),"Xem xét",IF(MAX(ABS(K959),ABS(L959))&lt;=ThongTin!$C$12,"OK","Xem xét")))))</f>
        <v/>
      </c>
    </row>
    <row r="960" spans="1:13" x14ac:dyDescent="0.25">
      <c r="A960" s="35" t="str">
        <f t="shared" si="70"/>
        <v/>
      </c>
      <c r="B960" s="35" t="str">
        <f>IF(BOM!A960="","",BOM!A960)</f>
        <v/>
      </c>
      <c r="C960" s="35" t="str">
        <f>IF(B960="","",BOM!B960)</f>
        <v/>
      </c>
      <c r="D960" s="35" t="str">
        <f>IF(B960="","",KT_DMTT_ChiTiet!E960)</f>
        <v/>
      </c>
      <c r="E960" s="36" t="str">
        <f>IF(B960="","",BOM!G960&amp;"")</f>
        <v/>
      </c>
      <c r="F960" s="39" t="str">
        <f>IF(B960="","",BOM!E960)</f>
        <v/>
      </c>
      <c r="G960" s="39" t="str">
        <f>IF(OR(B960="",E960="KXDDM"),"",BOM!F960)</f>
        <v/>
      </c>
      <c r="H960" s="39" t="str">
        <f>IF(OR(B960="",E960&lt;&gt;""),"",IFERROR(INDEX(KT_nguoc_theo_NL!$J$5:$J$304,MATCH(C960,KT_nguoc_theo_NL!$B$5:$B$304,0))/INDEX(KT_nguoc_theo_NL!$K$5:$K$304,MATCH(C960,KT_nguoc_theo_NL!$B$5:$B$304,0)),""))</f>
        <v/>
      </c>
      <c r="I960" s="39" t="str">
        <f t="shared" si="71"/>
        <v/>
      </c>
      <c r="J960" s="46" t="str">
        <f t="shared" si="72"/>
        <v/>
      </c>
      <c r="K960" s="46" t="str">
        <f t="shared" si="73"/>
        <v/>
      </c>
      <c r="L960" s="46" t="str">
        <f t="shared" si="74"/>
        <v/>
      </c>
      <c r="M960" s="35" t="str">
        <f>IF(B960="","",IF(E960="KXDDM","KXDDM – không ĐM",IF(E960&lt;&gt;"","Không KT ("&amp;E960&amp;")",IF(OR(K960="",L960=""),"Xem xét",IF(MAX(ABS(K960),ABS(L960))&lt;=ThongTin!$C$12,"OK","Xem xét")))))</f>
        <v/>
      </c>
    </row>
    <row r="961" spans="1:13" x14ac:dyDescent="0.25">
      <c r="A961" s="35" t="str">
        <f t="shared" si="70"/>
        <v/>
      </c>
      <c r="B961" s="35" t="str">
        <f>IF(BOM!A961="","",BOM!A961)</f>
        <v/>
      </c>
      <c r="C961" s="35" t="str">
        <f>IF(B961="","",BOM!B961)</f>
        <v/>
      </c>
      <c r="D961" s="35" t="str">
        <f>IF(B961="","",KT_DMTT_ChiTiet!E961)</f>
        <v/>
      </c>
      <c r="E961" s="36" t="str">
        <f>IF(B961="","",BOM!G961&amp;"")</f>
        <v/>
      </c>
      <c r="F961" s="39" t="str">
        <f>IF(B961="","",BOM!E961)</f>
        <v/>
      </c>
      <c r="G961" s="39" t="str">
        <f>IF(OR(B961="",E961="KXDDM"),"",BOM!F961)</f>
        <v/>
      </c>
      <c r="H961" s="39" t="str">
        <f>IF(OR(B961="",E961&lt;&gt;""),"",IFERROR(INDEX(KT_nguoc_theo_NL!$J$5:$J$304,MATCH(C961,KT_nguoc_theo_NL!$B$5:$B$304,0))/INDEX(KT_nguoc_theo_NL!$K$5:$K$304,MATCH(C961,KT_nguoc_theo_NL!$B$5:$B$304,0)),""))</f>
        <v/>
      </c>
      <c r="I961" s="39" t="str">
        <f t="shared" si="71"/>
        <v/>
      </c>
      <c r="J961" s="46" t="str">
        <f t="shared" si="72"/>
        <v/>
      </c>
      <c r="K961" s="46" t="str">
        <f t="shared" si="73"/>
        <v/>
      </c>
      <c r="L961" s="46" t="str">
        <f t="shared" si="74"/>
        <v/>
      </c>
      <c r="M961" s="35" t="str">
        <f>IF(B961="","",IF(E961="KXDDM","KXDDM – không ĐM",IF(E961&lt;&gt;"","Không KT ("&amp;E961&amp;")",IF(OR(K961="",L961=""),"Xem xét",IF(MAX(ABS(K961),ABS(L961))&lt;=ThongTin!$C$12,"OK","Xem xét")))))</f>
        <v/>
      </c>
    </row>
    <row r="962" spans="1:13" x14ac:dyDescent="0.25">
      <c r="A962" s="35" t="str">
        <f t="shared" si="70"/>
        <v/>
      </c>
      <c r="B962" s="35" t="str">
        <f>IF(BOM!A962="","",BOM!A962)</f>
        <v/>
      </c>
      <c r="C962" s="35" t="str">
        <f>IF(B962="","",BOM!B962)</f>
        <v/>
      </c>
      <c r="D962" s="35" t="str">
        <f>IF(B962="","",KT_DMTT_ChiTiet!E962)</f>
        <v/>
      </c>
      <c r="E962" s="36" t="str">
        <f>IF(B962="","",BOM!G962&amp;"")</f>
        <v/>
      </c>
      <c r="F962" s="39" t="str">
        <f>IF(B962="","",BOM!E962)</f>
        <v/>
      </c>
      <c r="G962" s="39" t="str">
        <f>IF(OR(B962="",E962="KXDDM"),"",BOM!F962)</f>
        <v/>
      </c>
      <c r="H962" s="39" t="str">
        <f>IF(OR(B962="",E962&lt;&gt;""),"",IFERROR(INDEX(KT_nguoc_theo_NL!$J$5:$J$304,MATCH(C962,KT_nguoc_theo_NL!$B$5:$B$304,0))/INDEX(KT_nguoc_theo_NL!$K$5:$K$304,MATCH(C962,KT_nguoc_theo_NL!$B$5:$B$304,0)),""))</f>
        <v/>
      </c>
      <c r="I962" s="39" t="str">
        <f t="shared" si="71"/>
        <v/>
      </c>
      <c r="J962" s="46" t="str">
        <f t="shared" si="72"/>
        <v/>
      </c>
      <c r="K962" s="46" t="str">
        <f t="shared" si="73"/>
        <v/>
      </c>
      <c r="L962" s="46" t="str">
        <f t="shared" si="74"/>
        <v/>
      </c>
      <c r="M962" s="35" t="str">
        <f>IF(B962="","",IF(E962="KXDDM","KXDDM – không ĐM",IF(E962&lt;&gt;"","Không KT ("&amp;E962&amp;")",IF(OR(K962="",L962=""),"Xem xét",IF(MAX(ABS(K962),ABS(L962))&lt;=ThongTin!$C$12,"OK","Xem xét")))))</f>
        <v/>
      </c>
    </row>
    <row r="963" spans="1:13" x14ac:dyDescent="0.25">
      <c r="A963" s="35" t="str">
        <f t="shared" si="70"/>
        <v/>
      </c>
      <c r="B963" s="35" t="str">
        <f>IF(BOM!A963="","",BOM!A963)</f>
        <v/>
      </c>
      <c r="C963" s="35" t="str">
        <f>IF(B963="","",BOM!B963)</f>
        <v/>
      </c>
      <c r="D963" s="35" t="str">
        <f>IF(B963="","",KT_DMTT_ChiTiet!E963)</f>
        <v/>
      </c>
      <c r="E963" s="36" t="str">
        <f>IF(B963="","",BOM!G963&amp;"")</f>
        <v/>
      </c>
      <c r="F963" s="39" t="str">
        <f>IF(B963="","",BOM!E963)</f>
        <v/>
      </c>
      <c r="G963" s="39" t="str">
        <f>IF(OR(B963="",E963="KXDDM"),"",BOM!F963)</f>
        <v/>
      </c>
      <c r="H963" s="39" t="str">
        <f>IF(OR(B963="",E963&lt;&gt;""),"",IFERROR(INDEX(KT_nguoc_theo_NL!$J$5:$J$304,MATCH(C963,KT_nguoc_theo_NL!$B$5:$B$304,0))/INDEX(KT_nguoc_theo_NL!$K$5:$K$304,MATCH(C963,KT_nguoc_theo_NL!$B$5:$B$304,0)),""))</f>
        <v/>
      </c>
      <c r="I963" s="39" t="str">
        <f t="shared" si="71"/>
        <v/>
      </c>
      <c r="J963" s="46" t="str">
        <f t="shared" si="72"/>
        <v/>
      </c>
      <c r="K963" s="46" t="str">
        <f t="shared" si="73"/>
        <v/>
      </c>
      <c r="L963" s="46" t="str">
        <f t="shared" si="74"/>
        <v/>
      </c>
      <c r="M963" s="35" t="str">
        <f>IF(B963="","",IF(E963="KXDDM","KXDDM – không ĐM",IF(E963&lt;&gt;"","Không KT ("&amp;E963&amp;")",IF(OR(K963="",L963=""),"Xem xét",IF(MAX(ABS(K963),ABS(L963))&lt;=ThongTin!$C$12,"OK","Xem xét")))))</f>
        <v/>
      </c>
    </row>
    <row r="964" spans="1:13" x14ac:dyDescent="0.25">
      <c r="A964" s="35" t="str">
        <f t="shared" si="70"/>
        <v/>
      </c>
      <c r="B964" s="35" t="str">
        <f>IF(BOM!A964="","",BOM!A964)</f>
        <v/>
      </c>
      <c r="C964" s="35" t="str">
        <f>IF(B964="","",BOM!B964)</f>
        <v/>
      </c>
      <c r="D964" s="35" t="str">
        <f>IF(B964="","",KT_DMTT_ChiTiet!E964)</f>
        <v/>
      </c>
      <c r="E964" s="36" t="str">
        <f>IF(B964="","",BOM!G964&amp;"")</f>
        <v/>
      </c>
      <c r="F964" s="39" t="str">
        <f>IF(B964="","",BOM!E964)</f>
        <v/>
      </c>
      <c r="G964" s="39" t="str">
        <f>IF(OR(B964="",E964="KXDDM"),"",BOM!F964)</f>
        <v/>
      </c>
      <c r="H964" s="39" t="str">
        <f>IF(OR(B964="",E964&lt;&gt;""),"",IFERROR(INDEX(KT_nguoc_theo_NL!$J$5:$J$304,MATCH(C964,KT_nguoc_theo_NL!$B$5:$B$304,0))/INDEX(KT_nguoc_theo_NL!$K$5:$K$304,MATCH(C964,KT_nguoc_theo_NL!$B$5:$B$304,0)),""))</f>
        <v/>
      </c>
      <c r="I964" s="39" t="str">
        <f t="shared" si="71"/>
        <v/>
      </c>
      <c r="J964" s="46" t="str">
        <f t="shared" si="72"/>
        <v/>
      </c>
      <c r="K964" s="46" t="str">
        <f t="shared" si="73"/>
        <v/>
      </c>
      <c r="L964" s="46" t="str">
        <f t="shared" si="74"/>
        <v/>
      </c>
      <c r="M964" s="35" t="str">
        <f>IF(B964="","",IF(E964="KXDDM","KXDDM – không ĐM",IF(E964&lt;&gt;"","Không KT ("&amp;E964&amp;")",IF(OR(K964="",L964=""),"Xem xét",IF(MAX(ABS(K964),ABS(L964))&lt;=ThongTin!$C$12,"OK","Xem xét")))))</f>
        <v/>
      </c>
    </row>
    <row r="965" spans="1:13" x14ac:dyDescent="0.25">
      <c r="A965" s="35" t="str">
        <f t="shared" ref="A965:A1028" si="75">IF(B965="","",ROW()-4)</f>
        <v/>
      </c>
      <c r="B965" s="35" t="str">
        <f>IF(BOM!A965="","",BOM!A965)</f>
        <v/>
      </c>
      <c r="C965" s="35" t="str">
        <f>IF(B965="","",BOM!B965)</f>
        <v/>
      </c>
      <c r="D965" s="35" t="str">
        <f>IF(B965="","",KT_DMTT_ChiTiet!E965)</f>
        <v/>
      </c>
      <c r="E965" s="36" t="str">
        <f>IF(B965="","",BOM!G965&amp;"")</f>
        <v/>
      </c>
      <c r="F965" s="39" t="str">
        <f>IF(B965="","",BOM!E965)</f>
        <v/>
      </c>
      <c r="G965" s="39" t="str">
        <f>IF(OR(B965="",E965="KXDDM"),"",BOM!F965)</f>
        <v/>
      </c>
      <c r="H965" s="39" t="str">
        <f>IF(OR(B965="",E965&lt;&gt;""),"",IFERROR(INDEX(KT_nguoc_theo_NL!$J$5:$J$304,MATCH(C965,KT_nguoc_theo_NL!$B$5:$B$304,0))/INDEX(KT_nguoc_theo_NL!$K$5:$K$304,MATCH(C965,KT_nguoc_theo_NL!$B$5:$B$304,0)),""))</f>
        <v/>
      </c>
      <c r="I965" s="39" t="str">
        <f t="shared" ref="I965:I1028" si="76">IF(OR(H965="",G965=""),"",G965*H965)</f>
        <v/>
      </c>
      <c r="J965" s="46" t="str">
        <f t="shared" ref="J965:J1028" si="77">IF(OR(I965="",I965=0),"",(G965-I965)/I965)</f>
        <v/>
      </c>
      <c r="K965" s="46" t="str">
        <f t="shared" ref="K965:K1004" si="78">IF(OR(G965="",F965="",F965=0),"",(G965-F965)/F965)</f>
        <v/>
      </c>
      <c r="L965" s="46" t="str">
        <f t="shared" ref="L965:L1004" si="79">IF(OR(I965="",F965="",F965=0),"",(I965-F965)/F965)</f>
        <v/>
      </c>
      <c r="M965" s="35" t="str">
        <f>IF(B965="","",IF(E965="KXDDM","KXDDM – không ĐM",IF(E965&lt;&gt;"","Không KT ("&amp;E965&amp;")",IF(OR(K965="",L965=""),"Xem xét",IF(MAX(ABS(K965),ABS(L965))&lt;=ThongTin!$C$12,"OK","Xem xét")))))</f>
        <v/>
      </c>
    </row>
    <row r="966" spans="1:13" x14ac:dyDescent="0.25">
      <c r="A966" s="35" t="str">
        <f t="shared" si="75"/>
        <v/>
      </c>
      <c r="B966" s="35" t="str">
        <f>IF(BOM!A966="","",BOM!A966)</f>
        <v/>
      </c>
      <c r="C966" s="35" t="str">
        <f>IF(B966="","",BOM!B966)</f>
        <v/>
      </c>
      <c r="D966" s="35" t="str">
        <f>IF(B966="","",KT_DMTT_ChiTiet!E966)</f>
        <v/>
      </c>
      <c r="E966" s="36" t="str">
        <f>IF(B966="","",BOM!G966&amp;"")</f>
        <v/>
      </c>
      <c r="F966" s="39" t="str">
        <f>IF(B966="","",BOM!E966)</f>
        <v/>
      </c>
      <c r="G966" s="39" t="str">
        <f>IF(OR(B966="",E966="KXDDM"),"",BOM!F966)</f>
        <v/>
      </c>
      <c r="H966" s="39" t="str">
        <f>IF(OR(B966="",E966&lt;&gt;""),"",IFERROR(INDEX(KT_nguoc_theo_NL!$J$5:$J$304,MATCH(C966,KT_nguoc_theo_NL!$B$5:$B$304,0))/INDEX(KT_nguoc_theo_NL!$K$5:$K$304,MATCH(C966,KT_nguoc_theo_NL!$B$5:$B$304,0)),""))</f>
        <v/>
      </c>
      <c r="I966" s="39" t="str">
        <f t="shared" si="76"/>
        <v/>
      </c>
      <c r="J966" s="46" t="str">
        <f t="shared" si="77"/>
        <v/>
      </c>
      <c r="K966" s="46" t="str">
        <f t="shared" si="78"/>
        <v/>
      </c>
      <c r="L966" s="46" t="str">
        <f t="shared" si="79"/>
        <v/>
      </c>
      <c r="M966" s="35" t="str">
        <f>IF(B966="","",IF(E966="KXDDM","KXDDM – không ĐM",IF(E966&lt;&gt;"","Không KT ("&amp;E966&amp;")",IF(OR(K966="",L966=""),"Xem xét",IF(MAX(ABS(K966),ABS(L966))&lt;=ThongTin!$C$12,"OK","Xem xét")))))</f>
        <v/>
      </c>
    </row>
    <row r="967" spans="1:13" x14ac:dyDescent="0.25">
      <c r="A967" s="35" t="str">
        <f t="shared" si="75"/>
        <v/>
      </c>
      <c r="B967" s="35" t="str">
        <f>IF(BOM!A967="","",BOM!A967)</f>
        <v/>
      </c>
      <c r="C967" s="35" t="str">
        <f>IF(B967="","",BOM!B967)</f>
        <v/>
      </c>
      <c r="D967" s="35" t="str">
        <f>IF(B967="","",KT_DMTT_ChiTiet!E967)</f>
        <v/>
      </c>
      <c r="E967" s="36" t="str">
        <f>IF(B967="","",BOM!G967&amp;"")</f>
        <v/>
      </c>
      <c r="F967" s="39" t="str">
        <f>IF(B967="","",BOM!E967)</f>
        <v/>
      </c>
      <c r="G967" s="39" t="str">
        <f>IF(OR(B967="",E967="KXDDM"),"",BOM!F967)</f>
        <v/>
      </c>
      <c r="H967" s="39" t="str">
        <f>IF(OR(B967="",E967&lt;&gt;""),"",IFERROR(INDEX(KT_nguoc_theo_NL!$J$5:$J$304,MATCH(C967,KT_nguoc_theo_NL!$B$5:$B$304,0))/INDEX(KT_nguoc_theo_NL!$K$5:$K$304,MATCH(C967,KT_nguoc_theo_NL!$B$5:$B$304,0)),""))</f>
        <v/>
      </c>
      <c r="I967" s="39" t="str">
        <f t="shared" si="76"/>
        <v/>
      </c>
      <c r="J967" s="46" t="str">
        <f t="shared" si="77"/>
        <v/>
      </c>
      <c r="K967" s="46" t="str">
        <f t="shared" si="78"/>
        <v/>
      </c>
      <c r="L967" s="46" t="str">
        <f t="shared" si="79"/>
        <v/>
      </c>
      <c r="M967" s="35" t="str">
        <f>IF(B967="","",IF(E967="KXDDM","KXDDM – không ĐM",IF(E967&lt;&gt;"","Không KT ("&amp;E967&amp;")",IF(OR(K967="",L967=""),"Xem xét",IF(MAX(ABS(K967),ABS(L967))&lt;=ThongTin!$C$12,"OK","Xem xét")))))</f>
        <v/>
      </c>
    </row>
    <row r="968" spans="1:13" x14ac:dyDescent="0.25">
      <c r="A968" s="35" t="str">
        <f t="shared" si="75"/>
        <v/>
      </c>
      <c r="B968" s="35" t="str">
        <f>IF(BOM!A968="","",BOM!A968)</f>
        <v/>
      </c>
      <c r="C968" s="35" t="str">
        <f>IF(B968="","",BOM!B968)</f>
        <v/>
      </c>
      <c r="D968" s="35" t="str">
        <f>IF(B968="","",KT_DMTT_ChiTiet!E968)</f>
        <v/>
      </c>
      <c r="E968" s="36" t="str">
        <f>IF(B968="","",BOM!G968&amp;"")</f>
        <v/>
      </c>
      <c r="F968" s="39" t="str">
        <f>IF(B968="","",BOM!E968)</f>
        <v/>
      </c>
      <c r="G968" s="39" t="str">
        <f>IF(OR(B968="",E968="KXDDM"),"",BOM!F968)</f>
        <v/>
      </c>
      <c r="H968" s="39" t="str">
        <f>IF(OR(B968="",E968&lt;&gt;""),"",IFERROR(INDEX(KT_nguoc_theo_NL!$J$5:$J$304,MATCH(C968,KT_nguoc_theo_NL!$B$5:$B$304,0))/INDEX(KT_nguoc_theo_NL!$K$5:$K$304,MATCH(C968,KT_nguoc_theo_NL!$B$5:$B$304,0)),""))</f>
        <v/>
      </c>
      <c r="I968" s="39" t="str">
        <f t="shared" si="76"/>
        <v/>
      </c>
      <c r="J968" s="46" t="str">
        <f t="shared" si="77"/>
        <v/>
      </c>
      <c r="K968" s="46" t="str">
        <f t="shared" si="78"/>
        <v/>
      </c>
      <c r="L968" s="46" t="str">
        <f t="shared" si="79"/>
        <v/>
      </c>
      <c r="M968" s="35" t="str">
        <f>IF(B968="","",IF(E968="KXDDM","KXDDM – không ĐM",IF(E968&lt;&gt;"","Không KT ("&amp;E968&amp;")",IF(OR(K968="",L968=""),"Xem xét",IF(MAX(ABS(K968),ABS(L968))&lt;=ThongTin!$C$12,"OK","Xem xét")))))</f>
        <v/>
      </c>
    </row>
    <row r="969" spans="1:13" x14ac:dyDescent="0.25">
      <c r="A969" s="35" t="str">
        <f t="shared" si="75"/>
        <v/>
      </c>
      <c r="B969" s="35" t="str">
        <f>IF(BOM!A969="","",BOM!A969)</f>
        <v/>
      </c>
      <c r="C969" s="35" t="str">
        <f>IF(B969="","",BOM!B969)</f>
        <v/>
      </c>
      <c r="D969" s="35" t="str">
        <f>IF(B969="","",KT_DMTT_ChiTiet!E969)</f>
        <v/>
      </c>
      <c r="E969" s="36" t="str">
        <f>IF(B969="","",BOM!G969&amp;"")</f>
        <v/>
      </c>
      <c r="F969" s="39" t="str">
        <f>IF(B969="","",BOM!E969)</f>
        <v/>
      </c>
      <c r="G969" s="39" t="str">
        <f>IF(OR(B969="",E969="KXDDM"),"",BOM!F969)</f>
        <v/>
      </c>
      <c r="H969" s="39" t="str">
        <f>IF(OR(B969="",E969&lt;&gt;""),"",IFERROR(INDEX(KT_nguoc_theo_NL!$J$5:$J$304,MATCH(C969,KT_nguoc_theo_NL!$B$5:$B$304,0))/INDEX(KT_nguoc_theo_NL!$K$5:$K$304,MATCH(C969,KT_nguoc_theo_NL!$B$5:$B$304,0)),""))</f>
        <v/>
      </c>
      <c r="I969" s="39" t="str">
        <f t="shared" si="76"/>
        <v/>
      </c>
      <c r="J969" s="46" t="str">
        <f t="shared" si="77"/>
        <v/>
      </c>
      <c r="K969" s="46" t="str">
        <f t="shared" si="78"/>
        <v/>
      </c>
      <c r="L969" s="46" t="str">
        <f t="shared" si="79"/>
        <v/>
      </c>
      <c r="M969" s="35" t="str">
        <f>IF(B969="","",IF(E969="KXDDM","KXDDM – không ĐM",IF(E969&lt;&gt;"","Không KT ("&amp;E969&amp;")",IF(OR(K969="",L969=""),"Xem xét",IF(MAX(ABS(K969),ABS(L969))&lt;=ThongTin!$C$12,"OK","Xem xét")))))</f>
        <v/>
      </c>
    </row>
    <row r="970" spans="1:13" x14ac:dyDescent="0.25">
      <c r="A970" s="35" t="str">
        <f t="shared" si="75"/>
        <v/>
      </c>
      <c r="B970" s="35" t="str">
        <f>IF(BOM!A970="","",BOM!A970)</f>
        <v/>
      </c>
      <c r="C970" s="35" t="str">
        <f>IF(B970="","",BOM!B970)</f>
        <v/>
      </c>
      <c r="D970" s="35" t="str">
        <f>IF(B970="","",KT_DMTT_ChiTiet!E970)</f>
        <v/>
      </c>
      <c r="E970" s="36" t="str">
        <f>IF(B970="","",BOM!G970&amp;"")</f>
        <v/>
      </c>
      <c r="F970" s="39" t="str">
        <f>IF(B970="","",BOM!E970)</f>
        <v/>
      </c>
      <c r="G970" s="39" t="str">
        <f>IF(OR(B970="",E970="KXDDM"),"",BOM!F970)</f>
        <v/>
      </c>
      <c r="H970" s="39" t="str">
        <f>IF(OR(B970="",E970&lt;&gt;""),"",IFERROR(INDEX(KT_nguoc_theo_NL!$J$5:$J$304,MATCH(C970,KT_nguoc_theo_NL!$B$5:$B$304,0))/INDEX(KT_nguoc_theo_NL!$K$5:$K$304,MATCH(C970,KT_nguoc_theo_NL!$B$5:$B$304,0)),""))</f>
        <v/>
      </c>
      <c r="I970" s="39" t="str">
        <f t="shared" si="76"/>
        <v/>
      </c>
      <c r="J970" s="46" t="str">
        <f t="shared" si="77"/>
        <v/>
      </c>
      <c r="K970" s="46" t="str">
        <f t="shared" si="78"/>
        <v/>
      </c>
      <c r="L970" s="46" t="str">
        <f t="shared" si="79"/>
        <v/>
      </c>
      <c r="M970" s="35" t="str">
        <f>IF(B970="","",IF(E970="KXDDM","KXDDM – không ĐM",IF(E970&lt;&gt;"","Không KT ("&amp;E970&amp;")",IF(OR(K970="",L970=""),"Xem xét",IF(MAX(ABS(K970),ABS(L970))&lt;=ThongTin!$C$12,"OK","Xem xét")))))</f>
        <v/>
      </c>
    </row>
    <row r="971" spans="1:13" x14ac:dyDescent="0.25">
      <c r="A971" s="35" t="str">
        <f t="shared" si="75"/>
        <v/>
      </c>
      <c r="B971" s="35" t="str">
        <f>IF(BOM!A971="","",BOM!A971)</f>
        <v/>
      </c>
      <c r="C971" s="35" t="str">
        <f>IF(B971="","",BOM!B971)</f>
        <v/>
      </c>
      <c r="D971" s="35" t="str">
        <f>IF(B971="","",KT_DMTT_ChiTiet!E971)</f>
        <v/>
      </c>
      <c r="E971" s="36" t="str">
        <f>IF(B971="","",BOM!G971&amp;"")</f>
        <v/>
      </c>
      <c r="F971" s="39" t="str">
        <f>IF(B971="","",BOM!E971)</f>
        <v/>
      </c>
      <c r="G971" s="39" t="str">
        <f>IF(OR(B971="",E971="KXDDM"),"",BOM!F971)</f>
        <v/>
      </c>
      <c r="H971" s="39" t="str">
        <f>IF(OR(B971="",E971&lt;&gt;""),"",IFERROR(INDEX(KT_nguoc_theo_NL!$J$5:$J$304,MATCH(C971,KT_nguoc_theo_NL!$B$5:$B$304,0))/INDEX(KT_nguoc_theo_NL!$K$5:$K$304,MATCH(C971,KT_nguoc_theo_NL!$B$5:$B$304,0)),""))</f>
        <v/>
      </c>
      <c r="I971" s="39" t="str">
        <f t="shared" si="76"/>
        <v/>
      </c>
      <c r="J971" s="46" t="str">
        <f t="shared" si="77"/>
        <v/>
      </c>
      <c r="K971" s="46" t="str">
        <f t="shared" si="78"/>
        <v/>
      </c>
      <c r="L971" s="46" t="str">
        <f t="shared" si="79"/>
        <v/>
      </c>
      <c r="M971" s="35" t="str">
        <f>IF(B971="","",IF(E971="KXDDM","KXDDM – không ĐM",IF(E971&lt;&gt;"","Không KT ("&amp;E971&amp;")",IF(OR(K971="",L971=""),"Xem xét",IF(MAX(ABS(K971),ABS(L971))&lt;=ThongTin!$C$12,"OK","Xem xét")))))</f>
        <v/>
      </c>
    </row>
    <row r="972" spans="1:13" x14ac:dyDescent="0.25">
      <c r="A972" s="35" t="str">
        <f t="shared" si="75"/>
        <v/>
      </c>
      <c r="B972" s="35" t="str">
        <f>IF(BOM!A972="","",BOM!A972)</f>
        <v/>
      </c>
      <c r="C972" s="35" t="str">
        <f>IF(B972="","",BOM!B972)</f>
        <v/>
      </c>
      <c r="D972" s="35" t="str">
        <f>IF(B972="","",KT_DMTT_ChiTiet!E972)</f>
        <v/>
      </c>
      <c r="E972" s="36" t="str">
        <f>IF(B972="","",BOM!G972&amp;"")</f>
        <v/>
      </c>
      <c r="F972" s="39" t="str">
        <f>IF(B972="","",BOM!E972)</f>
        <v/>
      </c>
      <c r="G972" s="39" t="str">
        <f>IF(OR(B972="",E972="KXDDM"),"",BOM!F972)</f>
        <v/>
      </c>
      <c r="H972" s="39" t="str">
        <f>IF(OR(B972="",E972&lt;&gt;""),"",IFERROR(INDEX(KT_nguoc_theo_NL!$J$5:$J$304,MATCH(C972,KT_nguoc_theo_NL!$B$5:$B$304,0))/INDEX(KT_nguoc_theo_NL!$K$5:$K$304,MATCH(C972,KT_nguoc_theo_NL!$B$5:$B$304,0)),""))</f>
        <v/>
      </c>
      <c r="I972" s="39" t="str">
        <f t="shared" si="76"/>
        <v/>
      </c>
      <c r="J972" s="46" t="str">
        <f t="shared" si="77"/>
        <v/>
      </c>
      <c r="K972" s="46" t="str">
        <f t="shared" si="78"/>
        <v/>
      </c>
      <c r="L972" s="46" t="str">
        <f t="shared" si="79"/>
        <v/>
      </c>
      <c r="M972" s="35" t="str">
        <f>IF(B972="","",IF(E972="KXDDM","KXDDM – không ĐM",IF(E972&lt;&gt;"","Không KT ("&amp;E972&amp;")",IF(OR(K972="",L972=""),"Xem xét",IF(MAX(ABS(K972),ABS(L972))&lt;=ThongTin!$C$12,"OK","Xem xét")))))</f>
        <v/>
      </c>
    </row>
    <row r="973" spans="1:13" x14ac:dyDescent="0.25">
      <c r="A973" s="35" t="str">
        <f t="shared" si="75"/>
        <v/>
      </c>
      <c r="B973" s="35" t="str">
        <f>IF(BOM!A973="","",BOM!A973)</f>
        <v/>
      </c>
      <c r="C973" s="35" t="str">
        <f>IF(B973="","",BOM!B973)</f>
        <v/>
      </c>
      <c r="D973" s="35" t="str">
        <f>IF(B973="","",KT_DMTT_ChiTiet!E973)</f>
        <v/>
      </c>
      <c r="E973" s="36" t="str">
        <f>IF(B973="","",BOM!G973&amp;"")</f>
        <v/>
      </c>
      <c r="F973" s="39" t="str">
        <f>IF(B973="","",BOM!E973)</f>
        <v/>
      </c>
      <c r="G973" s="39" t="str">
        <f>IF(OR(B973="",E973="KXDDM"),"",BOM!F973)</f>
        <v/>
      </c>
      <c r="H973" s="39" t="str">
        <f>IF(OR(B973="",E973&lt;&gt;""),"",IFERROR(INDEX(KT_nguoc_theo_NL!$J$5:$J$304,MATCH(C973,KT_nguoc_theo_NL!$B$5:$B$304,0))/INDEX(KT_nguoc_theo_NL!$K$5:$K$304,MATCH(C973,KT_nguoc_theo_NL!$B$5:$B$304,0)),""))</f>
        <v/>
      </c>
      <c r="I973" s="39" t="str">
        <f t="shared" si="76"/>
        <v/>
      </c>
      <c r="J973" s="46" t="str">
        <f t="shared" si="77"/>
        <v/>
      </c>
      <c r="K973" s="46" t="str">
        <f t="shared" si="78"/>
        <v/>
      </c>
      <c r="L973" s="46" t="str">
        <f t="shared" si="79"/>
        <v/>
      </c>
      <c r="M973" s="35" t="str">
        <f>IF(B973="","",IF(E973="KXDDM","KXDDM – không ĐM",IF(E973&lt;&gt;"","Không KT ("&amp;E973&amp;")",IF(OR(K973="",L973=""),"Xem xét",IF(MAX(ABS(K973),ABS(L973))&lt;=ThongTin!$C$12,"OK","Xem xét")))))</f>
        <v/>
      </c>
    </row>
    <row r="974" spans="1:13" x14ac:dyDescent="0.25">
      <c r="A974" s="35" t="str">
        <f t="shared" si="75"/>
        <v/>
      </c>
      <c r="B974" s="35" t="str">
        <f>IF(BOM!A974="","",BOM!A974)</f>
        <v/>
      </c>
      <c r="C974" s="35" t="str">
        <f>IF(B974="","",BOM!B974)</f>
        <v/>
      </c>
      <c r="D974" s="35" t="str">
        <f>IF(B974="","",KT_DMTT_ChiTiet!E974)</f>
        <v/>
      </c>
      <c r="E974" s="36" t="str">
        <f>IF(B974="","",BOM!G974&amp;"")</f>
        <v/>
      </c>
      <c r="F974" s="39" t="str">
        <f>IF(B974="","",BOM!E974)</f>
        <v/>
      </c>
      <c r="G974" s="39" t="str">
        <f>IF(OR(B974="",E974="KXDDM"),"",BOM!F974)</f>
        <v/>
      </c>
      <c r="H974" s="39" t="str">
        <f>IF(OR(B974="",E974&lt;&gt;""),"",IFERROR(INDEX(KT_nguoc_theo_NL!$J$5:$J$304,MATCH(C974,KT_nguoc_theo_NL!$B$5:$B$304,0))/INDEX(KT_nguoc_theo_NL!$K$5:$K$304,MATCH(C974,KT_nguoc_theo_NL!$B$5:$B$304,0)),""))</f>
        <v/>
      </c>
      <c r="I974" s="39" t="str">
        <f t="shared" si="76"/>
        <v/>
      </c>
      <c r="J974" s="46" t="str">
        <f t="shared" si="77"/>
        <v/>
      </c>
      <c r="K974" s="46" t="str">
        <f t="shared" si="78"/>
        <v/>
      </c>
      <c r="L974" s="46" t="str">
        <f t="shared" si="79"/>
        <v/>
      </c>
      <c r="M974" s="35" t="str">
        <f>IF(B974="","",IF(E974="KXDDM","KXDDM – không ĐM",IF(E974&lt;&gt;"","Không KT ("&amp;E974&amp;")",IF(OR(K974="",L974=""),"Xem xét",IF(MAX(ABS(K974),ABS(L974))&lt;=ThongTin!$C$12,"OK","Xem xét")))))</f>
        <v/>
      </c>
    </row>
    <row r="975" spans="1:13" x14ac:dyDescent="0.25">
      <c r="A975" s="35" t="str">
        <f t="shared" si="75"/>
        <v/>
      </c>
      <c r="B975" s="35" t="str">
        <f>IF(BOM!A975="","",BOM!A975)</f>
        <v/>
      </c>
      <c r="C975" s="35" t="str">
        <f>IF(B975="","",BOM!B975)</f>
        <v/>
      </c>
      <c r="D975" s="35" t="str">
        <f>IF(B975="","",KT_DMTT_ChiTiet!E975)</f>
        <v/>
      </c>
      <c r="E975" s="36" t="str">
        <f>IF(B975="","",BOM!G975&amp;"")</f>
        <v/>
      </c>
      <c r="F975" s="39" t="str">
        <f>IF(B975="","",BOM!E975)</f>
        <v/>
      </c>
      <c r="G975" s="39" t="str">
        <f>IF(OR(B975="",E975="KXDDM"),"",BOM!F975)</f>
        <v/>
      </c>
      <c r="H975" s="39" t="str">
        <f>IF(OR(B975="",E975&lt;&gt;""),"",IFERROR(INDEX(KT_nguoc_theo_NL!$J$5:$J$304,MATCH(C975,KT_nguoc_theo_NL!$B$5:$B$304,0))/INDEX(KT_nguoc_theo_NL!$K$5:$K$304,MATCH(C975,KT_nguoc_theo_NL!$B$5:$B$304,0)),""))</f>
        <v/>
      </c>
      <c r="I975" s="39" t="str">
        <f t="shared" si="76"/>
        <v/>
      </c>
      <c r="J975" s="46" t="str">
        <f t="shared" si="77"/>
        <v/>
      </c>
      <c r="K975" s="46" t="str">
        <f t="shared" si="78"/>
        <v/>
      </c>
      <c r="L975" s="46" t="str">
        <f t="shared" si="79"/>
        <v/>
      </c>
      <c r="M975" s="35" t="str">
        <f>IF(B975="","",IF(E975="KXDDM","KXDDM – không ĐM",IF(E975&lt;&gt;"","Không KT ("&amp;E975&amp;")",IF(OR(K975="",L975=""),"Xem xét",IF(MAX(ABS(K975),ABS(L975))&lt;=ThongTin!$C$12,"OK","Xem xét")))))</f>
        <v/>
      </c>
    </row>
    <row r="976" spans="1:13" x14ac:dyDescent="0.25">
      <c r="A976" s="35" t="str">
        <f t="shared" si="75"/>
        <v/>
      </c>
      <c r="B976" s="35" t="str">
        <f>IF(BOM!A976="","",BOM!A976)</f>
        <v/>
      </c>
      <c r="C976" s="35" t="str">
        <f>IF(B976="","",BOM!B976)</f>
        <v/>
      </c>
      <c r="D976" s="35" t="str">
        <f>IF(B976="","",KT_DMTT_ChiTiet!E976)</f>
        <v/>
      </c>
      <c r="E976" s="36" t="str">
        <f>IF(B976="","",BOM!G976&amp;"")</f>
        <v/>
      </c>
      <c r="F976" s="39" t="str">
        <f>IF(B976="","",BOM!E976)</f>
        <v/>
      </c>
      <c r="G976" s="39" t="str">
        <f>IF(OR(B976="",E976="KXDDM"),"",BOM!F976)</f>
        <v/>
      </c>
      <c r="H976" s="39" t="str">
        <f>IF(OR(B976="",E976&lt;&gt;""),"",IFERROR(INDEX(KT_nguoc_theo_NL!$J$5:$J$304,MATCH(C976,KT_nguoc_theo_NL!$B$5:$B$304,0))/INDEX(KT_nguoc_theo_NL!$K$5:$K$304,MATCH(C976,KT_nguoc_theo_NL!$B$5:$B$304,0)),""))</f>
        <v/>
      </c>
      <c r="I976" s="39" t="str">
        <f t="shared" si="76"/>
        <v/>
      </c>
      <c r="J976" s="46" t="str">
        <f t="shared" si="77"/>
        <v/>
      </c>
      <c r="K976" s="46" t="str">
        <f t="shared" si="78"/>
        <v/>
      </c>
      <c r="L976" s="46" t="str">
        <f t="shared" si="79"/>
        <v/>
      </c>
      <c r="M976" s="35" t="str">
        <f>IF(B976="","",IF(E976="KXDDM","KXDDM – không ĐM",IF(E976&lt;&gt;"","Không KT ("&amp;E976&amp;")",IF(OR(K976="",L976=""),"Xem xét",IF(MAX(ABS(K976),ABS(L976))&lt;=ThongTin!$C$12,"OK","Xem xét")))))</f>
        <v/>
      </c>
    </row>
    <row r="977" spans="1:13" x14ac:dyDescent="0.25">
      <c r="A977" s="35" t="str">
        <f t="shared" si="75"/>
        <v/>
      </c>
      <c r="B977" s="35" t="str">
        <f>IF(BOM!A977="","",BOM!A977)</f>
        <v/>
      </c>
      <c r="C977" s="35" t="str">
        <f>IF(B977="","",BOM!B977)</f>
        <v/>
      </c>
      <c r="D977" s="35" t="str">
        <f>IF(B977="","",KT_DMTT_ChiTiet!E977)</f>
        <v/>
      </c>
      <c r="E977" s="36" t="str">
        <f>IF(B977="","",BOM!G977&amp;"")</f>
        <v/>
      </c>
      <c r="F977" s="39" t="str">
        <f>IF(B977="","",BOM!E977)</f>
        <v/>
      </c>
      <c r="G977" s="39" t="str">
        <f>IF(OR(B977="",E977="KXDDM"),"",BOM!F977)</f>
        <v/>
      </c>
      <c r="H977" s="39" t="str">
        <f>IF(OR(B977="",E977&lt;&gt;""),"",IFERROR(INDEX(KT_nguoc_theo_NL!$J$5:$J$304,MATCH(C977,KT_nguoc_theo_NL!$B$5:$B$304,0))/INDEX(KT_nguoc_theo_NL!$K$5:$K$304,MATCH(C977,KT_nguoc_theo_NL!$B$5:$B$304,0)),""))</f>
        <v/>
      </c>
      <c r="I977" s="39" t="str">
        <f t="shared" si="76"/>
        <v/>
      </c>
      <c r="J977" s="46" t="str">
        <f t="shared" si="77"/>
        <v/>
      </c>
      <c r="K977" s="46" t="str">
        <f t="shared" si="78"/>
        <v/>
      </c>
      <c r="L977" s="46" t="str">
        <f t="shared" si="79"/>
        <v/>
      </c>
      <c r="M977" s="35" t="str">
        <f>IF(B977="","",IF(E977="KXDDM","KXDDM – không ĐM",IF(E977&lt;&gt;"","Không KT ("&amp;E977&amp;")",IF(OR(K977="",L977=""),"Xem xét",IF(MAX(ABS(K977),ABS(L977))&lt;=ThongTin!$C$12,"OK","Xem xét")))))</f>
        <v/>
      </c>
    </row>
    <row r="978" spans="1:13" x14ac:dyDescent="0.25">
      <c r="A978" s="35" t="str">
        <f t="shared" si="75"/>
        <v/>
      </c>
      <c r="B978" s="35" t="str">
        <f>IF(BOM!A978="","",BOM!A978)</f>
        <v/>
      </c>
      <c r="C978" s="35" t="str">
        <f>IF(B978="","",BOM!B978)</f>
        <v/>
      </c>
      <c r="D978" s="35" t="str">
        <f>IF(B978="","",KT_DMTT_ChiTiet!E978)</f>
        <v/>
      </c>
      <c r="E978" s="36" t="str">
        <f>IF(B978="","",BOM!G978&amp;"")</f>
        <v/>
      </c>
      <c r="F978" s="39" t="str">
        <f>IF(B978="","",BOM!E978)</f>
        <v/>
      </c>
      <c r="G978" s="39" t="str">
        <f>IF(OR(B978="",E978="KXDDM"),"",BOM!F978)</f>
        <v/>
      </c>
      <c r="H978" s="39" t="str">
        <f>IF(OR(B978="",E978&lt;&gt;""),"",IFERROR(INDEX(KT_nguoc_theo_NL!$J$5:$J$304,MATCH(C978,KT_nguoc_theo_NL!$B$5:$B$304,0))/INDEX(KT_nguoc_theo_NL!$K$5:$K$304,MATCH(C978,KT_nguoc_theo_NL!$B$5:$B$304,0)),""))</f>
        <v/>
      </c>
      <c r="I978" s="39" t="str">
        <f t="shared" si="76"/>
        <v/>
      </c>
      <c r="J978" s="46" t="str">
        <f t="shared" si="77"/>
        <v/>
      </c>
      <c r="K978" s="46" t="str">
        <f t="shared" si="78"/>
        <v/>
      </c>
      <c r="L978" s="46" t="str">
        <f t="shared" si="79"/>
        <v/>
      </c>
      <c r="M978" s="35" t="str">
        <f>IF(B978="","",IF(E978="KXDDM","KXDDM – không ĐM",IF(E978&lt;&gt;"","Không KT ("&amp;E978&amp;")",IF(OR(K978="",L978=""),"Xem xét",IF(MAX(ABS(K978),ABS(L978))&lt;=ThongTin!$C$12,"OK","Xem xét")))))</f>
        <v/>
      </c>
    </row>
    <row r="979" spans="1:13" x14ac:dyDescent="0.25">
      <c r="A979" s="35" t="str">
        <f t="shared" si="75"/>
        <v/>
      </c>
      <c r="B979" s="35" t="str">
        <f>IF(BOM!A979="","",BOM!A979)</f>
        <v/>
      </c>
      <c r="C979" s="35" t="str">
        <f>IF(B979="","",BOM!B979)</f>
        <v/>
      </c>
      <c r="D979" s="35" t="str">
        <f>IF(B979="","",KT_DMTT_ChiTiet!E979)</f>
        <v/>
      </c>
      <c r="E979" s="36" t="str">
        <f>IF(B979="","",BOM!G979&amp;"")</f>
        <v/>
      </c>
      <c r="F979" s="39" t="str">
        <f>IF(B979="","",BOM!E979)</f>
        <v/>
      </c>
      <c r="G979" s="39" t="str">
        <f>IF(OR(B979="",E979="KXDDM"),"",BOM!F979)</f>
        <v/>
      </c>
      <c r="H979" s="39" t="str">
        <f>IF(OR(B979="",E979&lt;&gt;""),"",IFERROR(INDEX(KT_nguoc_theo_NL!$J$5:$J$304,MATCH(C979,KT_nguoc_theo_NL!$B$5:$B$304,0))/INDEX(KT_nguoc_theo_NL!$K$5:$K$304,MATCH(C979,KT_nguoc_theo_NL!$B$5:$B$304,0)),""))</f>
        <v/>
      </c>
      <c r="I979" s="39" t="str">
        <f t="shared" si="76"/>
        <v/>
      </c>
      <c r="J979" s="46" t="str">
        <f t="shared" si="77"/>
        <v/>
      </c>
      <c r="K979" s="46" t="str">
        <f t="shared" si="78"/>
        <v/>
      </c>
      <c r="L979" s="46" t="str">
        <f t="shared" si="79"/>
        <v/>
      </c>
      <c r="M979" s="35" t="str">
        <f>IF(B979="","",IF(E979="KXDDM","KXDDM – không ĐM",IF(E979&lt;&gt;"","Không KT ("&amp;E979&amp;")",IF(OR(K979="",L979=""),"Xem xét",IF(MAX(ABS(K979),ABS(L979))&lt;=ThongTin!$C$12,"OK","Xem xét")))))</f>
        <v/>
      </c>
    </row>
    <row r="980" spans="1:13" x14ac:dyDescent="0.25">
      <c r="A980" s="35" t="str">
        <f t="shared" si="75"/>
        <v/>
      </c>
      <c r="B980" s="35" t="str">
        <f>IF(BOM!A980="","",BOM!A980)</f>
        <v/>
      </c>
      <c r="C980" s="35" t="str">
        <f>IF(B980="","",BOM!B980)</f>
        <v/>
      </c>
      <c r="D980" s="35" t="str">
        <f>IF(B980="","",KT_DMTT_ChiTiet!E980)</f>
        <v/>
      </c>
      <c r="E980" s="36" t="str">
        <f>IF(B980="","",BOM!G980&amp;"")</f>
        <v/>
      </c>
      <c r="F980" s="39" t="str">
        <f>IF(B980="","",BOM!E980)</f>
        <v/>
      </c>
      <c r="G980" s="39" t="str">
        <f>IF(OR(B980="",E980="KXDDM"),"",BOM!F980)</f>
        <v/>
      </c>
      <c r="H980" s="39" t="str">
        <f>IF(OR(B980="",E980&lt;&gt;""),"",IFERROR(INDEX(KT_nguoc_theo_NL!$J$5:$J$304,MATCH(C980,KT_nguoc_theo_NL!$B$5:$B$304,0))/INDEX(KT_nguoc_theo_NL!$K$5:$K$304,MATCH(C980,KT_nguoc_theo_NL!$B$5:$B$304,0)),""))</f>
        <v/>
      </c>
      <c r="I980" s="39" t="str">
        <f t="shared" si="76"/>
        <v/>
      </c>
      <c r="J980" s="46" t="str">
        <f t="shared" si="77"/>
        <v/>
      </c>
      <c r="K980" s="46" t="str">
        <f t="shared" si="78"/>
        <v/>
      </c>
      <c r="L980" s="46" t="str">
        <f t="shared" si="79"/>
        <v/>
      </c>
      <c r="M980" s="35" t="str">
        <f>IF(B980="","",IF(E980="KXDDM","KXDDM – không ĐM",IF(E980&lt;&gt;"","Không KT ("&amp;E980&amp;")",IF(OR(K980="",L980=""),"Xem xét",IF(MAX(ABS(K980),ABS(L980))&lt;=ThongTin!$C$12,"OK","Xem xét")))))</f>
        <v/>
      </c>
    </row>
    <row r="981" spans="1:13" x14ac:dyDescent="0.25">
      <c r="A981" s="35" t="str">
        <f t="shared" si="75"/>
        <v/>
      </c>
      <c r="B981" s="35" t="str">
        <f>IF(BOM!A981="","",BOM!A981)</f>
        <v/>
      </c>
      <c r="C981" s="35" t="str">
        <f>IF(B981="","",BOM!B981)</f>
        <v/>
      </c>
      <c r="D981" s="35" t="str">
        <f>IF(B981="","",KT_DMTT_ChiTiet!E981)</f>
        <v/>
      </c>
      <c r="E981" s="36" t="str">
        <f>IF(B981="","",BOM!G981&amp;"")</f>
        <v/>
      </c>
      <c r="F981" s="39" t="str">
        <f>IF(B981="","",BOM!E981)</f>
        <v/>
      </c>
      <c r="G981" s="39" t="str">
        <f>IF(OR(B981="",E981="KXDDM"),"",BOM!F981)</f>
        <v/>
      </c>
      <c r="H981" s="39" t="str">
        <f>IF(OR(B981="",E981&lt;&gt;""),"",IFERROR(INDEX(KT_nguoc_theo_NL!$J$5:$J$304,MATCH(C981,KT_nguoc_theo_NL!$B$5:$B$304,0))/INDEX(KT_nguoc_theo_NL!$K$5:$K$304,MATCH(C981,KT_nguoc_theo_NL!$B$5:$B$304,0)),""))</f>
        <v/>
      </c>
      <c r="I981" s="39" t="str">
        <f t="shared" si="76"/>
        <v/>
      </c>
      <c r="J981" s="46" t="str">
        <f t="shared" si="77"/>
        <v/>
      </c>
      <c r="K981" s="46" t="str">
        <f t="shared" si="78"/>
        <v/>
      </c>
      <c r="L981" s="46" t="str">
        <f t="shared" si="79"/>
        <v/>
      </c>
      <c r="M981" s="35" t="str">
        <f>IF(B981="","",IF(E981="KXDDM","KXDDM – không ĐM",IF(E981&lt;&gt;"","Không KT ("&amp;E981&amp;")",IF(OR(K981="",L981=""),"Xem xét",IF(MAX(ABS(K981),ABS(L981))&lt;=ThongTin!$C$12,"OK","Xem xét")))))</f>
        <v/>
      </c>
    </row>
    <row r="982" spans="1:13" x14ac:dyDescent="0.25">
      <c r="A982" s="35" t="str">
        <f t="shared" si="75"/>
        <v/>
      </c>
      <c r="B982" s="35" t="str">
        <f>IF(BOM!A982="","",BOM!A982)</f>
        <v/>
      </c>
      <c r="C982" s="35" t="str">
        <f>IF(B982="","",BOM!B982)</f>
        <v/>
      </c>
      <c r="D982" s="35" t="str">
        <f>IF(B982="","",KT_DMTT_ChiTiet!E982)</f>
        <v/>
      </c>
      <c r="E982" s="36" t="str">
        <f>IF(B982="","",BOM!G982&amp;"")</f>
        <v/>
      </c>
      <c r="F982" s="39" t="str">
        <f>IF(B982="","",BOM!E982)</f>
        <v/>
      </c>
      <c r="G982" s="39" t="str">
        <f>IF(OR(B982="",E982="KXDDM"),"",BOM!F982)</f>
        <v/>
      </c>
      <c r="H982" s="39" t="str">
        <f>IF(OR(B982="",E982&lt;&gt;""),"",IFERROR(INDEX(KT_nguoc_theo_NL!$J$5:$J$304,MATCH(C982,KT_nguoc_theo_NL!$B$5:$B$304,0))/INDEX(KT_nguoc_theo_NL!$K$5:$K$304,MATCH(C982,KT_nguoc_theo_NL!$B$5:$B$304,0)),""))</f>
        <v/>
      </c>
      <c r="I982" s="39" t="str">
        <f t="shared" si="76"/>
        <v/>
      </c>
      <c r="J982" s="46" t="str">
        <f t="shared" si="77"/>
        <v/>
      </c>
      <c r="K982" s="46" t="str">
        <f t="shared" si="78"/>
        <v/>
      </c>
      <c r="L982" s="46" t="str">
        <f t="shared" si="79"/>
        <v/>
      </c>
      <c r="M982" s="35" t="str">
        <f>IF(B982="","",IF(E982="KXDDM","KXDDM – không ĐM",IF(E982&lt;&gt;"","Không KT ("&amp;E982&amp;")",IF(OR(K982="",L982=""),"Xem xét",IF(MAX(ABS(K982),ABS(L982))&lt;=ThongTin!$C$12,"OK","Xem xét")))))</f>
        <v/>
      </c>
    </row>
    <row r="983" spans="1:13" x14ac:dyDescent="0.25">
      <c r="A983" s="35" t="str">
        <f t="shared" si="75"/>
        <v/>
      </c>
      <c r="B983" s="35" t="str">
        <f>IF(BOM!A983="","",BOM!A983)</f>
        <v/>
      </c>
      <c r="C983" s="35" t="str">
        <f>IF(B983="","",BOM!B983)</f>
        <v/>
      </c>
      <c r="D983" s="35" t="str">
        <f>IF(B983="","",KT_DMTT_ChiTiet!E983)</f>
        <v/>
      </c>
      <c r="E983" s="36" t="str">
        <f>IF(B983="","",BOM!G983&amp;"")</f>
        <v/>
      </c>
      <c r="F983" s="39" t="str">
        <f>IF(B983="","",BOM!E983)</f>
        <v/>
      </c>
      <c r="G983" s="39" t="str">
        <f>IF(OR(B983="",E983="KXDDM"),"",BOM!F983)</f>
        <v/>
      </c>
      <c r="H983" s="39" t="str">
        <f>IF(OR(B983="",E983&lt;&gt;""),"",IFERROR(INDEX(KT_nguoc_theo_NL!$J$5:$J$304,MATCH(C983,KT_nguoc_theo_NL!$B$5:$B$304,0))/INDEX(KT_nguoc_theo_NL!$K$5:$K$304,MATCH(C983,KT_nguoc_theo_NL!$B$5:$B$304,0)),""))</f>
        <v/>
      </c>
      <c r="I983" s="39" t="str">
        <f t="shared" si="76"/>
        <v/>
      </c>
      <c r="J983" s="46" t="str">
        <f t="shared" si="77"/>
        <v/>
      </c>
      <c r="K983" s="46" t="str">
        <f t="shared" si="78"/>
        <v/>
      </c>
      <c r="L983" s="46" t="str">
        <f t="shared" si="79"/>
        <v/>
      </c>
      <c r="M983" s="35" t="str">
        <f>IF(B983="","",IF(E983="KXDDM","KXDDM – không ĐM",IF(E983&lt;&gt;"","Không KT ("&amp;E983&amp;")",IF(OR(K983="",L983=""),"Xem xét",IF(MAX(ABS(K983),ABS(L983))&lt;=ThongTin!$C$12,"OK","Xem xét")))))</f>
        <v/>
      </c>
    </row>
    <row r="984" spans="1:13" x14ac:dyDescent="0.25">
      <c r="A984" s="35" t="str">
        <f t="shared" si="75"/>
        <v/>
      </c>
      <c r="B984" s="35" t="str">
        <f>IF(BOM!A984="","",BOM!A984)</f>
        <v/>
      </c>
      <c r="C984" s="35" t="str">
        <f>IF(B984="","",BOM!B984)</f>
        <v/>
      </c>
      <c r="D984" s="35" t="str">
        <f>IF(B984="","",KT_DMTT_ChiTiet!E984)</f>
        <v/>
      </c>
      <c r="E984" s="36" t="str">
        <f>IF(B984="","",BOM!G984&amp;"")</f>
        <v/>
      </c>
      <c r="F984" s="39" t="str">
        <f>IF(B984="","",BOM!E984)</f>
        <v/>
      </c>
      <c r="G984" s="39" t="str">
        <f>IF(OR(B984="",E984="KXDDM"),"",BOM!F984)</f>
        <v/>
      </c>
      <c r="H984" s="39" t="str">
        <f>IF(OR(B984="",E984&lt;&gt;""),"",IFERROR(INDEX(KT_nguoc_theo_NL!$J$5:$J$304,MATCH(C984,KT_nguoc_theo_NL!$B$5:$B$304,0))/INDEX(KT_nguoc_theo_NL!$K$5:$K$304,MATCH(C984,KT_nguoc_theo_NL!$B$5:$B$304,0)),""))</f>
        <v/>
      </c>
      <c r="I984" s="39" t="str">
        <f t="shared" si="76"/>
        <v/>
      </c>
      <c r="J984" s="46" t="str">
        <f t="shared" si="77"/>
        <v/>
      </c>
      <c r="K984" s="46" t="str">
        <f t="shared" si="78"/>
        <v/>
      </c>
      <c r="L984" s="46" t="str">
        <f t="shared" si="79"/>
        <v/>
      </c>
      <c r="M984" s="35" t="str">
        <f>IF(B984="","",IF(E984="KXDDM","KXDDM – không ĐM",IF(E984&lt;&gt;"","Không KT ("&amp;E984&amp;")",IF(OR(K984="",L984=""),"Xem xét",IF(MAX(ABS(K984),ABS(L984))&lt;=ThongTin!$C$12,"OK","Xem xét")))))</f>
        <v/>
      </c>
    </row>
    <row r="985" spans="1:13" x14ac:dyDescent="0.25">
      <c r="A985" s="35" t="str">
        <f t="shared" si="75"/>
        <v/>
      </c>
      <c r="B985" s="35" t="str">
        <f>IF(BOM!A985="","",BOM!A985)</f>
        <v/>
      </c>
      <c r="C985" s="35" t="str">
        <f>IF(B985="","",BOM!B985)</f>
        <v/>
      </c>
      <c r="D985" s="35" t="str">
        <f>IF(B985="","",KT_DMTT_ChiTiet!E985)</f>
        <v/>
      </c>
      <c r="E985" s="36" t="str">
        <f>IF(B985="","",BOM!G985&amp;"")</f>
        <v/>
      </c>
      <c r="F985" s="39" t="str">
        <f>IF(B985="","",BOM!E985)</f>
        <v/>
      </c>
      <c r="G985" s="39" t="str">
        <f>IF(OR(B985="",E985="KXDDM"),"",BOM!F985)</f>
        <v/>
      </c>
      <c r="H985" s="39" t="str">
        <f>IF(OR(B985="",E985&lt;&gt;""),"",IFERROR(INDEX(KT_nguoc_theo_NL!$J$5:$J$304,MATCH(C985,KT_nguoc_theo_NL!$B$5:$B$304,0))/INDEX(KT_nguoc_theo_NL!$K$5:$K$304,MATCH(C985,KT_nguoc_theo_NL!$B$5:$B$304,0)),""))</f>
        <v/>
      </c>
      <c r="I985" s="39" t="str">
        <f t="shared" si="76"/>
        <v/>
      </c>
      <c r="J985" s="46" t="str">
        <f t="shared" si="77"/>
        <v/>
      </c>
      <c r="K985" s="46" t="str">
        <f t="shared" si="78"/>
        <v/>
      </c>
      <c r="L985" s="46" t="str">
        <f t="shared" si="79"/>
        <v/>
      </c>
      <c r="M985" s="35" t="str">
        <f>IF(B985="","",IF(E985="KXDDM","KXDDM – không ĐM",IF(E985&lt;&gt;"","Không KT ("&amp;E985&amp;")",IF(OR(K985="",L985=""),"Xem xét",IF(MAX(ABS(K985),ABS(L985))&lt;=ThongTin!$C$12,"OK","Xem xét")))))</f>
        <v/>
      </c>
    </row>
    <row r="986" spans="1:13" x14ac:dyDescent="0.25">
      <c r="A986" s="35" t="str">
        <f t="shared" si="75"/>
        <v/>
      </c>
      <c r="B986" s="35" t="str">
        <f>IF(BOM!A986="","",BOM!A986)</f>
        <v/>
      </c>
      <c r="C986" s="35" t="str">
        <f>IF(B986="","",BOM!B986)</f>
        <v/>
      </c>
      <c r="D986" s="35" t="str">
        <f>IF(B986="","",KT_DMTT_ChiTiet!E986)</f>
        <v/>
      </c>
      <c r="E986" s="36" t="str">
        <f>IF(B986="","",BOM!G986&amp;"")</f>
        <v/>
      </c>
      <c r="F986" s="39" t="str">
        <f>IF(B986="","",BOM!E986)</f>
        <v/>
      </c>
      <c r="G986" s="39" t="str">
        <f>IF(OR(B986="",E986="KXDDM"),"",BOM!F986)</f>
        <v/>
      </c>
      <c r="H986" s="39" t="str">
        <f>IF(OR(B986="",E986&lt;&gt;""),"",IFERROR(INDEX(KT_nguoc_theo_NL!$J$5:$J$304,MATCH(C986,KT_nguoc_theo_NL!$B$5:$B$304,0))/INDEX(KT_nguoc_theo_NL!$K$5:$K$304,MATCH(C986,KT_nguoc_theo_NL!$B$5:$B$304,0)),""))</f>
        <v/>
      </c>
      <c r="I986" s="39" t="str">
        <f t="shared" si="76"/>
        <v/>
      </c>
      <c r="J986" s="46" t="str">
        <f t="shared" si="77"/>
        <v/>
      </c>
      <c r="K986" s="46" t="str">
        <f t="shared" si="78"/>
        <v/>
      </c>
      <c r="L986" s="46" t="str">
        <f t="shared" si="79"/>
        <v/>
      </c>
      <c r="M986" s="35" t="str">
        <f>IF(B986="","",IF(E986="KXDDM","KXDDM – không ĐM",IF(E986&lt;&gt;"","Không KT ("&amp;E986&amp;")",IF(OR(K986="",L986=""),"Xem xét",IF(MAX(ABS(K986),ABS(L986))&lt;=ThongTin!$C$12,"OK","Xem xét")))))</f>
        <v/>
      </c>
    </row>
    <row r="987" spans="1:13" x14ac:dyDescent="0.25">
      <c r="A987" s="35" t="str">
        <f t="shared" si="75"/>
        <v/>
      </c>
      <c r="B987" s="35" t="str">
        <f>IF(BOM!A987="","",BOM!A987)</f>
        <v/>
      </c>
      <c r="C987" s="35" t="str">
        <f>IF(B987="","",BOM!B987)</f>
        <v/>
      </c>
      <c r="D987" s="35" t="str">
        <f>IF(B987="","",KT_DMTT_ChiTiet!E987)</f>
        <v/>
      </c>
      <c r="E987" s="36" t="str">
        <f>IF(B987="","",BOM!G987&amp;"")</f>
        <v/>
      </c>
      <c r="F987" s="39" t="str">
        <f>IF(B987="","",BOM!E987)</f>
        <v/>
      </c>
      <c r="G987" s="39" t="str">
        <f>IF(OR(B987="",E987="KXDDM"),"",BOM!F987)</f>
        <v/>
      </c>
      <c r="H987" s="39" t="str">
        <f>IF(OR(B987="",E987&lt;&gt;""),"",IFERROR(INDEX(KT_nguoc_theo_NL!$J$5:$J$304,MATCH(C987,KT_nguoc_theo_NL!$B$5:$B$304,0))/INDEX(KT_nguoc_theo_NL!$K$5:$K$304,MATCH(C987,KT_nguoc_theo_NL!$B$5:$B$304,0)),""))</f>
        <v/>
      </c>
      <c r="I987" s="39" t="str">
        <f t="shared" si="76"/>
        <v/>
      </c>
      <c r="J987" s="46" t="str">
        <f t="shared" si="77"/>
        <v/>
      </c>
      <c r="K987" s="46" t="str">
        <f t="shared" si="78"/>
        <v/>
      </c>
      <c r="L987" s="46" t="str">
        <f t="shared" si="79"/>
        <v/>
      </c>
      <c r="M987" s="35" t="str">
        <f>IF(B987="","",IF(E987="KXDDM","KXDDM – không ĐM",IF(E987&lt;&gt;"","Không KT ("&amp;E987&amp;")",IF(OR(K987="",L987=""),"Xem xét",IF(MAX(ABS(K987),ABS(L987))&lt;=ThongTin!$C$12,"OK","Xem xét")))))</f>
        <v/>
      </c>
    </row>
    <row r="988" spans="1:13" x14ac:dyDescent="0.25">
      <c r="A988" s="35" t="str">
        <f t="shared" si="75"/>
        <v/>
      </c>
      <c r="B988" s="35" t="str">
        <f>IF(BOM!A988="","",BOM!A988)</f>
        <v/>
      </c>
      <c r="C988" s="35" t="str">
        <f>IF(B988="","",BOM!B988)</f>
        <v/>
      </c>
      <c r="D988" s="35" t="str">
        <f>IF(B988="","",KT_DMTT_ChiTiet!E988)</f>
        <v/>
      </c>
      <c r="E988" s="36" t="str">
        <f>IF(B988="","",BOM!G988&amp;"")</f>
        <v/>
      </c>
      <c r="F988" s="39" t="str">
        <f>IF(B988="","",BOM!E988)</f>
        <v/>
      </c>
      <c r="G988" s="39" t="str">
        <f>IF(OR(B988="",E988="KXDDM"),"",BOM!F988)</f>
        <v/>
      </c>
      <c r="H988" s="39" t="str">
        <f>IF(OR(B988="",E988&lt;&gt;""),"",IFERROR(INDEX(KT_nguoc_theo_NL!$J$5:$J$304,MATCH(C988,KT_nguoc_theo_NL!$B$5:$B$304,0))/INDEX(KT_nguoc_theo_NL!$K$5:$K$304,MATCH(C988,KT_nguoc_theo_NL!$B$5:$B$304,0)),""))</f>
        <v/>
      </c>
      <c r="I988" s="39" t="str">
        <f t="shared" si="76"/>
        <v/>
      </c>
      <c r="J988" s="46" t="str">
        <f t="shared" si="77"/>
        <v/>
      </c>
      <c r="K988" s="46" t="str">
        <f t="shared" si="78"/>
        <v/>
      </c>
      <c r="L988" s="46" t="str">
        <f t="shared" si="79"/>
        <v/>
      </c>
      <c r="M988" s="35" t="str">
        <f>IF(B988="","",IF(E988="KXDDM","KXDDM – không ĐM",IF(E988&lt;&gt;"","Không KT ("&amp;E988&amp;")",IF(OR(K988="",L988=""),"Xem xét",IF(MAX(ABS(K988),ABS(L988))&lt;=ThongTin!$C$12,"OK","Xem xét")))))</f>
        <v/>
      </c>
    </row>
    <row r="989" spans="1:13" x14ac:dyDescent="0.25">
      <c r="A989" s="35" t="str">
        <f t="shared" si="75"/>
        <v/>
      </c>
      <c r="B989" s="35" t="str">
        <f>IF(BOM!A989="","",BOM!A989)</f>
        <v/>
      </c>
      <c r="C989" s="35" t="str">
        <f>IF(B989="","",BOM!B989)</f>
        <v/>
      </c>
      <c r="D989" s="35" t="str">
        <f>IF(B989="","",KT_DMTT_ChiTiet!E989)</f>
        <v/>
      </c>
      <c r="E989" s="36" t="str">
        <f>IF(B989="","",BOM!G989&amp;"")</f>
        <v/>
      </c>
      <c r="F989" s="39" t="str">
        <f>IF(B989="","",BOM!E989)</f>
        <v/>
      </c>
      <c r="G989" s="39" t="str">
        <f>IF(OR(B989="",E989="KXDDM"),"",BOM!F989)</f>
        <v/>
      </c>
      <c r="H989" s="39" t="str">
        <f>IF(OR(B989="",E989&lt;&gt;""),"",IFERROR(INDEX(KT_nguoc_theo_NL!$J$5:$J$304,MATCH(C989,KT_nguoc_theo_NL!$B$5:$B$304,0))/INDEX(KT_nguoc_theo_NL!$K$5:$K$304,MATCH(C989,KT_nguoc_theo_NL!$B$5:$B$304,0)),""))</f>
        <v/>
      </c>
      <c r="I989" s="39" t="str">
        <f t="shared" si="76"/>
        <v/>
      </c>
      <c r="J989" s="46" t="str">
        <f t="shared" si="77"/>
        <v/>
      </c>
      <c r="K989" s="46" t="str">
        <f t="shared" si="78"/>
        <v/>
      </c>
      <c r="L989" s="46" t="str">
        <f t="shared" si="79"/>
        <v/>
      </c>
      <c r="M989" s="35" t="str">
        <f>IF(B989="","",IF(E989="KXDDM","KXDDM – không ĐM",IF(E989&lt;&gt;"","Không KT ("&amp;E989&amp;")",IF(OR(K989="",L989=""),"Xem xét",IF(MAX(ABS(K989),ABS(L989))&lt;=ThongTin!$C$12,"OK","Xem xét")))))</f>
        <v/>
      </c>
    </row>
    <row r="990" spans="1:13" x14ac:dyDescent="0.25">
      <c r="A990" s="35" t="str">
        <f t="shared" si="75"/>
        <v/>
      </c>
      <c r="B990" s="35" t="str">
        <f>IF(BOM!A990="","",BOM!A990)</f>
        <v/>
      </c>
      <c r="C990" s="35" t="str">
        <f>IF(B990="","",BOM!B990)</f>
        <v/>
      </c>
      <c r="D990" s="35" t="str">
        <f>IF(B990="","",KT_DMTT_ChiTiet!E990)</f>
        <v/>
      </c>
      <c r="E990" s="36" t="str">
        <f>IF(B990="","",BOM!G990&amp;"")</f>
        <v/>
      </c>
      <c r="F990" s="39" t="str">
        <f>IF(B990="","",BOM!E990)</f>
        <v/>
      </c>
      <c r="G990" s="39" t="str">
        <f>IF(OR(B990="",E990="KXDDM"),"",BOM!F990)</f>
        <v/>
      </c>
      <c r="H990" s="39" t="str">
        <f>IF(OR(B990="",E990&lt;&gt;""),"",IFERROR(INDEX(KT_nguoc_theo_NL!$J$5:$J$304,MATCH(C990,KT_nguoc_theo_NL!$B$5:$B$304,0))/INDEX(KT_nguoc_theo_NL!$K$5:$K$304,MATCH(C990,KT_nguoc_theo_NL!$B$5:$B$304,0)),""))</f>
        <v/>
      </c>
      <c r="I990" s="39" t="str">
        <f t="shared" si="76"/>
        <v/>
      </c>
      <c r="J990" s="46" t="str">
        <f t="shared" si="77"/>
        <v/>
      </c>
      <c r="K990" s="46" t="str">
        <f t="shared" si="78"/>
        <v/>
      </c>
      <c r="L990" s="46" t="str">
        <f t="shared" si="79"/>
        <v/>
      </c>
      <c r="M990" s="35" t="str">
        <f>IF(B990="","",IF(E990="KXDDM","KXDDM – không ĐM",IF(E990&lt;&gt;"","Không KT ("&amp;E990&amp;")",IF(OR(K990="",L990=""),"Xem xét",IF(MAX(ABS(K990),ABS(L990))&lt;=ThongTin!$C$12,"OK","Xem xét")))))</f>
        <v/>
      </c>
    </row>
    <row r="991" spans="1:13" x14ac:dyDescent="0.25">
      <c r="A991" s="35" t="str">
        <f t="shared" si="75"/>
        <v/>
      </c>
      <c r="B991" s="35" t="str">
        <f>IF(BOM!A991="","",BOM!A991)</f>
        <v/>
      </c>
      <c r="C991" s="35" t="str">
        <f>IF(B991="","",BOM!B991)</f>
        <v/>
      </c>
      <c r="D991" s="35" t="str">
        <f>IF(B991="","",KT_DMTT_ChiTiet!E991)</f>
        <v/>
      </c>
      <c r="E991" s="36" t="str">
        <f>IF(B991="","",BOM!G991&amp;"")</f>
        <v/>
      </c>
      <c r="F991" s="39" t="str">
        <f>IF(B991="","",BOM!E991)</f>
        <v/>
      </c>
      <c r="G991" s="39" t="str">
        <f>IF(OR(B991="",E991="KXDDM"),"",BOM!F991)</f>
        <v/>
      </c>
      <c r="H991" s="39" t="str">
        <f>IF(OR(B991="",E991&lt;&gt;""),"",IFERROR(INDEX(KT_nguoc_theo_NL!$J$5:$J$304,MATCH(C991,KT_nguoc_theo_NL!$B$5:$B$304,0))/INDEX(KT_nguoc_theo_NL!$K$5:$K$304,MATCH(C991,KT_nguoc_theo_NL!$B$5:$B$304,0)),""))</f>
        <v/>
      </c>
      <c r="I991" s="39" t="str">
        <f t="shared" si="76"/>
        <v/>
      </c>
      <c r="J991" s="46" t="str">
        <f t="shared" si="77"/>
        <v/>
      </c>
      <c r="K991" s="46" t="str">
        <f t="shared" si="78"/>
        <v/>
      </c>
      <c r="L991" s="46" t="str">
        <f t="shared" si="79"/>
        <v/>
      </c>
      <c r="M991" s="35" t="str">
        <f>IF(B991="","",IF(E991="KXDDM","KXDDM – không ĐM",IF(E991&lt;&gt;"","Không KT ("&amp;E991&amp;")",IF(OR(K991="",L991=""),"Xem xét",IF(MAX(ABS(K991),ABS(L991))&lt;=ThongTin!$C$12,"OK","Xem xét")))))</f>
        <v/>
      </c>
    </row>
    <row r="992" spans="1:13" x14ac:dyDescent="0.25">
      <c r="A992" s="35" t="str">
        <f t="shared" si="75"/>
        <v/>
      </c>
      <c r="B992" s="35" t="str">
        <f>IF(BOM!A992="","",BOM!A992)</f>
        <v/>
      </c>
      <c r="C992" s="35" t="str">
        <f>IF(B992="","",BOM!B992)</f>
        <v/>
      </c>
      <c r="D992" s="35" t="str">
        <f>IF(B992="","",KT_DMTT_ChiTiet!E992)</f>
        <v/>
      </c>
      <c r="E992" s="36" t="str">
        <f>IF(B992="","",BOM!G992&amp;"")</f>
        <v/>
      </c>
      <c r="F992" s="39" t="str">
        <f>IF(B992="","",BOM!E992)</f>
        <v/>
      </c>
      <c r="G992" s="39" t="str">
        <f>IF(OR(B992="",E992="KXDDM"),"",BOM!F992)</f>
        <v/>
      </c>
      <c r="H992" s="39" t="str">
        <f>IF(OR(B992="",E992&lt;&gt;""),"",IFERROR(INDEX(KT_nguoc_theo_NL!$J$5:$J$304,MATCH(C992,KT_nguoc_theo_NL!$B$5:$B$304,0))/INDEX(KT_nguoc_theo_NL!$K$5:$K$304,MATCH(C992,KT_nguoc_theo_NL!$B$5:$B$304,0)),""))</f>
        <v/>
      </c>
      <c r="I992" s="39" t="str">
        <f t="shared" si="76"/>
        <v/>
      </c>
      <c r="J992" s="46" t="str">
        <f t="shared" si="77"/>
        <v/>
      </c>
      <c r="K992" s="46" t="str">
        <f t="shared" si="78"/>
        <v/>
      </c>
      <c r="L992" s="46" t="str">
        <f t="shared" si="79"/>
        <v/>
      </c>
      <c r="M992" s="35" t="str">
        <f>IF(B992="","",IF(E992="KXDDM","KXDDM – không ĐM",IF(E992&lt;&gt;"","Không KT ("&amp;E992&amp;")",IF(OR(K992="",L992=""),"Xem xét",IF(MAX(ABS(K992),ABS(L992))&lt;=ThongTin!$C$12,"OK","Xem xét")))))</f>
        <v/>
      </c>
    </row>
    <row r="993" spans="1:13" x14ac:dyDescent="0.25">
      <c r="A993" s="35" t="str">
        <f t="shared" si="75"/>
        <v/>
      </c>
      <c r="B993" s="35" t="str">
        <f>IF(BOM!A993="","",BOM!A993)</f>
        <v/>
      </c>
      <c r="C993" s="35" t="str">
        <f>IF(B993="","",BOM!B993)</f>
        <v/>
      </c>
      <c r="D993" s="35" t="str">
        <f>IF(B993="","",KT_DMTT_ChiTiet!E993)</f>
        <v/>
      </c>
      <c r="E993" s="36" t="str">
        <f>IF(B993="","",BOM!G993&amp;"")</f>
        <v/>
      </c>
      <c r="F993" s="39" t="str">
        <f>IF(B993="","",BOM!E993)</f>
        <v/>
      </c>
      <c r="G993" s="39" t="str">
        <f>IF(OR(B993="",E993="KXDDM"),"",BOM!F993)</f>
        <v/>
      </c>
      <c r="H993" s="39" t="str">
        <f>IF(OR(B993="",E993&lt;&gt;""),"",IFERROR(INDEX(KT_nguoc_theo_NL!$J$5:$J$304,MATCH(C993,KT_nguoc_theo_NL!$B$5:$B$304,0))/INDEX(KT_nguoc_theo_NL!$K$5:$K$304,MATCH(C993,KT_nguoc_theo_NL!$B$5:$B$304,0)),""))</f>
        <v/>
      </c>
      <c r="I993" s="39" t="str">
        <f t="shared" si="76"/>
        <v/>
      </c>
      <c r="J993" s="46" t="str">
        <f t="shared" si="77"/>
        <v/>
      </c>
      <c r="K993" s="46" t="str">
        <f t="shared" si="78"/>
        <v/>
      </c>
      <c r="L993" s="46" t="str">
        <f t="shared" si="79"/>
        <v/>
      </c>
      <c r="M993" s="35" t="str">
        <f>IF(B993="","",IF(E993="KXDDM","KXDDM – không ĐM",IF(E993&lt;&gt;"","Không KT ("&amp;E993&amp;")",IF(OR(K993="",L993=""),"Xem xét",IF(MAX(ABS(K993),ABS(L993))&lt;=ThongTin!$C$12,"OK","Xem xét")))))</f>
        <v/>
      </c>
    </row>
    <row r="994" spans="1:13" x14ac:dyDescent="0.25">
      <c r="A994" s="35" t="str">
        <f t="shared" si="75"/>
        <v/>
      </c>
      <c r="B994" s="35" t="str">
        <f>IF(BOM!A994="","",BOM!A994)</f>
        <v/>
      </c>
      <c r="C994" s="35" t="str">
        <f>IF(B994="","",BOM!B994)</f>
        <v/>
      </c>
      <c r="D994" s="35" t="str">
        <f>IF(B994="","",KT_DMTT_ChiTiet!E994)</f>
        <v/>
      </c>
      <c r="E994" s="36" t="str">
        <f>IF(B994="","",BOM!G994&amp;"")</f>
        <v/>
      </c>
      <c r="F994" s="39" t="str">
        <f>IF(B994="","",BOM!E994)</f>
        <v/>
      </c>
      <c r="G994" s="39" t="str">
        <f>IF(OR(B994="",E994="KXDDM"),"",BOM!F994)</f>
        <v/>
      </c>
      <c r="H994" s="39" t="str">
        <f>IF(OR(B994="",E994&lt;&gt;""),"",IFERROR(INDEX(KT_nguoc_theo_NL!$J$5:$J$304,MATCH(C994,KT_nguoc_theo_NL!$B$5:$B$304,0))/INDEX(KT_nguoc_theo_NL!$K$5:$K$304,MATCH(C994,KT_nguoc_theo_NL!$B$5:$B$304,0)),""))</f>
        <v/>
      </c>
      <c r="I994" s="39" t="str">
        <f t="shared" si="76"/>
        <v/>
      </c>
      <c r="J994" s="46" t="str">
        <f t="shared" si="77"/>
        <v/>
      </c>
      <c r="K994" s="46" t="str">
        <f t="shared" si="78"/>
        <v/>
      </c>
      <c r="L994" s="46" t="str">
        <f t="shared" si="79"/>
        <v/>
      </c>
      <c r="M994" s="35" t="str">
        <f>IF(B994="","",IF(E994="KXDDM","KXDDM – không ĐM",IF(E994&lt;&gt;"","Không KT ("&amp;E994&amp;")",IF(OR(K994="",L994=""),"Xem xét",IF(MAX(ABS(K994),ABS(L994))&lt;=ThongTin!$C$12,"OK","Xem xét")))))</f>
        <v/>
      </c>
    </row>
    <row r="995" spans="1:13" x14ac:dyDescent="0.25">
      <c r="A995" s="35" t="str">
        <f t="shared" si="75"/>
        <v/>
      </c>
      <c r="B995" s="35" t="str">
        <f>IF(BOM!A995="","",BOM!A995)</f>
        <v/>
      </c>
      <c r="C995" s="35" t="str">
        <f>IF(B995="","",BOM!B995)</f>
        <v/>
      </c>
      <c r="D995" s="35" t="str">
        <f>IF(B995="","",KT_DMTT_ChiTiet!E995)</f>
        <v/>
      </c>
      <c r="E995" s="36" t="str">
        <f>IF(B995="","",BOM!G995&amp;"")</f>
        <v/>
      </c>
      <c r="F995" s="39" t="str">
        <f>IF(B995="","",BOM!E995)</f>
        <v/>
      </c>
      <c r="G995" s="39" t="str">
        <f>IF(OR(B995="",E995="KXDDM"),"",BOM!F995)</f>
        <v/>
      </c>
      <c r="H995" s="39" t="str">
        <f>IF(OR(B995="",E995&lt;&gt;""),"",IFERROR(INDEX(KT_nguoc_theo_NL!$J$5:$J$304,MATCH(C995,KT_nguoc_theo_NL!$B$5:$B$304,0))/INDEX(KT_nguoc_theo_NL!$K$5:$K$304,MATCH(C995,KT_nguoc_theo_NL!$B$5:$B$304,0)),""))</f>
        <v/>
      </c>
      <c r="I995" s="39" t="str">
        <f t="shared" si="76"/>
        <v/>
      </c>
      <c r="J995" s="46" t="str">
        <f t="shared" si="77"/>
        <v/>
      </c>
      <c r="K995" s="46" t="str">
        <f t="shared" si="78"/>
        <v/>
      </c>
      <c r="L995" s="46" t="str">
        <f t="shared" si="79"/>
        <v/>
      </c>
      <c r="M995" s="35" t="str">
        <f>IF(B995="","",IF(E995="KXDDM","KXDDM – không ĐM",IF(E995&lt;&gt;"","Không KT ("&amp;E995&amp;")",IF(OR(K995="",L995=""),"Xem xét",IF(MAX(ABS(K995),ABS(L995))&lt;=ThongTin!$C$12,"OK","Xem xét")))))</f>
        <v/>
      </c>
    </row>
    <row r="996" spans="1:13" x14ac:dyDescent="0.25">
      <c r="A996" s="35" t="str">
        <f t="shared" si="75"/>
        <v/>
      </c>
      <c r="B996" s="35" t="str">
        <f>IF(BOM!A996="","",BOM!A996)</f>
        <v/>
      </c>
      <c r="C996" s="35" t="str">
        <f>IF(B996="","",BOM!B996)</f>
        <v/>
      </c>
      <c r="D996" s="35" t="str">
        <f>IF(B996="","",KT_DMTT_ChiTiet!E996)</f>
        <v/>
      </c>
      <c r="E996" s="36" t="str">
        <f>IF(B996="","",BOM!G996&amp;"")</f>
        <v/>
      </c>
      <c r="F996" s="39" t="str">
        <f>IF(B996="","",BOM!E996)</f>
        <v/>
      </c>
      <c r="G996" s="39" t="str">
        <f>IF(OR(B996="",E996="KXDDM"),"",BOM!F996)</f>
        <v/>
      </c>
      <c r="H996" s="39" t="str">
        <f>IF(OR(B996="",E996&lt;&gt;""),"",IFERROR(INDEX(KT_nguoc_theo_NL!$J$5:$J$304,MATCH(C996,KT_nguoc_theo_NL!$B$5:$B$304,0))/INDEX(KT_nguoc_theo_NL!$K$5:$K$304,MATCH(C996,KT_nguoc_theo_NL!$B$5:$B$304,0)),""))</f>
        <v/>
      </c>
      <c r="I996" s="39" t="str">
        <f t="shared" si="76"/>
        <v/>
      </c>
      <c r="J996" s="46" t="str">
        <f t="shared" si="77"/>
        <v/>
      </c>
      <c r="K996" s="46" t="str">
        <f t="shared" si="78"/>
        <v/>
      </c>
      <c r="L996" s="46" t="str">
        <f t="shared" si="79"/>
        <v/>
      </c>
      <c r="M996" s="35" t="str">
        <f>IF(B996="","",IF(E996="KXDDM","KXDDM – không ĐM",IF(E996&lt;&gt;"","Không KT ("&amp;E996&amp;")",IF(OR(K996="",L996=""),"Xem xét",IF(MAX(ABS(K996),ABS(L996))&lt;=ThongTin!$C$12,"OK","Xem xét")))))</f>
        <v/>
      </c>
    </row>
    <row r="997" spans="1:13" x14ac:dyDescent="0.25">
      <c r="A997" s="35" t="str">
        <f t="shared" si="75"/>
        <v/>
      </c>
      <c r="B997" s="35" t="str">
        <f>IF(BOM!A997="","",BOM!A997)</f>
        <v/>
      </c>
      <c r="C997" s="35" t="str">
        <f>IF(B997="","",BOM!B997)</f>
        <v/>
      </c>
      <c r="D997" s="35" t="str">
        <f>IF(B997="","",KT_DMTT_ChiTiet!E997)</f>
        <v/>
      </c>
      <c r="E997" s="36" t="str">
        <f>IF(B997="","",BOM!G997&amp;"")</f>
        <v/>
      </c>
      <c r="F997" s="39" t="str">
        <f>IF(B997="","",BOM!E997)</f>
        <v/>
      </c>
      <c r="G997" s="39" t="str">
        <f>IF(OR(B997="",E997="KXDDM"),"",BOM!F997)</f>
        <v/>
      </c>
      <c r="H997" s="39" t="str">
        <f>IF(OR(B997="",E997&lt;&gt;""),"",IFERROR(INDEX(KT_nguoc_theo_NL!$J$5:$J$304,MATCH(C997,KT_nguoc_theo_NL!$B$5:$B$304,0))/INDEX(KT_nguoc_theo_NL!$K$5:$K$304,MATCH(C997,KT_nguoc_theo_NL!$B$5:$B$304,0)),""))</f>
        <v/>
      </c>
      <c r="I997" s="39" t="str">
        <f t="shared" si="76"/>
        <v/>
      </c>
      <c r="J997" s="46" t="str">
        <f t="shared" si="77"/>
        <v/>
      </c>
      <c r="K997" s="46" t="str">
        <f t="shared" si="78"/>
        <v/>
      </c>
      <c r="L997" s="46" t="str">
        <f t="shared" si="79"/>
        <v/>
      </c>
      <c r="M997" s="35" t="str">
        <f>IF(B997="","",IF(E997="KXDDM","KXDDM – không ĐM",IF(E997&lt;&gt;"","Không KT ("&amp;E997&amp;")",IF(OR(K997="",L997=""),"Xem xét",IF(MAX(ABS(K997),ABS(L997))&lt;=ThongTin!$C$12,"OK","Xem xét")))))</f>
        <v/>
      </c>
    </row>
    <row r="998" spans="1:13" x14ac:dyDescent="0.25">
      <c r="A998" s="35" t="str">
        <f t="shared" si="75"/>
        <v/>
      </c>
      <c r="B998" s="35" t="str">
        <f>IF(BOM!A998="","",BOM!A998)</f>
        <v/>
      </c>
      <c r="C998" s="35" t="str">
        <f>IF(B998="","",BOM!B998)</f>
        <v/>
      </c>
      <c r="D998" s="35" t="str">
        <f>IF(B998="","",KT_DMTT_ChiTiet!E998)</f>
        <v/>
      </c>
      <c r="E998" s="36" t="str">
        <f>IF(B998="","",BOM!G998&amp;"")</f>
        <v/>
      </c>
      <c r="F998" s="39" t="str">
        <f>IF(B998="","",BOM!E998)</f>
        <v/>
      </c>
      <c r="G998" s="39" t="str">
        <f>IF(OR(B998="",E998="KXDDM"),"",BOM!F998)</f>
        <v/>
      </c>
      <c r="H998" s="39" t="str">
        <f>IF(OR(B998="",E998&lt;&gt;""),"",IFERROR(INDEX(KT_nguoc_theo_NL!$J$5:$J$304,MATCH(C998,KT_nguoc_theo_NL!$B$5:$B$304,0))/INDEX(KT_nguoc_theo_NL!$K$5:$K$304,MATCH(C998,KT_nguoc_theo_NL!$B$5:$B$304,0)),""))</f>
        <v/>
      </c>
      <c r="I998" s="39" t="str">
        <f t="shared" si="76"/>
        <v/>
      </c>
      <c r="J998" s="46" t="str">
        <f t="shared" si="77"/>
        <v/>
      </c>
      <c r="K998" s="46" t="str">
        <f t="shared" si="78"/>
        <v/>
      </c>
      <c r="L998" s="46" t="str">
        <f t="shared" si="79"/>
        <v/>
      </c>
      <c r="M998" s="35" t="str">
        <f>IF(B998="","",IF(E998="KXDDM","KXDDM – không ĐM",IF(E998&lt;&gt;"","Không KT ("&amp;E998&amp;")",IF(OR(K998="",L998=""),"Xem xét",IF(MAX(ABS(K998),ABS(L998))&lt;=ThongTin!$C$12,"OK","Xem xét")))))</f>
        <v/>
      </c>
    </row>
    <row r="999" spans="1:13" x14ac:dyDescent="0.25">
      <c r="A999" s="35" t="str">
        <f t="shared" si="75"/>
        <v/>
      </c>
      <c r="B999" s="35" t="str">
        <f>IF(BOM!A999="","",BOM!A999)</f>
        <v/>
      </c>
      <c r="C999" s="35" t="str">
        <f>IF(B999="","",BOM!B999)</f>
        <v/>
      </c>
      <c r="D999" s="35" t="str">
        <f>IF(B999="","",KT_DMTT_ChiTiet!E999)</f>
        <v/>
      </c>
      <c r="E999" s="36" t="str">
        <f>IF(B999="","",BOM!G999&amp;"")</f>
        <v/>
      </c>
      <c r="F999" s="39" t="str">
        <f>IF(B999="","",BOM!E999)</f>
        <v/>
      </c>
      <c r="G999" s="39" t="str">
        <f>IF(OR(B999="",E999="KXDDM"),"",BOM!F999)</f>
        <v/>
      </c>
      <c r="H999" s="39" t="str">
        <f>IF(OR(B999="",E999&lt;&gt;""),"",IFERROR(INDEX(KT_nguoc_theo_NL!$J$5:$J$304,MATCH(C999,KT_nguoc_theo_NL!$B$5:$B$304,0))/INDEX(KT_nguoc_theo_NL!$K$5:$K$304,MATCH(C999,KT_nguoc_theo_NL!$B$5:$B$304,0)),""))</f>
        <v/>
      </c>
      <c r="I999" s="39" t="str">
        <f t="shared" si="76"/>
        <v/>
      </c>
      <c r="J999" s="46" t="str">
        <f t="shared" si="77"/>
        <v/>
      </c>
      <c r="K999" s="46" t="str">
        <f t="shared" si="78"/>
        <v/>
      </c>
      <c r="L999" s="46" t="str">
        <f t="shared" si="79"/>
        <v/>
      </c>
      <c r="M999" s="35" t="str">
        <f>IF(B999="","",IF(E999="KXDDM","KXDDM – không ĐM",IF(E999&lt;&gt;"","Không KT ("&amp;E999&amp;")",IF(OR(K999="",L999=""),"Xem xét",IF(MAX(ABS(K999),ABS(L999))&lt;=ThongTin!$C$12,"OK","Xem xét")))))</f>
        <v/>
      </c>
    </row>
    <row r="1000" spans="1:13" x14ac:dyDescent="0.25">
      <c r="A1000" s="35" t="str">
        <f t="shared" si="75"/>
        <v/>
      </c>
      <c r="B1000" s="35" t="str">
        <f>IF(BOM!A1000="","",BOM!A1000)</f>
        <v/>
      </c>
      <c r="C1000" s="35" t="str">
        <f>IF(B1000="","",BOM!B1000)</f>
        <v/>
      </c>
      <c r="D1000" s="35" t="str">
        <f>IF(B1000="","",KT_DMTT_ChiTiet!E1000)</f>
        <v/>
      </c>
      <c r="E1000" s="36" t="str">
        <f>IF(B1000="","",BOM!G1000&amp;"")</f>
        <v/>
      </c>
      <c r="F1000" s="39" t="str">
        <f>IF(B1000="","",BOM!E1000)</f>
        <v/>
      </c>
      <c r="G1000" s="39" t="str">
        <f>IF(OR(B1000="",E1000="KXDDM"),"",BOM!F1000)</f>
        <v/>
      </c>
      <c r="H1000" s="39" t="str">
        <f>IF(OR(B1000="",E1000&lt;&gt;""),"",IFERROR(INDEX(KT_nguoc_theo_NL!$J$5:$J$304,MATCH(C1000,KT_nguoc_theo_NL!$B$5:$B$304,0))/INDEX(KT_nguoc_theo_NL!$K$5:$K$304,MATCH(C1000,KT_nguoc_theo_NL!$B$5:$B$304,0)),""))</f>
        <v/>
      </c>
      <c r="I1000" s="39" t="str">
        <f t="shared" si="76"/>
        <v/>
      </c>
      <c r="J1000" s="46" t="str">
        <f t="shared" si="77"/>
        <v/>
      </c>
      <c r="K1000" s="46" t="str">
        <f t="shared" si="78"/>
        <v/>
      </c>
      <c r="L1000" s="46" t="str">
        <f t="shared" si="79"/>
        <v/>
      </c>
      <c r="M1000" s="35" t="str">
        <f>IF(B1000="","",IF(E1000="KXDDM","KXDDM – không ĐM",IF(E1000&lt;&gt;"","Không KT ("&amp;E1000&amp;")",IF(OR(K1000="",L1000=""),"Xem xét",IF(MAX(ABS(K1000),ABS(L1000))&lt;=ThongTin!$C$12,"OK","Xem xét")))))</f>
        <v/>
      </c>
    </row>
    <row r="1001" spans="1:13" x14ac:dyDescent="0.25">
      <c r="A1001" s="35" t="str">
        <f t="shared" si="75"/>
        <v/>
      </c>
      <c r="B1001" s="35" t="str">
        <f>IF(BOM!A1001="","",BOM!A1001)</f>
        <v/>
      </c>
      <c r="C1001" s="35" t="str">
        <f>IF(B1001="","",BOM!B1001)</f>
        <v/>
      </c>
      <c r="D1001" s="35" t="str">
        <f>IF(B1001="","",KT_DMTT_ChiTiet!E1001)</f>
        <v/>
      </c>
      <c r="E1001" s="36" t="str">
        <f>IF(B1001="","",BOM!G1001&amp;"")</f>
        <v/>
      </c>
      <c r="F1001" s="39" t="str">
        <f>IF(B1001="","",BOM!E1001)</f>
        <v/>
      </c>
      <c r="G1001" s="39" t="str">
        <f>IF(OR(B1001="",E1001="KXDDM"),"",BOM!F1001)</f>
        <v/>
      </c>
      <c r="H1001" s="39" t="str">
        <f>IF(OR(B1001="",E1001&lt;&gt;""),"",IFERROR(INDEX(KT_nguoc_theo_NL!$J$5:$J$304,MATCH(C1001,KT_nguoc_theo_NL!$B$5:$B$304,0))/INDEX(KT_nguoc_theo_NL!$K$5:$K$304,MATCH(C1001,KT_nguoc_theo_NL!$B$5:$B$304,0)),""))</f>
        <v/>
      </c>
      <c r="I1001" s="39" t="str">
        <f t="shared" si="76"/>
        <v/>
      </c>
      <c r="J1001" s="46" t="str">
        <f t="shared" si="77"/>
        <v/>
      </c>
      <c r="K1001" s="46" t="str">
        <f t="shared" si="78"/>
        <v/>
      </c>
      <c r="L1001" s="46" t="str">
        <f t="shared" si="79"/>
        <v/>
      </c>
      <c r="M1001" s="35" t="str">
        <f>IF(B1001="","",IF(E1001="KXDDM","KXDDM – không ĐM",IF(E1001&lt;&gt;"","Không KT ("&amp;E1001&amp;")",IF(OR(K1001="",L1001=""),"Xem xét",IF(MAX(ABS(K1001),ABS(L1001))&lt;=ThongTin!$C$12,"OK","Xem xét")))))</f>
        <v/>
      </c>
    </row>
    <row r="1002" spans="1:13" x14ac:dyDescent="0.25">
      <c r="A1002" s="35" t="str">
        <f t="shared" si="75"/>
        <v/>
      </c>
      <c r="B1002" s="35" t="str">
        <f>IF(BOM!A1002="","",BOM!A1002)</f>
        <v/>
      </c>
      <c r="C1002" s="35" t="str">
        <f>IF(B1002="","",BOM!B1002)</f>
        <v/>
      </c>
      <c r="D1002" s="35" t="str">
        <f>IF(B1002="","",KT_DMTT_ChiTiet!E1002)</f>
        <v/>
      </c>
      <c r="E1002" s="36" t="str">
        <f>IF(B1002="","",BOM!G1002&amp;"")</f>
        <v/>
      </c>
      <c r="F1002" s="39" t="str">
        <f>IF(B1002="","",BOM!E1002)</f>
        <v/>
      </c>
      <c r="G1002" s="39" t="str">
        <f>IF(OR(B1002="",E1002="KXDDM"),"",BOM!F1002)</f>
        <v/>
      </c>
      <c r="H1002" s="39" t="str">
        <f>IF(OR(B1002="",E1002&lt;&gt;""),"",IFERROR(INDEX(KT_nguoc_theo_NL!$J$5:$J$304,MATCH(C1002,KT_nguoc_theo_NL!$B$5:$B$304,0))/INDEX(KT_nguoc_theo_NL!$K$5:$K$304,MATCH(C1002,KT_nguoc_theo_NL!$B$5:$B$304,0)),""))</f>
        <v/>
      </c>
      <c r="I1002" s="39" t="str">
        <f t="shared" si="76"/>
        <v/>
      </c>
      <c r="J1002" s="46" t="str">
        <f t="shared" si="77"/>
        <v/>
      </c>
      <c r="K1002" s="46" t="str">
        <f t="shared" si="78"/>
        <v/>
      </c>
      <c r="L1002" s="46" t="str">
        <f t="shared" si="79"/>
        <v/>
      </c>
      <c r="M1002" s="35" t="str">
        <f>IF(B1002="","",IF(E1002="KXDDM","KXDDM – không ĐM",IF(E1002&lt;&gt;"","Không KT ("&amp;E1002&amp;")",IF(OR(K1002="",L1002=""),"Xem xét",IF(MAX(ABS(K1002),ABS(L1002))&lt;=ThongTin!$C$12,"OK","Xem xét")))))</f>
        <v/>
      </c>
    </row>
    <row r="1003" spans="1:13" x14ac:dyDescent="0.25">
      <c r="A1003" s="35" t="str">
        <f t="shared" si="75"/>
        <v/>
      </c>
      <c r="B1003" s="35" t="str">
        <f>IF(BOM!A1003="","",BOM!A1003)</f>
        <v/>
      </c>
      <c r="C1003" s="35" t="str">
        <f>IF(B1003="","",BOM!B1003)</f>
        <v/>
      </c>
      <c r="D1003" s="35" t="str">
        <f>IF(B1003="","",KT_DMTT_ChiTiet!E1003)</f>
        <v/>
      </c>
      <c r="E1003" s="36" t="str">
        <f>IF(B1003="","",BOM!G1003&amp;"")</f>
        <v/>
      </c>
      <c r="F1003" s="39" t="str">
        <f>IF(B1003="","",BOM!E1003)</f>
        <v/>
      </c>
      <c r="G1003" s="39" t="str">
        <f>IF(OR(B1003="",E1003="KXDDM"),"",BOM!F1003)</f>
        <v/>
      </c>
      <c r="H1003" s="39" t="str">
        <f>IF(OR(B1003="",E1003&lt;&gt;""),"",IFERROR(INDEX(KT_nguoc_theo_NL!$J$5:$J$304,MATCH(C1003,KT_nguoc_theo_NL!$B$5:$B$304,0))/INDEX(KT_nguoc_theo_NL!$K$5:$K$304,MATCH(C1003,KT_nguoc_theo_NL!$B$5:$B$304,0)),""))</f>
        <v/>
      </c>
      <c r="I1003" s="39" t="str">
        <f t="shared" si="76"/>
        <v/>
      </c>
      <c r="J1003" s="46" t="str">
        <f t="shared" si="77"/>
        <v/>
      </c>
      <c r="K1003" s="46" t="str">
        <f t="shared" si="78"/>
        <v/>
      </c>
      <c r="L1003" s="46" t="str">
        <f t="shared" si="79"/>
        <v/>
      </c>
      <c r="M1003" s="35" t="str">
        <f>IF(B1003="","",IF(E1003="KXDDM","KXDDM – không ĐM",IF(E1003&lt;&gt;"","Không KT ("&amp;E1003&amp;")",IF(OR(K1003="",L1003=""),"Xem xét",IF(MAX(ABS(K1003),ABS(L1003))&lt;=ThongTin!$C$12,"OK","Xem xét")))))</f>
        <v/>
      </c>
    </row>
    <row r="1004" spans="1:13" x14ac:dyDescent="0.25">
      <c r="A1004" s="35" t="str">
        <f t="shared" si="75"/>
        <v/>
      </c>
      <c r="B1004" s="35" t="str">
        <f>IF(BOM!A1004="","",BOM!A1004)</f>
        <v/>
      </c>
      <c r="C1004" s="35" t="str">
        <f>IF(B1004="","",BOM!B1004)</f>
        <v/>
      </c>
      <c r="D1004" s="35" t="str">
        <f>IF(B1004="","",KT_DMTT_ChiTiet!E1004)</f>
        <v/>
      </c>
      <c r="E1004" s="36" t="str">
        <f>IF(B1004="","",BOM!G1004&amp;"")</f>
        <v/>
      </c>
      <c r="F1004" s="39" t="str">
        <f>IF(B1004="","",BOM!E1004)</f>
        <v/>
      </c>
      <c r="G1004" s="39" t="str">
        <f>IF(OR(B1004="",E1004="KXDDM"),"",BOM!F1004)</f>
        <v/>
      </c>
      <c r="H1004" s="39" t="str">
        <f>IF(OR(B1004="",E1004&lt;&gt;""),"",IFERROR(INDEX(KT_nguoc_theo_NL!$J$5:$J$304,MATCH(C1004,KT_nguoc_theo_NL!$B$5:$B$304,0))/INDEX(KT_nguoc_theo_NL!$K$5:$K$304,MATCH(C1004,KT_nguoc_theo_NL!$B$5:$B$304,0)),""))</f>
        <v/>
      </c>
      <c r="I1004" s="39" t="str">
        <f t="shared" si="76"/>
        <v/>
      </c>
      <c r="J1004" s="46" t="str">
        <f t="shared" si="77"/>
        <v/>
      </c>
      <c r="K1004" s="46" t="str">
        <f t="shared" si="78"/>
        <v/>
      </c>
      <c r="L1004" s="46" t="str">
        <f t="shared" si="79"/>
        <v/>
      </c>
      <c r="M1004" s="35" t="str">
        <f>IF(B1004="","",IF(E1004="KXDDM","KXDDM – không ĐM",IF(E1004&lt;&gt;"","Không KT ("&amp;E1004&amp;")",IF(OR(K1004="",L1004=""),"Xem xét",IF(MAX(ABS(K1004),ABS(L1004))&lt;=ThongTin!$C$12,"OK","Xem xét")))))</f>
        <v/>
      </c>
    </row>
  </sheetData>
  <sheetProtection password="D0B3" sheet="1" objects="1" scenarios="1" formatColumns="0" formatRows="0" autoFilter="0"/>
  <conditionalFormatting sqref="M5:M1004">
    <cfRule type="cellIs" dxfId="45" priority="1" operator="equal">
      <formula>"Pass"</formula>
    </cfRule>
    <cfRule type="cellIs" dxfId="44" priority="2" operator="equal">
      <formula>"Khớp"</formula>
    </cfRule>
    <cfRule type="cellIs" dxfId="43" priority="3" operator="equal">
      <formula>"OK"</formula>
    </cfRule>
    <cfRule type="cellIs" dxfId="42" priority="4" operator="equal">
      <formula>"Xem xét"</formula>
    </cfRule>
    <cfRule type="cellIs" dxfId="41" priority="5" operator="equal">
      <formula>"Lệch"</formula>
    </cfRule>
  </conditionalFormatting>
  <hyperlinks>
    <hyperlink ref="A3" r:id="rId1" xr:uid="{00000000-0004-0000-11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0AD47"/>
  </sheetPr>
  <dimension ref="A1:S307"/>
  <sheetViews>
    <sheetView showGridLines="0" workbookViewId="0">
      <pane xSplit="4" ySplit="7" topLeftCell="E8" activePane="bottomRight" state="frozen"/>
      <selection pane="topRight"/>
      <selection pane="bottomLeft"/>
      <selection pane="bottomRight"/>
    </sheetView>
  </sheetViews>
  <sheetFormatPr defaultRowHeight="14.4" x14ac:dyDescent="0.25"/>
  <cols>
    <col min="1" max="1" width="5" customWidth="1"/>
    <col min="2" max="2" width="11" customWidth="1"/>
    <col min="3" max="3" width="28" customWidth="1"/>
    <col min="4" max="4" width="8" customWidth="1"/>
    <col min="5" max="7" width="13" customWidth="1"/>
    <col min="8" max="8" width="11" customWidth="1"/>
    <col min="9" max="11" width="13" customWidth="1"/>
    <col min="12" max="12" width="11" customWidth="1"/>
    <col min="13" max="16" width="13" customWidth="1"/>
    <col min="17" max="17" width="11" customWidth="1"/>
    <col min="18" max="18" width="12" customWidth="1"/>
    <col min="19" max="19" width="75" customWidth="1"/>
  </cols>
  <sheetData>
    <row r="1" spans="1:19" ht="17.55" x14ac:dyDescent="0.3">
      <c r="A1" s="1" t="s">
        <v>393</v>
      </c>
    </row>
    <row r="2" spans="1:19" ht="30.05" customHeight="1" x14ac:dyDescent="0.25">
      <c r="A2" s="17" t="s">
        <v>394</v>
      </c>
    </row>
    <row r="3" spans="1:19" x14ac:dyDescent="0.25">
      <c r="A3" s="28" t="s">
        <v>4</v>
      </c>
    </row>
    <row r="4" spans="1:19" x14ac:dyDescent="0.25">
      <c r="A4" s="9" t="s">
        <v>395</v>
      </c>
      <c r="B4" s="43" t="str">
        <f>"Khớp: "&amp;COUNTIF(R8:R307,"Khớp")&amp;"   |   Giải trình: "&amp;COUNTIF(R8:R307,"Giải trình")&amp;"   |   Cảnh báo: "&amp;COUNTIF(R8:R307,"Cảnh báo")&amp;"   |   Lỗi: "&amp;COUNTIF(R8:R307,"Lỗi")&amp;"   (trên "&amp;COUNT(A8:A307)&amp;" mã)"</f>
        <v>Khớp: 4   |   Giải trình: 1   |   Cảnh báo: 1   |   Lỗi: 0   (trên 6 mã)</v>
      </c>
    </row>
    <row r="6" spans="1:19" ht="34" customHeight="1" x14ac:dyDescent="0.25">
      <c r="A6" s="67" t="s">
        <v>298</v>
      </c>
      <c r="B6" s="67" t="s">
        <v>396</v>
      </c>
      <c r="C6" s="67" t="s">
        <v>397</v>
      </c>
      <c r="D6" s="67" t="s">
        <v>377</v>
      </c>
      <c r="E6" s="67" t="s">
        <v>398</v>
      </c>
      <c r="F6" s="61"/>
      <c r="G6" s="61"/>
      <c r="H6" s="62"/>
      <c r="I6" s="67" t="s">
        <v>399</v>
      </c>
      <c r="J6" s="61"/>
      <c r="K6" s="61"/>
      <c r="L6" s="62"/>
      <c r="M6" s="67" t="s">
        <v>400</v>
      </c>
      <c r="N6" s="61"/>
      <c r="O6" s="61"/>
      <c r="P6" s="61"/>
      <c r="Q6" s="62"/>
      <c r="R6" s="67" t="s">
        <v>401</v>
      </c>
      <c r="S6" s="67" t="s">
        <v>402</v>
      </c>
    </row>
    <row r="7" spans="1:19" ht="58.1" customHeight="1" x14ac:dyDescent="0.25">
      <c r="A7" s="55"/>
      <c r="B7" s="55"/>
      <c r="C7" s="55"/>
      <c r="D7" s="55"/>
      <c r="E7" s="18" t="s">
        <v>403</v>
      </c>
      <c r="F7" s="18" t="s">
        <v>404</v>
      </c>
      <c r="G7" s="18" t="s">
        <v>405</v>
      </c>
      <c r="H7" s="18" t="s">
        <v>311</v>
      </c>
      <c r="I7" s="18" t="s">
        <v>406</v>
      </c>
      <c r="J7" s="18" t="s">
        <v>407</v>
      </c>
      <c r="K7" s="18" t="s">
        <v>405</v>
      </c>
      <c r="L7" s="18" t="s">
        <v>311</v>
      </c>
      <c r="M7" s="18" t="s">
        <v>408</v>
      </c>
      <c r="N7" s="18" t="s">
        <v>409</v>
      </c>
      <c r="O7" s="18" t="s">
        <v>405</v>
      </c>
      <c r="P7" s="18" t="s">
        <v>410</v>
      </c>
      <c r="Q7" s="18" t="s">
        <v>311</v>
      </c>
      <c r="R7" s="55"/>
      <c r="S7" s="55"/>
    </row>
    <row r="8" spans="1:19" x14ac:dyDescent="0.25">
      <c r="A8" s="36">
        <f>IF(B8="","",1)</f>
        <v>1</v>
      </c>
      <c r="B8" s="36" t="str">
        <f>'Mau15'!B11&amp;""</f>
        <v>VAI01</v>
      </c>
      <c r="C8" s="47" t="str">
        <f>IF(B8="","",'Mau15'!C11)</f>
        <v>Vải chính 100% polyester</v>
      </c>
      <c r="D8" s="36" t="str">
        <f>IF(B8="","",'Mau15'!D11)</f>
        <v>MTR</v>
      </c>
      <c r="E8" s="48">
        <f>IF($B8="","",'Mau15'!P11)</f>
        <v>35000</v>
      </c>
      <c r="F8" s="48">
        <f>IF($B8="","",'Mau15'!F11)</f>
        <v>35000</v>
      </c>
      <c r="G8" s="48">
        <f t="shared" ref="G8:G71" si="0">IF($B8="","",N(E8)-N(F8))</f>
        <v>0</v>
      </c>
      <c r="H8" s="49" t="str">
        <f t="shared" ref="H8:H71" si="1">IF($B8="","",IF(ABS(G8)&lt;0.000001,"Khớp","Giải trình"))</f>
        <v>Khớp</v>
      </c>
      <c r="I8" s="48">
        <f>IF($B8="","",'Mau15'!K11)</f>
        <v>5600</v>
      </c>
      <c r="J8" s="48">
        <f>IF($B8="","",'Mau15'!M11)</f>
        <v>5600</v>
      </c>
      <c r="K8" s="48">
        <f t="shared" ref="K8:K71" si="2">IF($B8="","",N(I8)-N(J8))</f>
        <v>0</v>
      </c>
      <c r="L8" s="49" t="str">
        <f t="shared" ref="L8:L71" si="3">IF($B8="","",IF(ABS(K8)&lt;0.000001,"Khớp","Lỗi"))</f>
        <v>Khớp</v>
      </c>
      <c r="M8" s="48">
        <f>IF($B8="","",KT_nguoc_theo_NL!J5)</f>
        <v>36200</v>
      </c>
      <c r="N8" s="48">
        <f>IF($B8="","",KT_nguoc_theo_NL!K5)</f>
        <v>36153</v>
      </c>
      <c r="O8" s="48">
        <f t="shared" ref="O8:O71" si="4">IF($B8="","",N(M8)-N(N8))</f>
        <v>47</v>
      </c>
      <c r="P8" s="50">
        <f t="shared" ref="P8:P71" si="5">IF($B8="","",IF(N(N8)=0,"",O8/N8))</f>
        <v>1.3000304262440186E-3</v>
      </c>
      <c r="Q8" s="49" t="str">
        <f>IF($B8="","",IF(KT_nguoc_theo_NL!N5="Pass","Khớp",IF(KT_nguoc_theo_NL!N5="KXDDM","KXĐM",IF(KT_nguoc_theo_NL!N5="Xem xét","Cảnh báo",""))))</f>
        <v>Khớp</v>
      </c>
      <c r="R8" s="49" t="str">
        <f t="shared" ref="R8:R71" si="6">IF(B8="","",IF(COUNTIF(H8:Q8,"Lỗi")&gt;0,"Lỗi",IF(COUNTIF(H8:Q8,"Cảnh báo")&gt;0,"Cảnh báo",IF(COUNTIF(H8:Q8,"Giải trình")&gt;0,"Giải trình","Khớp"))))</f>
        <v>Khớp</v>
      </c>
      <c r="S8" s="31" t="str">
        <f t="shared" ref="S8:S71" si="7">IF(B8="","",IF(G8&gt;0,"Nhập: tờ khai nhiều hơn nhập kho "&amp;TEXT(G8,IF(MOD(G8,1)=0,"#,##0","#,##0.######"))&amp;" – hàng đã thông quan chưa nhập kho (đi đường), ghi cột (12) Mẫu 15; ","")&amp;IF(G8&lt;0,"Nhập: nhập kho nhiều hơn tờ khai "&amp;TEXT(ABS(G8),IF(MOD(ABS(G8),1)=0,"#,##0","#,##0.######"))&amp;" – NL từ HĐ gia công khác chuyển sang, nhập lại sau gia công lại, DNCX mua nội địa không làm thủ tục, hoặc tờ khai kỳ trước – rà soát và ghi chú; ","")&amp;IF(N(K8)&lt;&gt;0,"Tồn cuối lệch sổ kho/kiểm kê "&amp;TEXT(K8,IF(MOD(K8,1)=0,"#,##0","#,##0.######"))&amp;" – rà soát cột (5)–(10) hoặc số kiểm kê; ","")&amp;IF(Q8="Cảnh báo","Định mức: NL thực tế dùng lệch "&amp;TEXT(P8,"0.0%")&amp;" so với Σ SX × ĐMTT – rà ĐMTT Mẫu 16, dở dang/tồn chuyền, NL nguồn khác (sheet Cau_noi); ","")&amp;IF(Q8="KXĐM","Vật tư không xây dựng được định mức – chỉ theo dõi nhập - xuất - tồn; ",""))</f>
        <v/>
      </c>
    </row>
    <row r="9" spans="1:19" x14ac:dyDescent="0.25">
      <c r="A9" s="36">
        <f>IF(B9="","",2)</f>
        <v>2</v>
      </c>
      <c r="B9" s="36" t="str">
        <f>'Mau15'!B12&amp;""</f>
        <v>CHI01</v>
      </c>
      <c r="C9" s="47" t="str">
        <f>IF(B9="","",'Mau15'!C12)</f>
        <v>Chỉ may</v>
      </c>
      <c r="D9" s="36" t="str">
        <f>IF(B9="","",'Mau15'!D12)</f>
        <v>MTR</v>
      </c>
      <c r="E9" s="48">
        <f>IF($B9="","",'Mau15'!P12)</f>
        <v>2200000</v>
      </c>
      <c r="F9" s="48">
        <f>IF($B9="","",'Mau15'!F12)</f>
        <v>2200000</v>
      </c>
      <c r="G9" s="48">
        <f t="shared" si="0"/>
        <v>0</v>
      </c>
      <c r="H9" s="49" t="str">
        <f t="shared" si="1"/>
        <v>Khớp</v>
      </c>
      <c r="I9" s="48">
        <f>IF($B9="","",'Mau15'!K12)</f>
        <v>90000</v>
      </c>
      <c r="J9" s="48">
        <f>IF($B9="","",'Mau15'!M12)</f>
        <v>90000</v>
      </c>
      <c r="K9" s="48">
        <f t="shared" si="2"/>
        <v>0</v>
      </c>
      <c r="L9" s="49" t="str">
        <f t="shared" si="3"/>
        <v>Khớp</v>
      </c>
      <c r="M9" s="48">
        <f>IF($B9="","",KT_nguoc_theo_NL!J6)</f>
        <v>2405000</v>
      </c>
      <c r="N9" s="48">
        <f>IF($B9="","",KT_nguoc_theo_NL!K6)</f>
        <v>2404500</v>
      </c>
      <c r="O9" s="48">
        <f t="shared" si="4"/>
        <v>500</v>
      </c>
      <c r="P9" s="50">
        <f t="shared" si="5"/>
        <v>2.0794343938448741E-4</v>
      </c>
      <c r="Q9" s="49" t="str">
        <f>IF($B9="","",IF(KT_nguoc_theo_NL!N6="Pass","Khớp",IF(KT_nguoc_theo_NL!N6="KXDDM","KXĐM",IF(KT_nguoc_theo_NL!N6="Xem xét","Cảnh báo",""))))</f>
        <v>Khớp</v>
      </c>
      <c r="R9" s="49" t="str">
        <f t="shared" si="6"/>
        <v>Khớp</v>
      </c>
      <c r="S9" s="31" t="str">
        <f t="shared" si="7"/>
        <v/>
      </c>
    </row>
    <row r="10" spans="1:19" x14ac:dyDescent="0.25">
      <c r="A10" s="36">
        <f>IF(B10="","",3)</f>
        <v>3</v>
      </c>
      <c r="B10" s="36" t="str">
        <f>'Mau15'!B13&amp;""</f>
        <v>NUT01</v>
      </c>
      <c r="C10" s="47" t="str">
        <f>IF(B10="","",'Mau15'!C13)</f>
        <v>Nút nhựa</v>
      </c>
      <c r="D10" s="36" t="str">
        <f>IF(B10="","",'Mau15'!D13)</f>
        <v>PCE</v>
      </c>
      <c r="E10" s="48">
        <f>IF($B10="","",'Mau15'!P13)</f>
        <v>75000</v>
      </c>
      <c r="F10" s="48">
        <f>IF($B10="","",'Mau15'!F13)</f>
        <v>75000</v>
      </c>
      <c r="G10" s="48">
        <f t="shared" si="0"/>
        <v>0</v>
      </c>
      <c r="H10" s="49" t="str">
        <f t="shared" si="1"/>
        <v>Khớp</v>
      </c>
      <c r="I10" s="48">
        <f>IF($B10="","",'Mau15'!K13)</f>
        <v>5500</v>
      </c>
      <c r="J10" s="48">
        <f>IF($B10="","",'Mau15'!M13)</f>
        <v>5500</v>
      </c>
      <c r="K10" s="48">
        <f t="shared" si="2"/>
        <v>0</v>
      </c>
      <c r="L10" s="49" t="str">
        <f t="shared" si="3"/>
        <v>Khớp</v>
      </c>
      <c r="M10" s="48">
        <f>IF($B10="","",KT_nguoc_theo_NL!J7)</f>
        <v>79000</v>
      </c>
      <c r="N10" s="48">
        <f>IF($B10="","",KT_nguoc_theo_NL!K7)</f>
        <v>77520</v>
      </c>
      <c r="O10" s="48">
        <f t="shared" si="4"/>
        <v>1480</v>
      </c>
      <c r="P10" s="50">
        <f t="shared" si="5"/>
        <v>1.9091847265221878E-2</v>
      </c>
      <c r="Q10" s="49" t="str">
        <f>IF($B10="","",IF(KT_nguoc_theo_NL!N7="Pass","Khớp",IF(KT_nguoc_theo_NL!N7="KXDDM","KXĐM",IF(KT_nguoc_theo_NL!N7="Xem xét","Cảnh báo",""))))</f>
        <v>Cảnh báo</v>
      </c>
      <c r="R10" s="49" t="str">
        <f t="shared" si="6"/>
        <v>Cảnh báo</v>
      </c>
      <c r="S10" s="31" t="str">
        <f t="shared" si="7"/>
        <v xml:space="preserve">Định mức: NL thực tế dùng lệch 1.9% so với Σ SX × ĐMTT – rà ĐMTT Mẫu 16, dở dang/tồn chuyền, NL nguồn khác (sheet Cau_noi); </v>
      </c>
    </row>
    <row r="11" spans="1:19" x14ac:dyDescent="0.25">
      <c r="A11" s="36">
        <f>IF(B11="","",4)</f>
        <v>4</v>
      </c>
      <c r="B11" s="36" t="str">
        <f>'Mau15'!B14&amp;""</f>
        <v>KHOA01</v>
      </c>
      <c r="C11" s="47" t="str">
        <f>IF(B11="","",'Mau15'!C14)</f>
        <v>Khóa kéo</v>
      </c>
      <c r="D11" s="36" t="str">
        <f>IF(B11="","",'Mau15'!D14)</f>
        <v>PCE</v>
      </c>
      <c r="E11" s="48">
        <f>IF($B11="","",'Mau15'!P14)</f>
        <v>22000</v>
      </c>
      <c r="F11" s="48">
        <f>IF($B11="","",'Mau15'!F14)</f>
        <v>22000</v>
      </c>
      <c r="G11" s="48">
        <f t="shared" si="0"/>
        <v>0</v>
      </c>
      <c r="H11" s="49" t="str">
        <f t="shared" si="1"/>
        <v>Khớp</v>
      </c>
      <c r="I11" s="48">
        <f>IF($B11="","",'Mau15'!K14)</f>
        <v>1670</v>
      </c>
      <c r="J11" s="48">
        <f>IF($B11="","",'Mau15'!M14)</f>
        <v>1670</v>
      </c>
      <c r="K11" s="48">
        <f t="shared" si="2"/>
        <v>0</v>
      </c>
      <c r="L11" s="49" t="str">
        <f t="shared" si="3"/>
        <v>Khớp</v>
      </c>
      <c r="M11" s="48">
        <f>IF($B11="","",KT_nguoc_theo_NL!J8)</f>
        <v>23230</v>
      </c>
      <c r="N11" s="48">
        <f>IF($B11="","",KT_nguoc_theo_NL!K8)</f>
        <v>23230</v>
      </c>
      <c r="O11" s="48">
        <f t="shared" si="4"/>
        <v>0</v>
      </c>
      <c r="P11" s="50">
        <f t="shared" si="5"/>
        <v>0</v>
      </c>
      <c r="Q11" s="49" t="str">
        <f>IF($B11="","",IF(KT_nguoc_theo_NL!N8="Pass","Khớp",IF(KT_nguoc_theo_NL!N8="KXDDM","KXĐM",IF(KT_nguoc_theo_NL!N8="Xem xét","Cảnh báo",""))))</f>
        <v>Khớp</v>
      </c>
      <c r="R11" s="49" t="str">
        <f t="shared" si="6"/>
        <v>Khớp</v>
      </c>
      <c r="S11" s="31" t="str">
        <f t="shared" si="7"/>
        <v/>
      </c>
    </row>
    <row r="12" spans="1:19" x14ac:dyDescent="0.25">
      <c r="A12" s="36">
        <f>IF(B12="","",5)</f>
        <v>5</v>
      </c>
      <c r="B12" s="36" t="str">
        <f>'Mau15'!B15&amp;""</f>
        <v>NHAN01</v>
      </c>
      <c r="C12" s="47" t="str">
        <f>IF(B12="","",'Mau15'!C15)</f>
        <v>Nhãn vải</v>
      </c>
      <c r="D12" s="36" t="str">
        <f>IF(B12="","",'Mau15'!D15)</f>
        <v>PCE</v>
      </c>
      <c r="E12" s="48">
        <f>IF($B12="","",'Mau15'!P15)</f>
        <v>32000</v>
      </c>
      <c r="F12" s="48">
        <f>IF($B12="","",'Mau15'!F15)</f>
        <v>30000</v>
      </c>
      <c r="G12" s="48">
        <f t="shared" si="0"/>
        <v>2000</v>
      </c>
      <c r="H12" s="49" t="str">
        <f t="shared" si="1"/>
        <v>Giải trình</v>
      </c>
      <c r="I12" s="48">
        <f>IF($B12="","",'Mau15'!K15)</f>
        <v>650</v>
      </c>
      <c r="J12" s="48">
        <f>IF($B12="","",'Mau15'!M15)</f>
        <v>650</v>
      </c>
      <c r="K12" s="48">
        <f t="shared" si="2"/>
        <v>0</v>
      </c>
      <c r="L12" s="49" t="str">
        <f t="shared" si="3"/>
        <v>Khớp</v>
      </c>
      <c r="M12" s="48">
        <f>IF($B12="","",KT_nguoc_theo_NL!J9)</f>
        <v>33350</v>
      </c>
      <c r="N12" s="48">
        <f>IF($B12="","",KT_nguoc_theo_NL!K9)</f>
        <v>33330</v>
      </c>
      <c r="O12" s="48">
        <f t="shared" si="4"/>
        <v>20</v>
      </c>
      <c r="P12" s="50">
        <f t="shared" si="5"/>
        <v>6.0006000600060011E-4</v>
      </c>
      <c r="Q12" s="49" t="str">
        <f>IF($B12="","",IF(KT_nguoc_theo_NL!N9="Pass","Khớp",IF(KT_nguoc_theo_NL!N9="KXDDM","KXĐM",IF(KT_nguoc_theo_NL!N9="Xem xét","Cảnh báo",""))))</f>
        <v>Khớp</v>
      </c>
      <c r="R12" s="49" t="str">
        <f t="shared" si="6"/>
        <v>Giải trình</v>
      </c>
      <c r="S12" s="31" t="str">
        <f t="shared" si="7"/>
        <v xml:space="preserve">Nhập: tờ khai nhiều hơn nhập kho 2,000 – hàng đã thông quan chưa nhập kho (đi đường), ghi cột (12) Mẫu 15; </v>
      </c>
    </row>
    <row r="13" spans="1:19" x14ac:dyDescent="0.25">
      <c r="A13" s="36">
        <f>IF(B13="","",6)</f>
        <v>6</v>
      </c>
      <c r="B13" s="36" t="str">
        <f>'Mau15'!B16&amp;""</f>
        <v>PHAN01</v>
      </c>
      <c r="C13" s="47" t="str">
        <f>IF(B13="","",'Mau15'!C16)</f>
        <v>Phấn vẽ rập</v>
      </c>
      <c r="D13" s="36" t="str">
        <f>IF(B13="","",'Mau15'!D16)</f>
        <v>Viên</v>
      </c>
      <c r="E13" s="48">
        <f>IF($B13="","",'Mau15'!P16)</f>
        <v>1000</v>
      </c>
      <c r="F13" s="48">
        <f>IF($B13="","",'Mau15'!F16)</f>
        <v>1000</v>
      </c>
      <c r="G13" s="48">
        <f t="shared" si="0"/>
        <v>0</v>
      </c>
      <c r="H13" s="49" t="str">
        <f t="shared" si="1"/>
        <v>Khớp</v>
      </c>
      <c r="I13" s="48">
        <f>IF($B13="","",'Mau15'!K16)</f>
        <v>300</v>
      </c>
      <c r="J13" s="48">
        <f>IF($B13="","",'Mau15'!M16)</f>
        <v>300</v>
      </c>
      <c r="K13" s="48">
        <f t="shared" si="2"/>
        <v>0</v>
      </c>
      <c r="L13" s="49" t="str">
        <f t="shared" si="3"/>
        <v>Khớp</v>
      </c>
      <c r="M13" s="48">
        <f>IF($B13="","",KT_nguoc_theo_NL!J10)</f>
        <v>900</v>
      </c>
      <c r="N13" s="48">
        <f>IF($B13="","",KT_nguoc_theo_NL!K10)</f>
        <v>0</v>
      </c>
      <c r="O13" s="48">
        <f t="shared" si="4"/>
        <v>900</v>
      </c>
      <c r="P13" s="50" t="str">
        <f t="shared" si="5"/>
        <v/>
      </c>
      <c r="Q13" s="49" t="str">
        <f>IF($B13="","",IF(KT_nguoc_theo_NL!N10="Pass","Khớp",IF(KT_nguoc_theo_NL!N10="KXDDM","KXĐM",IF(KT_nguoc_theo_NL!N10="Xem xét","Cảnh báo",""))))</f>
        <v>KXĐM</v>
      </c>
      <c r="R13" s="49" t="str">
        <f t="shared" si="6"/>
        <v>Khớp</v>
      </c>
      <c r="S13" s="31" t="str">
        <f t="shared" si="7"/>
        <v xml:space="preserve">Vật tư không xây dựng được định mức – chỉ theo dõi nhập - xuất - tồn; </v>
      </c>
    </row>
    <row r="14" spans="1:19" x14ac:dyDescent="0.25">
      <c r="A14" s="36" t="str">
        <f>IF(B14="","",7)</f>
        <v/>
      </c>
      <c r="B14" s="36" t="str">
        <f>'Mau15'!B17&amp;""</f>
        <v/>
      </c>
      <c r="C14" s="47" t="str">
        <f>IF(B14="","",'Mau15'!C17)</f>
        <v/>
      </c>
      <c r="D14" s="36" t="str">
        <f>IF(B14="","",'Mau15'!D17)</f>
        <v/>
      </c>
      <c r="E14" s="48" t="str">
        <f>IF($B14="","",'Mau15'!P17)</f>
        <v/>
      </c>
      <c r="F14" s="48" t="str">
        <f>IF($B14="","",'Mau15'!F17)</f>
        <v/>
      </c>
      <c r="G14" s="48" t="str">
        <f t="shared" si="0"/>
        <v/>
      </c>
      <c r="H14" s="49" t="str">
        <f t="shared" si="1"/>
        <v/>
      </c>
      <c r="I14" s="48" t="str">
        <f>IF($B14="","",'Mau15'!K17)</f>
        <v/>
      </c>
      <c r="J14" s="48" t="str">
        <f>IF($B14="","",'Mau15'!M17)</f>
        <v/>
      </c>
      <c r="K14" s="48" t="str">
        <f t="shared" si="2"/>
        <v/>
      </c>
      <c r="L14" s="49" t="str">
        <f t="shared" si="3"/>
        <v/>
      </c>
      <c r="M14" s="48" t="str">
        <f>IF($B14="","",KT_nguoc_theo_NL!J11)</f>
        <v/>
      </c>
      <c r="N14" s="48" t="str">
        <f>IF($B14="","",KT_nguoc_theo_NL!K11)</f>
        <v/>
      </c>
      <c r="O14" s="48" t="str">
        <f t="shared" si="4"/>
        <v/>
      </c>
      <c r="P14" s="50" t="str">
        <f t="shared" si="5"/>
        <v/>
      </c>
      <c r="Q14" s="49" t="str">
        <f>IF($B14="","",IF(KT_nguoc_theo_NL!N11="Pass","Khớp",IF(KT_nguoc_theo_NL!N11="KXDDM","KXĐM",IF(KT_nguoc_theo_NL!N11="Xem xét","Cảnh báo",""))))</f>
        <v/>
      </c>
      <c r="R14" s="49" t="str">
        <f t="shared" si="6"/>
        <v/>
      </c>
      <c r="S14" s="31" t="str">
        <f t="shared" si="7"/>
        <v/>
      </c>
    </row>
    <row r="15" spans="1:19" x14ac:dyDescent="0.25">
      <c r="A15" s="36" t="str">
        <f>IF(B15="","",8)</f>
        <v/>
      </c>
      <c r="B15" s="36" t="str">
        <f>'Mau15'!B18&amp;""</f>
        <v/>
      </c>
      <c r="C15" s="47" t="str">
        <f>IF(B15="","",'Mau15'!C18)</f>
        <v/>
      </c>
      <c r="D15" s="36" t="str">
        <f>IF(B15="","",'Mau15'!D18)</f>
        <v/>
      </c>
      <c r="E15" s="48" t="str">
        <f>IF($B15="","",'Mau15'!P18)</f>
        <v/>
      </c>
      <c r="F15" s="48" t="str">
        <f>IF($B15="","",'Mau15'!F18)</f>
        <v/>
      </c>
      <c r="G15" s="48" t="str">
        <f t="shared" si="0"/>
        <v/>
      </c>
      <c r="H15" s="49" t="str">
        <f t="shared" si="1"/>
        <v/>
      </c>
      <c r="I15" s="48" t="str">
        <f>IF($B15="","",'Mau15'!K18)</f>
        <v/>
      </c>
      <c r="J15" s="48" t="str">
        <f>IF($B15="","",'Mau15'!M18)</f>
        <v/>
      </c>
      <c r="K15" s="48" t="str">
        <f t="shared" si="2"/>
        <v/>
      </c>
      <c r="L15" s="49" t="str">
        <f t="shared" si="3"/>
        <v/>
      </c>
      <c r="M15" s="48" t="str">
        <f>IF($B15="","",KT_nguoc_theo_NL!J12)</f>
        <v/>
      </c>
      <c r="N15" s="48" t="str">
        <f>IF($B15="","",KT_nguoc_theo_NL!K12)</f>
        <v/>
      </c>
      <c r="O15" s="48" t="str">
        <f t="shared" si="4"/>
        <v/>
      </c>
      <c r="P15" s="50" t="str">
        <f t="shared" si="5"/>
        <v/>
      </c>
      <c r="Q15" s="49" t="str">
        <f>IF($B15="","",IF(KT_nguoc_theo_NL!N12="Pass","Khớp",IF(KT_nguoc_theo_NL!N12="KXDDM","KXĐM",IF(KT_nguoc_theo_NL!N12="Xem xét","Cảnh báo",""))))</f>
        <v/>
      </c>
      <c r="R15" s="49" t="str">
        <f t="shared" si="6"/>
        <v/>
      </c>
      <c r="S15" s="31" t="str">
        <f t="shared" si="7"/>
        <v/>
      </c>
    </row>
    <row r="16" spans="1:19" x14ac:dyDescent="0.25">
      <c r="A16" s="36" t="str">
        <f>IF(B16="","",9)</f>
        <v/>
      </c>
      <c r="B16" s="36" t="str">
        <f>'Mau15'!B19&amp;""</f>
        <v/>
      </c>
      <c r="C16" s="47" t="str">
        <f>IF(B16="","",'Mau15'!C19)</f>
        <v/>
      </c>
      <c r="D16" s="36" t="str">
        <f>IF(B16="","",'Mau15'!D19)</f>
        <v/>
      </c>
      <c r="E16" s="48" t="str">
        <f>IF($B16="","",'Mau15'!P19)</f>
        <v/>
      </c>
      <c r="F16" s="48" t="str">
        <f>IF($B16="","",'Mau15'!F19)</f>
        <v/>
      </c>
      <c r="G16" s="48" t="str">
        <f t="shared" si="0"/>
        <v/>
      </c>
      <c r="H16" s="49" t="str">
        <f t="shared" si="1"/>
        <v/>
      </c>
      <c r="I16" s="48" t="str">
        <f>IF($B16="","",'Mau15'!K19)</f>
        <v/>
      </c>
      <c r="J16" s="48" t="str">
        <f>IF($B16="","",'Mau15'!M19)</f>
        <v/>
      </c>
      <c r="K16" s="48" t="str">
        <f t="shared" si="2"/>
        <v/>
      </c>
      <c r="L16" s="49" t="str">
        <f t="shared" si="3"/>
        <v/>
      </c>
      <c r="M16" s="48" t="str">
        <f>IF($B16="","",KT_nguoc_theo_NL!J13)</f>
        <v/>
      </c>
      <c r="N16" s="48" t="str">
        <f>IF($B16="","",KT_nguoc_theo_NL!K13)</f>
        <v/>
      </c>
      <c r="O16" s="48" t="str">
        <f t="shared" si="4"/>
        <v/>
      </c>
      <c r="P16" s="50" t="str">
        <f t="shared" si="5"/>
        <v/>
      </c>
      <c r="Q16" s="49" t="str">
        <f>IF($B16="","",IF(KT_nguoc_theo_NL!N13="Pass","Khớp",IF(KT_nguoc_theo_NL!N13="KXDDM","KXĐM",IF(KT_nguoc_theo_NL!N13="Xem xét","Cảnh báo",""))))</f>
        <v/>
      </c>
      <c r="R16" s="49" t="str">
        <f t="shared" si="6"/>
        <v/>
      </c>
      <c r="S16" s="31" t="str">
        <f t="shared" si="7"/>
        <v/>
      </c>
    </row>
    <row r="17" spans="1:19" x14ac:dyDescent="0.25">
      <c r="A17" s="36" t="str">
        <f>IF(B17="","",10)</f>
        <v/>
      </c>
      <c r="B17" s="36" t="str">
        <f>'Mau15'!B20&amp;""</f>
        <v/>
      </c>
      <c r="C17" s="47" t="str">
        <f>IF(B17="","",'Mau15'!C20)</f>
        <v/>
      </c>
      <c r="D17" s="36" t="str">
        <f>IF(B17="","",'Mau15'!D20)</f>
        <v/>
      </c>
      <c r="E17" s="48" t="str">
        <f>IF($B17="","",'Mau15'!P20)</f>
        <v/>
      </c>
      <c r="F17" s="48" t="str">
        <f>IF($B17="","",'Mau15'!F20)</f>
        <v/>
      </c>
      <c r="G17" s="48" t="str">
        <f t="shared" si="0"/>
        <v/>
      </c>
      <c r="H17" s="49" t="str">
        <f t="shared" si="1"/>
        <v/>
      </c>
      <c r="I17" s="48" t="str">
        <f>IF($B17="","",'Mau15'!K20)</f>
        <v/>
      </c>
      <c r="J17" s="48" t="str">
        <f>IF($B17="","",'Mau15'!M20)</f>
        <v/>
      </c>
      <c r="K17" s="48" t="str">
        <f t="shared" si="2"/>
        <v/>
      </c>
      <c r="L17" s="49" t="str">
        <f t="shared" si="3"/>
        <v/>
      </c>
      <c r="M17" s="48" t="str">
        <f>IF($B17="","",KT_nguoc_theo_NL!J14)</f>
        <v/>
      </c>
      <c r="N17" s="48" t="str">
        <f>IF($B17="","",KT_nguoc_theo_NL!K14)</f>
        <v/>
      </c>
      <c r="O17" s="48" t="str">
        <f t="shared" si="4"/>
        <v/>
      </c>
      <c r="P17" s="50" t="str">
        <f t="shared" si="5"/>
        <v/>
      </c>
      <c r="Q17" s="49" t="str">
        <f>IF($B17="","",IF(KT_nguoc_theo_NL!N14="Pass","Khớp",IF(KT_nguoc_theo_NL!N14="KXDDM","KXĐM",IF(KT_nguoc_theo_NL!N14="Xem xét","Cảnh báo",""))))</f>
        <v/>
      </c>
      <c r="R17" s="49" t="str">
        <f t="shared" si="6"/>
        <v/>
      </c>
      <c r="S17" s="31" t="str">
        <f t="shared" si="7"/>
        <v/>
      </c>
    </row>
    <row r="18" spans="1:19" x14ac:dyDescent="0.25">
      <c r="A18" s="36" t="str">
        <f>IF(B18="","",11)</f>
        <v/>
      </c>
      <c r="B18" s="36" t="str">
        <f>'Mau15'!B21&amp;""</f>
        <v/>
      </c>
      <c r="C18" s="47" t="str">
        <f>IF(B18="","",'Mau15'!C21)</f>
        <v/>
      </c>
      <c r="D18" s="36" t="str">
        <f>IF(B18="","",'Mau15'!D21)</f>
        <v/>
      </c>
      <c r="E18" s="48" t="str">
        <f>IF($B18="","",'Mau15'!P21)</f>
        <v/>
      </c>
      <c r="F18" s="48" t="str">
        <f>IF($B18="","",'Mau15'!F21)</f>
        <v/>
      </c>
      <c r="G18" s="48" t="str">
        <f t="shared" si="0"/>
        <v/>
      </c>
      <c r="H18" s="49" t="str">
        <f t="shared" si="1"/>
        <v/>
      </c>
      <c r="I18" s="48" t="str">
        <f>IF($B18="","",'Mau15'!K21)</f>
        <v/>
      </c>
      <c r="J18" s="48" t="str">
        <f>IF($B18="","",'Mau15'!M21)</f>
        <v/>
      </c>
      <c r="K18" s="48" t="str">
        <f t="shared" si="2"/>
        <v/>
      </c>
      <c r="L18" s="49" t="str">
        <f t="shared" si="3"/>
        <v/>
      </c>
      <c r="M18" s="48" t="str">
        <f>IF($B18="","",KT_nguoc_theo_NL!J15)</f>
        <v/>
      </c>
      <c r="N18" s="48" t="str">
        <f>IF($B18="","",KT_nguoc_theo_NL!K15)</f>
        <v/>
      </c>
      <c r="O18" s="48" t="str">
        <f t="shared" si="4"/>
        <v/>
      </c>
      <c r="P18" s="50" t="str">
        <f t="shared" si="5"/>
        <v/>
      </c>
      <c r="Q18" s="49" t="str">
        <f>IF($B18="","",IF(KT_nguoc_theo_NL!N15="Pass","Khớp",IF(KT_nguoc_theo_NL!N15="KXDDM","KXĐM",IF(KT_nguoc_theo_NL!N15="Xem xét","Cảnh báo",""))))</f>
        <v/>
      </c>
      <c r="R18" s="49" t="str">
        <f t="shared" si="6"/>
        <v/>
      </c>
      <c r="S18" s="31" t="str">
        <f t="shared" si="7"/>
        <v/>
      </c>
    </row>
    <row r="19" spans="1:19" x14ac:dyDescent="0.25">
      <c r="A19" s="36" t="str">
        <f>IF(B19="","",12)</f>
        <v/>
      </c>
      <c r="B19" s="36" t="str">
        <f>'Mau15'!B22&amp;""</f>
        <v/>
      </c>
      <c r="C19" s="47" t="str">
        <f>IF(B19="","",'Mau15'!C22)</f>
        <v/>
      </c>
      <c r="D19" s="36" t="str">
        <f>IF(B19="","",'Mau15'!D22)</f>
        <v/>
      </c>
      <c r="E19" s="48" t="str">
        <f>IF($B19="","",'Mau15'!P22)</f>
        <v/>
      </c>
      <c r="F19" s="48" t="str">
        <f>IF($B19="","",'Mau15'!F22)</f>
        <v/>
      </c>
      <c r="G19" s="48" t="str">
        <f t="shared" si="0"/>
        <v/>
      </c>
      <c r="H19" s="49" t="str">
        <f t="shared" si="1"/>
        <v/>
      </c>
      <c r="I19" s="48" t="str">
        <f>IF($B19="","",'Mau15'!K22)</f>
        <v/>
      </c>
      <c r="J19" s="48" t="str">
        <f>IF($B19="","",'Mau15'!M22)</f>
        <v/>
      </c>
      <c r="K19" s="48" t="str">
        <f t="shared" si="2"/>
        <v/>
      </c>
      <c r="L19" s="49" t="str">
        <f t="shared" si="3"/>
        <v/>
      </c>
      <c r="M19" s="48" t="str">
        <f>IF($B19="","",KT_nguoc_theo_NL!J16)</f>
        <v/>
      </c>
      <c r="N19" s="48" t="str">
        <f>IF($B19="","",KT_nguoc_theo_NL!K16)</f>
        <v/>
      </c>
      <c r="O19" s="48" t="str">
        <f t="shared" si="4"/>
        <v/>
      </c>
      <c r="P19" s="50" t="str">
        <f t="shared" si="5"/>
        <v/>
      </c>
      <c r="Q19" s="49" t="str">
        <f>IF($B19="","",IF(KT_nguoc_theo_NL!N16="Pass","Khớp",IF(KT_nguoc_theo_NL!N16="KXDDM","KXĐM",IF(KT_nguoc_theo_NL!N16="Xem xét","Cảnh báo",""))))</f>
        <v/>
      </c>
      <c r="R19" s="49" t="str">
        <f t="shared" si="6"/>
        <v/>
      </c>
      <c r="S19" s="31" t="str">
        <f t="shared" si="7"/>
        <v/>
      </c>
    </row>
    <row r="20" spans="1:19" x14ac:dyDescent="0.25">
      <c r="A20" s="36" t="str">
        <f>IF(B20="","",13)</f>
        <v/>
      </c>
      <c r="B20" s="36" t="str">
        <f>'Mau15'!B23&amp;""</f>
        <v/>
      </c>
      <c r="C20" s="47" t="str">
        <f>IF(B20="","",'Mau15'!C23)</f>
        <v/>
      </c>
      <c r="D20" s="36" t="str">
        <f>IF(B20="","",'Mau15'!D23)</f>
        <v/>
      </c>
      <c r="E20" s="48" t="str">
        <f>IF($B20="","",'Mau15'!P23)</f>
        <v/>
      </c>
      <c r="F20" s="48" t="str">
        <f>IF($B20="","",'Mau15'!F23)</f>
        <v/>
      </c>
      <c r="G20" s="48" t="str">
        <f t="shared" si="0"/>
        <v/>
      </c>
      <c r="H20" s="49" t="str">
        <f t="shared" si="1"/>
        <v/>
      </c>
      <c r="I20" s="48" t="str">
        <f>IF($B20="","",'Mau15'!K23)</f>
        <v/>
      </c>
      <c r="J20" s="48" t="str">
        <f>IF($B20="","",'Mau15'!M23)</f>
        <v/>
      </c>
      <c r="K20" s="48" t="str">
        <f t="shared" si="2"/>
        <v/>
      </c>
      <c r="L20" s="49" t="str">
        <f t="shared" si="3"/>
        <v/>
      </c>
      <c r="M20" s="48" t="str">
        <f>IF($B20="","",KT_nguoc_theo_NL!J17)</f>
        <v/>
      </c>
      <c r="N20" s="48" t="str">
        <f>IF($B20="","",KT_nguoc_theo_NL!K17)</f>
        <v/>
      </c>
      <c r="O20" s="48" t="str">
        <f t="shared" si="4"/>
        <v/>
      </c>
      <c r="P20" s="50" t="str">
        <f t="shared" si="5"/>
        <v/>
      </c>
      <c r="Q20" s="49" t="str">
        <f>IF($B20="","",IF(KT_nguoc_theo_NL!N17="Pass","Khớp",IF(KT_nguoc_theo_NL!N17="KXDDM","KXĐM",IF(KT_nguoc_theo_NL!N17="Xem xét","Cảnh báo",""))))</f>
        <v/>
      </c>
      <c r="R20" s="49" t="str">
        <f t="shared" si="6"/>
        <v/>
      </c>
      <c r="S20" s="31" t="str">
        <f t="shared" si="7"/>
        <v/>
      </c>
    </row>
    <row r="21" spans="1:19" x14ac:dyDescent="0.25">
      <c r="A21" s="36" t="str">
        <f>IF(B21="","",14)</f>
        <v/>
      </c>
      <c r="B21" s="36" t="str">
        <f>'Mau15'!B24&amp;""</f>
        <v/>
      </c>
      <c r="C21" s="47" t="str">
        <f>IF(B21="","",'Mau15'!C24)</f>
        <v/>
      </c>
      <c r="D21" s="36" t="str">
        <f>IF(B21="","",'Mau15'!D24)</f>
        <v/>
      </c>
      <c r="E21" s="48" t="str">
        <f>IF($B21="","",'Mau15'!P24)</f>
        <v/>
      </c>
      <c r="F21" s="48" t="str">
        <f>IF($B21="","",'Mau15'!F24)</f>
        <v/>
      </c>
      <c r="G21" s="48" t="str">
        <f t="shared" si="0"/>
        <v/>
      </c>
      <c r="H21" s="49" t="str">
        <f t="shared" si="1"/>
        <v/>
      </c>
      <c r="I21" s="48" t="str">
        <f>IF($B21="","",'Mau15'!K24)</f>
        <v/>
      </c>
      <c r="J21" s="48" t="str">
        <f>IF($B21="","",'Mau15'!M24)</f>
        <v/>
      </c>
      <c r="K21" s="48" t="str">
        <f t="shared" si="2"/>
        <v/>
      </c>
      <c r="L21" s="49" t="str">
        <f t="shared" si="3"/>
        <v/>
      </c>
      <c r="M21" s="48" t="str">
        <f>IF($B21="","",KT_nguoc_theo_NL!J18)</f>
        <v/>
      </c>
      <c r="N21" s="48" t="str">
        <f>IF($B21="","",KT_nguoc_theo_NL!K18)</f>
        <v/>
      </c>
      <c r="O21" s="48" t="str">
        <f t="shared" si="4"/>
        <v/>
      </c>
      <c r="P21" s="50" t="str">
        <f t="shared" si="5"/>
        <v/>
      </c>
      <c r="Q21" s="49" t="str">
        <f>IF($B21="","",IF(KT_nguoc_theo_NL!N18="Pass","Khớp",IF(KT_nguoc_theo_NL!N18="KXDDM","KXĐM",IF(KT_nguoc_theo_NL!N18="Xem xét","Cảnh báo",""))))</f>
        <v/>
      </c>
      <c r="R21" s="49" t="str">
        <f t="shared" si="6"/>
        <v/>
      </c>
      <c r="S21" s="31" t="str">
        <f t="shared" si="7"/>
        <v/>
      </c>
    </row>
    <row r="22" spans="1:19" x14ac:dyDescent="0.25">
      <c r="A22" s="36" t="str">
        <f>IF(B22="","",15)</f>
        <v/>
      </c>
      <c r="B22" s="36" t="str">
        <f>'Mau15'!B25&amp;""</f>
        <v/>
      </c>
      <c r="C22" s="47" t="str">
        <f>IF(B22="","",'Mau15'!C25)</f>
        <v/>
      </c>
      <c r="D22" s="36" t="str">
        <f>IF(B22="","",'Mau15'!D25)</f>
        <v/>
      </c>
      <c r="E22" s="48" t="str">
        <f>IF($B22="","",'Mau15'!P25)</f>
        <v/>
      </c>
      <c r="F22" s="48" t="str">
        <f>IF($B22="","",'Mau15'!F25)</f>
        <v/>
      </c>
      <c r="G22" s="48" t="str">
        <f t="shared" si="0"/>
        <v/>
      </c>
      <c r="H22" s="49" t="str">
        <f t="shared" si="1"/>
        <v/>
      </c>
      <c r="I22" s="48" t="str">
        <f>IF($B22="","",'Mau15'!K25)</f>
        <v/>
      </c>
      <c r="J22" s="48" t="str">
        <f>IF($B22="","",'Mau15'!M25)</f>
        <v/>
      </c>
      <c r="K22" s="48" t="str">
        <f t="shared" si="2"/>
        <v/>
      </c>
      <c r="L22" s="49" t="str">
        <f t="shared" si="3"/>
        <v/>
      </c>
      <c r="M22" s="48" t="str">
        <f>IF($B22="","",KT_nguoc_theo_NL!J19)</f>
        <v/>
      </c>
      <c r="N22" s="48" t="str">
        <f>IF($B22="","",KT_nguoc_theo_NL!K19)</f>
        <v/>
      </c>
      <c r="O22" s="48" t="str">
        <f t="shared" si="4"/>
        <v/>
      </c>
      <c r="P22" s="50" t="str">
        <f t="shared" si="5"/>
        <v/>
      </c>
      <c r="Q22" s="49" t="str">
        <f>IF($B22="","",IF(KT_nguoc_theo_NL!N19="Pass","Khớp",IF(KT_nguoc_theo_NL!N19="KXDDM","KXĐM",IF(KT_nguoc_theo_NL!N19="Xem xét","Cảnh báo",""))))</f>
        <v/>
      </c>
      <c r="R22" s="49" t="str">
        <f t="shared" si="6"/>
        <v/>
      </c>
      <c r="S22" s="31" t="str">
        <f t="shared" si="7"/>
        <v/>
      </c>
    </row>
    <row r="23" spans="1:19" x14ac:dyDescent="0.25">
      <c r="A23" s="36" t="str">
        <f>IF(B23="","",16)</f>
        <v/>
      </c>
      <c r="B23" s="36" t="str">
        <f>'Mau15'!B26&amp;""</f>
        <v/>
      </c>
      <c r="C23" s="47" t="str">
        <f>IF(B23="","",'Mau15'!C26)</f>
        <v/>
      </c>
      <c r="D23" s="36" t="str">
        <f>IF(B23="","",'Mau15'!D26)</f>
        <v/>
      </c>
      <c r="E23" s="48" t="str">
        <f>IF($B23="","",'Mau15'!P26)</f>
        <v/>
      </c>
      <c r="F23" s="48" t="str">
        <f>IF($B23="","",'Mau15'!F26)</f>
        <v/>
      </c>
      <c r="G23" s="48" t="str">
        <f t="shared" si="0"/>
        <v/>
      </c>
      <c r="H23" s="49" t="str">
        <f t="shared" si="1"/>
        <v/>
      </c>
      <c r="I23" s="48" t="str">
        <f>IF($B23="","",'Mau15'!K26)</f>
        <v/>
      </c>
      <c r="J23" s="48" t="str">
        <f>IF($B23="","",'Mau15'!M26)</f>
        <v/>
      </c>
      <c r="K23" s="48" t="str">
        <f t="shared" si="2"/>
        <v/>
      </c>
      <c r="L23" s="49" t="str">
        <f t="shared" si="3"/>
        <v/>
      </c>
      <c r="M23" s="48" t="str">
        <f>IF($B23="","",KT_nguoc_theo_NL!J20)</f>
        <v/>
      </c>
      <c r="N23" s="48" t="str">
        <f>IF($B23="","",KT_nguoc_theo_NL!K20)</f>
        <v/>
      </c>
      <c r="O23" s="48" t="str">
        <f t="shared" si="4"/>
        <v/>
      </c>
      <c r="P23" s="50" t="str">
        <f t="shared" si="5"/>
        <v/>
      </c>
      <c r="Q23" s="49" t="str">
        <f>IF($B23="","",IF(KT_nguoc_theo_NL!N20="Pass","Khớp",IF(KT_nguoc_theo_NL!N20="KXDDM","KXĐM",IF(KT_nguoc_theo_NL!N20="Xem xét","Cảnh báo",""))))</f>
        <v/>
      </c>
      <c r="R23" s="49" t="str">
        <f t="shared" si="6"/>
        <v/>
      </c>
      <c r="S23" s="31" t="str">
        <f t="shared" si="7"/>
        <v/>
      </c>
    </row>
    <row r="24" spans="1:19" x14ac:dyDescent="0.25">
      <c r="A24" s="36" t="str">
        <f>IF(B24="","",17)</f>
        <v/>
      </c>
      <c r="B24" s="36" t="str">
        <f>'Mau15'!B27&amp;""</f>
        <v/>
      </c>
      <c r="C24" s="47" t="str">
        <f>IF(B24="","",'Mau15'!C27)</f>
        <v/>
      </c>
      <c r="D24" s="36" t="str">
        <f>IF(B24="","",'Mau15'!D27)</f>
        <v/>
      </c>
      <c r="E24" s="48" t="str">
        <f>IF($B24="","",'Mau15'!P27)</f>
        <v/>
      </c>
      <c r="F24" s="48" t="str">
        <f>IF($B24="","",'Mau15'!F27)</f>
        <v/>
      </c>
      <c r="G24" s="48" t="str">
        <f t="shared" si="0"/>
        <v/>
      </c>
      <c r="H24" s="49" t="str">
        <f t="shared" si="1"/>
        <v/>
      </c>
      <c r="I24" s="48" t="str">
        <f>IF($B24="","",'Mau15'!K27)</f>
        <v/>
      </c>
      <c r="J24" s="48" t="str">
        <f>IF($B24="","",'Mau15'!M27)</f>
        <v/>
      </c>
      <c r="K24" s="48" t="str">
        <f t="shared" si="2"/>
        <v/>
      </c>
      <c r="L24" s="49" t="str">
        <f t="shared" si="3"/>
        <v/>
      </c>
      <c r="M24" s="48" t="str">
        <f>IF($B24="","",KT_nguoc_theo_NL!J21)</f>
        <v/>
      </c>
      <c r="N24" s="48" t="str">
        <f>IF($B24="","",KT_nguoc_theo_NL!K21)</f>
        <v/>
      </c>
      <c r="O24" s="48" t="str">
        <f t="shared" si="4"/>
        <v/>
      </c>
      <c r="P24" s="50" t="str">
        <f t="shared" si="5"/>
        <v/>
      </c>
      <c r="Q24" s="49" t="str">
        <f>IF($B24="","",IF(KT_nguoc_theo_NL!N21="Pass","Khớp",IF(KT_nguoc_theo_NL!N21="KXDDM","KXĐM",IF(KT_nguoc_theo_NL!N21="Xem xét","Cảnh báo",""))))</f>
        <v/>
      </c>
      <c r="R24" s="49" t="str">
        <f t="shared" si="6"/>
        <v/>
      </c>
      <c r="S24" s="31" t="str">
        <f t="shared" si="7"/>
        <v/>
      </c>
    </row>
    <row r="25" spans="1:19" x14ac:dyDescent="0.25">
      <c r="A25" s="36" t="str">
        <f>IF(B25="","",18)</f>
        <v/>
      </c>
      <c r="B25" s="36" t="str">
        <f>'Mau15'!B28&amp;""</f>
        <v/>
      </c>
      <c r="C25" s="47" t="str">
        <f>IF(B25="","",'Mau15'!C28)</f>
        <v/>
      </c>
      <c r="D25" s="36" t="str">
        <f>IF(B25="","",'Mau15'!D28)</f>
        <v/>
      </c>
      <c r="E25" s="48" t="str">
        <f>IF($B25="","",'Mau15'!P28)</f>
        <v/>
      </c>
      <c r="F25" s="48" t="str">
        <f>IF($B25="","",'Mau15'!F28)</f>
        <v/>
      </c>
      <c r="G25" s="48" t="str">
        <f t="shared" si="0"/>
        <v/>
      </c>
      <c r="H25" s="49" t="str">
        <f t="shared" si="1"/>
        <v/>
      </c>
      <c r="I25" s="48" t="str">
        <f>IF($B25="","",'Mau15'!K28)</f>
        <v/>
      </c>
      <c r="J25" s="48" t="str">
        <f>IF($B25="","",'Mau15'!M28)</f>
        <v/>
      </c>
      <c r="K25" s="48" t="str">
        <f t="shared" si="2"/>
        <v/>
      </c>
      <c r="L25" s="49" t="str">
        <f t="shared" si="3"/>
        <v/>
      </c>
      <c r="M25" s="48" t="str">
        <f>IF($B25="","",KT_nguoc_theo_NL!J22)</f>
        <v/>
      </c>
      <c r="N25" s="48" t="str">
        <f>IF($B25="","",KT_nguoc_theo_NL!K22)</f>
        <v/>
      </c>
      <c r="O25" s="48" t="str">
        <f t="shared" si="4"/>
        <v/>
      </c>
      <c r="P25" s="50" t="str">
        <f t="shared" si="5"/>
        <v/>
      </c>
      <c r="Q25" s="49" t="str">
        <f>IF($B25="","",IF(KT_nguoc_theo_NL!N22="Pass","Khớp",IF(KT_nguoc_theo_NL!N22="KXDDM","KXĐM",IF(KT_nguoc_theo_NL!N22="Xem xét","Cảnh báo",""))))</f>
        <v/>
      </c>
      <c r="R25" s="49" t="str">
        <f t="shared" si="6"/>
        <v/>
      </c>
      <c r="S25" s="31" t="str">
        <f t="shared" si="7"/>
        <v/>
      </c>
    </row>
    <row r="26" spans="1:19" x14ac:dyDescent="0.25">
      <c r="A26" s="36" t="str">
        <f>IF(B26="","",19)</f>
        <v/>
      </c>
      <c r="B26" s="36" t="str">
        <f>'Mau15'!B29&amp;""</f>
        <v/>
      </c>
      <c r="C26" s="47" t="str">
        <f>IF(B26="","",'Mau15'!C29)</f>
        <v/>
      </c>
      <c r="D26" s="36" t="str">
        <f>IF(B26="","",'Mau15'!D29)</f>
        <v/>
      </c>
      <c r="E26" s="48" t="str">
        <f>IF($B26="","",'Mau15'!P29)</f>
        <v/>
      </c>
      <c r="F26" s="48" t="str">
        <f>IF($B26="","",'Mau15'!F29)</f>
        <v/>
      </c>
      <c r="G26" s="48" t="str">
        <f t="shared" si="0"/>
        <v/>
      </c>
      <c r="H26" s="49" t="str">
        <f t="shared" si="1"/>
        <v/>
      </c>
      <c r="I26" s="48" t="str">
        <f>IF($B26="","",'Mau15'!K29)</f>
        <v/>
      </c>
      <c r="J26" s="48" t="str">
        <f>IF($B26="","",'Mau15'!M29)</f>
        <v/>
      </c>
      <c r="K26" s="48" t="str">
        <f t="shared" si="2"/>
        <v/>
      </c>
      <c r="L26" s="49" t="str">
        <f t="shared" si="3"/>
        <v/>
      </c>
      <c r="M26" s="48" t="str">
        <f>IF($B26="","",KT_nguoc_theo_NL!J23)</f>
        <v/>
      </c>
      <c r="N26" s="48" t="str">
        <f>IF($B26="","",KT_nguoc_theo_NL!K23)</f>
        <v/>
      </c>
      <c r="O26" s="48" t="str">
        <f t="shared" si="4"/>
        <v/>
      </c>
      <c r="P26" s="50" t="str">
        <f t="shared" si="5"/>
        <v/>
      </c>
      <c r="Q26" s="49" t="str">
        <f>IF($B26="","",IF(KT_nguoc_theo_NL!N23="Pass","Khớp",IF(KT_nguoc_theo_NL!N23="KXDDM","KXĐM",IF(KT_nguoc_theo_NL!N23="Xem xét","Cảnh báo",""))))</f>
        <v/>
      </c>
      <c r="R26" s="49" t="str">
        <f t="shared" si="6"/>
        <v/>
      </c>
      <c r="S26" s="31" t="str">
        <f t="shared" si="7"/>
        <v/>
      </c>
    </row>
    <row r="27" spans="1:19" x14ac:dyDescent="0.25">
      <c r="A27" s="36" t="str">
        <f>IF(B27="","",20)</f>
        <v/>
      </c>
      <c r="B27" s="36" t="str">
        <f>'Mau15'!B30&amp;""</f>
        <v/>
      </c>
      <c r="C27" s="47" t="str">
        <f>IF(B27="","",'Mau15'!C30)</f>
        <v/>
      </c>
      <c r="D27" s="36" t="str">
        <f>IF(B27="","",'Mau15'!D30)</f>
        <v/>
      </c>
      <c r="E27" s="48" t="str">
        <f>IF($B27="","",'Mau15'!P30)</f>
        <v/>
      </c>
      <c r="F27" s="48" t="str">
        <f>IF($B27="","",'Mau15'!F30)</f>
        <v/>
      </c>
      <c r="G27" s="48" t="str">
        <f t="shared" si="0"/>
        <v/>
      </c>
      <c r="H27" s="49" t="str">
        <f t="shared" si="1"/>
        <v/>
      </c>
      <c r="I27" s="48" t="str">
        <f>IF($B27="","",'Mau15'!K30)</f>
        <v/>
      </c>
      <c r="J27" s="48" t="str">
        <f>IF($B27="","",'Mau15'!M30)</f>
        <v/>
      </c>
      <c r="K27" s="48" t="str">
        <f t="shared" si="2"/>
        <v/>
      </c>
      <c r="L27" s="49" t="str">
        <f t="shared" si="3"/>
        <v/>
      </c>
      <c r="M27" s="48" t="str">
        <f>IF($B27="","",KT_nguoc_theo_NL!J24)</f>
        <v/>
      </c>
      <c r="N27" s="48" t="str">
        <f>IF($B27="","",KT_nguoc_theo_NL!K24)</f>
        <v/>
      </c>
      <c r="O27" s="48" t="str">
        <f t="shared" si="4"/>
        <v/>
      </c>
      <c r="P27" s="50" t="str">
        <f t="shared" si="5"/>
        <v/>
      </c>
      <c r="Q27" s="49" t="str">
        <f>IF($B27="","",IF(KT_nguoc_theo_NL!N24="Pass","Khớp",IF(KT_nguoc_theo_NL!N24="KXDDM","KXĐM",IF(KT_nguoc_theo_NL!N24="Xem xét","Cảnh báo",""))))</f>
        <v/>
      </c>
      <c r="R27" s="49" t="str">
        <f t="shared" si="6"/>
        <v/>
      </c>
      <c r="S27" s="31" t="str">
        <f t="shared" si="7"/>
        <v/>
      </c>
    </row>
    <row r="28" spans="1:19" x14ac:dyDescent="0.25">
      <c r="A28" s="36" t="str">
        <f>IF(B28="","",21)</f>
        <v/>
      </c>
      <c r="B28" s="36" t="str">
        <f>'Mau15'!B31&amp;""</f>
        <v/>
      </c>
      <c r="C28" s="47" t="str">
        <f>IF(B28="","",'Mau15'!C31)</f>
        <v/>
      </c>
      <c r="D28" s="36" t="str">
        <f>IF(B28="","",'Mau15'!D31)</f>
        <v/>
      </c>
      <c r="E28" s="48" t="str">
        <f>IF($B28="","",'Mau15'!P31)</f>
        <v/>
      </c>
      <c r="F28" s="48" t="str">
        <f>IF($B28="","",'Mau15'!F31)</f>
        <v/>
      </c>
      <c r="G28" s="48" t="str">
        <f t="shared" si="0"/>
        <v/>
      </c>
      <c r="H28" s="49" t="str">
        <f t="shared" si="1"/>
        <v/>
      </c>
      <c r="I28" s="48" t="str">
        <f>IF($B28="","",'Mau15'!K31)</f>
        <v/>
      </c>
      <c r="J28" s="48" t="str">
        <f>IF($B28="","",'Mau15'!M31)</f>
        <v/>
      </c>
      <c r="K28" s="48" t="str">
        <f t="shared" si="2"/>
        <v/>
      </c>
      <c r="L28" s="49" t="str">
        <f t="shared" si="3"/>
        <v/>
      </c>
      <c r="M28" s="48" t="str">
        <f>IF($B28="","",KT_nguoc_theo_NL!J25)</f>
        <v/>
      </c>
      <c r="N28" s="48" t="str">
        <f>IF($B28="","",KT_nguoc_theo_NL!K25)</f>
        <v/>
      </c>
      <c r="O28" s="48" t="str">
        <f t="shared" si="4"/>
        <v/>
      </c>
      <c r="P28" s="50" t="str">
        <f t="shared" si="5"/>
        <v/>
      </c>
      <c r="Q28" s="49" t="str">
        <f>IF($B28="","",IF(KT_nguoc_theo_NL!N25="Pass","Khớp",IF(KT_nguoc_theo_NL!N25="KXDDM","KXĐM",IF(KT_nguoc_theo_NL!N25="Xem xét","Cảnh báo",""))))</f>
        <v/>
      </c>
      <c r="R28" s="49" t="str">
        <f t="shared" si="6"/>
        <v/>
      </c>
      <c r="S28" s="31" t="str">
        <f t="shared" si="7"/>
        <v/>
      </c>
    </row>
    <row r="29" spans="1:19" x14ac:dyDescent="0.25">
      <c r="A29" s="36" t="str">
        <f>IF(B29="","",22)</f>
        <v/>
      </c>
      <c r="B29" s="36" t="str">
        <f>'Mau15'!B32&amp;""</f>
        <v/>
      </c>
      <c r="C29" s="47" t="str">
        <f>IF(B29="","",'Mau15'!C32)</f>
        <v/>
      </c>
      <c r="D29" s="36" t="str">
        <f>IF(B29="","",'Mau15'!D32)</f>
        <v/>
      </c>
      <c r="E29" s="48" t="str">
        <f>IF($B29="","",'Mau15'!P32)</f>
        <v/>
      </c>
      <c r="F29" s="48" t="str">
        <f>IF($B29="","",'Mau15'!F32)</f>
        <v/>
      </c>
      <c r="G29" s="48" t="str">
        <f t="shared" si="0"/>
        <v/>
      </c>
      <c r="H29" s="49" t="str">
        <f t="shared" si="1"/>
        <v/>
      </c>
      <c r="I29" s="48" t="str">
        <f>IF($B29="","",'Mau15'!K32)</f>
        <v/>
      </c>
      <c r="J29" s="48" t="str">
        <f>IF($B29="","",'Mau15'!M32)</f>
        <v/>
      </c>
      <c r="K29" s="48" t="str">
        <f t="shared" si="2"/>
        <v/>
      </c>
      <c r="L29" s="49" t="str">
        <f t="shared" si="3"/>
        <v/>
      </c>
      <c r="M29" s="48" t="str">
        <f>IF($B29="","",KT_nguoc_theo_NL!J26)</f>
        <v/>
      </c>
      <c r="N29" s="48" t="str">
        <f>IF($B29="","",KT_nguoc_theo_NL!K26)</f>
        <v/>
      </c>
      <c r="O29" s="48" t="str">
        <f t="shared" si="4"/>
        <v/>
      </c>
      <c r="P29" s="50" t="str">
        <f t="shared" si="5"/>
        <v/>
      </c>
      <c r="Q29" s="49" t="str">
        <f>IF($B29="","",IF(KT_nguoc_theo_NL!N26="Pass","Khớp",IF(KT_nguoc_theo_NL!N26="KXDDM","KXĐM",IF(KT_nguoc_theo_NL!N26="Xem xét","Cảnh báo",""))))</f>
        <v/>
      </c>
      <c r="R29" s="49" t="str">
        <f t="shared" si="6"/>
        <v/>
      </c>
      <c r="S29" s="31" t="str">
        <f t="shared" si="7"/>
        <v/>
      </c>
    </row>
    <row r="30" spans="1:19" x14ac:dyDescent="0.25">
      <c r="A30" s="36" t="str">
        <f>IF(B30="","",23)</f>
        <v/>
      </c>
      <c r="B30" s="36" t="str">
        <f>'Mau15'!B33&amp;""</f>
        <v/>
      </c>
      <c r="C30" s="47" t="str">
        <f>IF(B30="","",'Mau15'!C33)</f>
        <v/>
      </c>
      <c r="D30" s="36" t="str">
        <f>IF(B30="","",'Mau15'!D33)</f>
        <v/>
      </c>
      <c r="E30" s="48" t="str">
        <f>IF($B30="","",'Mau15'!P33)</f>
        <v/>
      </c>
      <c r="F30" s="48" t="str">
        <f>IF($B30="","",'Mau15'!F33)</f>
        <v/>
      </c>
      <c r="G30" s="48" t="str">
        <f t="shared" si="0"/>
        <v/>
      </c>
      <c r="H30" s="49" t="str">
        <f t="shared" si="1"/>
        <v/>
      </c>
      <c r="I30" s="48" t="str">
        <f>IF($B30="","",'Mau15'!K33)</f>
        <v/>
      </c>
      <c r="J30" s="48" t="str">
        <f>IF($B30="","",'Mau15'!M33)</f>
        <v/>
      </c>
      <c r="K30" s="48" t="str">
        <f t="shared" si="2"/>
        <v/>
      </c>
      <c r="L30" s="49" t="str">
        <f t="shared" si="3"/>
        <v/>
      </c>
      <c r="M30" s="48" t="str">
        <f>IF($B30="","",KT_nguoc_theo_NL!J27)</f>
        <v/>
      </c>
      <c r="N30" s="48" t="str">
        <f>IF($B30="","",KT_nguoc_theo_NL!K27)</f>
        <v/>
      </c>
      <c r="O30" s="48" t="str">
        <f t="shared" si="4"/>
        <v/>
      </c>
      <c r="P30" s="50" t="str">
        <f t="shared" si="5"/>
        <v/>
      </c>
      <c r="Q30" s="49" t="str">
        <f>IF($B30="","",IF(KT_nguoc_theo_NL!N27="Pass","Khớp",IF(KT_nguoc_theo_NL!N27="KXDDM","KXĐM",IF(KT_nguoc_theo_NL!N27="Xem xét","Cảnh báo",""))))</f>
        <v/>
      </c>
      <c r="R30" s="49" t="str">
        <f t="shared" si="6"/>
        <v/>
      </c>
      <c r="S30" s="31" t="str">
        <f t="shared" si="7"/>
        <v/>
      </c>
    </row>
    <row r="31" spans="1:19" x14ac:dyDescent="0.25">
      <c r="A31" s="36" t="str">
        <f>IF(B31="","",24)</f>
        <v/>
      </c>
      <c r="B31" s="36" t="str">
        <f>'Mau15'!B34&amp;""</f>
        <v/>
      </c>
      <c r="C31" s="47" t="str">
        <f>IF(B31="","",'Mau15'!C34)</f>
        <v/>
      </c>
      <c r="D31" s="36" t="str">
        <f>IF(B31="","",'Mau15'!D34)</f>
        <v/>
      </c>
      <c r="E31" s="48" t="str">
        <f>IF($B31="","",'Mau15'!P34)</f>
        <v/>
      </c>
      <c r="F31" s="48" t="str">
        <f>IF($B31="","",'Mau15'!F34)</f>
        <v/>
      </c>
      <c r="G31" s="48" t="str">
        <f t="shared" si="0"/>
        <v/>
      </c>
      <c r="H31" s="49" t="str">
        <f t="shared" si="1"/>
        <v/>
      </c>
      <c r="I31" s="48" t="str">
        <f>IF($B31="","",'Mau15'!K34)</f>
        <v/>
      </c>
      <c r="J31" s="48" t="str">
        <f>IF($B31="","",'Mau15'!M34)</f>
        <v/>
      </c>
      <c r="K31" s="48" t="str">
        <f t="shared" si="2"/>
        <v/>
      </c>
      <c r="L31" s="49" t="str">
        <f t="shared" si="3"/>
        <v/>
      </c>
      <c r="M31" s="48" t="str">
        <f>IF($B31="","",KT_nguoc_theo_NL!J28)</f>
        <v/>
      </c>
      <c r="N31" s="48" t="str">
        <f>IF($B31="","",KT_nguoc_theo_NL!K28)</f>
        <v/>
      </c>
      <c r="O31" s="48" t="str">
        <f t="shared" si="4"/>
        <v/>
      </c>
      <c r="P31" s="50" t="str">
        <f t="shared" si="5"/>
        <v/>
      </c>
      <c r="Q31" s="49" t="str">
        <f>IF($B31="","",IF(KT_nguoc_theo_NL!N28="Pass","Khớp",IF(KT_nguoc_theo_NL!N28="KXDDM","KXĐM",IF(KT_nguoc_theo_NL!N28="Xem xét","Cảnh báo",""))))</f>
        <v/>
      </c>
      <c r="R31" s="49" t="str">
        <f t="shared" si="6"/>
        <v/>
      </c>
      <c r="S31" s="31" t="str">
        <f t="shared" si="7"/>
        <v/>
      </c>
    </row>
    <row r="32" spans="1:19" x14ac:dyDescent="0.25">
      <c r="A32" s="36" t="str">
        <f>IF(B32="","",25)</f>
        <v/>
      </c>
      <c r="B32" s="36" t="str">
        <f>'Mau15'!B35&amp;""</f>
        <v/>
      </c>
      <c r="C32" s="47" t="str">
        <f>IF(B32="","",'Mau15'!C35)</f>
        <v/>
      </c>
      <c r="D32" s="36" t="str">
        <f>IF(B32="","",'Mau15'!D35)</f>
        <v/>
      </c>
      <c r="E32" s="48" t="str">
        <f>IF($B32="","",'Mau15'!P35)</f>
        <v/>
      </c>
      <c r="F32" s="48" t="str">
        <f>IF($B32="","",'Mau15'!F35)</f>
        <v/>
      </c>
      <c r="G32" s="48" t="str">
        <f t="shared" si="0"/>
        <v/>
      </c>
      <c r="H32" s="49" t="str">
        <f t="shared" si="1"/>
        <v/>
      </c>
      <c r="I32" s="48" t="str">
        <f>IF($B32="","",'Mau15'!K35)</f>
        <v/>
      </c>
      <c r="J32" s="48" t="str">
        <f>IF($B32="","",'Mau15'!M35)</f>
        <v/>
      </c>
      <c r="K32" s="48" t="str">
        <f t="shared" si="2"/>
        <v/>
      </c>
      <c r="L32" s="49" t="str">
        <f t="shared" si="3"/>
        <v/>
      </c>
      <c r="M32" s="48" t="str">
        <f>IF($B32="","",KT_nguoc_theo_NL!J29)</f>
        <v/>
      </c>
      <c r="N32" s="48" t="str">
        <f>IF($B32="","",KT_nguoc_theo_NL!K29)</f>
        <v/>
      </c>
      <c r="O32" s="48" t="str">
        <f t="shared" si="4"/>
        <v/>
      </c>
      <c r="P32" s="50" t="str">
        <f t="shared" si="5"/>
        <v/>
      </c>
      <c r="Q32" s="49" t="str">
        <f>IF($B32="","",IF(KT_nguoc_theo_NL!N29="Pass","Khớp",IF(KT_nguoc_theo_NL!N29="KXDDM","KXĐM",IF(KT_nguoc_theo_NL!N29="Xem xét","Cảnh báo",""))))</f>
        <v/>
      </c>
      <c r="R32" s="49" t="str">
        <f t="shared" si="6"/>
        <v/>
      </c>
      <c r="S32" s="31" t="str">
        <f t="shared" si="7"/>
        <v/>
      </c>
    </row>
    <row r="33" spans="1:19" x14ac:dyDescent="0.25">
      <c r="A33" s="36" t="str">
        <f>IF(B33="","",26)</f>
        <v/>
      </c>
      <c r="B33" s="36" t="str">
        <f>'Mau15'!B36&amp;""</f>
        <v/>
      </c>
      <c r="C33" s="47" t="str">
        <f>IF(B33="","",'Mau15'!C36)</f>
        <v/>
      </c>
      <c r="D33" s="36" t="str">
        <f>IF(B33="","",'Mau15'!D36)</f>
        <v/>
      </c>
      <c r="E33" s="48" t="str">
        <f>IF($B33="","",'Mau15'!P36)</f>
        <v/>
      </c>
      <c r="F33" s="48" t="str">
        <f>IF($B33="","",'Mau15'!F36)</f>
        <v/>
      </c>
      <c r="G33" s="48" t="str">
        <f t="shared" si="0"/>
        <v/>
      </c>
      <c r="H33" s="49" t="str">
        <f t="shared" si="1"/>
        <v/>
      </c>
      <c r="I33" s="48" t="str">
        <f>IF($B33="","",'Mau15'!K36)</f>
        <v/>
      </c>
      <c r="J33" s="48" t="str">
        <f>IF($B33="","",'Mau15'!M36)</f>
        <v/>
      </c>
      <c r="K33" s="48" t="str">
        <f t="shared" si="2"/>
        <v/>
      </c>
      <c r="L33" s="49" t="str">
        <f t="shared" si="3"/>
        <v/>
      </c>
      <c r="M33" s="48" t="str">
        <f>IF($B33="","",KT_nguoc_theo_NL!J30)</f>
        <v/>
      </c>
      <c r="N33" s="48" t="str">
        <f>IF($B33="","",KT_nguoc_theo_NL!K30)</f>
        <v/>
      </c>
      <c r="O33" s="48" t="str">
        <f t="shared" si="4"/>
        <v/>
      </c>
      <c r="P33" s="50" t="str">
        <f t="shared" si="5"/>
        <v/>
      </c>
      <c r="Q33" s="49" t="str">
        <f>IF($B33="","",IF(KT_nguoc_theo_NL!N30="Pass","Khớp",IF(KT_nguoc_theo_NL!N30="KXDDM","KXĐM",IF(KT_nguoc_theo_NL!N30="Xem xét","Cảnh báo",""))))</f>
        <v/>
      </c>
      <c r="R33" s="49" t="str">
        <f t="shared" si="6"/>
        <v/>
      </c>
      <c r="S33" s="31" t="str">
        <f t="shared" si="7"/>
        <v/>
      </c>
    </row>
    <row r="34" spans="1:19" x14ac:dyDescent="0.25">
      <c r="A34" s="36" t="str">
        <f>IF(B34="","",27)</f>
        <v/>
      </c>
      <c r="B34" s="36" t="str">
        <f>'Mau15'!B37&amp;""</f>
        <v/>
      </c>
      <c r="C34" s="47" t="str">
        <f>IF(B34="","",'Mau15'!C37)</f>
        <v/>
      </c>
      <c r="D34" s="36" t="str">
        <f>IF(B34="","",'Mau15'!D37)</f>
        <v/>
      </c>
      <c r="E34" s="48" t="str">
        <f>IF($B34="","",'Mau15'!P37)</f>
        <v/>
      </c>
      <c r="F34" s="48" t="str">
        <f>IF($B34="","",'Mau15'!F37)</f>
        <v/>
      </c>
      <c r="G34" s="48" t="str">
        <f t="shared" si="0"/>
        <v/>
      </c>
      <c r="H34" s="49" t="str">
        <f t="shared" si="1"/>
        <v/>
      </c>
      <c r="I34" s="48" t="str">
        <f>IF($B34="","",'Mau15'!K37)</f>
        <v/>
      </c>
      <c r="J34" s="48" t="str">
        <f>IF($B34="","",'Mau15'!M37)</f>
        <v/>
      </c>
      <c r="K34" s="48" t="str">
        <f t="shared" si="2"/>
        <v/>
      </c>
      <c r="L34" s="49" t="str">
        <f t="shared" si="3"/>
        <v/>
      </c>
      <c r="M34" s="48" t="str">
        <f>IF($B34="","",KT_nguoc_theo_NL!J31)</f>
        <v/>
      </c>
      <c r="N34" s="48" t="str">
        <f>IF($B34="","",KT_nguoc_theo_NL!K31)</f>
        <v/>
      </c>
      <c r="O34" s="48" t="str">
        <f t="shared" si="4"/>
        <v/>
      </c>
      <c r="P34" s="50" t="str">
        <f t="shared" si="5"/>
        <v/>
      </c>
      <c r="Q34" s="49" t="str">
        <f>IF($B34="","",IF(KT_nguoc_theo_NL!N31="Pass","Khớp",IF(KT_nguoc_theo_NL!N31="KXDDM","KXĐM",IF(KT_nguoc_theo_NL!N31="Xem xét","Cảnh báo",""))))</f>
        <v/>
      </c>
      <c r="R34" s="49" t="str">
        <f t="shared" si="6"/>
        <v/>
      </c>
      <c r="S34" s="31" t="str">
        <f t="shared" si="7"/>
        <v/>
      </c>
    </row>
    <row r="35" spans="1:19" x14ac:dyDescent="0.25">
      <c r="A35" s="36" t="str">
        <f>IF(B35="","",28)</f>
        <v/>
      </c>
      <c r="B35" s="36" t="str">
        <f>'Mau15'!B38&amp;""</f>
        <v/>
      </c>
      <c r="C35" s="47" t="str">
        <f>IF(B35="","",'Mau15'!C38)</f>
        <v/>
      </c>
      <c r="D35" s="36" t="str">
        <f>IF(B35="","",'Mau15'!D38)</f>
        <v/>
      </c>
      <c r="E35" s="48" t="str">
        <f>IF($B35="","",'Mau15'!P38)</f>
        <v/>
      </c>
      <c r="F35" s="48" t="str">
        <f>IF($B35="","",'Mau15'!F38)</f>
        <v/>
      </c>
      <c r="G35" s="48" t="str">
        <f t="shared" si="0"/>
        <v/>
      </c>
      <c r="H35" s="49" t="str">
        <f t="shared" si="1"/>
        <v/>
      </c>
      <c r="I35" s="48" t="str">
        <f>IF($B35="","",'Mau15'!K38)</f>
        <v/>
      </c>
      <c r="J35" s="48" t="str">
        <f>IF($B35="","",'Mau15'!M38)</f>
        <v/>
      </c>
      <c r="K35" s="48" t="str">
        <f t="shared" si="2"/>
        <v/>
      </c>
      <c r="L35" s="49" t="str">
        <f t="shared" si="3"/>
        <v/>
      </c>
      <c r="M35" s="48" t="str">
        <f>IF($B35="","",KT_nguoc_theo_NL!J32)</f>
        <v/>
      </c>
      <c r="N35" s="48" t="str">
        <f>IF($B35="","",KT_nguoc_theo_NL!K32)</f>
        <v/>
      </c>
      <c r="O35" s="48" t="str">
        <f t="shared" si="4"/>
        <v/>
      </c>
      <c r="P35" s="50" t="str">
        <f t="shared" si="5"/>
        <v/>
      </c>
      <c r="Q35" s="49" t="str">
        <f>IF($B35="","",IF(KT_nguoc_theo_NL!N32="Pass","Khớp",IF(KT_nguoc_theo_NL!N32="KXDDM","KXĐM",IF(KT_nguoc_theo_NL!N32="Xem xét","Cảnh báo",""))))</f>
        <v/>
      </c>
      <c r="R35" s="49" t="str">
        <f t="shared" si="6"/>
        <v/>
      </c>
      <c r="S35" s="31" t="str">
        <f t="shared" si="7"/>
        <v/>
      </c>
    </row>
    <row r="36" spans="1:19" x14ac:dyDescent="0.25">
      <c r="A36" s="36" t="str">
        <f>IF(B36="","",29)</f>
        <v/>
      </c>
      <c r="B36" s="36" t="str">
        <f>'Mau15'!B39&amp;""</f>
        <v/>
      </c>
      <c r="C36" s="47" t="str">
        <f>IF(B36="","",'Mau15'!C39)</f>
        <v/>
      </c>
      <c r="D36" s="36" t="str">
        <f>IF(B36="","",'Mau15'!D39)</f>
        <v/>
      </c>
      <c r="E36" s="48" t="str">
        <f>IF($B36="","",'Mau15'!P39)</f>
        <v/>
      </c>
      <c r="F36" s="48" t="str">
        <f>IF($B36="","",'Mau15'!F39)</f>
        <v/>
      </c>
      <c r="G36" s="48" t="str">
        <f t="shared" si="0"/>
        <v/>
      </c>
      <c r="H36" s="49" t="str">
        <f t="shared" si="1"/>
        <v/>
      </c>
      <c r="I36" s="48" t="str">
        <f>IF($B36="","",'Mau15'!K39)</f>
        <v/>
      </c>
      <c r="J36" s="48" t="str">
        <f>IF($B36="","",'Mau15'!M39)</f>
        <v/>
      </c>
      <c r="K36" s="48" t="str">
        <f t="shared" si="2"/>
        <v/>
      </c>
      <c r="L36" s="49" t="str">
        <f t="shared" si="3"/>
        <v/>
      </c>
      <c r="M36" s="48" t="str">
        <f>IF($B36="","",KT_nguoc_theo_NL!J33)</f>
        <v/>
      </c>
      <c r="N36" s="48" t="str">
        <f>IF($B36="","",KT_nguoc_theo_NL!K33)</f>
        <v/>
      </c>
      <c r="O36" s="48" t="str">
        <f t="shared" si="4"/>
        <v/>
      </c>
      <c r="P36" s="50" t="str">
        <f t="shared" si="5"/>
        <v/>
      </c>
      <c r="Q36" s="49" t="str">
        <f>IF($B36="","",IF(KT_nguoc_theo_NL!N33="Pass","Khớp",IF(KT_nguoc_theo_NL!N33="KXDDM","KXĐM",IF(KT_nguoc_theo_NL!N33="Xem xét","Cảnh báo",""))))</f>
        <v/>
      </c>
      <c r="R36" s="49" t="str">
        <f t="shared" si="6"/>
        <v/>
      </c>
      <c r="S36" s="31" t="str">
        <f t="shared" si="7"/>
        <v/>
      </c>
    </row>
    <row r="37" spans="1:19" x14ac:dyDescent="0.25">
      <c r="A37" s="36" t="str">
        <f>IF(B37="","",30)</f>
        <v/>
      </c>
      <c r="B37" s="36" t="str">
        <f>'Mau15'!B40&amp;""</f>
        <v/>
      </c>
      <c r="C37" s="47" t="str">
        <f>IF(B37="","",'Mau15'!C40)</f>
        <v/>
      </c>
      <c r="D37" s="36" t="str">
        <f>IF(B37="","",'Mau15'!D40)</f>
        <v/>
      </c>
      <c r="E37" s="48" t="str">
        <f>IF($B37="","",'Mau15'!P40)</f>
        <v/>
      </c>
      <c r="F37" s="48" t="str">
        <f>IF($B37="","",'Mau15'!F40)</f>
        <v/>
      </c>
      <c r="G37" s="48" t="str">
        <f t="shared" si="0"/>
        <v/>
      </c>
      <c r="H37" s="49" t="str">
        <f t="shared" si="1"/>
        <v/>
      </c>
      <c r="I37" s="48" t="str">
        <f>IF($B37="","",'Mau15'!K40)</f>
        <v/>
      </c>
      <c r="J37" s="48" t="str">
        <f>IF($B37="","",'Mau15'!M40)</f>
        <v/>
      </c>
      <c r="K37" s="48" t="str">
        <f t="shared" si="2"/>
        <v/>
      </c>
      <c r="L37" s="49" t="str">
        <f t="shared" si="3"/>
        <v/>
      </c>
      <c r="M37" s="48" t="str">
        <f>IF($B37="","",KT_nguoc_theo_NL!J34)</f>
        <v/>
      </c>
      <c r="N37" s="48" t="str">
        <f>IF($B37="","",KT_nguoc_theo_NL!K34)</f>
        <v/>
      </c>
      <c r="O37" s="48" t="str">
        <f t="shared" si="4"/>
        <v/>
      </c>
      <c r="P37" s="50" t="str">
        <f t="shared" si="5"/>
        <v/>
      </c>
      <c r="Q37" s="49" t="str">
        <f>IF($B37="","",IF(KT_nguoc_theo_NL!N34="Pass","Khớp",IF(KT_nguoc_theo_NL!N34="KXDDM","KXĐM",IF(KT_nguoc_theo_NL!N34="Xem xét","Cảnh báo",""))))</f>
        <v/>
      </c>
      <c r="R37" s="49" t="str">
        <f t="shared" si="6"/>
        <v/>
      </c>
      <c r="S37" s="31" t="str">
        <f t="shared" si="7"/>
        <v/>
      </c>
    </row>
    <row r="38" spans="1:19" x14ac:dyDescent="0.25">
      <c r="A38" s="36" t="str">
        <f>IF(B38="","",31)</f>
        <v/>
      </c>
      <c r="B38" s="36" t="str">
        <f>'Mau15'!B41&amp;""</f>
        <v/>
      </c>
      <c r="C38" s="47" t="str">
        <f>IF(B38="","",'Mau15'!C41)</f>
        <v/>
      </c>
      <c r="D38" s="36" t="str">
        <f>IF(B38="","",'Mau15'!D41)</f>
        <v/>
      </c>
      <c r="E38" s="48" t="str">
        <f>IF($B38="","",'Mau15'!P41)</f>
        <v/>
      </c>
      <c r="F38" s="48" t="str">
        <f>IF($B38="","",'Mau15'!F41)</f>
        <v/>
      </c>
      <c r="G38" s="48" t="str">
        <f t="shared" si="0"/>
        <v/>
      </c>
      <c r="H38" s="49" t="str">
        <f t="shared" si="1"/>
        <v/>
      </c>
      <c r="I38" s="48" t="str">
        <f>IF($B38="","",'Mau15'!K41)</f>
        <v/>
      </c>
      <c r="J38" s="48" t="str">
        <f>IF($B38="","",'Mau15'!M41)</f>
        <v/>
      </c>
      <c r="K38" s="48" t="str">
        <f t="shared" si="2"/>
        <v/>
      </c>
      <c r="L38" s="49" t="str">
        <f t="shared" si="3"/>
        <v/>
      </c>
      <c r="M38" s="48" t="str">
        <f>IF($B38="","",KT_nguoc_theo_NL!J35)</f>
        <v/>
      </c>
      <c r="N38" s="48" t="str">
        <f>IF($B38="","",KT_nguoc_theo_NL!K35)</f>
        <v/>
      </c>
      <c r="O38" s="48" t="str">
        <f t="shared" si="4"/>
        <v/>
      </c>
      <c r="P38" s="50" t="str">
        <f t="shared" si="5"/>
        <v/>
      </c>
      <c r="Q38" s="49" t="str">
        <f>IF($B38="","",IF(KT_nguoc_theo_NL!N35="Pass","Khớp",IF(KT_nguoc_theo_NL!N35="KXDDM","KXĐM",IF(KT_nguoc_theo_NL!N35="Xem xét","Cảnh báo",""))))</f>
        <v/>
      </c>
      <c r="R38" s="49" t="str">
        <f t="shared" si="6"/>
        <v/>
      </c>
      <c r="S38" s="31" t="str">
        <f t="shared" si="7"/>
        <v/>
      </c>
    </row>
    <row r="39" spans="1:19" x14ac:dyDescent="0.25">
      <c r="A39" s="36" t="str">
        <f>IF(B39="","",32)</f>
        <v/>
      </c>
      <c r="B39" s="36" t="str">
        <f>'Mau15'!B42&amp;""</f>
        <v/>
      </c>
      <c r="C39" s="47" t="str">
        <f>IF(B39="","",'Mau15'!C42)</f>
        <v/>
      </c>
      <c r="D39" s="36" t="str">
        <f>IF(B39="","",'Mau15'!D42)</f>
        <v/>
      </c>
      <c r="E39" s="48" t="str">
        <f>IF($B39="","",'Mau15'!P42)</f>
        <v/>
      </c>
      <c r="F39" s="48" t="str">
        <f>IF($B39="","",'Mau15'!F42)</f>
        <v/>
      </c>
      <c r="G39" s="48" t="str">
        <f t="shared" si="0"/>
        <v/>
      </c>
      <c r="H39" s="49" t="str">
        <f t="shared" si="1"/>
        <v/>
      </c>
      <c r="I39" s="48" t="str">
        <f>IF($B39="","",'Mau15'!K42)</f>
        <v/>
      </c>
      <c r="J39" s="48" t="str">
        <f>IF($B39="","",'Mau15'!M42)</f>
        <v/>
      </c>
      <c r="K39" s="48" t="str">
        <f t="shared" si="2"/>
        <v/>
      </c>
      <c r="L39" s="49" t="str">
        <f t="shared" si="3"/>
        <v/>
      </c>
      <c r="M39" s="48" t="str">
        <f>IF($B39="","",KT_nguoc_theo_NL!J36)</f>
        <v/>
      </c>
      <c r="N39" s="48" t="str">
        <f>IF($B39="","",KT_nguoc_theo_NL!K36)</f>
        <v/>
      </c>
      <c r="O39" s="48" t="str">
        <f t="shared" si="4"/>
        <v/>
      </c>
      <c r="P39" s="50" t="str">
        <f t="shared" si="5"/>
        <v/>
      </c>
      <c r="Q39" s="49" t="str">
        <f>IF($B39="","",IF(KT_nguoc_theo_NL!N36="Pass","Khớp",IF(KT_nguoc_theo_NL!N36="KXDDM","KXĐM",IF(KT_nguoc_theo_NL!N36="Xem xét","Cảnh báo",""))))</f>
        <v/>
      </c>
      <c r="R39" s="49" t="str">
        <f t="shared" si="6"/>
        <v/>
      </c>
      <c r="S39" s="31" t="str">
        <f t="shared" si="7"/>
        <v/>
      </c>
    </row>
    <row r="40" spans="1:19" x14ac:dyDescent="0.25">
      <c r="A40" s="36" t="str">
        <f>IF(B40="","",33)</f>
        <v/>
      </c>
      <c r="B40" s="36" t="str">
        <f>'Mau15'!B43&amp;""</f>
        <v/>
      </c>
      <c r="C40" s="47" t="str">
        <f>IF(B40="","",'Mau15'!C43)</f>
        <v/>
      </c>
      <c r="D40" s="36" t="str">
        <f>IF(B40="","",'Mau15'!D43)</f>
        <v/>
      </c>
      <c r="E40" s="48" t="str">
        <f>IF($B40="","",'Mau15'!P43)</f>
        <v/>
      </c>
      <c r="F40" s="48" t="str">
        <f>IF($B40="","",'Mau15'!F43)</f>
        <v/>
      </c>
      <c r="G40" s="48" t="str">
        <f t="shared" si="0"/>
        <v/>
      </c>
      <c r="H40" s="49" t="str">
        <f t="shared" si="1"/>
        <v/>
      </c>
      <c r="I40" s="48" t="str">
        <f>IF($B40="","",'Mau15'!K43)</f>
        <v/>
      </c>
      <c r="J40" s="48" t="str">
        <f>IF($B40="","",'Mau15'!M43)</f>
        <v/>
      </c>
      <c r="K40" s="48" t="str">
        <f t="shared" si="2"/>
        <v/>
      </c>
      <c r="L40" s="49" t="str">
        <f t="shared" si="3"/>
        <v/>
      </c>
      <c r="M40" s="48" t="str">
        <f>IF($B40="","",KT_nguoc_theo_NL!J37)</f>
        <v/>
      </c>
      <c r="N40" s="48" t="str">
        <f>IF($B40="","",KT_nguoc_theo_NL!K37)</f>
        <v/>
      </c>
      <c r="O40" s="48" t="str">
        <f t="shared" si="4"/>
        <v/>
      </c>
      <c r="P40" s="50" t="str">
        <f t="shared" si="5"/>
        <v/>
      </c>
      <c r="Q40" s="49" t="str">
        <f>IF($B40="","",IF(KT_nguoc_theo_NL!N37="Pass","Khớp",IF(KT_nguoc_theo_NL!N37="KXDDM","KXĐM",IF(KT_nguoc_theo_NL!N37="Xem xét","Cảnh báo",""))))</f>
        <v/>
      </c>
      <c r="R40" s="49" t="str">
        <f t="shared" si="6"/>
        <v/>
      </c>
      <c r="S40" s="31" t="str">
        <f t="shared" si="7"/>
        <v/>
      </c>
    </row>
    <row r="41" spans="1:19" x14ac:dyDescent="0.25">
      <c r="A41" s="36" t="str">
        <f>IF(B41="","",34)</f>
        <v/>
      </c>
      <c r="B41" s="36" t="str">
        <f>'Mau15'!B44&amp;""</f>
        <v/>
      </c>
      <c r="C41" s="47" t="str">
        <f>IF(B41="","",'Mau15'!C44)</f>
        <v/>
      </c>
      <c r="D41" s="36" t="str">
        <f>IF(B41="","",'Mau15'!D44)</f>
        <v/>
      </c>
      <c r="E41" s="48" t="str">
        <f>IF($B41="","",'Mau15'!P44)</f>
        <v/>
      </c>
      <c r="F41" s="48" t="str">
        <f>IF($B41="","",'Mau15'!F44)</f>
        <v/>
      </c>
      <c r="G41" s="48" t="str">
        <f t="shared" si="0"/>
        <v/>
      </c>
      <c r="H41" s="49" t="str">
        <f t="shared" si="1"/>
        <v/>
      </c>
      <c r="I41" s="48" t="str">
        <f>IF($B41="","",'Mau15'!K44)</f>
        <v/>
      </c>
      <c r="J41" s="48" t="str">
        <f>IF($B41="","",'Mau15'!M44)</f>
        <v/>
      </c>
      <c r="K41" s="48" t="str">
        <f t="shared" si="2"/>
        <v/>
      </c>
      <c r="L41" s="49" t="str">
        <f t="shared" si="3"/>
        <v/>
      </c>
      <c r="M41" s="48" t="str">
        <f>IF($B41="","",KT_nguoc_theo_NL!J38)</f>
        <v/>
      </c>
      <c r="N41" s="48" t="str">
        <f>IF($B41="","",KT_nguoc_theo_NL!K38)</f>
        <v/>
      </c>
      <c r="O41" s="48" t="str">
        <f t="shared" si="4"/>
        <v/>
      </c>
      <c r="P41" s="50" t="str">
        <f t="shared" si="5"/>
        <v/>
      </c>
      <c r="Q41" s="49" t="str">
        <f>IF($B41="","",IF(KT_nguoc_theo_NL!N38="Pass","Khớp",IF(KT_nguoc_theo_NL!N38="KXDDM","KXĐM",IF(KT_nguoc_theo_NL!N38="Xem xét","Cảnh báo",""))))</f>
        <v/>
      </c>
      <c r="R41" s="49" t="str">
        <f t="shared" si="6"/>
        <v/>
      </c>
      <c r="S41" s="31" t="str">
        <f t="shared" si="7"/>
        <v/>
      </c>
    </row>
    <row r="42" spans="1:19" x14ac:dyDescent="0.25">
      <c r="A42" s="36" t="str">
        <f>IF(B42="","",35)</f>
        <v/>
      </c>
      <c r="B42" s="36" t="str">
        <f>'Mau15'!B45&amp;""</f>
        <v/>
      </c>
      <c r="C42" s="47" t="str">
        <f>IF(B42="","",'Mau15'!C45)</f>
        <v/>
      </c>
      <c r="D42" s="36" t="str">
        <f>IF(B42="","",'Mau15'!D45)</f>
        <v/>
      </c>
      <c r="E42" s="48" t="str">
        <f>IF($B42="","",'Mau15'!P45)</f>
        <v/>
      </c>
      <c r="F42" s="48" t="str">
        <f>IF($B42="","",'Mau15'!F45)</f>
        <v/>
      </c>
      <c r="G42" s="48" t="str">
        <f t="shared" si="0"/>
        <v/>
      </c>
      <c r="H42" s="49" t="str">
        <f t="shared" si="1"/>
        <v/>
      </c>
      <c r="I42" s="48" t="str">
        <f>IF($B42="","",'Mau15'!K45)</f>
        <v/>
      </c>
      <c r="J42" s="48" t="str">
        <f>IF($B42="","",'Mau15'!M45)</f>
        <v/>
      </c>
      <c r="K42" s="48" t="str">
        <f t="shared" si="2"/>
        <v/>
      </c>
      <c r="L42" s="49" t="str">
        <f t="shared" si="3"/>
        <v/>
      </c>
      <c r="M42" s="48" t="str">
        <f>IF($B42="","",KT_nguoc_theo_NL!J39)</f>
        <v/>
      </c>
      <c r="N42" s="48" t="str">
        <f>IF($B42="","",KT_nguoc_theo_NL!K39)</f>
        <v/>
      </c>
      <c r="O42" s="48" t="str">
        <f t="shared" si="4"/>
        <v/>
      </c>
      <c r="P42" s="50" t="str">
        <f t="shared" si="5"/>
        <v/>
      </c>
      <c r="Q42" s="49" t="str">
        <f>IF($B42="","",IF(KT_nguoc_theo_NL!N39="Pass","Khớp",IF(KT_nguoc_theo_NL!N39="KXDDM","KXĐM",IF(KT_nguoc_theo_NL!N39="Xem xét","Cảnh báo",""))))</f>
        <v/>
      </c>
      <c r="R42" s="49" t="str">
        <f t="shared" si="6"/>
        <v/>
      </c>
      <c r="S42" s="31" t="str">
        <f t="shared" si="7"/>
        <v/>
      </c>
    </row>
    <row r="43" spans="1:19" x14ac:dyDescent="0.25">
      <c r="A43" s="36" t="str">
        <f>IF(B43="","",36)</f>
        <v/>
      </c>
      <c r="B43" s="36" t="str">
        <f>'Mau15'!B46&amp;""</f>
        <v/>
      </c>
      <c r="C43" s="47" t="str">
        <f>IF(B43="","",'Mau15'!C46)</f>
        <v/>
      </c>
      <c r="D43" s="36" t="str">
        <f>IF(B43="","",'Mau15'!D46)</f>
        <v/>
      </c>
      <c r="E43" s="48" t="str">
        <f>IF($B43="","",'Mau15'!P46)</f>
        <v/>
      </c>
      <c r="F43" s="48" t="str">
        <f>IF($B43="","",'Mau15'!F46)</f>
        <v/>
      </c>
      <c r="G43" s="48" t="str">
        <f t="shared" si="0"/>
        <v/>
      </c>
      <c r="H43" s="49" t="str">
        <f t="shared" si="1"/>
        <v/>
      </c>
      <c r="I43" s="48" t="str">
        <f>IF($B43="","",'Mau15'!K46)</f>
        <v/>
      </c>
      <c r="J43" s="48" t="str">
        <f>IF($B43="","",'Mau15'!M46)</f>
        <v/>
      </c>
      <c r="K43" s="48" t="str">
        <f t="shared" si="2"/>
        <v/>
      </c>
      <c r="L43" s="49" t="str">
        <f t="shared" si="3"/>
        <v/>
      </c>
      <c r="M43" s="48" t="str">
        <f>IF($B43="","",KT_nguoc_theo_NL!J40)</f>
        <v/>
      </c>
      <c r="N43" s="48" t="str">
        <f>IF($B43="","",KT_nguoc_theo_NL!K40)</f>
        <v/>
      </c>
      <c r="O43" s="48" t="str">
        <f t="shared" si="4"/>
        <v/>
      </c>
      <c r="P43" s="50" t="str">
        <f t="shared" si="5"/>
        <v/>
      </c>
      <c r="Q43" s="49" t="str">
        <f>IF($B43="","",IF(KT_nguoc_theo_NL!N40="Pass","Khớp",IF(KT_nguoc_theo_NL!N40="KXDDM","KXĐM",IF(KT_nguoc_theo_NL!N40="Xem xét","Cảnh báo",""))))</f>
        <v/>
      </c>
      <c r="R43" s="49" t="str">
        <f t="shared" si="6"/>
        <v/>
      </c>
      <c r="S43" s="31" t="str">
        <f t="shared" si="7"/>
        <v/>
      </c>
    </row>
    <row r="44" spans="1:19" x14ac:dyDescent="0.25">
      <c r="A44" s="36" t="str">
        <f>IF(B44="","",37)</f>
        <v/>
      </c>
      <c r="B44" s="36" t="str">
        <f>'Mau15'!B47&amp;""</f>
        <v/>
      </c>
      <c r="C44" s="47" t="str">
        <f>IF(B44="","",'Mau15'!C47)</f>
        <v/>
      </c>
      <c r="D44" s="36" t="str">
        <f>IF(B44="","",'Mau15'!D47)</f>
        <v/>
      </c>
      <c r="E44" s="48" t="str">
        <f>IF($B44="","",'Mau15'!P47)</f>
        <v/>
      </c>
      <c r="F44" s="48" t="str">
        <f>IF($B44="","",'Mau15'!F47)</f>
        <v/>
      </c>
      <c r="G44" s="48" t="str">
        <f t="shared" si="0"/>
        <v/>
      </c>
      <c r="H44" s="49" t="str">
        <f t="shared" si="1"/>
        <v/>
      </c>
      <c r="I44" s="48" t="str">
        <f>IF($B44="","",'Mau15'!K47)</f>
        <v/>
      </c>
      <c r="J44" s="48" t="str">
        <f>IF($B44="","",'Mau15'!M47)</f>
        <v/>
      </c>
      <c r="K44" s="48" t="str">
        <f t="shared" si="2"/>
        <v/>
      </c>
      <c r="L44" s="49" t="str">
        <f t="shared" si="3"/>
        <v/>
      </c>
      <c r="M44" s="48" t="str">
        <f>IF($B44="","",KT_nguoc_theo_NL!J41)</f>
        <v/>
      </c>
      <c r="N44" s="48" t="str">
        <f>IF($B44="","",KT_nguoc_theo_NL!K41)</f>
        <v/>
      </c>
      <c r="O44" s="48" t="str">
        <f t="shared" si="4"/>
        <v/>
      </c>
      <c r="P44" s="50" t="str">
        <f t="shared" si="5"/>
        <v/>
      </c>
      <c r="Q44" s="49" t="str">
        <f>IF($B44="","",IF(KT_nguoc_theo_NL!N41="Pass","Khớp",IF(KT_nguoc_theo_NL!N41="KXDDM","KXĐM",IF(KT_nguoc_theo_NL!N41="Xem xét","Cảnh báo",""))))</f>
        <v/>
      </c>
      <c r="R44" s="49" t="str">
        <f t="shared" si="6"/>
        <v/>
      </c>
      <c r="S44" s="31" t="str">
        <f t="shared" si="7"/>
        <v/>
      </c>
    </row>
    <row r="45" spans="1:19" x14ac:dyDescent="0.25">
      <c r="A45" s="36" t="str">
        <f>IF(B45="","",38)</f>
        <v/>
      </c>
      <c r="B45" s="36" t="str">
        <f>'Mau15'!B48&amp;""</f>
        <v/>
      </c>
      <c r="C45" s="47" t="str">
        <f>IF(B45="","",'Mau15'!C48)</f>
        <v/>
      </c>
      <c r="D45" s="36" t="str">
        <f>IF(B45="","",'Mau15'!D48)</f>
        <v/>
      </c>
      <c r="E45" s="48" t="str">
        <f>IF($B45="","",'Mau15'!P48)</f>
        <v/>
      </c>
      <c r="F45" s="48" t="str">
        <f>IF($B45="","",'Mau15'!F48)</f>
        <v/>
      </c>
      <c r="G45" s="48" t="str">
        <f t="shared" si="0"/>
        <v/>
      </c>
      <c r="H45" s="49" t="str">
        <f t="shared" si="1"/>
        <v/>
      </c>
      <c r="I45" s="48" t="str">
        <f>IF($B45="","",'Mau15'!K48)</f>
        <v/>
      </c>
      <c r="J45" s="48" t="str">
        <f>IF($B45="","",'Mau15'!M48)</f>
        <v/>
      </c>
      <c r="K45" s="48" t="str">
        <f t="shared" si="2"/>
        <v/>
      </c>
      <c r="L45" s="49" t="str">
        <f t="shared" si="3"/>
        <v/>
      </c>
      <c r="M45" s="48" t="str">
        <f>IF($B45="","",KT_nguoc_theo_NL!J42)</f>
        <v/>
      </c>
      <c r="N45" s="48" t="str">
        <f>IF($B45="","",KT_nguoc_theo_NL!K42)</f>
        <v/>
      </c>
      <c r="O45" s="48" t="str">
        <f t="shared" si="4"/>
        <v/>
      </c>
      <c r="P45" s="50" t="str">
        <f t="shared" si="5"/>
        <v/>
      </c>
      <c r="Q45" s="49" t="str">
        <f>IF($B45="","",IF(KT_nguoc_theo_NL!N42="Pass","Khớp",IF(KT_nguoc_theo_NL!N42="KXDDM","KXĐM",IF(KT_nguoc_theo_NL!N42="Xem xét","Cảnh báo",""))))</f>
        <v/>
      </c>
      <c r="R45" s="49" t="str">
        <f t="shared" si="6"/>
        <v/>
      </c>
      <c r="S45" s="31" t="str">
        <f t="shared" si="7"/>
        <v/>
      </c>
    </row>
    <row r="46" spans="1:19" x14ac:dyDescent="0.25">
      <c r="A46" s="36" t="str">
        <f>IF(B46="","",39)</f>
        <v/>
      </c>
      <c r="B46" s="36" t="str">
        <f>'Mau15'!B49&amp;""</f>
        <v/>
      </c>
      <c r="C46" s="47" t="str">
        <f>IF(B46="","",'Mau15'!C49)</f>
        <v/>
      </c>
      <c r="D46" s="36" t="str">
        <f>IF(B46="","",'Mau15'!D49)</f>
        <v/>
      </c>
      <c r="E46" s="48" t="str">
        <f>IF($B46="","",'Mau15'!P49)</f>
        <v/>
      </c>
      <c r="F46" s="48" t="str">
        <f>IF($B46="","",'Mau15'!F49)</f>
        <v/>
      </c>
      <c r="G46" s="48" t="str">
        <f t="shared" si="0"/>
        <v/>
      </c>
      <c r="H46" s="49" t="str">
        <f t="shared" si="1"/>
        <v/>
      </c>
      <c r="I46" s="48" t="str">
        <f>IF($B46="","",'Mau15'!K49)</f>
        <v/>
      </c>
      <c r="J46" s="48" t="str">
        <f>IF($B46="","",'Mau15'!M49)</f>
        <v/>
      </c>
      <c r="K46" s="48" t="str">
        <f t="shared" si="2"/>
        <v/>
      </c>
      <c r="L46" s="49" t="str">
        <f t="shared" si="3"/>
        <v/>
      </c>
      <c r="M46" s="48" t="str">
        <f>IF($B46="","",KT_nguoc_theo_NL!J43)</f>
        <v/>
      </c>
      <c r="N46" s="48" t="str">
        <f>IF($B46="","",KT_nguoc_theo_NL!K43)</f>
        <v/>
      </c>
      <c r="O46" s="48" t="str">
        <f t="shared" si="4"/>
        <v/>
      </c>
      <c r="P46" s="50" t="str">
        <f t="shared" si="5"/>
        <v/>
      </c>
      <c r="Q46" s="49" t="str">
        <f>IF($B46="","",IF(KT_nguoc_theo_NL!N43="Pass","Khớp",IF(KT_nguoc_theo_NL!N43="KXDDM","KXĐM",IF(KT_nguoc_theo_NL!N43="Xem xét","Cảnh báo",""))))</f>
        <v/>
      </c>
      <c r="R46" s="49" t="str">
        <f t="shared" si="6"/>
        <v/>
      </c>
      <c r="S46" s="31" t="str">
        <f t="shared" si="7"/>
        <v/>
      </c>
    </row>
    <row r="47" spans="1:19" x14ac:dyDescent="0.25">
      <c r="A47" s="36" t="str">
        <f>IF(B47="","",40)</f>
        <v/>
      </c>
      <c r="B47" s="36" t="str">
        <f>'Mau15'!B50&amp;""</f>
        <v/>
      </c>
      <c r="C47" s="47" t="str">
        <f>IF(B47="","",'Mau15'!C50)</f>
        <v/>
      </c>
      <c r="D47" s="36" t="str">
        <f>IF(B47="","",'Mau15'!D50)</f>
        <v/>
      </c>
      <c r="E47" s="48" t="str">
        <f>IF($B47="","",'Mau15'!P50)</f>
        <v/>
      </c>
      <c r="F47" s="48" t="str">
        <f>IF($B47="","",'Mau15'!F50)</f>
        <v/>
      </c>
      <c r="G47" s="48" t="str">
        <f t="shared" si="0"/>
        <v/>
      </c>
      <c r="H47" s="49" t="str">
        <f t="shared" si="1"/>
        <v/>
      </c>
      <c r="I47" s="48" t="str">
        <f>IF($B47="","",'Mau15'!K50)</f>
        <v/>
      </c>
      <c r="J47" s="48" t="str">
        <f>IF($B47="","",'Mau15'!M50)</f>
        <v/>
      </c>
      <c r="K47" s="48" t="str">
        <f t="shared" si="2"/>
        <v/>
      </c>
      <c r="L47" s="49" t="str">
        <f t="shared" si="3"/>
        <v/>
      </c>
      <c r="M47" s="48" t="str">
        <f>IF($B47="","",KT_nguoc_theo_NL!J44)</f>
        <v/>
      </c>
      <c r="N47" s="48" t="str">
        <f>IF($B47="","",KT_nguoc_theo_NL!K44)</f>
        <v/>
      </c>
      <c r="O47" s="48" t="str">
        <f t="shared" si="4"/>
        <v/>
      </c>
      <c r="P47" s="50" t="str">
        <f t="shared" si="5"/>
        <v/>
      </c>
      <c r="Q47" s="49" t="str">
        <f>IF($B47="","",IF(KT_nguoc_theo_NL!N44="Pass","Khớp",IF(KT_nguoc_theo_NL!N44="KXDDM","KXĐM",IF(KT_nguoc_theo_NL!N44="Xem xét","Cảnh báo",""))))</f>
        <v/>
      </c>
      <c r="R47" s="49" t="str">
        <f t="shared" si="6"/>
        <v/>
      </c>
      <c r="S47" s="31" t="str">
        <f t="shared" si="7"/>
        <v/>
      </c>
    </row>
    <row r="48" spans="1:19" x14ac:dyDescent="0.25">
      <c r="A48" s="36" t="str">
        <f>IF(B48="","",41)</f>
        <v/>
      </c>
      <c r="B48" s="36" t="str">
        <f>'Mau15'!B51&amp;""</f>
        <v/>
      </c>
      <c r="C48" s="47" t="str">
        <f>IF(B48="","",'Mau15'!C51)</f>
        <v/>
      </c>
      <c r="D48" s="36" t="str">
        <f>IF(B48="","",'Mau15'!D51)</f>
        <v/>
      </c>
      <c r="E48" s="48" t="str">
        <f>IF($B48="","",'Mau15'!P51)</f>
        <v/>
      </c>
      <c r="F48" s="48" t="str">
        <f>IF($B48="","",'Mau15'!F51)</f>
        <v/>
      </c>
      <c r="G48" s="48" t="str">
        <f t="shared" si="0"/>
        <v/>
      </c>
      <c r="H48" s="49" t="str">
        <f t="shared" si="1"/>
        <v/>
      </c>
      <c r="I48" s="48" t="str">
        <f>IF($B48="","",'Mau15'!K51)</f>
        <v/>
      </c>
      <c r="J48" s="48" t="str">
        <f>IF($B48="","",'Mau15'!M51)</f>
        <v/>
      </c>
      <c r="K48" s="48" t="str">
        <f t="shared" si="2"/>
        <v/>
      </c>
      <c r="L48" s="49" t="str">
        <f t="shared" si="3"/>
        <v/>
      </c>
      <c r="M48" s="48" t="str">
        <f>IF($B48="","",KT_nguoc_theo_NL!J45)</f>
        <v/>
      </c>
      <c r="N48" s="48" t="str">
        <f>IF($B48="","",KT_nguoc_theo_NL!K45)</f>
        <v/>
      </c>
      <c r="O48" s="48" t="str">
        <f t="shared" si="4"/>
        <v/>
      </c>
      <c r="P48" s="50" t="str">
        <f t="shared" si="5"/>
        <v/>
      </c>
      <c r="Q48" s="49" t="str">
        <f>IF($B48="","",IF(KT_nguoc_theo_NL!N45="Pass","Khớp",IF(KT_nguoc_theo_NL!N45="KXDDM","KXĐM",IF(KT_nguoc_theo_NL!N45="Xem xét","Cảnh báo",""))))</f>
        <v/>
      </c>
      <c r="R48" s="49" t="str">
        <f t="shared" si="6"/>
        <v/>
      </c>
      <c r="S48" s="31" t="str">
        <f t="shared" si="7"/>
        <v/>
      </c>
    </row>
    <row r="49" spans="1:19" x14ac:dyDescent="0.25">
      <c r="A49" s="36" t="str">
        <f>IF(B49="","",42)</f>
        <v/>
      </c>
      <c r="B49" s="36" t="str">
        <f>'Mau15'!B52&amp;""</f>
        <v/>
      </c>
      <c r="C49" s="47" t="str">
        <f>IF(B49="","",'Mau15'!C52)</f>
        <v/>
      </c>
      <c r="D49" s="36" t="str">
        <f>IF(B49="","",'Mau15'!D52)</f>
        <v/>
      </c>
      <c r="E49" s="48" t="str">
        <f>IF($B49="","",'Mau15'!P52)</f>
        <v/>
      </c>
      <c r="F49" s="48" t="str">
        <f>IF($B49="","",'Mau15'!F52)</f>
        <v/>
      </c>
      <c r="G49" s="48" t="str">
        <f t="shared" si="0"/>
        <v/>
      </c>
      <c r="H49" s="49" t="str">
        <f t="shared" si="1"/>
        <v/>
      </c>
      <c r="I49" s="48" t="str">
        <f>IF($B49="","",'Mau15'!K52)</f>
        <v/>
      </c>
      <c r="J49" s="48" t="str">
        <f>IF($B49="","",'Mau15'!M52)</f>
        <v/>
      </c>
      <c r="K49" s="48" t="str">
        <f t="shared" si="2"/>
        <v/>
      </c>
      <c r="L49" s="49" t="str">
        <f t="shared" si="3"/>
        <v/>
      </c>
      <c r="M49" s="48" t="str">
        <f>IF($B49="","",KT_nguoc_theo_NL!J46)</f>
        <v/>
      </c>
      <c r="N49" s="48" t="str">
        <f>IF($B49="","",KT_nguoc_theo_NL!K46)</f>
        <v/>
      </c>
      <c r="O49" s="48" t="str">
        <f t="shared" si="4"/>
        <v/>
      </c>
      <c r="P49" s="50" t="str">
        <f t="shared" si="5"/>
        <v/>
      </c>
      <c r="Q49" s="49" t="str">
        <f>IF($B49="","",IF(KT_nguoc_theo_NL!N46="Pass","Khớp",IF(KT_nguoc_theo_NL!N46="KXDDM","KXĐM",IF(KT_nguoc_theo_NL!N46="Xem xét","Cảnh báo",""))))</f>
        <v/>
      </c>
      <c r="R49" s="49" t="str">
        <f t="shared" si="6"/>
        <v/>
      </c>
      <c r="S49" s="31" t="str">
        <f t="shared" si="7"/>
        <v/>
      </c>
    </row>
    <row r="50" spans="1:19" x14ac:dyDescent="0.25">
      <c r="A50" s="36" t="str">
        <f>IF(B50="","",43)</f>
        <v/>
      </c>
      <c r="B50" s="36" t="str">
        <f>'Mau15'!B53&amp;""</f>
        <v/>
      </c>
      <c r="C50" s="47" t="str">
        <f>IF(B50="","",'Mau15'!C53)</f>
        <v/>
      </c>
      <c r="D50" s="36" t="str">
        <f>IF(B50="","",'Mau15'!D53)</f>
        <v/>
      </c>
      <c r="E50" s="48" t="str">
        <f>IF($B50="","",'Mau15'!P53)</f>
        <v/>
      </c>
      <c r="F50" s="48" t="str">
        <f>IF($B50="","",'Mau15'!F53)</f>
        <v/>
      </c>
      <c r="G50" s="48" t="str">
        <f t="shared" si="0"/>
        <v/>
      </c>
      <c r="H50" s="49" t="str">
        <f t="shared" si="1"/>
        <v/>
      </c>
      <c r="I50" s="48" t="str">
        <f>IF($B50="","",'Mau15'!K53)</f>
        <v/>
      </c>
      <c r="J50" s="48" t="str">
        <f>IF($B50="","",'Mau15'!M53)</f>
        <v/>
      </c>
      <c r="K50" s="48" t="str">
        <f t="shared" si="2"/>
        <v/>
      </c>
      <c r="L50" s="49" t="str">
        <f t="shared" si="3"/>
        <v/>
      </c>
      <c r="M50" s="48" t="str">
        <f>IF($B50="","",KT_nguoc_theo_NL!J47)</f>
        <v/>
      </c>
      <c r="N50" s="48" t="str">
        <f>IF($B50="","",KT_nguoc_theo_NL!K47)</f>
        <v/>
      </c>
      <c r="O50" s="48" t="str">
        <f t="shared" si="4"/>
        <v/>
      </c>
      <c r="P50" s="50" t="str">
        <f t="shared" si="5"/>
        <v/>
      </c>
      <c r="Q50" s="49" t="str">
        <f>IF($B50="","",IF(KT_nguoc_theo_NL!N47="Pass","Khớp",IF(KT_nguoc_theo_NL!N47="KXDDM","KXĐM",IF(KT_nguoc_theo_NL!N47="Xem xét","Cảnh báo",""))))</f>
        <v/>
      </c>
      <c r="R50" s="49" t="str">
        <f t="shared" si="6"/>
        <v/>
      </c>
      <c r="S50" s="31" t="str">
        <f t="shared" si="7"/>
        <v/>
      </c>
    </row>
    <row r="51" spans="1:19" x14ac:dyDescent="0.25">
      <c r="A51" s="36" t="str">
        <f>IF(B51="","",44)</f>
        <v/>
      </c>
      <c r="B51" s="36" t="str">
        <f>'Mau15'!B54&amp;""</f>
        <v/>
      </c>
      <c r="C51" s="47" t="str">
        <f>IF(B51="","",'Mau15'!C54)</f>
        <v/>
      </c>
      <c r="D51" s="36" t="str">
        <f>IF(B51="","",'Mau15'!D54)</f>
        <v/>
      </c>
      <c r="E51" s="48" t="str">
        <f>IF($B51="","",'Mau15'!P54)</f>
        <v/>
      </c>
      <c r="F51" s="48" t="str">
        <f>IF($B51="","",'Mau15'!F54)</f>
        <v/>
      </c>
      <c r="G51" s="48" t="str">
        <f t="shared" si="0"/>
        <v/>
      </c>
      <c r="H51" s="49" t="str">
        <f t="shared" si="1"/>
        <v/>
      </c>
      <c r="I51" s="48" t="str">
        <f>IF($B51="","",'Mau15'!K54)</f>
        <v/>
      </c>
      <c r="J51" s="48" t="str">
        <f>IF($B51="","",'Mau15'!M54)</f>
        <v/>
      </c>
      <c r="K51" s="48" t="str">
        <f t="shared" si="2"/>
        <v/>
      </c>
      <c r="L51" s="49" t="str">
        <f t="shared" si="3"/>
        <v/>
      </c>
      <c r="M51" s="48" t="str">
        <f>IF($B51="","",KT_nguoc_theo_NL!J48)</f>
        <v/>
      </c>
      <c r="N51" s="48" t="str">
        <f>IF($B51="","",KT_nguoc_theo_NL!K48)</f>
        <v/>
      </c>
      <c r="O51" s="48" t="str">
        <f t="shared" si="4"/>
        <v/>
      </c>
      <c r="P51" s="50" t="str">
        <f t="shared" si="5"/>
        <v/>
      </c>
      <c r="Q51" s="49" t="str">
        <f>IF($B51="","",IF(KT_nguoc_theo_NL!N48="Pass","Khớp",IF(KT_nguoc_theo_NL!N48="KXDDM","KXĐM",IF(KT_nguoc_theo_NL!N48="Xem xét","Cảnh báo",""))))</f>
        <v/>
      </c>
      <c r="R51" s="49" t="str">
        <f t="shared" si="6"/>
        <v/>
      </c>
      <c r="S51" s="31" t="str">
        <f t="shared" si="7"/>
        <v/>
      </c>
    </row>
    <row r="52" spans="1:19" x14ac:dyDescent="0.25">
      <c r="A52" s="36" t="str">
        <f>IF(B52="","",45)</f>
        <v/>
      </c>
      <c r="B52" s="36" t="str">
        <f>'Mau15'!B55&amp;""</f>
        <v/>
      </c>
      <c r="C52" s="47" t="str">
        <f>IF(B52="","",'Mau15'!C55)</f>
        <v/>
      </c>
      <c r="D52" s="36" t="str">
        <f>IF(B52="","",'Mau15'!D55)</f>
        <v/>
      </c>
      <c r="E52" s="48" t="str">
        <f>IF($B52="","",'Mau15'!P55)</f>
        <v/>
      </c>
      <c r="F52" s="48" t="str">
        <f>IF($B52="","",'Mau15'!F55)</f>
        <v/>
      </c>
      <c r="G52" s="48" t="str">
        <f t="shared" si="0"/>
        <v/>
      </c>
      <c r="H52" s="49" t="str">
        <f t="shared" si="1"/>
        <v/>
      </c>
      <c r="I52" s="48" t="str">
        <f>IF($B52="","",'Mau15'!K55)</f>
        <v/>
      </c>
      <c r="J52" s="48" t="str">
        <f>IF($B52="","",'Mau15'!M55)</f>
        <v/>
      </c>
      <c r="K52" s="48" t="str">
        <f t="shared" si="2"/>
        <v/>
      </c>
      <c r="L52" s="49" t="str">
        <f t="shared" si="3"/>
        <v/>
      </c>
      <c r="M52" s="48" t="str">
        <f>IF($B52="","",KT_nguoc_theo_NL!J49)</f>
        <v/>
      </c>
      <c r="N52" s="48" t="str">
        <f>IF($B52="","",KT_nguoc_theo_NL!K49)</f>
        <v/>
      </c>
      <c r="O52" s="48" t="str">
        <f t="shared" si="4"/>
        <v/>
      </c>
      <c r="P52" s="50" t="str">
        <f t="shared" si="5"/>
        <v/>
      </c>
      <c r="Q52" s="49" t="str">
        <f>IF($B52="","",IF(KT_nguoc_theo_NL!N49="Pass","Khớp",IF(KT_nguoc_theo_NL!N49="KXDDM","KXĐM",IF(KT_nguoc_theo_NL!N49="Xem xét","Cảnh báo",""))))</f>
        <v/>
      </c>
      <c r="R52" s="49" t="str">
        <f t="shared" si="6"/>
        <v/>
      </c>
      <c r="S52" s="31" t="str">
        <f t="shared" si="7"/>
        <v/>
      </c>
    </row>
    <row r="53" spans="1:19" x14ac:dyDescent="0.25">
      <c r="A53" s="36" t="str">
        <f>IF(B53="","",46)</f>
        <v/>
      </c>
      <c r="B53" s="36" t="str">
        <f>'Mau15'!B56&amp;""</f>
        <v/>
      </c>
      <c r="C53" s="47" t="str">
        <f>IF(B53="","",'Mau15'!C56)</f>
        <v/>
      </c>
      <c r="D53" s="36" t="str">
        <f>IF(B53="","",'Mau15'!D56)</f>
        <v/>
      </c>
      <c r="E53" s="48" t="str">
        <f>IF($B53="","",'Mau15'!P56)</f>
        <v/>
      </c>
      <c r="F53" s="48" t="str">
        <f>IF($B53="","",'Mau15'!F56)</f>
        <v/>
      </c>
      <c r="G53" s="48" t="str">
        <f t="shared" si="0"/>
        <v/>
      </c>
      <c r="H53" s="49" t="str">
        <f t="shared" si="1"/>
        <v/>
      </c>
      <c r="I53" s="48" t="str">
        <f>IF($B53="","",'Mau15'!K56)</f>
        <v/>
      </c>
      <c r="J53" s="48" t="str">
        <f>IF($B53="","",'Mau15'!M56)</f>
        <v/>
      </c>
      <c r="K53" s="48" t="str">
        <f t="shared" si="2"/>
        <v/>
      </c>
      <c r="L53" s="49" t="str">
        <f t="shared" si="3"/>
        <v/>
      </c>
      <c r="M53" s="48" t="str">
        <f>IF($B53="","",KT_nguoc_theo_NL!J50)</f>
        <v/>
      </c>
      <c r="N53" s="48" t="str">
        <f>IF($B53="","",KT_nguoc_theo_NL!K50)</f>
        <v/>
      </c>
      <c r="O53" s="48" t="str">
        <f t="shared" si="4"/>
        <v/>
      </c>
      <c r="P53" s="50" t="str">
        <f t="shared" si="5"/>
        <v/>
      </c>
      <c r="Q53" s="49" t="str">
        <f>IF($B53="","",IF(KT_nguoc_theo_NL!N50="Pass","Khớp",IF(KT_nguoc_theo_NL!N50="KXDDM","KXĐM",IF(KT_nguoc_theo_NL!N50="Xem xét","Cảnh báo",""))))</f>
        <v/>
      </c>
      <c r="R53" s="49" t="str">
        <f t="shared" si="6"/>
        <v/>
      </c>
      <c r="S53" s="31" t="str">
        <f t="shared" si="7"/>
        <v/>
      </c>
    </row>
    <row r="54" spans="1:19" x14ac:dyDescent="0.25">
      <c r="A54" s="36" t="str">
        <f>IF(B54="","",47)</f>
        <v/>
      </c>
      <c r="B54" s="36" t="str">
        <f>'Mau15'!B57&amp;""</f>
        <v/>
      </c>
      <c r="C54" s="47" t="str">
        <f>IF(B54="","",'Mau15'!C57)</f>
        <v/>
      </c>
      <c r="D54" s="36" t="str">
        <f>IF(B54="","",'Mau15'!D57)</f>
        <v/>
      </c>
      <c r="E54" s="48" t="str">
        <f>IF($B54="","",'Mau15'!P57)</f>
        <v/>
      </c>
      <c r="F54" s="48" t="str">
        <f>IF($B54="","",'Mau15'!F57)</f>
        <v/>
      </c>
      <c r="G54" s="48" t="str">
        <f t="shared" si="0"/>
        <v/>
      </c>
      <c r="H54" s="49" t="str">
        <f t="shared" si="1"/>
        <v/>
      </c>
      <c r="I54" s="48" t="str">
        <f>IF($B54="","",'Mau15'!K57)</f>
        <v/>
      </c>
      <c r="J54" s="48" t="str">
        <f>IF($B54="","",'Mau15'!M57)</f>
        <v/>
      </c>
      <c r="K54" s="48" t="str">
        <f t="shared" si="2"/>
        <v/>
      </c>
      <c r="L54" s="49" t="str">
        <f t="shared" si="3"/>
        <v/>
      </c>
      <c r="M54" s="48" t="str">
        <f>IF($B54="","",KT_nguoc_theo_NL!J51)</f>
        <v/>
      </c>
      <c r="N54" s="48" t="str">
        <f>IF($B54="","",KT_nguoc_theo_NL!K51)</f>
        <v/>
      </c>
      <c r="O54" s="48" t="str">
        <f t="shared" si="4"/>
        <v/>
      </c>
      <c r="P54" s="50" t="str">
        <f t="shared" si="5"/>
        <v/>
      </c>
      <c r="Q54" s="49" t="str">
        <f>IF($B54="","",IF(KT_nguoc_theo_NL!N51="Pass","Khớp",IF(KT_nguoc_theo_NL!N51="KXDDM","KXĐM",IF(KT_nguoc_theo_NL!N51="Xem xét","Cảnh báo",""))))</f>
        <v/>
      </c>
      <c r="R54" s="49" t="str">
        <f t="shared" si="6"/>
        <v/>
      </c>
      <c r="S54" s="31" t="str">
        <f t="shared" si="7"/>
        <v/>
      </c>
    </row>
    <row r="55" spans="1:19" x14ac:dyDescent="0.25">
      <c r="A55" s="36" t="str">
        <f>IF(B55="","",48)</f>
        <v/>
      </c>
      <c r="B55" s="36" t="str">
        <f>'Mau15'!B58&amp;""</f>
        <v/>
      </c>
      <c r="C55" s="47" t="str">
        <f>IF(B55="","",'Mau15'!C58)</f>
        <v/>
      </c>
      <c r="D55" s="36" t="str">
        <f>IF(B55="","",'Mau15'!D58)</f>
        <v/>
      </c>
      <c r="E55" s="48" t="str">
        <f>IF($B55="","",'Mau15'!P58)</f>
        <v/>
      </c>
      <c r="F55" s="48" t="str">
        <f>IF($B55="","",'Mau15'!F58)</f>
        <v/>
      </c>
      <c r="G55" s="48" t="str">
        <f t="shared" si="0"/>
        <v/>
      </c>
      <c r="H55" s="49" t="str">
        <f t="shared" si="1"/>
        <v/>
      </c>
      <c r="I55" s="48" t="str">
        <f>IF($B55="","",'Mau15'!K58)</f>
        <v/>
      </c>
      <c r="J55" s="48" t="str">
        <f>IF($B55="","",'Mau15'!M58)</f>
        <v/>
      </c>
      <c r="K55" s="48" t="str">
        <f t="shared" si="2"/>
        <v/>
      </c>
      <c r="L55" s="49" t="str">
        <f t="shared" si="3"/>
        <v/>
      </c>
      <c r="M55" s="48" t="str">
        <f>IF($B55="","",KT_nguoc_theo_NL!J52)</f>
        <v/>
      </c>
      <c r="N55" s="48" t="str">
        <f>IF($B55="","",KT_nguoc_theo_NL!K52)</f>
        <v/>
      </c>
      <c r="O55" s="48" t="str">
        <f t="shared" si="4"/>
        <v/>
      </c>
      <c r="P55" s="50" t="str">
        <f t="shared" si="5"/>
        <v/>
      </c>
      <c r="Q55" s="49" t="str">
        <f>IF($B55="","",IF(KT_nguoc_theo_NL!N52="Pass","Khớp",IF(KT_nguoc_theo_NL!N52="KXDDM","KXĐM",IF(KT_nguoc_theo_NL!N52="Xem xét","Cảnh báo",""))))</f>
        <v/>
      </c>
      <c r="R55" s="49" t="str">
        <f t="shared" si="6"/>
        <v/>
      </c>
      <c r="S55" s="31" t="str">
        <f t="shared" si="7"/>
        <v/>
      </c>
    </row>
    <row r="56" spans="1:19" x14ac:dyDescent="0.25">
      <c r="A56" s="36" t="str">
        <f>IF(B56="","",49)</f>
        <v/>
      </c>
      <c r="B56" s="36" t="str">
        <f>'Mau15'!B59&amp;""</f>
        <v/>
      </c>
      <c r="C56" s="47" t="str">
        <f>IF(B56="","",'Mau15'!C59)</f>
        <v/>
      </c>
      <c r="D56" s="36" t="str">
        <f>IF(B56="","",'Mau15'!D59)</f>
        <v/>
      </c>
      <c r="E56" s="48" t="str">
        <f>IF($B56="","",'Mau15'!P59)</f>
        <v/>
      </c>
      <c r="F56" s="48" t="str">
        <f>IF($B56="","",'Mau15'!F59)</f>
        <v/>
      </c>
      <c r="G56" s="48" t="str">
        <f t="shared" si="0"/>
        <v/>
      </c>
      <c r="H56" s="49" t="str">
        <f t="shared" si="1"/>
        <v/>
      </c>
      <c r="I56" s="48" t="str">
        <f>IF($B56="","",'Mau15'!K59)</f>
        <v/>
      </c>
      <c r="J56" s="48" t="str">
        <f>IF($B56="","",'Mau15'!M59)</f>
        <v/>
      </c>
      <c r="K56" s="48" t="str">
        <f t="shared" si="2"/>
        <v/>
      </c>
      <c r="L56" s="49" t="str">
        <f t="shared" si="3"/>
        <v/>
      </c>
      <c r="M56" s="48" t="str">
        <f>IF($B56="","",KT_nguoc_theo_NL!J53)</f>
        <v/>
      </c>
      <c r="N56" s="48" t="str">
        <f>IF($B56="","",KT_nguoc_theo_NL!K53)</f>
        <v/>
      </c>
      <c r="O56" s="48" t="str">
        <f t="shared" si="4"/>
        <v/>
      </c>
      <c r="P56" s="50" t="str">
        <f t="shared" si="5"/>
        <v/>
      </c>
      <c r="Q56" s="49" t="str">
        <f>IF($B56="","",IF(KT_nguoc_theo_NL!N53="Pass","Khớp",IF(KT_nguoc_theo_NL!N53="KXDDM","KXĐM",IF(KT_nguoc_theo_NL!N53="Xem xét","Cảnh báo",""))))</f>
        <v/>
      </c>
      <c r="R56" s="49" t="str">
        <f t="shared" si="6"/>
        <v/>
      </c>
      <c r="S56" s="31" t="str">
        <f t="shared" si="7"/>
        <v/>
      </c>
    </row>
    <row r="57" spans="1:19" x14ac:dyDescent="0.25">
      <c r="A57" s="36" t="str">
        <f>IF(B57="","",50)</f>
        <v/>
      </c>
      <c r="B57" s="36" t="str">
        <f>'Mau15'!B60&amp;""</f>
        <v/>
      </c>
      <c r="C57" s="47" t="str">
        <f>IF(B57="","",'Mau15'!C60)</f>
        <v/>
      </c>
      <c r="D57" s="36" t="str">
        <f>IF(B57="","",'Mau15'!D60)</f>
        <v/>
      </c>
      <c r="E57" s="48" t="str">
        <f>IF($B57="","",'Mau15'!P60)</f>
        <v/>
      </c>
      <c r="F57" s="48" t="str">
        <f>IF($B57="","",'Mau15'!F60)</f>
        <v/>
      </c>
      <c r="G57" s="48" t="str">
        <f t="shared" si="0"/>
        <v/>
      </c>
      <c r="H57" s="49" t="str">
        <f t="shared" si="1"/>
        <v/>
      </c>
      <c r="I57" s="48" t="str">
        <f>IF($B57="","",'Mau15'!K60)</f>
        <v/>
      </c>
      <c r="J57" s="48" t="str">
        <f>IF($B57="","",'Mau15'!M60)</f>
        <v/>
      </c>
      <c r="K57" s="48" t="str">
        <f t="shared" si="2"/>
        <v/>
      </c>
      <c r="L57" s="49" t="str">
        <f t="shared" si="3"/>
        <v/>
      </c>
      <c r="M57" s="48" t="str">
        <f>IF($B57="","",KT_nguoc_theo_NL!J54)</f>
        <v/>
      </c>
      <c r="N57" s="48" t="str">
        <f>IF($B57="","",KT_nguoc_theo_NL!K54)</f>
        <v/>
      </c>
      <c r="O57" s="48" t="str">
        <f t="shared" si="4"/>
        <v/>
      </c>
      <c r="P57" s="50" t="str">
        <f t="shared" si="5"/>
        <v/>
      </c>
      <c r="Q57" s="49" t="str">
        <f>IF($B57="","",IF(KT_nguoc_theo_NL!N54="Pass","Khớp",IF(KT_nguoc_theo_NL!N54="KXDDM","KXĐM",IF(KT_nguoc_theo_NL!N54="Xem xét","Cảnh báo",""))))</f>
        <v/>
      </c>
      <c r="R57" s="49" t="str">
        <f t="shared" si="6"/>
        <v/>
      </c>
      <c r="S57" s="31" t="str">
        <f t="shared" si="7"/>
        <v/>
      </c>
    </row>
    <row r="58" spans="1:19" x14ac:dyDescent="0.25">
      <c r="A58" s="36" t="str">
        <f>IF(B58="","",51)</f>
        <v/>
      </c>
      <c r="B58" s="36" t="str">
        <f>'Mau15'!B61&amp;""</f>
        <v/>
      </c>
      <c r="C58" s="47" t="str">
        <f>IF(B58="","",'Mau15'!C61)</f>
        <v/>
      </c>
      <c r="D58" s="36" t="str">
        <f>IF(B58="","",'Mau15'!D61)</f>
        <v/>
      </c>
      <c r="E58" s="48" t="str">
        <f>IF($B58="","",'Mau15'!P61)</f>
        <v/>
      </c>
      <c r="F58" s="48" t="str">
        <f>IF($B58="","",'Mau15'!F61)</f>
        <v/>
      </c>
      <c r="G58" s="48" t="str">
        <f t="shared" si="0"/>
        <v/>
      </c>
      <c r="H58" s="49" t="str">
        <f t="shared" si="1"/>
        <v/>
      </c>
      <c r="I58" s="48" t="str">
        <f>IF($B58="","",'Mau15'!K61)</f>
        <v/>
      </c>
      <c r="J58" s="48" t="str">
        <f>IF($B58="","",'Mau15'!M61)</f>
        <v/>
      </c>
      <c r="K58" s="48" t="str">
        <f t="shared" si="2"/>
        <v/>
      </c>
      <c r="L58" s="49" t="str">
        <f t="shared" si="3"/>
        <v/>
      </c>
      <c r="M58" s="48" t="str">
        <f>IF($B58="","",KT_nguoc_theo_NL!J55)</f>
        <v/>
      </c>
      <c r="N58" s="48" t="str">
        <f>IF($B58="","",KT_nguoc_theo_NL!K55)</f>
        <v/>
      </c>
      <c r="O58" s="48" t="str">
        <f t="shared" si="4"/>
        <v/>
      </c>
      <c r="P58" s="50" t="str">
        <f t="shared" si="5"/>
        <v/>
      </c>
      <c r="Q58" s="49" t="str">
        <f>IF($B58="","",IF(KT_nguoc_theo_NL!N55="Pass","Khớp",IF(KT_nguoc_theo_NL!N55="KXDDM","KXĐM",IF(KT_nguoc_theo_NL!N55="Xem xét","Cảnh báo",""))))</f>
        <v/>
      </c>
      <c r="R58" s="49" t="str">
        <f t="shared" si="6"/>
        <v/>
      </c>
      <c r="S58" s="31" t="str">
        <f t="shared" si="7"/>
        <v/>
      </c>
    </row>
    <row r="59" spans="1:19" x14ac:dyDescent="0.25">
      <c r="A59" s="36" t="str">
        <f>IF(B59="","",52)</f>
        <v/>
      </c>
      <c r="B59" s="36" t="str">
        <f>'Mau15'!B62&amp;""</f>
        <v/>
      </c>
      <c r="C59" s="47" t="str">
        <f>IF(B59="","",'Mau15'!C62)</f>
        <v/>
      </c>
      <c r="D59" s="36" t="str">
        <f>IF(B59="","",'Mau15'!D62)</f>
        <v/>
      </c>
      <c r="E59" s="48" t="str">
        <f>IF($B59="","",'Mau15'!P62)</f>
        <v/>
      </c>
      <c r="F59" s="48" t="str">
        <f>IF($B59="","",'Mau15'!F62)</f>
        <v/>
      </c>
      <c r="G59" s="48" t="str">
        <f t="shared" si="0"/>
        <v/>
      </c>
      <c r="H59" s="49" t="str">
        <f t="shared" si="1"/>
        <v/>
      </c>
      <c r="I59" s="48" t="str">
        <f>IF($B59="","",'Mau15'!K62)</f>
        <v/>
      </c>
      <c r="J59" s="48" t="str">
        <f>IF($B59="","",'Mau15'!M62)</f>
        <v/>
      </c>
      <c r="K59" s="48" t="str">
        <f t="shared" si="2"/>
        <v/>
      </c>
      <c r="L59" s="49" t="str">
        <f t="shared" si="3"/>
        <v/>
      </c>
      <c r="M59" s="48" t="str">
        <f>IF($B59="","",KT_nguoc_theo_NL!J56)</f>
        <v/>
      </c>
      <c r="N59" s="48" t="str">
        <f>IF($B59="","",KT_nguoc_theo_NL!K56)</f>
        <v/>
      </c>
      <c r="O59" s="48" t="str">
        <f t="shared" si="4"/>
        <v/>
      </c>
      <c r="P59" s="50" t="str">
        <f t="shared" si="5"/>
        <v/>
      </c>
      <c r="Q59" s="49" t="str">
        <f>IF($B59="","",IF(KT_nguoc_theo_NL!N56="Pass","Khớp",IF(KT_nguoc_theo_NL!N56="KXDDM","KXĐM",IF(KT_nguoc_theo_NL!N56="Xem xét","Cảnh báo",""))))</f>
        <v/>
      </c>
      <c r="R59" s="49" t="str">
        <f t="shared" si="6"/>
        <v/>
      </c>
      <c r="S59" s="31" t="str">
        <f t="shared" si="7"/>
        <v/>
      </c>
    </row>
    <row r="60" spans="1:19" x14ac:dyDescent="0.25">
      <c r="A60" s="36" t="str">
        <f>IF(B60="","",53)</f>
        <v/>
      </c>
      <c r="B60" s="36" t="str">
        <f>'Mau15'!B63&amp;""</f>
        <v/>
      </c>
      <c r="C60" s="47" t="str">
        <f>IF(B60="","",'Mau15'!C63)</f>
        <v/>
      </c>
      <c r="D60" s="36" t="str">
        <f>IF(B60="","",'Mau15'!D63)</f>
        <v/>
      </c>
      <c r="E60" s="48" t="str">
        <f>IF($B60="","",'Mau15'!P63)</f>
        <v/>
      </c>
      <c r="F60" s="48" t="str">
        <f>IF($B60="","",'Mau15'!F63)</f>
        <v/>
      </c>
      <c r="G60" s="48" t="str">
        <f t="shared" si="0"/>
        <v/>
      </c>
      <c r="H60" s="49" t="str">
        <f t="shared" si="1"/>
        <v/>
      </c>
      <c r="I60" s="48" t="str">
        <f>IF($B60="","",'Mau15'!K63)</f>
        <v/>
      </c>
      <c r="J60" s="48" t="str">
        <f>IF($B60="","",'Mau15'!M63)</f>
        <v/>
      </c>
      <c r="K60" s="48" t="str">
        <f t="shared" si="2"/>
        <v/>
      </c>
      <c r="L60" s="49" t="str">
        <f t="shared" si="3"/>
        <v/>
      </c>
      <c r="M60" s="48" t="str">
        <f>IF($B60="","",KT_nguoc_theo_NL!J57)</f>
        <v/>
      </c>
      <c r="N60" s="48" t="str">
        <f>IF($B60="","",KT_nguoc_theo_NL!K57)</f>
        <v/>
      </c>
      <c r="O60" s="48" t="str">
        <f t="shared" si="4"/>
        <v/>
      </c>
      <c r="P60" s="50" t="str">
        <f t="shared" si="5"/>
        <v/>
      </c>
      <c r="Q60" s="49" t="str">
        <f>IF($B60="","",IF(KT_nguoc_theo_NL!N57="Pass","Khớp",IF(KT_nguoc_theo_NL!N57="KXDDM","KXĐM",IF(KT_nguoc_theo_NL!N57="Xem xét","Cảnh báo",""))))</f>
        <v/>
      </c>
      <c r="R60" s="49" t="str">
        <f t="shared" si="6"/>
        <v/>
      </c>
      <c r="S60" s="31" t="str">
        <f t="shared" si="7"/>
        <v/>
      </c>
    </row>
    <row r="61" spans="1:19" x14ac:dyDescent="0.25">
      <c r="A61" s="36" t="str">
        <f>IF(B61="","",54)</f>
        <v/>
      </c>
      <c r="B61" s="36" t="str">
        <f>'Mau15'!B64&amp;""</f>
        <v/>
      </c>
      <c r="C61" s="47" t="str">
        <f>IF(B61="","",'Mau15'!C64)</f>
        <v/>
      </c>
      <c r="D61" s="36" t="str">
        <f>IF(B61="","",'Mau15'!D64)</f>
        <v/>
      </c>
      <c r="E61" s="48" t="str">
        <f>IF($B61="","",'Mau15'!P64)</f>
        <v/>
      </c>
      <c r="F61" s="48" t="str">
        <f>IF($B61="","",'Mau15'!F64)</f>
        <v/>
      </c>
      <c r="G61" s="48" t="str">
        <f t="shared" si="0"/>
        <v/>
      </c>
      <c r="H61" s="49" t="str">
        <f t="shared" si="1"/>
        <v/>
      </c>
      <c r="I61" s="48" t="str">
        <f>IF($B61="","",'Mau15'!K64)</f>
        <v/>
      </c>
      <c r="J61" s="48" t="str">
        <f>IF($B61="","",'Mau15'!M64)</f>
        <v/>
      </c>
      <c r="K61" s="48" t="str">
        <f t="shared" si="2"/>
        <v/>
      </c>
      <c r="L61" s="49" t="str">
        <f t="shared" si="3"/>
        <v/>
      </c>
      <c r="M61" s="48" t="str">
        <f>IF($B61="","",KT_nguoc_theo_NL!J58)</f>
        <v/>
      </c>
      <c r="N61" s="48" t="str">
        <f>IF($B61="","",KT_nguoc_theo_NL!K58)</f>
        <v/>
      </c>
      <c r="O61" s="48" t="str">
        <f t="shared" si="4"/>
        <v/>
      </c>
      <c r="P61" s="50" t="str">
        <f t="shared" si="5"/>
        <v/>
      </c>
      <c r="Q61" s="49" t="str">
        <f>IF($B61="","",IF(KT_nguoc_theo_NL!N58="Pass","Khớp",IF(KT_nguoc_theo_NL!N58="KXDDM","KXĐM",IF(KT_nguoc_theo_NL!N58="Xem xét","Cảnh báo",""))))</f>
        <v/>
      </c>
      <c r="R61" s="49" t="str">
        <f t="shared" si="6"/>
        <v/>
      </c>
      <c r="S61" s="31" t="str">
        <f t="shared" si="7"/>
        <v/>
      </c>
    </row>
    <row r="62" spans="1:19" x14ac:dyDescent="0.25">
      <c r="A62" s="36" t="str">
        <f>IF(B62="","",55)</f>
        <v/>
      </c>
      <c r="B62" s="36" t="str">
        <f>'Mau15'!B65&amp;""</f>
        <v/>
      </c>
      <c r="C62" s="47" t="str">
        <f>IF(B62="","",'Mau15'!C65)</f>
        <v/>
      </c>
      <c r="D62" s="36" t="str">
        <f>IF(B62="","",'Mau15'!D65)</f>
        <v/>
      </c>
      <c r="E62" s="48" t="str">
        <f>IF($B62="","",'Mau15'!P65)</f>
        <v/>
      </c>
      <c r="F62" s="48" t="str">
        <f>IF($B62="","",'Mau15'!F65)</f>
        <v/>
      </c>
      <c r="G62" s="48" t="str">
        <f t="shared" si="0"/>
        <v/>
      </c>
      <c r="H62" s="49" t="str">
        <f t="shared" si="1"/>
        <v/>
      </c>
      <c r="I62" s="48" t="str">
        <f>IF($B62="","",'Mau15'!K65)</f>
        <v/>
      </c>
      <c r="J62" s="48" t="str">
        <f>IF($B62="","",'Mau15'!M65)</f>
        <v/>
      </c>
      <c r="K62" s="48" t="str">
        <f t="shared" si="2"/>
        <v/>
      </c>
      <c r="L62" s="49" t="str">
        <f t="shared" si="3"/>
        <v/>
      </c>
      <c r="M62" s="48" t="str">
        <f>IF($B62="","",KT_nguoc_theo_NL!J59)</f>
        <v/>
      </c>
      <c r="N62" s="48" t="str">
        <f>IF($B62="","",KT_nguoc_theo_NL!K59)</f>
        <v/>
      </c>
      <c r="O62" s="48" t="str">
        <f t="shared" si="4"/>
        <v/>
      </c>
      <c r="P62" s="50" t="str">
        <f t="shared" si="5"/>
        <v/>
      </c>
      <c r="Q62" s="49" t="str">
        <f>IF($B62="","",IF(KT_nguoc_theo_NL!N59="Pass","Khớp",IF(KT_nguoc_theo_NL!N59="KXDDM","KXĐM",IF(KT_nguoc_theo_NL!N59="Xem xét","Cảnh báo",""))))</f>
        <v/>
      </c>
      <c r="R62" s="49" t="str">
        <f t="shared" si="6"/>
        <v/>
      </c>
      <c r="S62" s="31" t="str">
        <f t="shared" si="7"/>
        <v/>
      </c>
    </row>
    <row r="63" spans="1:19" x14ac:dyDescent="0.25">
      <c r="A63" s="36" t="str">
        <f>IF(B63="","",56)</f>
        <v/>
      </c>
      <c r="B63" s="36" t="str">
        <f>'Mau15'!B66&amp;""</f>
        <v/>
      </c>
      <c r="C63" s="47" t="str">
        <f>IF(B63="","",'Mau15'!C66)</f>
        <v/>
      </c>
      <c r="D63" s="36" t="str">
        <f>IF(B63="","",'Mau15'!D66)</f>
        <v/>
      </c>
      <c r="E63" s="48" t="str">
        <f>IF($B63="","",'Mau15'!P66)</f>
        <v/>
      </c>
      <c r="F63" s="48" t="str">
        <f>IF($B63="","",'Mau15'!F66)</f>
        <v/>
      </c>
      <c r="G63" s="48" t="str">
        <f t="shared" si="0"/>
        <v/>
      </c>
      <c r="H63" s="49" t="str">
        <f t="shared" si="1"/>
        <v/>
      </c>
      <c r="I63" s="48" t="str">
        <f>IF($B63="","",'Mau15'!K66)</f>
        <v/>
      </c>
      <c r="J63" s="48" t="str">
        <f>IF($B63="","",'Mau15'!M66)</f>
        <v/>
      </c>
      <c r="K63" s="48" t="str">
        <f t="shared" si="2"/>
        <v/>
      </c>
      <c r="L63" s="49" t="str">
        <f t="shared" si="3"/>
        <v/>
      </c>
      <c r="M63" s="48" t="str">
        <f>IF($B63="","",KT_nguoc_theo_NL!J60)</f>
        <v/>
      </c>
      <c r="N63" s="48" t="str">
        <f>IF($B63="","",KT_nguoc_theo_NL!K60)</f>
        <v/>
      </c>
      <c r="O63" s="48" t="str">
        <f t="shared" si="4"/>
        <v/>
      </c>
      <c r="P63" s="50" t="str">
        <f t="shared" si="5"/>
        <v/>
      </c>
      <c r="Q63" s="49" t="str">
        <f>IF($B63="","",IF(KT_nguoc_theo_NL!N60="Pass","Khớp",IF(KT_nguoc_theo_NL!N60="KXDDM","KXĐM",IF(KT_nguoc_theo_NL!N60="Xem xét","Cảnh báo",""))))</f>
        <v/>
      </c>
      <c r="R63" s="49" t="str">
        <f t="shared" si="6"/>
        <v/>
      </c>
      <c r="S63" s="31" t="str">
        <f t="shared" si="7"/>
        <v/>
      </c>
    </row>
    <row r="64" spans="1:19" x14ac:dyDescent="0.25">
      <c r="A64" s="36" t="str">
        <f>IF(B64="","",57)</f>
        <v/>
      </c>
      <c r="B64" s="36" t="str">
        <f>'Mau15'!B67&amp;""</f>
        <v/>
      </c>
      <c r="C64" s="47" t="str">
        <f>IF(B64="","",'Mau15'!C67)</f>
        <v/>
      </c>
      <c r="D64" s="36" t="str">
        <f>IF(B64="","",'Mau15'!D67)</f>
        <v/>
      </c>
      <c r="E64" s="48" t="str">
        <f>IF($B64="","",'Mau15'!P67)</f>
        <v/>
      </c>
      <c r="F64" s="48" t="str">
        <f>IF($B64="","",'Mau15'!F67)</f>
        <v/>
      </c>
      <c r="G64" s="48" t="str">
        <f t="shared" si="0"/>
        <v/>
      </c>
      <c r="H64" s="49" t="str">
        <f t="shared" si="1"/>
        <v/>
      </c>
      <c r="I64" s="48" t="str">
        <f>IF($B64="","",'Mau15'!K67)</f>
        <v/>
      </c>
      <c r="J64" s="48" t="str">
        <f>IF($B64="","",'Mau15'!M67)</f>
        <v/>
      </c>
      <c r="K64" s="48" t="str">
        <f t="shared" si="2"/>
        <v/>
      </c>
      <c r="L64" s="49" t="str">
        <f t="shared" si="3"/>
        <v/>
      </c>
      <c r="M64" s="48" t="str">
        <f>IF($B64="","",KT_nguoc_theo_NL!J61)</f>
        <v/>
      </c>
      <c r="N64" s="48" t="str">
        <f>IF($B64="","",KT_nguoc_theo_NL!K61)</f>
        <v/>
      </c>
      <c r="O64" s="48" t="str">
        <f t="shared" si="4"/>
        <v/>
      </c>
      <c r="P64" s="50" t="str">
        <f t="shared" si="5"/>
        <v/>
      </c>
      <c r="Q64" s="49" t="str">
        <f>IF($B64="","",IF(KT_nguoc_theo_NL!N61="Pass","Khớp",IF(KT_nguoc_theo_NL!N61="KXDDM","KXĐM",IF(KT_nguoc_theo_NL!N61="Xem xét","Cảnh báo",""))))</f>
        <v/>
      </c>
      <c r="R64" s="49" t="str">
        <f t="shared" si="6"/>
        <v/>
      </c>
      <c r="S64" s="31" t="str">
        <f t="shared" si="7"/>
        <v/>
      </c>
    </row>
    <row r="65" spans="1:19" x14ac:dyDescent="0.25">
      <c r="A65" s="36" t="str">
        <f>IF(B65="","",58)</f>
        <v/>
      </c>
      <c r="B65" s="36" t="str">
        <f>'Mau15'!B68&amp;""</f>
        <v/>
      </c>
      <c r="C65" s="47" t="str">
        <f>IF(B65="","",'Mau15'!C68)</f>
        <v/>
      </c>
      <c r="D65" s="36" t="str">
        <f>IF(B65="","",'Mau15'!D68)</f>
        <v/>
      </c>
      <c r="E65" s="48" t="str">
        <f>IF($B65="","",'Mau15'!P68)</f>
        <v/>
      </c>
      <c r="F65" s="48" t="str">
        <f>IF($B65="","",'Mau15'!F68)</f>
        <v/>
      </c>
      <c r="G65" s="48" t="str">
        <f t="shared" si="0"/>
        <v/>
      </c>
      <c r="H65" s="49" t="str">
        <f t="shared" si="1"/>
        <v/>
      </c>
      <c r="I65" s="48" t="str">
        <f>IF($B65="","",'Mau15'!K68)</f>
        <v/>
      </c>
      <c r="J65" s="48" t="str">
        <f>IF($B65="","",'Mau15'!M68)</f>
        <v/>
      </c>
      <c r="K65" s="48" t="str">
        <f t="shared" si="2"/>
        <v/>
      </c>
      <c r="L65" s="49" t="str">
        <f t="shared" si="3"/>
        <v/>
      </c>
      <c r="M65" s="48" t="str">
        <f>IF($B65="","",KT_nguoc_theo_NL!J62)</f>
        <v/>
      </c>
      <c r="N65" s="48" t="str">
        <f>IF($B65="","",KT_nguoc_theo_NL!K62)</f>
        <v/>
      </c>
      <c r="O65" s="48" t="str">
        <f t="shared" si="4"/>
        <v/>
      </c>
      <c r="P65" s="50" t="str">
        <f t="shared" si="5"/>
        <v/>
      </c>
      <c r="Q65" s="49" t="str">
        <f>IF($B65="","",IF(KT_nguoc_theo_NL!N62="Pass","Khớp",IF(KT_nguoc_theo_NL!N62="KXDDM","KXĐM",IF(KT_nguoc_theo_NL!N62="Xem xét","Cảnh báo",""))))</f>
        <v/>
      </c>
      <c r="R65" s="49" t="str">
        <f t="shared" si="6"/>
        <v/>
      </c>
      <c r="S65" s="31" t="str">
        <f t="shared" si="7"/>
        <v/>
      </c>
    </row>
    <row r="66" spans="1:19" x14ac:dyDescent="0.25">
      <c r="A66" s="36" t="str">
        <f>IF(B66="","",59)</f>
        <v/>
      </c>
      <c r="B66" s="36" t="str">
        <f>'Mau15'!B69&amp;""</f>
        <v/>
      </c>
      <c r="C66" s="47" t="str">
        <f>IF(B66="","",'Mau15'!C69)</f>
        <v/>
      </c>
      <c r="D66" s="36" t="str">
        <f>IF(B66="","",'Mau15'!D69)</f>
        <v/>
      </c>
      <c r="E66" s="48" t="str">
        <f>IF($B66="","",'Mau15'!P69)</f>
        <v/>
      </c>
      <c r="F66" s="48" t="str">
        <f>IF($B66="","",'Mau15'!F69)</f>
        <v/>
      </c>
      <c r="G66" s="48" t="str">
        <f t="shared" si="0"/>
        <v/>
      </c>
      <c r="H66" s="49" t="str">
        <f t="shared" si="1"/>
        <v/>
      </c>
      <c r="I66" s="48" t="str">
        <f>IF($B66="","",'Mau15'!K69)</f>
        <v/>
      </c>
      <c r="J66" s="48" t="str">
        <f>IF($B66="","",'Mau15'!M69)</f>
        <v/>
      </c>
      <c r="K66" s="48" t="str">
        <f t="shared" si="2"/>
        <v/>
      </c>
      <c r="L66" s="49" t="str">
        <f t="shared" si="3"/>
        <v/>
      </c>
      <c r="M66" s="48" t="str">
        <f>IF($B66="","",KT_nguoc_theo_NL!J63)</f>
        <v/>
      </c>
      <c r="N66" s="48" t="str">
        <f>IF($B66="","",KT_nguoc_theo_NL!K63)</f>
        <v/>
      </c>
      <c r="O66" s="48" t="str">
        <f t="shared" si="4"/>
        <v/>
      </c>
      <c r="P66" s="50" t="str">
        <f t="shared" si="5"/>
        <v/>
      </c>
      <c r="Q66" s="49" t="str">
        <f>IF($B66="","",IF(KT_nguoc_theo_NL!N63="Pass","Khớp",IF(KT_nguoc_theo_NL!N63="KXDDM","KXĐM",IF(KT_nguoc_theo_NL!N63="Xem xét","Cảnh báo",""))))</f>
        <v/>
      </c>
      <c r="R66" s="49" t="str">
        <f t="shared" si="6"/>
        <v/>
      </c>
      <c r="S66" s="31" t="str">
        <f t="shared" si="7"/>
        <v/>
      </c>
    </row>
    <row r="67" spans="1:19" x14ac:dyDescent="0.25">
      <c r="A67" s="36" t="str">
        <f>IF(B67="","",60)</f>
        <v/>
      </c>
      <c r="B67" s="36" t="str">
        <f>'Mau15'!B70&amp;""</f>
        <v/>
      </c>
      <c r="C67" s="47" t="str">
        <f>IF(B67="","",'Mau15'!C70)</f>
        <v/>
      </c>
      <c r="D67" s="36" t="str">
        <f>IF(B67="","",'Mau15'!D70)</f>
        <v/>
      </c>
      <c r="E67" s="48" t="str">
        <f>IF($B67="","",'Mau15'!P70)</f>
        <v/>
      </c>
      <c r="F67" s="48" t="str">
        <f>IF($B67="","",'Mau15'!F70)</f>
        <v/>
      </c>
      <c r="G67" s="48" t="str">
        <f t="shared" si="0"/>
        <v/>
      </c>
      <c r="H67" s="49" t="str">
        <f t="shared" si="1"/>
        <v/>
      </c>
      <c r="I67" s="48" t="str">
        <f>IF($B67="","",'Mau15'!K70)</f>
        <v/>
      </c>
      <c r="J67" s="48" t="str">
        <f>IF($B67="","",'Mau15'!M70)</f>
        <v/>
      </c>
      <c r="K67" s="48" t="str">
        <f t="shared" si="2"/>
        <v/>
      </c>
      <c r="L67" s="49" t="str">
        <f t="shared" si="3"/>
        <v/>
      </c>
      <c r="M67" s="48" t="str">
        <f>IF($B67="","",KT_nguoc_theo_NL!J64)</f>
        <v/>
      </c>
      <c r="N67" s="48" t="str">
        <f>IF($B67="","",KT_nguoc_theo_NL!K64)</f>
        <v/>
      </c>
      <c r="O67" s="48" t="str">
        <f t="shared" si="4"/>
        <v/>
      </c>
      <c r="P67" s="50" t="str">
        <f t="shared" si="5"/>
        <v/>
      </c>
      <c r="Q67" s="49" t="str">
        <f>IF($B67="","",IF(KT_nguoc_theo_NL!N64="Pass","Khớp",IF(KT_nguoc_theo_NL!N64="KXDDM","KXĐM",IF(KT_nguoc_theo_NL!N64="Xem xét","Cảnh báo",""))))</f>
        <v/>
      </c>
      <c r="R67" s="49" t="str">
        <f t="shared" si="6"/>
        <v/>
      </c>
      <c r="S67" s="31" t="str">
        <f t="shared" si="7"/>
        <v/>
      </c>
    </row>
    <row r="68" spans="1:19" x14ac:dyDescent="0.25">
      <c r="A68" s="36" t="str">
        <f>IF(B68="","",61)</f>
        <v/>
      </c>
      <c r="B68" s="36" t="str">
        <f>'Mau15'!B71&amp;""</f>
        <v/>
      </c>
      <c r="C68" s="47" t="str">
        <f>IF(B68="","",'Mau15'!C71)</f>
        <v/>
      </c>
      <c r="D68" s="36" t="str">
        <f>IF(B68="","",'Mau15'!D71)</f>
        <v/>
      </c>
      <c r="E68" s="48" t="str">
        <f>IF($B68="","",'Mau15'!P71)</f>
        <v/>
      </c>
      <c r="F68" s="48" t="str">
        <f>IF($B68="","",'Mau15'!F71)</f>
        <v/>
      </c>
      <c r="G68" s="48" t="str">
        <f t="shared" si="0"/>
        <v/>
      </c>
      <c r="H68" s="49" t="str">
        <f t="shared" si="1"/>
        <v/>
      </c>
      <c r="I68" s="48" t="str">
        <f>IF($B68="","",'Mau15'!K71)</f>
        <v/>
      </c>
      <c r="J68" s="48" t="str">
        <f>IF($B68="","",'Mau15'!M71)</f>
        <v/>
      </c>
      <c r="K68" s="48" t="str">
        <f t="shared" si="2"/>
        <v/>
      </c>
      <c r="L68" s="49" t="str">
        <f t="shared" si="3"/>
        <v/>
      </c>
      <c r="M68" s="48" t="str">
        <f>IF($B68="","",KT_nguoc_theo_NL!J65)</f>
        <v/>
      </c>
      <c r="N68" s="48" t="str">
        <f>IF($B68="","",KT_nguoc_theo_NL!K65)</f>
        <v/>
      </c>
      <c r="O68" s="48" t="str">
        <f t="shared" si="4"/>
        <v/>
      </c>
      <c r="P68" s="50" t="str">
        <f t="shared" si="5"/>
        <v/>
      </c>
      <c r="Q68" s="49" t="str">
        <f>IF($B68="","",IF(KT_nguoc_theo_NL!N65="Pass","Khớp",IF(KT_nguoc_theo_NL!N65="KXDDM","KXĐM",IF(KT_nguoc_theo_NL!N65="Xem xét","Cảnh báo",""))))</f>
        <v/>
      </c>
      <c r="R68" s="49" t="str">
        <f t="shared" si="6"/>
        <v/>
      </c>
      <c r="S68" s="31" t="str">
        <f t="shared" si="7"/>
        <v/>
      </c>
    </row>
    <row r="69" spans="1:19" x14ac:dyDescent="0.25">
      <c r="A69" s="36" t="str">
        <f>IF(B69="","",62)</f>
        <v/>
      </c>
      <c r="B69" s="36" t="str">
        <f>'Mau15'!B72&amp;""</f>
        <v/>
      </c>
      <c r="C69" s="47" t="str">
        <f>IF(B69="","",'Mau15'!C72)</f>
        <v/>
      </c>
      <c r="D69" s="36" t="str">
        <f>IF(B69="","",'Mau15'!D72)</f>
        <v/>
      </c>
      <c r="E69" s="48" t="str">
        <f>IF($B69="","",'Mau15'!P72)</f>
        <v/>
      </c>
      <c r="F69" s="48" t="str">
        <f>IF($B69="","",'Mau15'!F72)</f>
        <v/>
      </c>
      <c r="G69" s="48" t="str">
        <f t="shared" si="0"/>
        <v/>
      </c>
      <c r="H69" s="49" t="str">
        <f t="shared" si="1"/>
        <v/>
      </c>
      <c r="I69" s="48" t="str">
        <f>IF($B69="","",'Mau15'!K72)</f>
        <v/>
      </c>
      <c r="J69" s="48" t="str">
        <f>IF($B69="","",'Mau15'!M72)</f>
        <v/>
      </c>
      <c r="K69" s="48" t="str">
        <f t="shared" si="2"/>
        <v/>
      </c>
      <c r="L69" s="49" t="str">
        <f t="shared" si="3"/>
        <v/>
      </c>
      <c r="M69" s="48" t="str">
        <f>IF($B69="","",KT_nguoc_theo_NL!J66)</f>
        <v/>
      </c>
      <c r="N69" s="48" t="str">
        <f>IF($B69="","",KT_nguoc_theo_NL!K66)</f>
        <v/>
      </c>
      <c r="O69" s="48" t="str">
        <f t="shared" si="4"/>
        <v/>
      </c>
      <c r="P69" s="50" t="str">
        <f t="shared" si="5"/>
        <v/>
      </c>
      <c r="Q69" s="49" t="str">
        <f>IF($B69="","",IF(KT_nguoc_theo_NL!N66="Pass","Khớp",IF(KT_nguoc_theo_NL!N66="KXDDM","KXĐM",IF(KT_nguoc_theo_NL!N66="Xem xét","Cảnh báo",""))))</f>
        <v/>
      </c>
      <c r="R69" s="49" t="str">
        <f t="shared" si="6"/>
        <v/>
      </c>
      <c r="S69" s="31" t="str">
        <f t="shared" si="7"/>
        <v/>
      </c>
    </row>
    <row r="70" spans="1:19" x14ac:dyDescent="0.25">
      <c r="A70" s="36" t="str">
        <f>IF(B70="","",63)</f>
        <v/>
      </c>
      <c r="B70" s="36" t="str">
        <f>'Mau15'!B73&amp;""</f>
        <v/>
      </c>
      <c r="C70" s="47" t="str">
        <f>IF(B70="","",'Mau15'!C73)</f>
        <v/>
      </c>
      <c r="D70" s="36" t="str">
        <f>IF(B70="","",'Mau15'!D73)</f>
        <v/>
      </c>
      <c r="E70" s="48" t="str">
        <f>IF($B70="","",'Mau15'!P73)</f>
        <v/>
      </c>
      <c r="F70" s="48" t="str">
        <f>IF($B70="","",'Mau15'!F73)</f>
        <v/>
      </c>
      <c r="G70" s="48" t="str">
        <f t="shared" si="0"/>
        <v/>
      </c>
      <c r="H70" s="49" t="str">
        <f t="shared" si="1"/>
        <v/>
      </c>
      <c r="I70" s="48" t="str">
        <f>IF($B70="","",'Mau15'!K73)</f>
        <v/>
      </c>
      <c r="J70" s="48" t="str">
        <f>IF($B70="","",'Mau15'!M73)</f>
        <v/>
      </c>
      <c r="K70" s="48" t="str">
        <f t="shared" si="2"/>
        <v/>
      </c>
      <c r="L70" s="49" t="str">
        <f t="shared" si="3"/>
        <v/>
      </c>
      <c r="M70" s="48" t="str">
        <f>IF($B70="","",KT_nguoc_theo_NL!J67)</f>
        <v/>
      </c>
      <c r="N70" s="48" t="str">
        <f>IF($B70="","",KT_nguoc_theo_NL!K67)</f>
        <v/>
      </c>
      <c r="O70" s="48" t="str">
        <f t="shared" si="4"/>
        <v/>
      </c>
      <c r="P70" s="50" t="str">
        <f t="shared" si="5"/>
        <v/>
      </c>
      <c r="Q70" s="49" t="str">
        <f>IF($B70="","",IF(KT_nguoc_theo_NL!N67="Pass","Khớp",IF(KT_nguoc_theo_NL!N67="KXDDM","KXĐM",IF(KT_nguoc_theo_NL!N67="Xem xét","Cảnh báo",""))))</f>
        <v/>
      </c>
      <c r="R70" s="49" t="str">
        <f t="shared" si="6"/>
        <v/>
      </c>
      <c r="S70" s="31" t="str">
        <f t="shared" si="7"/>
        <v/>
      </c>
    </row>
    <row r="71" spans="1:19" x14ac:dyDescent="0.25">
      <c r="A71" s="36" t="str">
        <f>IF(B71="","",64)</f>
        <v/>
      </c>
      <c r="B71" s="36" t="str">
        <f>'Mau15'!B74&amp;""</f>
        <v/>
      </c>
      <c r="C71" s="47" t="str">
        <f>IF(B71="","",'Mau15'!C74)</f>
        <v/>
      </c>
      <c r="D71" s="36" t="str">
        <f>IF(B71="","",'Mau15'!D74)</f>
        <v/>
      </c>
      <c r="E71" s="48" t="str">
        <f>IF($B71="","",'Mau15'!P74)</f>
        <v/>
      </c>
      <c r="F71" s="48" t="str">
        <f>IF($B71="","",'Mau15'!F74)</f>
        <v/>
      </c>
      <c r="G71" s="48" t="str">
        <f t="shared" si="0"/>
        <v/>
      </c>
      <c r="H71" s="49" t="str">
        <f t="shared" si="1"/>
        <v/>
      </c>
      <c r="I71" s="48" t="str">
        <f>IF($B71="","",'Mau15'!K74)</f>
        <v/>
      </c>
      <c r="J71" s="48" t="str">
        <f>IF($B71="","",'Mau15'!M74)</f>
        <v/>
      </c>
      <c r="K71" s="48" t="str">
        <f t="shared" si="2"/>
        <v/>
      </c>
      <c r="L71" s="49" t="str">
        <f t="shared" si="3"/>
        <v/>
      </c>
      <c r="M71" s="48" t="str">
        <f>IF($B71="","",KT_nguoc_theo_NL!J68)</f>
        <v/>
      </c>
      <c r="N71" s="48" t="str">
        <f>IF($B71="","",KT_nguoc_theo_NL!K68)</f>
        <v/>
      </c>
      <c r="O71" s="48" t="str">
        <f t="shared" si="4"/>
        <v/>
      </c>
      <c r="P71" s="50" t="str">
        <f t="shared" si="5"/>
        <v/>
      </c>
      <c r="Q71" s="49" t="str">
        <f>IF($B71="","",IF(KT_nguoc_theo_NL!N68="Pass","Khớp",IF(KT_nguoc_theo_NL!N68="KXDDM","KXĐM",IF(KT_nguoc_theo_NL!N68="Xem xét","Cảnh báo",""))))</f>
        <v/>
      </c>
      <c r="R71" s="49" t="str">
        <f t="shared" si="6"/>
        <v/>
      </c>
      <c r="S71" s="31" t="str">
        <f t="shared" si="7"/>
        <v/>
      </c>
    </row>
    <row r="72" spans="1:19" x14ac:dyDescent="0.25">
      <c r="A72" s="36" t="str">
        <f>IF(B72="","",65)</f>
        <v/>
      </c>
      <c r="B72" s="36" t="str">
        <f>'Mau15'!B75&amp;""</f>
        <v/>
      </c>
      <c r="C72" s="47" t="str">
        <f>IF(B72="","",'Mau15'!C75)</f>
        <v/>
      </c>
      <c r="D72" s="36" t="str">
        <f>IF(B72="","",'Mau15'!D75)</f>
        <v/>
      </c>
      <c r="E72" s="48" t="str">
        <f>IF($B72="","",'Mau15'!P75)</f>
        <v/>
      </c>
      <c r="F72" s="48" t="str">
        <f>IF($B72="","",'Mau15'!F75)</f>
        <v/>
      </c>
      <c r="G72" s="48" t="str">
        <f t="shared" ref="G72:G135" si="8">IF($B72="","",N(E72)-N(F72))</f>
        <v/>
      </c>
      <c r="H72" s="49" t="str">
        <f t="shared" ref="H72:H135" si="9">IF($B72="","",IF(ABS(G72)&lt;0.000001,"Khớp","Giải trình"))</f>
        <v/>
      </c>
      <c r="I72" s="48" t="str">
        <f>IF($B72="","",'Mau15'!K75)</f>
        <v/>
      </c>
      <c r="J72" s="48" t="str">
        <f>IF($B72="","",'Mau15'!M75)</f>
        <v/>
      </c>
      <c r="K72" s="48" t="str">
        <f t="shared" ref="K72:K135" si="10">IF($B72="","",N(I72)-N(J72))</f>
        <v/>
      </c>
      <c r="L72" s="49" t="str">
        <f t="shared" ref="L72:L135" si="11">IF($B72="","",IF(ABS(K72)&lt;0.000001,"Khớp","Lỗi"))</f>
        <v/>
      </c>
      <c r="M72" s="48" t="str">
        <f>IF($B72="","",KT_nguoc_theo_NL!J69)</f>
        <v/>
      </c>
      <c r="N72" s="48" t="str">
        <f>IF($B72="","",KT_nguoc_theo_NL!K69)</f>
        <v/>
      </c>
      <c r="O72" s="48" t="str">
        <f t="shared" ref="O72:O135" si="12">IF($B72="","",N(M72)-N(N72))</f>
        <v/>
      </c>
      <c r="P72" s="50" t="str">
        <f t="shared" ref="P72:P135" si="13">IF($B72="","",IF(N(N72)=0,"",O72/N72))</f>
        <v/>
      </c>
      <c r="Q72" s="49" t="str">
        <f>IF($B72="","",IF(KT_nguoc_theo_NL!N69="Pass","Khớp",IF(KT_nguoc_theo_NL!N69="KXDDM","KXĐM",IF(KT_nguoc_theo_NL!N69="Xem xét","Cảnh báo",""))))</f>
        <v/>
      </c>
      <c r="R72" s="49" t="str">
        <f t="shared" ref="R72:R135" si="14">IF(B72="","",IF(COUNTIF(H72:Q72,"Lỗi")&gt;0,"Lỗi",IF(COUNTIF(H72:Q72,"Cảnh báo")&gt;0,"Cảnh báo",IF(COUNTIF(H72:Q72,"Giải trình")&gt;0,"Giải trình","Khớp"))))</f>
        <v/>
      </c>
      <c r="S72" s="31" t="str">
        <f t="shared" ref="S72:S135" si="15">IF(B72="","",IF(G72&gt;0,"Nhập: tờ khai nhiều hơn nhập kho "&amp;TEXT(G72,IF(MOD(G72,1)=0,"#,##0","#,##0.######"))&amp;" – hàng đã thông quan chưa nhập kho (đi đường), ghi cột (12) Mẫu 15; ","")&amp;IF(G72&lt;0,"Nhập: nhập kho nhiều hơn tờ khai "&amp;TEXT(ABS(G72),IF(MOD(ABS(G72),1)=0,"#,##0","#,##0.######"))&amp;" – NL từ HĐ gia công khác chuyển sang, nhập lại sau gia công lại, DNCX mua nội địa không làm thủ tục, hoặc tờ khai kỳ trước – rà soát và ghi chú; ","")&amp;IF(N(K72)&lt;&gt;0,"Tồn cuối lệch sổ kho/kiểm kê "&amp;TEXT(K72,IF(MOD(K72,1)=0,"#,##0","#,##0.######"))&amp;" – rà soát cột (5)–(10) hoặc số kiểm kê; ","")&amp;IF(Q72="Cảnh báo","Định mức: NL thực tế dùng lệch "&amp;TEXT(P72,"0.0%")&amp;" so với Σ SX × ĐMTT – rà ĐMTT Mẫu 16, dở dang/tồn chuyền, NL nguồn khác (sheet Cau_noi); ","")&amp;IF(Q72="KXĐM","Vật tư không xây dựng được định mức – chỉ theo dõi nhập - xuất - tồn; ",""))</f>
        <v/>
      </c>
    </row>
    <row r="73" spans="1:19" x14ac:dyDescent="0.25">
      <c r="A73" s="36" t="str">
        <f>IF(B73="","",66)</f>
        <v/>
      </c>
      <c r="B73" s="36" t="str">
        <f>'Mau15'!B76&amp;""</f>
        <v/>
      </c>
      <c r="C73" s="47" t="str">
        <f>IF(B73="","",'Mau15'!C76)</f>
        <v/>
      </c>
      <c r="D73" s="36" t="str">
        <f>IF(B73="","",'Mau15'!D76)</f>
        <v/>
      </c>
      <c r="E73" s="48" t="str">
        <f>IF($B73="","",'Mau15'!P76)</f>
        <v/>
      </c>
      <c r="F73" s="48" t="str">
        <f>IF($B73="","",'Mau15'!F76)</f>
        <v/>
      </c>
      <c r="G73" s="48" t="str">
        <f t="shared" si="8"/>
        <v/>
      </c>
      <c r="H73" s="49" t="str">
        <f t="shared" si="9"/>
        <v/>
      </c>
      <c r="I73" s="48" t="str">
        <f>IF($B73="","",'Mau15'!K76)</f>
        <v/>
      </c>
      <c r="J73" s="48" t="str">
        <f>IF($B73="","",'Mau15'!M76)</f>
        <v/>
      </c>
      <c r="K73" s="48" t="str">
        <f t="shared" si="10"/>
        <v/>
      </c>
      <c r="L73" s="49" t="str">
        <f t="shared" si="11"/>
        <v/>
      </c>
      <c r="M73" s="48" t="str">
        <f>IF($B73="","",KT_nguoc_theo_NL!J70)</f>
        <v/>
      </c>
      <c r="N73" s="48" t="str">
        <f>IF($B73="","",KT_nguoc_theo_NL!K70)</f>
        <v/>
      </c>
      <c r="O73" s="48" t="str">
        <f t="shared" si="12"/>
        <v/>
      </c>
      <c r="P73" s="50" t="str">
        <f t="shared" si="13"/>
        <v/>
      </c>
      <c r="Q73" s="49" t="str">
        <f>IF($B73="","",IF(KT_nguoc_theo_NL!N70="Pass","Khớp",IF(KT_nguoc_theo_NL!N70="KXDDM","KXĐM",IF(KT_nguoc_theo_NL!N70="Xem xét","Cảnh báo",""))))</f>
        <v/>
      </c>
      <c r="R73" s="49" t="str">
        <f t="shared" si="14"/>
        <v/>
      </c>
      <c r="S73" s="31" t="str">
        <f t="shared" si="15"/>
        <v/>
      </c>
    </row>
    <row r="74" spans="1:19" x14ac:dyDescent="0.25">
      <c r="A74" s="36" t="str">
        <f>IF(B74="","",67)</f>
        <v/>
      </c>
      <c r="B74" s="36" t="str">
        <f>'Mau15'!B77&amp;""</f>
        <v/>
      </c>
      <c r="C74" s="47" t="str">
        <f>IF(B74="","",'Mau15'!C77)</f>
        <v/>
      </c>
      <c r="D74" s="36" t="str">
        <f>IF(B74="","",'Mau15'!D77)</f>
        <v/>
      </c>
      <c r="E74" s="48" t="str">
        <f>IF($B74="","",'Mau15'!P77)</f>
        <v/>
      </c>
      <c r="F74" s="48" t="str">
        <f>IF($B74="","",'Mau15'!F77)</f>
        <v/>
      </c>
      <c r="G74" s="48" t="str">
        <f t="shared" si="8"/>
        <v/>
      </c>
      <c r="H74" s="49" t="str">
        <f t="shared" si="9"/>
        <v/>
      </c>
      <c r="I74" s="48" t="str">
        <f>IF($B74="","",'Mau15'!K77)</f>
        <v/>
      </c>
      <c r="J74" s="48" t="str">
        <f>IF($B74="","",'Mau15'!M77)</f>
        <v/>
      </c>
      <c r="K74" s="48" t="str">
        <f t="shared" si="10"/>
        <v/>
      </c>
      <c r="L74" s="49" t="str">
        <f t="shared" si="11"/>
        <v/>
      </c>
      <c r="M74" s="48" t="str">
        <f>IF($B74="","",KT_nguoc_theo_NL!J71)</f>
        <v/>
      </c>
      <c r="N74" s="48" t="str">
        <f>IF($B74="","",KT_nguoc_theo_NL!K71)</f>
        <v/>
      </c>
      <c r="O74" s="48" t="str">
        <f t="shared" si="12"/>
        <v/>
      </c>
      <c r="P74" s="50" t="str">
        <f t="shared" si="13"/>
        <v/>
      </c>
      <c r="Q74" s="49" t="str">
        <f>IF($B74="","",IF(KT_nguoc_theo_NL!N71="Pass","Khớp",IF(KT_nguoc_theo_NL!N71="KXDDM","KXĐM",IF(KT_nguoc_theo_NL!N71="Xem xét","Cảnh báo",""))))</f>
        <v/>
      </c>
      <c r="R74" s="49" t="str">
        <f t="shared" si="14"/>
        <v/>
      </c>
      <c r="S74" s="31" t="str">
        <f t="shared" si="15"/>
        <v/>
      </c>
    </row>
    <row r="75" spans="1:19" x14ac:dyDescent="0.25">
      <c r="A75" s="36" t="str">
        <f>IF(B75="","",68)</f>
        <v/>
      </c>
      <c r="B75" s="36" t="str">
        <f>'Mau15'!B78&amp;""</f>
        <v/>
      </c>
      <c r="C75" s="47" t="str">
        <f>IF(B75="","",'Mau15'!C78)</f>
        <v/>
      </c>
      <c r="D75" s="36" t="str">
        <f>IF(B75="","",'Mau15'!D78)</f>
        <v/>
      </c>
      <c r="E75" s="48" t="str">
        <f>IF($B75="","",'Mau15'!P78)</f>
        <v/>
      </c>
      <c r="F75" s="48" t="str">
        <f>IF($B75="","",'Mau15'!F78)</f>
        <v/>
      </c>
      <c r="G75" s="48" t="str">
        <f t="shared" si="8"/>
        <v/>
      </c>
      <c r="H75" s="49" t="str">
        <f t="shared" si="9"/>
        <v/>
      </c>
      <c r="I75" s="48" t="str">
        <f>IF($B75="","",'Mau15'!K78)</f>
        <v/>
      </c>
      <c r="J75" s="48" t="str">
        <f>IF($B75="","",'Mau15'!M78)</f>
        <v/>
      </c>
      <c r="K75" s="48" t="str">
        <f t="shared" si="10"/>
        <v/>
      </c>
      <c r="L75" s="49" t="str">
        <f t="shared" si="11"/>
        <v/>
      </c>
      <c r="M75" s="48" t="str">
        <f>IF($B75="","",KT_nguoc_theo_NL!J72)</f>
        <v/>
      </c>
      <c r="N75" s="48" t="str">
        <f>IF($B75="","",KT_nguoc_theo_NL!K72)</f>
        <v/>
      </c>
      <c r="O75" s="48" t="str">
        <f t="shared" si="12"/>
        <v/>
      </c>
      <c r="P75" s="50" t="str">
        <f t="shared" si="13"/>
        <v/>
      </c>
      <c r="Q75" s="49" t="str">
        <f>IF($B75="","",IF(KT_nguoc_theo_NL!N72="Pass","Khớp",IF(KT_nguoc_theo_NL!N72="KXDDM","KXĐM",IF(KT_nguoc_theo_NL!N72="Xem xét","Cảnh báo",""))))</f>
        <v/>
      </c>
      <c r="R75" s="49" t="str">
        <f t="shared" si="14"/>
        <v/>
      </c>
      <c r="S75" s="31" t="str">
        <f t="shared" si="15"/>
        <v/>
      </c>
    </row>
    <row r="76" spans="1:19" x14ac:dyDescent="0.25">
      <c r="A76" s="36" t="str">
        <f>IF(B76="","",69)</f>
        <v/>
      </c>
      <c r="B76" s="36" t="str">
        <f>'Mau15'!B79&amp;""</f>
        <v/>
      </c>
      <c r="C76" s="47" t="str">
        <f>IF(B76="","",'Mau15'!C79)</f>
        <v/>
      </c>
      <c r="D76" s="36" t="str">
        <f>IF(B76="","",'Mau15'!D79)</f>
        <v/>
      </c>
      <c r="E76" s="48" t="str">
        <f>IF($B76="","",'Mau15'!P79)</f>
        <v/>
      </c>
      <c r="F76" s="48" t="str">
        <f>IF($B76="","",'Mau15'!F79)</f>
        <v/>
      </c>
      <c r="G76" s="48" t="str">
        <f t="shared" si="8"/>
        <v/>
      </c>
      <c r="H76" s="49" t="str">
        <f t="shared" si="9"/>
        <v/>
      </c>
      <c r="I76" s="48" t="str">
        <f>IF($B76="","",'Mau15'!K79)</f>
        <v/>
      </c>
      <c r="J76" s="48" t="str">
        <f>IF($B76="","",'Mau15'!M79)</f>
        <v/>
      </c>
      <c r="K76" s="48" t="str">
        <f t="shared" si="10"/>
        <v/>
      </c>
      <c r="L76" s="49" t="str">
        <f t="shared" si="11"/>
        <v/>
      </c>
      <c r="M76" s="48" t="str">
        <f>IF($B76="","",KT_nguoc_theo_NL!J73)</f>
        <v/>
      </c>
      <c r="N76" s="48" t="str">
        <f>IF($B76="","",KT_nguoc_theo_NL!K73)</f>
        <v/>
      </c>
      <c r="O76" s="48" t="str">
        <f t="shared" si="12"/>
        <v/>
      </c>
      <c r="P76" s="50" t="str">
        <f t="shared" si="13"/>
        <v/>
      </c>
      <c r="Q76" s="49" t="str">
        <f>IF($B76="","",IF(KT_nguoc_theo_NL!N73="Pass","Khớp",IF(KT_nguoc_theo_NL!N73="KXDDM","KXĐM",IF(KT_nguoc_theo_NL!N73="Xem xét","Cảnh báo",""))))</f>
        <v/>
      </c>
      <c r="R76" s="49" t="str">
        <f t="shared" si="14"/>
        <v/>
      </c>
      <c r="S76" s="31" t="str">
        <f t="shared" si="15"/>
        <v/>
      </c>
    </row>
    <row r="77" spans="1:19" x14ac:dyDescent="0.25">
      <c r="A77" s="36" t="str">
        <f>IF(B77="","",70)</f>
        <v/>
      </c>
      <c r="B77" s="36" t="str">
        <f>'Mau15'!B80&amp;""</f>
        <v/>
      </c>
      <c r="C77" s="47" t="str">
        <f>IF(B77="","",'Mau15'!C80)</f>
        <v/>
      </c>
      <c r="D77" s="36" t="str">
        <f>IF(B77="","",'Mau15'!D80)</f>
        <v/>
      </c>
      <c r="E77" s="48" t="str">
        <f>IF($B77="","",'Mau15'!P80)</f>
        <v/>
      </c>
      <c r="F77" s="48" t="str">
        <f>IF($B77="","",'Mau15'!F80)</f>
        <v/>
      </c>
      <c r="G77" s="48" t="str">
        <f t="shared" si="8"/>
        <v/>
      </c>
      <c r="H77" s="49" t="str">
        <f t="shared" si="9"/>
        <v/>
      </c>
      <c r="I77" s="48" t="str">
        <f>IF($B77="","",'Mau15'!K80)</f>
        <v/>
      </c>
      <c r="J77" s="48" t="str">
        <f>IF($B77="","",'Mau15'!M80)</f>
        <v/>
      </c>
      <c r="K77" s="48" t="str">
        <f t="shared" si="10"/>
        <v/>
      </c>
      <c r="L77" s="49" t="str">
        <f t="shared" si="11"/>
        <v/>
      </c>
      <c r="M77" s="48" t="str">
        <f>IF($B77="","",KT_nguoc_theo_NL!J74)</f>
        <v/>
      </c>
      <c r="N77" s="48" t="str">
        <f>IF($B77="","",KT_nguoc_theo_NL!K74)</f>
        <v/>
      </c>
      <c r="O77" s="48" t="str">
        <f t="shared" si="12"/>
        <v/>
      </c>
      <c r="P77" s="50" t="str">
        <f t="shared" si="13"/>
        <v/>
      </c>
      <c r="Q77" s="49" t="str">
        <f>IF($B77="","",IF(KT_nguoc_theo_NL!N74="Pass","Khớp",IF(KT_nguoc_theo_NL!N74="KXDDM","KXĐM",IF(KT_nguoc_theo_NL!N74="Xem xét","Cảnh báo",""))))</f>
        <v/>
      </c>
      <c r="R77" s="49" t="str">
        <f t="shared" si="14"/>
        <v/>
      </c>
      <c r="S77" s="31" t="str">
        <f t="shared" si="15"/>
        <v/>
      </c>
    </row>
    <row r="78" spans="1:19" x14ac:dyDescent="0.25">
      <c r="A78" s="36" t="str">
        <f>IF(B78="","",71)</f>
        <v/>
      </c>
      <c r="B78" s="36" t="str">
        <f>'Mau15'!B81&amp;""</f>
        <v/>
      </c>
      <c r="C78" s="47" t="str">
        <f>IF(B78="","",'Mau15'!C81)</f>
        <v/>
      </c>
      <c r="D78" s="36" t="str">
        <f>IF(B78="","",'Mau15'!D81)</f>
        <v/>
      </c>
      <c r="E78" s="48" t="str">
        <f>IF($B78="","",'Mau15'!P81)</f>
        <v/>
      </c>
      <c r="F78" s="48" t="str">
        <f>IF($B78="","",'Mau15'!F81)</f>
        <v/>
      </c>
      <c r="G78" s="48" t="str">
        <f t="shared" si="8"/>
        <v/>
      </c>
      <c r="H78" s="49" t="str">
        <f t="shared" si="9"/>
        <v/>
      </c>
      <c r="I78" s="48" t="str">
        <f>IF($B78="","",'Mau15'!K81)</f>
        <v/>
      </c>
      <c r="J78" s="48" t="str">
        <f>IF($B78="","",'Mau15'!M81)</f>
        <v/>
      </c>
      <c r="K78" s="48" t="str">
        <f t="shared" si="10"/>
        <v/>
      </c>
      <c r="L78" s="49" t="str">
        <f t="shared" si="11"/>
        <v/>
      </c>
      <c r="M78" s="48" t="str">
        <f>IF($B78="","",KT_nguoc_theo_NL!J75)</f>
        <v/>
      </c>
      <c r="N78" s="48" t="str">
        <f>IF($B78="","",KT_nguoc_theo_NL!K75)</f>
        <v/>
      </c>
      <c r="O78" s="48" t="str">
        <f t="shared" si="12"/>
        <v/>
      </c>
      <c r="P78" s="50" t="str">
        <f t="shared" si="13"/>
        <v/>
      </c>
      <c r="Q78" s="49" t="str">
        <f>IF($B78="","",IF(KT_nguoc_theo_NL!N75="Pass","Khớp",IF(KT_nguoc_theo_NL!N75="KXDDM","KXĐM",IF(KT_nguoc_theo_NL!N75="Xem xét","Cảnh báo",""))))</f>
        <v/>
      </c>
      <c r="R78" s="49" t="str">
        <f t="shared" si="14"/>
        <v/>
      </c>
      <c r="S78" s="31" t="str">
        <f t="shared" si="15"/>
        <v/>
      </c>
    </row>
    <row r="79" spans="1:19" x14ac:dyDescent="0.25">
      <c r="A79" s="36" t="str">
        <f>IF(B79="","",72)</f>
        <v/>
      </c>
      <c r="B79" s="36" t="str">
        <f>'Mau15'!B82&amp;""</f>
        <v/>
      </c>
      <c r="C79" s="47" t="str">
        <f>IF(B79="","",'Mau15'!C82)</f>
        <v/>
      </c>
      <c r="D79" s="36" t="str">
        <f>IF(B79="","",'Mau15'!D82)</f>
        <v/>
      </c>
      <c r="E79" s="48" t="str">
        <f>IF($B79="","",'Mau15'!P82)</f>
        <v/>
      </c>
      <c r="F79" s="48" t="str">
        <f>IF($B79="","",'Mau15'!F82)</f>
        <v/>
      </c>
      <c r="G79" s="48" t="str">
        <f t="shared" si="8"/>
        <v/>
      </c>
      <c r="H79" s="49" t="str">
        <f t="shared" si="9"/>
        <v/>
      </c>
      <c r="I79" s="48" t="str">
        <f>IF($B79="","",'Mau15'!K82)</f>
        <v/>
      </c>
      <c r="J79" s="48" t="str">
        <f>IF($B79="","",'Mau15'!M82)</f>
        <v/>
      </c>
      <c r="K79" s="48" t="str">
        <f t="shared" si="10"/>
        <v/>
      </c>
      <c r="L79" s="49" t="str">
        <f t="shared" si="11"/>
        <v/>
      </c>
      <c r="M79" s="48" t="str">
        <f>IF($B79="","",KT_nguoc_theo_NL!J76)</f>
        <v/>
      </c>
      <c r="N79" s="48" t="str">
        <f>IF($B79="","",KT_nguoc_theo_NL!K76)</f>
        <v/>
      </c>
      <c r="O79" s="48" t="str">
        <f t="shared" si="12"/>
        <v/>
      </c>
      <c r="P79" s="50" t="str">
        <f t="shared" si="13"/>
        <v/>
      </c>
      <c r="Q79" s="49" t="str">
        <f>IF($B79="","",IF(KT_nguoc_theo_NL!N76="Pass","Khớp",IF(KT_nguoc_theo_NL!N76="KXDDM","KXĐM",IF(KT_nguoc_theo_NL!N76="Xem xét","Cảnh báo",""))))</f>
        <v/>
      </c>
      <c r="R79" s="49" t="str">
        <f t="shared" si="14"/>
        <v/>
      </c>
      <c r="S79" s="31" t="str">
        <f t="shared" si="15"/>
        <v/>
      </c>
    </row>
    <row r="80" spans="1:19" x14ac:dyDescent="0.25">
      <c r="A80" s="36" t="str">
        <f>IF(B80="","",73)</f>
        <v/>
      </c>
      <c r="B80" s="36" t="str">
        <f>'Mau15'!B83&amp;""</f>
        <v/>
      </c>
      <c r="C80" s="47" t="str">
        <f>IF(B80="","",'Mau15'!C83)</f>
        <v/>
      </c>
      <c r="D80" s="36" t="str">
        <f>IF(B80="","",'Mau15'!D83)</f>
        <v/>
      </c>
      <c r="E80" s="48" t="str">
        <f>IF($B80="","",'Mau15'!P83)</f>
        <v/>
      </c>
      <c r="F80" s="48" t="str">
        <f>IF($B80="","",'Mau15'!F83)</f>
        <v/>
      </c>
      <c r="G80" s="48" t="str">
        <f t="shared" si="8"/>
        <v/>
      </c>
      <c r="H80" s="49" t="str">
        <f t="shared" si="9"/>
        <v/>
      </c>
      <c r="I80" s="48" t="str">
        <f>IF($B80="","",'Mau15'!K83)</f>
        <v/>
      </c>
      <c r="J80" s="48" t="str">
        <f>IF($B80="","",'Mau15'!M83)</f>
        <v/>
      </c>
      <c r="K80" s="48" t="str">
        <f t="shared" si="10"/>
        <v/>
      </c>
      <c r="L80" s="49" t="str">
        <f t="shared" si="11"/>
        <v/>
      </c>
      <c r="M80" s="48" t="str">
        <f>IF($B80="","",KT_nguoc_theo_NL!J77)</f>
        <v/>
      </c>
      <c r="N80" s="48" t="str">
        <f>IF($B80="","",KT_nguoc_theo_NL!K77)</f>
        <v/>
      </c>
      <c r="O80" s="48" t="str">
        <f t="shared" si="12"/>
        <v/>
      </c>
      <c r="P80" s="50" t="str">
        <f t="shared" si="13"/>
        <v/>
      </c>
      <c r="Q80" s="49" t="str">
        <f>IF($B80="","",IF(KT_nguoc_theo_NL!N77="Pass","Khớp",IF(KT_nguoc_theo_NL!N77="KXDDM","KXĐM",IF(KT_nguoc_theo_NL!N77="Xem xét","Cảnh báo",""))))</f>
        <v/>
      </c>
      <c r="R80" s="49" t="str">
        <f t="shared" si="14"/>
        <v/>
      </c>
      <c r="S80" s="31" t="str">
        <f t="shared" si="15"/>
        <v/>
      </c>
    </row>
    <row r="81" spans="1:19" x14ac:dyDescent="0.25">
      <c r="A81" s="36" t="str">
        <f>IF(B81="","",74)</f>
        <v/>
      </c>
      <c r="B81" s="36" t="str">
        <f>'Mau15'!B84&amp;""</f>
        <v/>
      </c>
      <c r="C81" s="47" t="str">
        <f>IF(B81="","",'Mau15'!C84)</f>
        <v/>
      </c>
      <c r="D81" s="36" t="str">
        <f>IF(B81="","",'Mau15'!D84)</f>
        <v/>
      </c>
      <c r="E81" s="48" t="str">
        <f>IF($B81="","",'Mau15'!P84)</f>
        <v/>
      </c>
      <c r="F81" s="48" t="str">
        <f>IF($B81="","",'Mau15'!F84)</f>
        <v/>
      </c>
      <c r="G81" s="48" t="str">
        <f t="shared" si="8"/>
        <v/>
      </c>
      <c r="H81" s="49" t="str">
        <f t="shared" si="9"/>
        <v/>
      </c>
      <c r="I81" s="48" t="str">
        <f>IF($B81="","",'Mau15'!K84)</f>
        <v/>
      </c>
      <c r="J81" s="48" t="str">
        <f>IF($B81="","",'Mau15'!M84)</f>
        <v/>
      </c>
      <c r="K81" s="48" t="str">
        <f t="shared" si="10"/>
        <v/>
      </c>
      <c r="L81" s="49" t="str">
        <f t="shared" si="11"/>
        <v/>
      </c>
      <c r="M81" s="48" t="str">
        <f>IF($B81="","",KT_nguoc_theo_NL!J78)</f>
        <v/>
      </c>
      <c r="N81" s="48" t="str">
        <f>IF($B81="","",KT_nguoc_theo_NL!K78)</f>
        <v/>
      </c>
      <c r="O81" s="48" t="str">
        <f t="shared" si="12"/>
        <v/>
      </c>
      <c r="P81" s="50" t="str">
        <f t="shared" si="13"/>
        <v/>
      </c>
      <c r="Q81" s="49" t="str">
        <f>IF($B81="","",IF(KT_nguoc_theo_NL!N78="Pass","Khớp",IF(KT_nguoc_theo_NL!N78="KXDDM","KXĐM",IF(KT_nguoc_theo_NL!N78="Xem xét","Cảnh báo",""))))</f>
        <v/>
      </c>
      <c r="R81" s="49" t="str">
        <f t="shared" si="14"/>
        <v/>
      </c>
      <c r="S81" s="31" t="str">
        <f t="shared" si="15"/>
        <v/>
      </c>
    </row>
    <row r="82" spans="1:19" x14ac:dyDescent="0.25">
      <c r="A82" s="36" t="str">
        <f>IF(B82="","",75)</f>
        <v/>
      </c>
      <c r="B82" s="36" t="str">
        <f>'Mau15'!B85&amp;""</f>
        <v/>
      </c>
      <c r="C82" s="47" t="str">
        <f>IF(B82="","",'Mau15'!C85)</f>
        <v/>
      </c>
      <c r="D82" s="36" t="str">
        <f>IF(B82="","",'Mau15'!D85)</f>
        <v/>
      </c>
      <c r="E82" s="48" t="str">
        <f>IF($B82="","",'Mau15'!P85)</f>
        <v/>
      </c>
      <c r="F82" s="48" t="str">
        <f>IF($B82="","",'Mau15'!F85)</f>
        <v/>
      </c>
      <c r="G82" s="48" t="str">
        <f t="shared" si="8"/>
        <v/>
      </c>
      <c r="H82" s="49" t="str">
        <f t="shared" si="9"/>
        <v/>
      </c>
      <c r="I82" s="48" t="str">
        <f>IF($B82="","",'Mau15'!K85)</f>
        <v/>
      </c>
      <c r="J82" s="48" t="str">
        <f>IF($B82="","",'Mau15'!M85)</f>
        <v/>
      </c>
      <c r="K82" s="48" t="str">
        <f t="shared" si="10"/>
        <v/>
      </c>
      <c r="L82" s="49" t="str">
        <f t="shared" si="11"/>
        <v/>
      </c>
      <c r="M82" s="48" t="str">
        <f>IF($B82="","",KT_nguoc_theo_NL!J79)</f>
        <v/>
      </c>
      <c r="N82" s="48" t="str">
        <f>IF($B82="","",KT_nguoc_theo_NL!K79)</f>
        <v/>
      </c>
      <c r="O82" s="48" t="str">
        <f t="shared" si="12"/>
        <v/>
      </c>
      <c r="P82" s="50" t="str">
        <f t="shared" si="13"/>
        <v/>
      </c>
      <c r="Q82" s="49" t="str">
        <f>IF($B82="","",IF(KT_nguoc_theo_NL!N79="Pass","Khớp",IF(KT_nguoc_theo_NL!N79="KXDDM","KXĐM",IF(KT_nguoc_theo_NL!N79="Xem xét","Cảnh báo",""))))</f>
        <v/>
      </c>
      <c r="R82" s="49" t="str">
        <f t="shared" si="14"/>
        <v/>
      </c>
      <c r="S82" s="31" t="str">
        <f t="shared" si="15"/>
        <v/>
      </c>
    </row>
    <row r="83" spans="1:19" x14ac:dyDescent="0.25">
      <c r="A83" s="36" t="str">
        <f>IF(B83="","",76)</f>
        <v/>
      </c>
      <c r="B83" s="36" t="str">
        <f>'Mau15'!B86&amp;""</f>
        <v/>
      </c>
      <c r="C83" s="47" t="str">
        <f>IF(B83="","",'Mau15'!C86)</f>
        <v/>
      </c>
      <c r="D83" s="36" t="str">
        <f>IF(B83="","",'Mau15'!D86)</f>
        <v/>
      </c>
      <c r="E83" s="48" t="str">
        <f>IF($B83="","",'Mau15'!P86)</f>
        <v/>
      </c>
      <c r="F83" s="48" t="str">
        <f>IF($B83="","",'Mau15'!F86)</f>
        <v/>
      </c>
      <c r="G83" s="48" t="str">
        <f t="shared" si="8"/>
        <v/>
      </c>
      <c r="H83" s="49" t="str">
        <f t="shared" si="9"/>
        <v/>
      </c>
      <c r="I83" s="48" t="str">
        <f>IF($B83="","",'Mau15'!K86)</f>
        <v/>
      </c>
      <c r="J83" s="48" t="str">
        <f>IF($B83="","",'Mau15'!M86)</f>
        <v/>
      </c>
      <c r="K83" s="48" t="str">
        <f t="shared" si="10"/>
        <v/>
      </c>
      <c r="L83" s="49" t="str">
        <f t="shared" si="11"/>
        <v/>
      </c>
      <c r="M83" s="48" t="str">
        <f>IF($B83="","",KT_nguoc_theo_NL!J80)</f>
        <v/>
      </c>
      <c r="N83" s="48" t="str">
        <f>IF($B83="","",KT_nguoc_theo_NL!K80)</f>
        <v/>
      </c>
      <c r="O83" s="48" t="str">
        <f t="shared" si="12"/>
        <v/>
      </c>
      <c r="P83" s="50" t="str">
        <f t="shared" si="13"/>
        <v/>
      </c>
      <c r="Q83" s="49" t="str">
        <f>IF($B83="","",IF(KT_nguoc_theo_NL!N80="Pass","Khớp",IF(KT_nguoc_theo_NL!N80="KXDDM","KXĐM",IF(KT_nguoc_theo_NL!N80="Xem xét","Cảnh báo",""))))</f>
        <v/>
      </c>
      <c r="R83" s="49" t="str">
        <f t="shared" si="14"/>
        <v/>
      </c>
      <c r="S83" s="31" t="str">
        <f t="shared" si="15"/>
        <v/>
      </c>
    </row>
    <row r="84" spans="1:19" x14ac:dyDescent="0.25">
      <c r="A84" s="36" t="str">
        <f>IF(B84="","",77)</f>
        <v/>
      </c>
      <c r="B84" s="36" t="str">
        <f>'Mau15'!B87&amp;""</f>
        <v/>
      </c>
      <c r="C84" s="47" t="str">
        <f>IF(B84="","",'Mau15'!C87)</f>
        <v/>
      </c>
      <c r="D84" s="36" t="str">
        <f>IF(B84="","",'Mau15'!D87)</f>
        <v/>
      </c>
      <c r="E84" s="48" t="str">
        <f>IF($B84="","",'Mau15'!P87)</f>
        <v/>
      </c>
      <c r="F84" s="48" t="str">
        <f>IF($B84="","",'Mau15'!F87)</f>
        <v/>
      </c>
      <c r="G84" s="48" t="str">
        <f t="shared" si="8"/>
        <v/>
      </c>
      <c r="H84" s="49" t="str">
        <f t="shared" si="9"/>
        <v/>
      </c>
      <c r="I84" s="48" t="str">
        <f>IF($B84="","",'Mau15'!K87)</f>
        <v/>
      </c>
      <c r="J84" s="48" t="str">
        <f>IF($B84="","",'Mau15'!M87)</f>
        <v/>
      </c>
      <c r="K84" s="48" t="str">
        <f t="shared" si="10"/>
        <v/>
      </c>
      <c r="L84" s="49" t="str">
        <f t="shared" si="11"/>
        <v/>
      </c>
      <c r="M84" s="48" t="str">
        <f>IF($B84="","",KT_nguoc_theo_NL!J81)</f>
        <v/>
      </c>
      <c r="N84" s="48" t="str">
        <f>IF($B84="","",KT_nguoc_theo_NL!K81)</f>
        <v/>
      </c>
      <c r="O84" s="48" t="str">
        <f t="shared" si="12"/>
        <v/>
      </c>
      <c r="P84" s="50" t="str">
        <f t="shared" si="13"/>
        <v/>
      </c>
      <c r="Q84" s="49" t="str">
        <f>IF($B84="","",IF(KT_nguoc_theo_NL!N81="Pass","Khớp",IF(KT_nguoc_theo_NL!N81="KXDDM","KXĐM",IF(KT_nguoc_theo_NL!N81="Xem xét","Cảnh báo",""))))</f>
        <v/>
      </c>
      <c r="R84" s="49" t="str">
        <f t="shared" si="14"/>
        <v/>
      </c>
      <c r="S84" s="31" t="str">
        <f t="shared" si="15"/>
        <v/>
      </c>
    </row>
    <row r="85" spans="1:19" x14ac:dyDescent="0.25">
      <c r="A85" s="36" t="str">
        <f>IF(B85="","",78)</f>
        <v/>
      </c>
      <c r="B85" s="36" t="str">
        <f>'Mau15'!B88&amp;""</f>
        <v/>
      </c>
      <c r="C85" s="47" t="str">
        <f>IF(B85="","",'Mau15'!C88)</f>
        <v/>
      </c>
      <c r="D85" s="36" t="str">
        <f>IF(B85="","",'Mau15'!D88)</f>
        <v/>
      </c>
      <c r="E85" s="48" t="str">
        <f>IF($B85="","",'Mau15'!P88)</f>
        <v/>
      </c>
      <c r="F85" s="48" t="str">
        <f>IF($B85="","",'Mau15'!F88)</f>
        <v/>
      </c>
      <c r="G85" s="48" t="str">
        <f t="shared" si="8"/>
        <v/>
      </c>
      <c r="H85" s="49" t="str">
        <f t="shared" si="9"/>
        <v/>
      </c>
      <c r="I85" s="48" t="str">
        <f>IF($B85="","",'Mau15'!K88)</f>
        <v/>
      </c>
      <c r="J85" s="48" t="str">
        <f>IF($B85="","",'Mau15'!M88)</f>
        <v/>
      </c>
      <c r="K85" s="48" t="str">
        <f t="shared" si="10"/>
        <v/>
      </c>
      <c r="L85" s="49" t="str">
        <f t="shared" si="11"/>
        <v/>
      </c>
      <c r="M85" s="48" t="str">
        <f>IF($B85="","",KT_nguoc_theo_NL!J82)</f>
        <v/>
      </c>
      <c r="N85" s="48" t="str">
        <f>IF($B85="","",KT_nguoc_theo_NL!K82)</f>
        <v/>
      </c>
      <c r="O85" s="48" t="str">
        <f t="shared" si="12"/>
        <v/>
      </c>
      <c r="P85" s="50" t="str">
        <f t="shared" si="13"/>
        <v/>
      </c>
      <c r="Q85" s="49" t="str">
        <f>IF($B85="","",IF(KT_nguoc_theo_NL!N82="Pass","Khớp",IF(KT_nguoc_theo_NL!N82="KXDDM","KXĐM",IF(KT_nguoc_theo_NL!N82="Xem xét","Cảnh báo",""))))</f>
        <v/>
      </c>
      <c r="R85" s="49" t="str">
        <f t="shared" si="14"/>
        <v/>
      </c>
      <c r="S85" s="31" t="str">
        <f t="shared" si="15"/>
        <v/>
      </c>
    </row>
    <row r="86" spans="1:19" x14ac:dyDescent="0.25">
      <c r="A86" s="36" t="str">
        <f>IF(B86="","",79)</f>
        <v/>
      </c>
      <c r="B86" s="36" t="str">
        <f>'Mau15'!B89&amp;""</f>
        <v/>
      </c>
      <c r="C86" s="47" t="str">
        <f>IF(B86="","",'Mau15'!C89)</f>
        <v/>
      </c>
      <c r="D86" s="36" t="str">
        <f>IF(B86="","",'Mau15'!D89)</f>
        <v/>
      </c>
      <c r="E86" s="48" t="str">
        <f>IF($B86="","",'Mau15'!P89)</f>
        <v/>
      </c>
      <c r="F86" s="48" t="str">
        <f>IF($B86="","",'Mau15'!F89)</f>
        <v/>
      </c>
      <c r="G86" s="48" t="str">
        <f t="shared" si="8"/>
        <v/>
      </c>
      <c r="H86" s="49" t="str">
        <f t="shared" si="9"/>
        <v/>
      </c>
      <c r="I86" s="48" t="str">
        <f>IF($B86="","",'Mau15'!K89)</f>
        <v/>
      </c>
      <c r="J86" s="48" t="str">
        <f>IF($B86="","",'Mau15'!M89)</f>
        <v/>
      </c>
      <c r="K86" s="48" t="str">
        <f t="shared" si="10"/>
        <v/>
      </c>
      <c r="L86" s="49" t="str">
        <f t="shared" si="11"/>
        <v/>
      </c>
      <c r="M86" s="48" t="str">
        <f>IF($B86="","",KT_nguoc_theo_NL!J83)</f>
        <v/>
      </c>
      <c r="N86" s="48" t="str">
        <f>IF($B86="","",KT_nguoc_theo_NL!K83)</f>
        <v/>
      </c>
      <c r="O86" s="48" t="str">
        <f t="shared" si="12"/>
        <v/>
      </c>
      <c r="P86" s="50" t="str">
        <f t="shared" si="13"/>
        <v/>
      </c>
      <c r="Q86" s="49" t="str">
        <f>IF($B86="","",IF(KT_nguoc_theo_NL!N83="Pass","Khớp",IF(KT_nguoc_theo_NL!N83="KXDDM","KXĐM",IF(KT_nguoc_theo_NL!N83="Xem xét","Cảnh báo",""))))</f>
        <v/>
      </c>
      <c r="R86" s="49" t="str">
        <f t="shared" si="14"/>
        <v/>
      </c>
      <c r="S86" s="31" t="str">
        <f t="shared" si="15"/>
        <v/>
      </c>
    </row>
    <row r="87" spans="1:19" x14ac:dyDescent="0.25">
      <c r="A87" s="36" t="str">
        <f>IF(B87="","",80)</f>
        <v/>
      </c>
      <c r="B87" s="36" t="str">
        <f>'Mau15'!B90&amp;""</f>
        <v/>
      </c>
      <c r="C87" s="47" t="str">
        <f>IF(B87="","",'Mau15'!C90)</f>
        <v/>
      </c>
      <c r="D87" s="36" t="str">
        <f>IF(B87="","",'Mau15'!D90)</f>
        <v/>
      </c>
      <c r="E87" s="48" t="str">
        <f>IF($B87="","",'Mau15'!P90)</f>
        <v/>
      </c>
      <c r="F87" s="48" t="str">
        <f>IF($B87="","",'Mau15'!F90)</f>
        <v/>
      </c>
      <c r="G87" s="48" t="str">
        <f t="shared" si="8"/>
        <v/>
      </c>
      <c r="H87" s="49" t="str">
        <f t="shared" si="9"/>
        <v/>
      </c>
      <c r="I87" s="48" t="str">
        <f>IF($B87="","",'Mau15'!K90)</f>
        <v/>
      </c>
      <c r="J87" s="48" t="str">
        <f>IF($B87="","",'Mau15'!M90)</f>
        <v/>
      </c>
      <c r="K87" s="48" t="str">
        <f t="shared" si="10"/>
        <v/>
      </c>
      <c r="L87" s="49" t="str">
        <f t="shared" si="11"/>
        <v/>
      </c>
      <c r="M87" s="48" t="str">
        <f>IF($B87="","",KT_nguoc_theo_NL!J84)</f>
        <v/>
      </c>
      <c r="N87" s="48" t="str">
        <f>IF($B87="","",KT_nguoc_theo_NL!K84)</f>
        <v/>
      </c>
      <c r="O87" s="48" t="str">
        <f t="shared" si="12"/>
        <v/>
      </c>
      <c r="P87" s="50" t="str">
        <f t="shared" si="13"/>
        <v/>
      </c>
      <c r="Q87" s="49" t="str">
        <f>IF($B87="","",IF(KT_nguoc_theo_NL!N84="Pass","Khớp",IF(KT_nguoc_theo_NL!N84="KXDDM","KXĐM",IF(KT_nguoc_theo_NL!N84="Xem xét","Cảnh báo",""))))</f>
        <v/>
      </c>
      <c r="R87" s="49" t="str">
        <f t="shared" si="14"/>
        <v/>
      </c>
      <c r="S87" s="31" t="str">
        <f t="shared" si="15"/>
        <v/>
      </c>
    </row>
    <row r="88" spans="1:19" x14ac:dyDescent="0.25">
      <c r="A88" s="36" t="str">
        <f>IF(B88="","",81)</f>
        <v/>
      </c>
      <c r="B88" s="36" t="str">
        <f>'Mau15'!B91&amp;""</f>
        <v/>
      </c>
      <c r="C88" s="47" t="str">
        <f>IF(B88="","",'Mau15'!C91)</f>
        <v/>
      </c>
      <c r="D88" s="36" t="str">
        <f>IF(B88="","",'Mau15'!D91)</f>
        <v/>
      </c>
      <c r="E88" s="48" t="str">
        <f>IF($B88="","",'Mau15'!P91)</f>
        <v/>
      </c>
      <c r="F88" s="48" t="str">
        <f>IF($B88="","",'Mau15'!F91)</f>
        <v/>
      </c>
      <c r="G88" s="48" t="str">
        <f t="shared" si="8"/>
        <v/>
      </c>
      <c r="H88" s="49" t="str">
        <f t="shared" si="9"/>
        <v/>
      </c>
      <c r="I88" s="48" t="str">
        <f>IF($B88="","",'Mau15'!K91)</f>
        <v/>
      </c>
      <c r="J88" s="48" t="str">
        <f>IF($B88="","",'Mau15'!M91)</f>
        <v/>
      </c>
      <c r="K88" s="48" t="str">
        <f t="shared" si="10"/>
        <v/>
      </c>
      <c r="L88" s="49" t="str">
        <f t="shared" si="11"/>
        <v/>
      </c>
      <c r="M88" s="48" t="str">
        <f>IF($B88="","",KT_nguoc_theo_NL!J85)</f>
        <v/>
      </c>
      <c r="N88" s="48" t="str">
        <f>IF($B88="","",KT_nguoc_theo_NL!K85)</f>
        <v/>
      </c>
      <c r="O88" s="48" t="str">
        <f t="shared" si="12"/>
        <v/>
      </c>
      <c r="P88" s="50" t="str">
        <f t="shared" si="13"/>
        <v/>
      </c>
      <c r="Q88" s="49" t="str">
        <f>IF($B88="","",IF(KT_nguoc_theo_NL!N85="Pass","Khớp",IF(KT_nguoc_theo_NL!N85="KXDDM","KXĐM",IF(KT_nguoc_theo_NL!N85="Xem xét","Cảnh báo",""))))</f>
        <v/>
      </c>
      <c r="R88" s="49" t="str">
        <f t="shared" si="14"/>
        <v/>
      </c>
      <c r="S88" s="31" t="str">
        <f t="shared" si="15"/>
        <v/>
      </c>
    </row>
    <row r="89" spans="1:19" x14ac:dyDescent="0.25">
      <c r="A89" s="36" t="str">
        <f>IF(B89="","",82)</f>
        <v/>
      </c>
      <c r="B89" s="36" t="str">
        <f>'Mau15'!B92&amp;""</f>
        <v/>
      </c>
      <c r="C89" s="47" t="str">
        <f>IF(B89="","",'Mau15'!C92)</f>
        <v/>
      </c>
      <c r="D89" s="36" t="str">
        <f>IF(B89="","",'Mau15'!D92)</f>
        <v/>
      </c>
      <c r="E89" s="48" t="str">
        <f>IF($B89="","",'Mau15'!P92)</f>
        <v/>
      </c>
      <c r="F89" s="48" t="str">
        <f>IF($B89="","",'Mau15'!F92)</f>
        <v/>
      </c>
      <c r="G89" s="48" t="str">
        <f t="shared" si="8"/>
        <v/>
      </c>
      <c r="H89" s="49" t="str">
        <f t="shared" si="9"/>
        <v/>
      </c>
      <c r="I89" s="48" t="str">
        <f>IF($B89="","",'Mau15'!K92)</f>
        <v/>
      </c>
      <c r="J89" s="48" t="str">
        <f>IF($B89="","",'Mau15'!M92)</f>
        <v/>
      </c>
      <c r="K89" s="48" t="str">
        <f t="shared" si="10"/>
        <v/>
      </c>
      <c r="L89" s="49" t="str">
        <f t="shared" si="11"/>
        <v/>
      </c>
      <c r="M89" s="48" t="str">
        <f>IF($B89="","",KT_nguoc_theo_NL!J86)</f>
        <v/>
      </c>
      <c r="N89" s="48" t="str">
        <f>IF($B89="","",KT_nguoc_theo_NL!K86)</f>
        <v/>
      </c>
      <c r="O89" s="48" t="str">
        <f t="shared" si="12"/>
        <v/>
      </c>
      <c r="P89" s="50" t="str">
        <f t="shared" si="13"/>
        <v/>
      </c>
      <c r="Q89" s="49" t="str">
        <f>IF($B89="","",IF(KT_nguoc_theo_NL!N86="Pass","Khớp",IF(KT_nguoc_theo_NL!N86="KXDDM","KXĐM",IF(KT_nguoc_theo_NL!N86="Xem xét","Cảnh báo",""))))</f>
        <v/>
      </c>
      <c r="R89" s="49" t="str">
        <f t="shared" si="14"/>
        <v/>
      </c>
      <c r="S89" s="31" t="str">
        <f t="shared" si="15"/>
        <v/>
      </c>
    </row>
    <row r="90" spans="1:19" x14ac:dyDescent="0.25">
      <c r="A90" s="36" t="str">
        <f>IF(B90="","",83)</f>
        <v/>
      </c>
      <c r="B90" s="36" t="str">
        <f>'Mau15'!B93&amp;""</f>
        <v/>
      </c>
      <c r="C90" s="47" t="str">
        <f>IF(B90="","",'Mau15'!C93)</f>
        <v/>
      </c>
      <c r="D90" s="36" t="str">
        <f>IF(B90="","",'Mau15'!D93)</f>
        <v/>
      </c>
      <c r="E90" s="48" t="str">
        <f>IF($B90="","",'Mau15'!P93)</f>
        <v/>
      </c>
      <c r="F90" s="48" t="str">
        <f>IF($B90="","",'Mau15'!F93)</f>
        <v/>
      </c>
      <c r="G90" s="48" t="str">
        <f t="shared" si="8"/>
        <v/>
      </c>
      <c r="H90" s="49" t="str">
        <f t="shared" si="9"/>
        <v/>
      </c>
      <c r="I90" s="48" t="str">
        <f>IF($B90="","",'Mau15'!K93)</f>
        <v/>
      </c>
      <c r="J90" s="48" t="str">
        <f>IF($B90="","",'Mau15'!M93)</f>
        <v/>
      </c>
      <c r="K90" s="48" t="str">
        <f t="shared" si="10"/>
        <v/>
      </c>
      <c r="L90" s="49" t="str">
        <f t="shared" si="11"/>
        <v/>
      </c>
      <c r="M90" s="48" t="str">
        <f>IF($B90="","",KT_nguoc_theo_NL!J87)</f>
        <v/>
      </c>
      <c r="N90" s="48" t="str">
        <f>IF($B90="","",KT_nguoc_theo_NL!K87)</f>
        <v/>
      </c>
      <c r="O90" s="48" t="str">
        <f t="shared" si="12"/>
        <v/>
      </c>
      <c r="P90" s="50" t="str">
        <f t="shared" si="13"/>
        <v/>
      </c>
      <c r="Q90" s="49" t="str">
        <f>IF($B90="","",IF(KT_nguoc_theo_NL!N87="Pass","Khớp",IF(KT_nguoc_theo_NL!N87="KXDDM","KXĐM",IF(KT_nguoc_theo_NL!N87="Xem xét","Cảnh báo",""))))</f>
        <v/>
      </c>
      <c r="R90" s="49" t="str">
        <f t="shared" si="14"/>
        <v/>
      </c>
      <c r="S90" s="31" t="str">
        <f t="shared" si="15"/>
        <v/>
      </c>
    </row>
    <row r="91" spans="1:19" x14ac:dyDescent="0.25">
      <c r="A91" s="36" t="str">
        <f>IF(B91="","",84)</f>
        <v/>
      </c>
      <c r="B91" s="36" t="str">
        <f>'Mau15'!B94&amp;""</f>
        <v/>
      </c>
      <c r="C91" s="47" t="str">
        <f>IF(B91="","",'Mau15'!C94)</f>
        <v/>
      </c>
      <c r="D91" s="36" t="str">
        <f>IF(B91="","",'Mau15'!D94)</f>
        <v/>
      </c>
      <c r="E91" s="48" t="str">
        <f>IF($B91="","",'Mau15'!P94)</f>
        <v/>
      </c>
      <c r="F91" s="48" t="str">
        <f>IF($B91="","",'Mau15'!F94)</f>
        <v/>
      </c>
      <c r="G91" s="48" t="str">
        <f t="shared" si="8"/>
        <v/>
      </c>
      <c r="H91" s="49" t="str">
        <f t="shared" si="9"/>
        <v/>
      </c>
      <c r="I91" s="48" t="str">
        <f>IF($B91="","",'Mau15'!K94)</f>
        <v/>
      </c>
      <c r="J91" s="48" t="str">
        <f>IF($B91="","",'Mau15'!M94)</f>
        <v/>
      </c>
      <c r="K91" s="48" t="str">
        <f t="shared" si="10"/>
        <v/>
      </c>
      <c r="L91" s="49" t="str">
        <f t="shared" si="11"/>
        <v/>
      </c>
      <c r="M91" s="48" t="str">
        <f>IF($B91="","",KT_nguoc_theo_NL!J88)</f>
        <v/>
      </c>
      <c r="N91" s="48" t="str">
        <f>IF($B91="","",KT_nguoc_theo_NL!K88)</f>
        <v/>
      </c>
      <c r="O91" s="48" t="str">
        <f t="shared" si="12"/>
        <v/>
      </c>
      <c r="P91" s="50" t="str">
        <f t="shared" si="13"/>
        <v/>
      </c>
      <c r="Q91" s="49" t="str">
        <f>IF($B91="","",IF(KT_nguoc_theo_NL!N88="Pass","Khớp",IF(KT_nguoc_theo_NL!N88="KXDDM","KXĐM",IF(KT_nguoc_theo_NL!N88="Xem xét","Cảnh báo",""))))</f>
        <v/>
      </c>
      <c r="R91" s="49" t="str">
        <f t="shared" si="14"/>
        <v/>
      </c>
      <c r="S91" s="31" t="str">
        <f t="shared" si="15"/>
        <v/>
      </c>
    </row>
    <row r="92" spans="1:19" x14ac:dyDescent="0.25">
      <c r="A92" s="36" t="str">
        <f>IF(B92="","",85)</f>
        <v/>
      </c>
      <c r="B92" s="36" t="str">
        <f>'Mau15'!B95&amp;""</f>
        <v/>
      </c>
      <c r="C92" s="47" t="str">
        <f>IF(B92="","",'Mau15'!C95)</f>
        <v/>
      </c>
      <c r="D92" s="36" t="str">
        <f>IF(B92="","",'Mau15'!D95)</f>
        <v/>
      </c>
      <c r="E92" s="48" t="str">
        <f>IF($B92="","",'Mau15'!P95)</f>
        <v/>
      </c>
      <c r="F92" s="48" t="str">
        <f>IF($B92="","",'Mau15'!F95)</f>
        <v/>
      </c>
      <c r="G92" s="48" t="str">
        <f t="shared" si="8"/>
        <v/>
      </c>
      <c r="H92" s="49" t="str">
        <f t="shared" si="9"/>
        <v/>
      </c>
      <c r="I92" s="48" t="str">
        <f>IF($B92="","",'Mau15'!K95)</f>
        <v/>
      </c>
      <c r="J92" s="48" t="str">
        <f>IF($B92="","",'Mau15'!M95)</f>
        <v/>
      </c>
      <c r="K92" s="48" t="str">
        <f t="shared" si="10"/>
        <v/>
      </c>
      <c r="L92" s="49" t="str">
        <f t="shared" si="11"/>
        <v/>
      </c>
      <c r="M92" s="48" t="str">
        <f>IF($B92="","",KT_nguoc_theo_NL!J89)</f>
        <v/>
      </c>
      <c r="N92" s="48" t="str">
        <f>IF($B92="","",KT_nguoc_theo_NL!K89)</f>
        <v/>
      </c>
      <c r="O92" s="48" t="str">
        <f t="shared" si="12"/>
        <v/>
      </c>
      <c r="P92" s="50" t="str">
        <f t="shared" si="13"/>
        <v/>
      </c>
      <c r="Q92" s="49" t="str">
        <f>IF($B92="","",IF(KT_nguoc_theo_NL!N89="Pass","Khớp",IF(KT_nguoc_theo_NL!N89="KXDDM","KXĐM",IF(KT_nguoc_theo_NL!N89="Xem xét","Cảnh báo",""))))</f>
        <v/>
      </c>
      <c r="R92" s="49" t="str">
        <f t="shared" si="14"/>
        <v/>
      </c>
      <c r="S92" s="31" t="str">
        <f t="shared" si="15"/>
        <v/>
      </c>
    </row>
    <row r="93" spans="1:19" x14ac:dyDescent="0.25">
      <c r="A93" s="36" t="str">
        <f>IF(B93="","",86)</f>
        <v/>
      </c>
      <c r="B93" s="36" t="str">
        <f>'Mau15'!B96&amp;""</f>
        <v/>
      </c>
      <c r="C93" s="47" t="str">
        <f>IF(B93="","",'Mau15'!C96)</f>
        <v/>
      </c>
      <c r="D93" s="36" t="str">
        <f>IF(B93="","",'Mau15'!D96)</f>
        <v/>
      </c>
      <c r="E93" s="48" t="str">
        <f>IF($B93="","",'Mau15'!P96)</f>
        <v/>
      </c>
      <c r="F93" s="48" t="str">
        <f>IF($B93="","",'Mau15'!F96)</f>
        <v/>
      </c>
      <c r="G93" s="48" t="str">
        <f t="shared" si="8"/>
        <v/>
      </c>
      <c r="H93" s="49" t="str">
        <f t="shared" si="9"/>
        <v/>
      </c>
      <c r="I93" s="48" t="str">
        <f>IF($B93="","",'Mau15'!K96)</f>
        <v/>
      </c>
      <c r="J93" s="48" t="str">
        <f>IF($B93="","",'Mau15'!M96)</f>
        <v/>
      </c>
      <c r="K93" s="48" t="str">
        <f t="shared" si="10"/>
        <v/>
      </c>
      <c r="L93" s="49" t="str">
        <f t="shared" si="11"/>
        <v/>
      </c>
      <c r="M93" s="48" t="str">
        <f>IF($B93="","",KT_nguoc_theo_NL!J90)</f>
        <v/>
      </c>
      <c r="N93" s="48" t="str">
        <f>IF($B93="","",KT_nguoc_theo_NL!K90)</f>
        <v/>
      </c>
      <c r="O93" s="48" t="str">
        <f t="shared" si="12"/>
        <v/>
      </c>
      <c r="P93" s="50" t="str">
        <f t="shared" si="13"/>
        <v/>
      </c>
      <c r="Q93" s="49" t="str">
        <f>IF($B93="","",IF(KT_nguoc_theo_NL!N90="Pass","Khớp",IF(KT_nguoc_theo_NL!N90="KXDDM","KXĐM",IF(KT_nguoc_theo_NL!N90="Xem xét","Cảnh báo",""))))</f>
        <v/>
      </c>
      <c r="R93" s="49" t="str">
        <f t="shared" si="14"/>
        <v/>
      </c>
      <c r="S93" s="31" t="str">
        <f t="shared" si="15"/>
        <v/>
      </c>
    </row>
    <row r="94" spans="1:19" x14ac:dyDescent="0.25">
      <c r="A94" s="36" t="str">
        <f>IF(B94="","",87)</f>
        <v/>
      </c>
      <c r="B94" s="36" t="str">
        <f>'Mau15'!B97&amp;""</f>
        <v/>
      </c>
      <c r="C94" s="47" t="str">
        <f>IF(B94="","",'Mau15'!C97)</f>
        <v/>
      </c>
      <c r="D94" s="36" t="str">
        <f>IF(B94="","",'Mau15'!D97)</f>
        <v/>
      </c>
      <c r="E94" s="48" t="str">
        <f>IF($B94="","",'Mau15'!P97)</f>
        <v/>
      </c>
      <c r="F94" s="48" t="str">
        <f>IF($B94="","",'Mau15'!F97)</f>
        <v/>
      </c>
      <c r="G94" s="48" t="str">
        <f t="shared" si="8"/>
        <v/>
      </c>
      <c r="H94" s="49" t="str">
        <f t="shared" si="9"/>
        <v/>
      </c>
      <c r="I94" s="48" t="str">
        <f>IF($B94="","",'Mau15'!K97)</f>
        <v/>
      </c>
      <c r="J94" s="48" t="str">
        <f>IF($B94="","",'Mau15'!M97)</f>
        <v/>
      </c>
      <c r="K94" s="48" t="str">
        <f t="shared" si="10"/>
        <v/>
      </c>
      <c r="L94" s="49" t="str">
        <f t="shared" si="11"/>
        <v/>
      </c>
      <c r="M94" s="48" t="str">
        <f>IF($B94="","",KT_nguoc_theo_NL!J91)</f>
        <v/>
      </c>
      <c r="N94" s="48" t="str">
        <f>IF($B94="","",KT_nguoc_theo_NL!K91)</f>
        <v/>
      </c>
      <c r="O94" s="48" t="str">
        <f t="shared" si="12"/>
        <v/>
      </c>
      <c r="P94" s="50" t="str">
        <f t="shared" si="13"/>
        <v/>
      </c>
      <c r="Q94" s="49" t="str">
        <f>IF($B94="","",IF(KT_nguoc_theo_NL!N91="Pass","Khớp",IF(KT_nguoc_theo_NL!N91="KXDDM","KXĐM",IF(KT_nguoc_theo_NL!N91="Xem xét","Cảnh báo",""))))</f>
        <v/>
      </c>
      <c r="R94" s="49" t="str">
        <f t="shared" si="14"/>
        <v/>
      </c>
      <c r="S94" s="31" t="str">
        <f t="shared" si="15"/>
        <v/>
      </c>
    </row>
    <row r="95" spans="1:19" x14ac:dyDescent="0.25">
      <c r="A95" s="36" t="str">
        <f>IF(B95="","",88)</f>
        <v/>
      </c>
      <c r="B95" s="36" t="str">
        <f>'Mau15'!B98&amp;""</f>
        <v/>
      </c>
      <c r="C95" s="47" t="str">
        <f>IF(B95="","",'Mau15'!C98)</f>
        <v/>
      </c>
      <c r="D95" s="36" t="str">
        <f>IF(B95="","",'Mau15'!D98)</f>
        <v/>
      </c>
      <c r="E95" s="48" t="str">
        <f>IF($B95="","",'Mau15'!P98)</f>
        <v/>
      </c>
      <c r="F95" s="48" t="str">
        <f>IF($B95="","",'Mau15'!F98)</f>
        <v/>
      </c>
      <c r="G95" s="48" t="str">
        <f t="shared" si="8"/>
        <v/>
      </c>
      <c r="H95" s="49" t="str">
        <f t="shared" si="9"/>
        <v/>
      </c>
      <c r="I95" s="48" t="str">
        <f>IF($B95="","",'Mau15'!K98)</f>
        <v/>
      </c>
      <c r="J95" s="48" t="str">
        <f>IF($B95="","",'Mau15'!M98)</f>
        <v/>
      </c>
      <c r="K95" s="48" t="str">
        <f t="shared" si="10"/>
        <v/>
      </c>
      <c r="L95" s="49" t="str">
        <f t="shared" si="11"/>
        <v/>
      </c>
      <c r="M95" s="48" t="str">
        <f>IF($B95="","",KT_nguoc_theo_NL!J92)</f>
        <v/>
      </c>
      <c r="N95" s="48" t="str">
        <f>IF($B95="","",KT_nguoc_theo_NL!K92)</f>
        <v/>
      </c>
      <c r="O95" s="48" t="str">
        <f t="shared" si="12"/>
        <v/>
      </c>
      <c r="P95" s="50" t="str">
        <f t="shared" si="13"/>
        <v/>
      </c>
      <c r="Q95" s="49" t="str">
        <f>IF($B95="","",IF(KT_nguoc_theo_NL!N92="Pass","Khớp",IF(KT_nguoc_theo_NL!N92="KXDDM","KXĐM",IF(KT_nguoc_theo_NL!N92="Xem xét","Cảnh báo",""))))</f>
        <v/>
      </c>
      <c r="R95" s="49" t="str">
        <f t="shared" si="14"/>
        <v/>
      </c>
      <c r="S95" s="31" t="str">
        <f t="shared" si="15"/>
        <v/>
      </c>
    </row>
    <row r="96" spans="1:19" x14ac:dyDescent="0.25">
      <c r="A96" s="36" t="str">
        <f>IF(B96="","",89)</f>
        <v/>
      </c>
      <c r="B96" s="36" t="str">
        <f>'Mau15'!B99&amp;""</f>
        <v/>
      </c>
      <c r="C96" s="47" t="str">
        <f>IF(B96="","",'Mau15'!C99)</f>
        <v/>
      </c>
      <c r="D96" s="36" t="str">
        <f>IF(B96="","",'Mau15'!D99)</f>
        <v/>
      </c>
      <c r="E96" s="48" t="str">
        <f>IF($B96="","",'Mau15'!P99)</f>
        <v/>
      </c>
      <c r="F96" s="48" t="str">
        <f>IF($B96="","",'Mau15'!F99)</f>
        <v/>
      </c>
      <c r="G96" s="48" t="str">
        <f t="shared" si="8"/>
        <v/>
      </c>
      <c r="H96" s="49" t="str">
        <f t="shared" si="9"/>
        <v/>
      </c>
      <c r="I96" s="48" t="str">
        <f>IF($B96="","",'Mau15'!K99)</f>
        <v/>
      </c>
      <c r="J96" s="48" t="str">
        <f>IF($B96="","",'Mau15'!M99)</f>
        <v/>
      </c>
      <c r="K96" s="48" t="str">
        <f t="shared" si="10"/>
        <v/>
      </c>
      <c r="L96" s="49" t="str">
        <f t="shared" si="11"/>
        <v/>
      </c>
      <c r="M96" s="48" t="str">
        <f>IF($B96="","",KT_nguoc_theo_NL!J93)</f>
        <v/>
      </c>
      <c r="N96" s="48" t="str">
        <f>IF($B96="","",KT_nguoc_theo_NL!K93)</f>
        <v/>
      </c>
      <c r="O96" s="48" t="str">
        <f t="shared" si="12"/>
        <v/>
      </c>
      <c r="P96" s="50" t="str">
        <f t="shared" si="13"/>
        <v/>
      </c>
      <c r="Q96" s="49" t="str">
        <f>IF($B96="","",IF(KT_nguoc_theo_NL!N93="Pass","Khớp",IF(KT_nguoc_theo_NL!N93="KXDDM","KXĐM",IF(KT_nguoc_theo_NL!N93="Xem xét","Cảnh báo",""))))</f>
        <v/>
      </c>
      <c r="R96" s="49" t="str">
        <f t="shared" si="14"/>
        <v/>
      </c>
      <c r="S96" s="31" t="str">
        <f t="shared" si="15"/>
        <v/>
      </c>
    </row>
    <row r="97" spans="1:19" x14ac:dyDescent="0.25">
      <c r="A97" s="36" t="str">
        <f>IF(B97="","",90)</f>
        <v/>
      </c>
      <c r="B97" s="36" t="str">
        <f>'Mau15'!B100&amp;""</f>
        <v/>
      </c>
      <c r="C97" s="47" t="str">
        <f>IF(B97="","",'Mau15'!C100)</f>
        <v/>
      </c>
      <c r="D97" s="36" t="str">
        <f>IF(B97="","",'Mau15'!D100)</f>
        <v/>
      </c>
      <c r="E97" s="48" t="str">
        <f>IF($B97="","",'Mau15'!P100)</f>
        <v/>
      </c>
      <c r="F97" s="48" t="str">
        <f>IF($B97="","",'Mau15'!F100)</f>
        <v/>
      </c>
      <c r="G97" s="48" t="str">
        <f t="shared" si="8"/>
        <v/>
      </c>
      <c r="H97" s="49" t="str">
        <f t="shared" si="9"/>
        <v/>
      </c>
      <c r="I97" s="48" t="str">
        <f>IF($B97="","",'Mau15'!K100)</f>
        <v/>
      </c>
      <c r="J97" s="48" t="str">
        <f>IF($B97="","",'Mau15'!M100)</f>
        <v/>
      </c>
      <c r="K97" s="48" t="str">
        <f t="shared" si="10"/>
        <v/>
      </c>
      <c r="L97" s="49" t="str">
        <f t="shared" si="11"/>
        <v/>
      </c>
      <c r="M97" s="48" t="str">
        <f>IF($B97="","",KT_nguoc_theo_NL!J94)</f>
        <v/>
      </c>
      <c r="N97" s="48" t="str">
        <f>IF($B97="","",KT_nguoc_theo_NL!K94)</f>
        <v/>
      </c>
      <c r="O97" s="48" t="str">
        <f t="shared" si="12"/>
        <v/>
      </c>
      <c r="P97" s="50" t="str">
        <f t="shared" si="13"/>
        <v/>
      </c>
      <c r="Q97" s="49" t="str">
        <f>IF($B97="","",IF(KT_nguoc_theo_NL!N94="Pass","Khớp",IF(KT_nguoc_theo_NL!N94="KXDDM","KXĐM",IF(KT_nguoc_theo_NL!N94="Xem xét","Cảnh báo",""))))</f>
        <v/>
      </c>
      <c r="R97" s="49" t="str">
        <f t="shared" si="14"/>
        <v/>
      </c>
      <c r="S97" s="31" t="str">
        <f t="shared" si="15"/>
        <v/>
      </c>
    </row>
    <row r="98" spans="1:19" x14ac:dyDescent="0.25">
      <c r="A98" s="36" t="str">
        <f>IF(B98="","",91)</f>
        <v/>
      </c>
      <c r="B98" s="36" t="str">
        <f>'Mau15'!B101&amp;""</f>
        <v/>
      </c>
      <c r="C98" s="47" t="str">
        <f>IF(B98="","",'Mau15'!C101)</f>
        <v/>
      </c>
      <c r="D98" s="36" t="str">
        <f>IF(B98="","",'Mau15'!D101)</f>
        <v/>
      </c>
      <c r="E98" s="48" t="str">
        <f>IF($B98="","",'Mau15'!P101)</f>
        <v/>
      </c>
      <c r="F98" s="48" t="str">
        <f>IF($B98="","",'Mau15'!F101)</f>
        <v/>
      </c>
      <c r="G98" s="48" t="str">
        <f t="shared" si="8"/>
        <v/>
      </c>
      <c r="H98" s="49" t="str">
        <f t="shared" si="9"/>
        <v/>
      </c>
      <c r="I98" s="48" t="str">
        <f>IF($B98="","",'Mau15'!K101)</f>
        <v/>
      </c>
      <c r="J98" s="48" t="str">
        <f>IF($B98="","",'Mau15'!M101)</f>
        <v/>
      </c>
      <c r="K98" s="48" t="str">
        <f t="shared" si="10"/>
        <v/>
      </c>
      <c r="L98" s="49" t="str">
        <f t="shared" si="11"/>
        <v/>
      </c>
      <c r="M98" s="48" t="str">
        <f>IF($B98="","",KT_nguoc_theo_NL!J95)</f>
        <v/>
      </c>
      <c r="N98" s="48" t="str">
        <f>IF($B98="","",KT_nguoc_theo_NL!K95)</f>
        <v/>
      </c>
      <c r="O98" s="48" t="str">
        <f t="shared" si="12"/>
        <v/>
      </c>
      <c r="P98" s="50" t="str">
        <f t="shared" si="13"/>
        <v/>
      </c>
      <c r="Q98" s="49" t="str">
        <f>IF($B98="","",IF(KT_nguoc_theo_NL!N95="Pass","Khớp",IF(KT_nguoc_theo_NL!N95="KXDDM","KXĐM",IF(KT_nguoc_theo_NL!N95="Xem xét","Cảnh báo",""))))</f>
        <v/>
      </c>
      <c r="R98" s="49" t="str">
        <f t="shared" si="14"/>
        <v/>
      </c>
      <c r="S98" s="31" t="str">
        <f t="shared" si="15"/>
        <v/>
      </c>
    </row>
    <row r="99" spans="1:19" x14ac:dyDescent="0.25">
      <c r="A99" s="36" t="str">
        <f>IF(B99="","",92)</f>
        <v/>
      </c>
      <c r="B99" s="36" t="str">
        <f>'Mau15'!B102&amp;""</f>
        <v/>
      </c>
      <c r="C99" s="47" t="str">
        <f>IF(B99="","",'Mau15'!C102)</f>
        <v/>
      </c>
      <c r="D99" s="36" t="str">
        <f>IF(B99="","",'Mau15'!D102)</f>
        <v/>
      </c>
      <c r="E99" s="48" t="str">
        <f>IF($B99="","",'Mau15'!P102)</f>
        <v/>
      </c>
      <c r="F99" s="48" t="str">
        <f>IF($B99="","",'Mau15'!F102)</f>
        <v/>
      </c>
      <c r="G99" s="48" t="str">
        <f t="shared" si="8"/>
        <v/>
      </c>
      <c r="H99" s="49" t="str">
        <f t="shared" si="9"/>
        <v/>
      </c>
      <c r="I99" s="48" t="str">
        <f>IF($B99="","",'Mau15'!K102)</f>
        <v/>
      </c>
      <c r="J99" s="48" t="str">
        <f>IF($B99="","",'Mau15'!M102)</f>
        <v/>
      </c>
      <c r="K99" s="48" t="str">
        <f t="shared" si="10"/>
        <v/>
      </c>
      <c r="L99" s="49" t="str">
        <f t="shared" si="11"/>
        <v/>
      </c>
      <c r="M99" s="48" t="str">
        <f>IF($B99="","",KT_nguoc_theo_NL!J96)</f>
        <v/>
      </c>
      <c r="N99" s="48" t="str">
        <f>IF($B99="","",KT_nguoc_theo_NL!K96)</f>
        <v/>
      </c>
      <c r="O99" s="48" t="str">
        <f t="shared" si="12"/>
        <v/>
      </c>
      <c r="P99" s="50" t="str">
        <f t="shared" si="13"/>
        <v/>
      </c>
      <c r="Q99" s="49" t="str">
        <f>IF($B99="","",IF(KT_nguoc_theo_NL!N96="Pass","Khớp",IF(KT_nguoc_theo_NL!N96="KXDDM","KXĐM",IF(KT_nguoc_theo_NL!N96="Xem xét","Cảnh báo",""))))</f>
        <v/>
      </c>
      <c r="R99" s="49" t="str">
        <f t="shared" si="14"/>
        <v/>
      </c>
      <c r="S99" s="31" t="str">
        <f t="shared" si="15"/>
        <v/>
      </c>
    </row>
    <row r="100" spans="1:19" x14ac:dyDescent="0.25">
      <c r="A100" s="36" t="str">
        <f>IF(B100="","",93)</f>
        <v/>
      </c>
      <c r="B100" s="36" t="str">
        <f>'Mau15'!B103&amp;""</f>
        <v/>
      </c>
      <c r="C100" s="47" t="str">
        <f>IF(B100="","",'Mau15'!C103)</f>
        <v/>
      </c>
      <c r="D100" s="36" t="str">
        <f>IF(B100="","",'Mau15'!D103)</f>
        <v/>
      </c>
      <c r="E100" s="48" t="str">
        <f>IF($B100="","",'Mau15'!P103)</f>
        <v/>
      </c>
      <c r="F100" s="48" t="str">
        <f>IF($B100="","",'Mau15'!F103)</f>
        <v/>
      </c>
      <c r="G100" s="48" t="str">
        <f t="shared" si="8"/>
        <v/>
      </c>
      <c r="H100" s="49" t="str">
        <f t="shared" si="9"/>
        <v/>
      </c>
      <c r="I100" s="48" t="str">
        <f>IF($B100="","",'Mau15'!K103)</f>
        <v/>
      </c>
      <c r="J100" s="48" t="str">
        <f>IF($B100="","",'Mau15'!M103)</f>
        <v/>
      </c>
      <c r="K100" s="48" t="str">
        <f t="shared" si="10"/>
        <v/>
      </c>
      <c r="L100" s="49" t="str">
        <f t="shared" si="11"/>
        <v/>
      </c>
      <c r="M100" s="48" t="str">
        <f>IF($B100="","",KT_nguoc_theo_NL!J97)</f>
        <v/>
      </c>
      <c r="N100" s="48" t="str">
        <f>IF($B100="","",KT_nguoc_theo_NL!K97)</f>
        <v/>
      </c>
      <c r="O100" s="48" t="str">
        <f t="shared" si="12"/>
        <v/>
      </c>
      <c r="P100" s="50" t="str">
        <f t="shared" si="13"/>
        <v/>
      </c>
      <c r="Q100" s="49" t="str">
        <f>IF($B100="","",IF(KT_nguoc_theo_NL!N97="Pass","Khớp",IF(KT_nguoc_theo_NL!N97="KXDDM","KXĐM",IF(KT_nguoc_theo_NL!N97="Xem xét","Cảnh báo",""))))</f>
        <v/>
      </c>
      <c r="R100" s="49" t="str">
        <f t="shared" si="14"/>
        <v/>
      </c>
      <c r="S100" s="31" t="str">
        <f t="shared" si="15"/>
        <v/>
      </c>
    </row>
    <row r="101" spans="1:19" x14ac:dyDescent="0.25">
      <c r="A101" s="36" t="str">
        <f>IF(B101="","",94)</f>
        <v/>
      </c>
      <c r="B101" s="36" t="str">
        <f>'Mau15'!B104&amp;""</f>
        <v/>
      </c>
      <c r="C101" s="47" t="str">
        <f>IF(B101="","",'Mau15'!C104)</f>
        <v/>
      </c>
      <c r="D101" s="36" t="str">
        <f>IF(B101="","",'Mau15'!D104)</f>
        <v/>
      </c>
      <c r="E101" s="48" t="str">
        <f>IF($B101="","",'Mau15'!P104)</f>
        <v/>
      </c>
      <c r="F101" s="48" t="str">
        <f>IF($B101="","",'Mau15'!F104)</f>
        <v/>
      </c>
      <c r="G101" s="48" t="str">
        <f t="shared" si="8"/>
        <v/>
      </c>
      <c r="H101" s="49" t="str">
        <f t="shared" si="9"/>
        <v/>
      </c>
      <c r="I101" s="48" t="str">
        <f>IF($B101="","",'Mau15'!K104)</f>
        <v/>
      </c>
      <c r="J101" s="48" t="str">
        <f>IF($B101="","",'Mau15'!M104)</f>
        <v/>
      </c>
      <c r="K101" s="48" t="str">
        <f t="shared" si="10"/>
        <v/>
      </c>
      <c r="L101" s="49" t="str">
        <f t="shared" si="11"/>
        <v/>
      </c>
      <c r="M101" s="48" t="str">
        <f>IF($B101="","",KT_nguoc_theo_NL!J98)</f>
        <v/>
      </c>
      <c r="N101" s="48" t="str">
        <f>IF($B101="","",KT_nguoc_theo_NL!K98)</f>
        <v/>
      </c>
      <c r="O101" s="48" t="str">
        <f t="shared" si="12"/>
        <v/>
      </c>
      <c r="P101" s="50" t="str">
        <f t="shared" si="13"/>
        <v/>
      </c>
      <c r="Q101" s="49" t="str">
        <f>IF($B101="","",IF(KT_nguoc_theo_NL!N98="Pass","Khớp",IF(KT_nguoc_theo_NL!N98="KXDDM","KXĐM",IF(KT_nguoc_theo_NL!N98="Xem xét","Cảnh báo",""))))</f>
        <v/>
      </c>
      <c r="R101" s="49" t="str">
        <f t="shared" si="14"/>
        <v/>
      </c>
      <c r="S101" s="31" t="str">
        <f t="shared" si="15"/>
        <v/>
      </c>
    </row>
    <row r="102" spans="1:19" x14ac:dyDescent="0.25">
      <c r="A102" s="36" t="str">
        <f>IF(B102="","",95)</f>
        <v/>
      </c>
      <c r="B102" s="36" t="str">
        <f>'Mau15'!B105&amp;""</f>
        <v/>
      </c>
      <c r="C102" s="47" t="str">
        <f>IF(B102="","",'Mau15'!C105)</f>
        <v/>
      </c>
      <c r="D102" s="36" t="str">
        <f>IF(B102="","",'Mau15'!D105)</f>
        <v/>
      </c>
      <c r="E102" s="48" t="str">
        <f>IF($B102="","",'Mau15'!P105)</f>
        <v/>
      </c>
      <c r="F102" s="48" t="str">
        <f>IF($B102="","",'Mau15'!F105)</f>
        <v/>
      </c>
      <c r="G102" s="48" t="str">
        <f t="shared" si="8"/>
        <v/>
      </c>
      <c r="H102" s="49" t="str">
        <f t="shared" si="9"/>
        <v/>
      </c>
      <c r="I102" s="48" t="str">
        <f>IF($B102="","",'Mau15'!K105)</f>
        <v/>
      </c>
      <c r="J102" s="48" t="str">
        <f>IF($B102="","",'Mau15'!M105)</f>
        <v/>
      </c>
      <c r="K102" s="48" t="str">
        <f t="shared" si="10"/>
        <v/>
      </c>
      <c r="L102" s="49" t="str">
        <f t="shared" si="11"/>
        <v/>
      </c>
      <c r="M102" s="48" t="str">
        <f>IF($B102="","",KT_nguoc_theo_NL!J99)</f>
        <v/>
      </c>
      <c r="N102" s="48" t="str">
        <f>IF($B102="","",KT_nguoc_theo_NL!K99)</f>
        <v/>
      </c>
      <c r="O102" s="48" t="str">
        <f t="shared" si="12"/>
        <v/>
      </c>
      <c r="P102" s="50" t="str">
        <f t="shared" si="13"/>
        <v/>
      </c>
      <c r="Q102" s="49" t="str">
        <f>IF($B102="","",IF(KT_nguoc_theo_NL!N99="Pass","Khớp",IF(KT_nguoc_theo_NL!N99="KXDDM","KXĐM",IF(KT_nguoc_theo_NL!N99="Xem xét","Cảnh báo",""))))</f>
        <v/>
      </c>
      <c r="R102" s="49" t="str">
        <f t="shared" si="14"/>
        <v/>
      </c>
      <c r="S102" s="31" t="str">
        <f t="shared" si="15"/>
        <v/>
      </c>
    </row>
    <row r="103" spans="1:19" x14ac:dyDescent="0.25">
      <c r="A103" s="36" t="str">
        <f>IF(B103="","",96)</f>
        <v/>
      </c>
      <c r="B103" s="36" t="str">
        <f>'Mau15'!B106&amp;""</f>
        <v/>
      </c>
      <c r="C103" s="47" t="str">
        <f>IF(B103="","",'Mau15'!C106)</f>
        <v/>
      </c>
      <c r="D103" s="36" t="str">
        <f>IF(B103="","",'Mau15'!D106)</f>
        <v/>
      </c>
      <c r="E103" s="48" t="str">
        <f>IF($B103="","",'Mau15'!P106)</f>
        <v/>
      </c>
      <c r="F103" s="48" t="str">
        <f>IF($B103="","",'Mau15'!F106)</f>
        <v/>
      </c>
      <c r="G103" s="48" t="str">
        <f t="shared" si="8"/>
        <v/>
      </c>
      <c r="H103" s="49" t="str">
        <f t="shared" si="9"/>
        <v/>
      </c>
      <c r="I103" s="48" t="str">
        <f>IF($B103="","",'Mau15'!K106)</f>
        <v/>
      </c>
      <c r="J103" s="48" t="str">
        <f>IF($B103="","",'Mau15'!M106)</f>
        <v/>
      </c>
      <c r="K103" s="48" t="str">
        <f t="shared" si="10"/>
        <v/>
      </c>
      <c r="L103" s="49" t="str">
        <f t="shared" si="11"/>
        <v/>
      </c>
      <c r="M103" s="48" t="str">
        <f>IF($B103="","",KT_nguoc_theo_NL!J100)</f>
        <v/>
      </c>
      <c r="N103" s="48" t="str">
        <f>IF($B103="","",KT_nguoc_theo_NL!K100)</f>
        <v/>
      </c>
      <c r="O103" s="48" t="str">
        <f t="shared" si="12"/>
        <v/>
      </c>
      <c r="P103" s="50" t="str">
        <f t="shared" si="13"/>
        <v/>
      </c>
      <c r="Q103" s="49" t="str">
        <f>IF($B103="","",IF(KT_nguoc_theo_NL!N100="Pass","Khớp",IF(KT_nguoc_theo_NL!N100="KXDDM","KXĐM",IF(KT_nguoc_theo_NL!N100="Xem xét","Cảnh báo",""))))</f>
        <v/>
      </c>
      <c r="R103" s="49" t="str">
        <f t="shared" si="14"/>
        <v/>
      </c>
      <c r="S103" s="31" t="str">
        <f t="shared" si="15"/>
        <v/>
      </c>
    </row>
    <row r="104" spans="1:19" x14ac:dyDescent="0.25">
      <c r="A104" s="36" t="str">
        <f>IF(B104="","",97)</f>
        <v/>
      </c>
      <c r="B104" s="36" t="str">
        <f>'Mau15'!B107&amp;""</f>
        <v/>
      </c>
      <c r="C104" s="47" t="str">
        <f>IF(B104="","",'Mau15'!C107)</f>
        <v/>
      </c>
      <c r="D104" s="36" t="str">
        <f>IF(B104="","",'Mau15'!D107)</f>
        <v/>
      </c>
      <c r="E104" s="48" t="str">
        <f>IF($B104="","",'Mau15'!P107)</f>
        <v/>
      </c>
      <c r="F104" s="48" t="str">
        <f>IF($B104="","",'Mau15'!F107)</f>
        <v/>
      </c>
      <c r="G104" s="48" t="str">
        <f t="shared" si="8"/>
        <v/>
      </c>
      <c r="H104" s="49" t="str">
        <f t="shared" si="9"/>
        <v/>
      </c>
      <c r="I104" s="48" t="str">
        <f>IF($B104="","",'Mau15'!K107)</f>
        <v/>
      </c>
      <c r="J104" s="48" t="str">
        <f>IF($B104="","",'Mau15'!M107)</f>
        <v/>
      </c>
      <c r="K104" s="48" t="str">
        <f t="shared" si="10"/>
        <v/>
      </c>
      <c r="L104" s="49" t="str">
        <f t="shared" si="11"/>
        <v/>
      </c>
      <c r="M104" s="48" t="str">
        <f>IF($B104="","",KT_nguoc_theo_NL!J101)</f>
        <v/>
      </c>
      <c r="N104" s="48" t="str">
        <f>IF($B104="","",KT_nguoc_theo_NL!K101)</f>
        <v/>
      </c>
      <c r="O104" s="48" t="str">
        <f t="shared" si="12"/>
        <v/>
      </c>
      <c r="P104" s="50" t="str">
        <f t="shared" si="13"/>
        <v/>
      </c>
      <c r="Q104" s="49" t="str">
        <f>IF($B104="","",IF(KT_nguoc_theo_NL!N101="Pass","Khớp",IF(KT_nguoc_theo_NL!N101="KXDDM","KXĐM",IF(KT_nguoc_theo_NL!N101="Xem xét","Cảnh báo",""))))</f>
        <v/>
      </c>
      <c r="R104" s="49" t="str">
        <f t="shared" si="14"/>
        <v/>
      </c>
      <c r="S104" s="31" t="str">
        <f t="shared" si="15"/>
        <v/>
      </c>
    </row>
    <row r="105" spans="1:19" x14ac:dyDescent="0.25">
      <c r="A105" s="36" t="str">
        <f>IF(B105="","",98)</f>
        <v/>
      </c>
      <c r="B105" s="36" t="str">
        <f>'Mau15'!B108&amp;""</f>
        <v/>
      </c>
      <c r="C105" s="47" t="str">
        <f>IF(B105="","",'Mau15'!C108)</f>
        <v/>
      </c>
      <c r="D105" s="36" t="str">
        <f>IF(B105="","",'Mau15'!D108)</f>
        <v/>
      </c>
      <c r="E105" s="48" t="str">
        <f>IF($B105="","",'Mau15'!P108)</f>
        <v/>
      </c>
      <c r="F105" s="48" t="str">
        <f>IF($B105="","",'Mau15'!F108)</f>
        <v/>
      </c>
      <c r="G105" s="48" t="str">
        <f t="shared" si="8"/>
        <v/>
      </c>
      <c r="H105" s="49" t="str">
        <f t="shared" si="9"/>
        <v/>
      </c>
      <c r="I105" s="48" t="str">
        <f>IF($B105="","",'Mau15'!K108)</f>
        <v/>
      </c>
      <c r="J105" s="48" t="str">
        <f>IF($B105="","",'Mau15'!M108)</f>
        <v/>
      </c>
      <c r="K105" s="48" t="str">
        <f t="shared" si="10"/>
        <v/>
      </c>
      <c r="L105" s="49" t="str">
        <f t="shared" si="11"/>
        <v/>
      </c>
      <c r="M105" s="48" t="str">
        <f>IF($B105="","",KT_nguoc_theo_NL!J102)</f>
        <v/>
      </c>
      <c r="N105" s="48" t="str">
        <f>IF($B105="","",KT_nguoc_theo_NL!K102)</f>
        <v/>
      </c>
      <c r="O105" s="48" t="str">
        <f t="shared" si="12"/>
        <v/>
      </c>
      <c r="P105" s="50" t="str">
        <f t="shared" si="13"/>
        <v/>
      </c>
      <c r="Q105" s="49" t="str">
        <f>IF($B105="","",IF(KT_nguoc_theo_NL!N102="Pass","Khớp",IF(KT_nguoc_theo_NL!N102="KXDDM","KXĐM",IF(KT_nguoc_theo_NL!N102="Xem xét","Cảnh báo",""))))</f>
        <v/>
      </c>
      <c r="R105" s="49" t="str">
        <f t="shared" si="14"/>
        <v/>
      </c>
      <c r="S105" s="31" t="str">
        <f t="shared" si="15"/>
        <v/>
      </c>
    </row>
    <row r="106" spans="1:19" x14ac:dyDescent="0.25">
      <c r="A106" s="36" t="str">
        <f>IF(B106="","",99)</f>
        <v/>
      </c>
      <c r="B106" s="36" t="str">
        <f>'Mau15'!B109&amp;""</f>
        <v/>
      </c>
      <c r="C106" s="47" t="str">
        <f>IF(B106="","",'Mau15'!C109)</f>
        <v/>
      </c>
      <c r="D106" s="36" t="str">
        <f>IF(B106="","",'Mau15'!D109)</f>
        <v/>
      </c>
      <c r="E106" s="48" t="str">
        <f>IF($B106="","",'Mau15'!P109)</f>
        <v/>
      </c>
      <c r="F106" s="48" t="str">
        <f>IF($B106="","",'Mau15'!F109)</f>
        <v/>
      </c>
      <c r="G106" s="48" t="str">
        <f t="shared" si="8"/>
        <v/>
      </c>
      <c r="H106" s="49" t="str">
        <f t="shared" si="9"/>
        <v/>
      </c>
      <c r="I106" s="48" t="str">
        <f>IF($B106="","",'Mau15'!K109)</f>
        <v/>
      </c>
      <c r="J106" s="48" t="str">
        <f>IF($B106="","",'Mau15'!M109)</f>
        <v/>
      </c>
      <c r="K106" s="48" t="str">
        <f t="shared" si="10"/>
        <v/>
      </c>
      <c r="L106" s="49" t="str">
        <f t="shared" si="11"/>
        <v/>
      </c>
      <c r="M106" s="48" t="str">
        <f>IF($B106="","",KT_nguoc_theo_NL!J103)</f>
        <v/>
      </c>
      <c r="N106" s="48" t="str">
        <f>IF($B106="","",KT_nguoc_theo_NL!K103)</f>
        <v/>
      </c>
      <c r="O106" s="48" t="str">
        <f t="shared" si="12"/>
        <v/>
      </c>
      <c r="P106" s="50" t="str">
        <f t="shared" si="13"/>
        <v/>
      </c>
      <c r="Q106" s="49" t="str">
        <f>IF($B106="","",IF(KT_nguoc_theo_NL!N103="Pass","Khớp",IF(KT_nguoc_theo_NL!N103="KXDDM","KXĐM",IF(KT_nguoc_theo_NL!N103="Xem xét","Cảnh báo",""))))</f>
        <v/>
      </c>
      <c r="R106" s="49" t="str">
        <f t="shared" si="14"/>
        <v/>
      </c>
      <c r="S106" s="31" t="str">
        <f t="shared" si="15"/>
        <v/>
      </c>
    </row>
    <row r="107" spans="1:19" x14ac:dyDescent="0.25">
      <c r="A107" s="36" t="str">
        <f>IF(B107="","",100)</f>
        <v/>
      </c>
      <c r="B107" s="36" t="str">
        <f>'Mau15'!B110&amp;""</f>
        <v/>
      </c>
      <c r="C107" s="47" t="str">
        <f>IF(B107="","",'Mau15'!C110)</f>
        <v/>
      </c>
      <c r="D107" s="36" t="str">
        <f>IF(B107="","",'Mau15'!D110)</f>
        <v/>
      </c>
      <c r="E107" s="48" t="str">
        <f>IF($B107="","",'Mau15'!P110)</f>
        <v/>
      </c>
      <c r="F107" s="48" t="str">
        <f>IF($B107="","",'Mau15'!F110)</f>
        <v/>
      </c>
      <c r="G107" s="48" t="str">
        <f t="shared" si="8"/>
        <v/>
      </c>
      <c r="H107" s="49" t="str">
        <f t="shared" si="9"/>
        <v/>
      </c>
      <c r="I107" s="48" t="str">
        <f>IF($B107="","",'Mau15'!K110)</f>
        <v/>
      </c>
      <c r="J107" s="48" t="str">
        <f>IF($B107="","",'Mau15'!M110)</f>
        <v/>
      </c>
      <c r="K107" s="48" t="str">
        <f t="shared" si="10"/>
        <v/>
      </c>
      <c r="L107" s="49" t="str">
        <f t="shared" si="11"/>
        <v/>
      </c>
      <c r="M107" s="48" t="str">
        <f>IF($B107="","",KT_nguoc_theo_NL!J104)</f>
        <v/>
      </c>
      <c r="N107" s="48" t="str">
        <f>IF($B107="","",KT_nguoc_theo_NL!K104)</f>
        <v/>
      </c>
      <c r="O107" s="48" t="str">
        <f t="shared" si="12"/>
        <v/>
      </c>
      <c r="P107" s="50" t="str">
        <f t="shared" si="13"/>
        <v/>
      </c>
      <c r="Q107" s="49" t="str">
        <f>IF($B107="","",IF(KT_nguoc_theo_NL!N104="Pass","Khớp",IF(KT_nguoc_theo_NL!N104="KXDDM","KXĐM",IF(KT_nguoc_theo_NL!N104="Xem xét","Cảnh báo",""))))</f>
        <v/>
      </c>
      <c r="R107" s="49" t="str">
        <f t="shared" si="14"/>
        <v/>
      </c>
      <c r="S107" s="31" t="str">
        <f t="shared" si="15"/>
        <v/>
      </c>
    </row>
    <row r="108" spans="1:19" x14ac:dyDescent="0.25">
      <c r="A108" s="36" t="str">
        <f>IF(B108="","",101)</f>
        <v/>
      </c>
      <c r="B108" s="36" t="str">
        <f>'Mau15'!B111&amp;""</f>
        <v/>
      </c>
      <c r="C108" s="47" t="str">
        <f>IF(B108="","",'Mau15'!C111)</f>
        <v/>
      </c>
      <c r="D108" s="36" t="str">
        <f>IF(B108="","",'Mau15'!D111)</f>
        <v/>
      </c>
      <c r="E108" s="48" t="str">
        <f>IF($B108="","",'Mau15'!P111)</f>
        <v/>
      </c>
      <c r="F108" s="48" t="str">
        <f>IF($B108="","",'Mau15'!F111)</f>
        <v/>
      </c>
      <c r="G108" s="48" t="str">
        <f t="shared" si="8"/>
        <v/>
      </c>
      <c r="H108" s="49" t="str">
        <f t="shared" si="9"/>
        <v/>
      </c>
      <c r="I108" s="48" t="str">
        <f>IF($B108="","",'Mau15'!K111)</f>
        <v/>
      </c>
      <c r="J108" s="48" t="str">
        <f>IF($B108="","",'Mau15'!M111)</f>
        <v/>
      </c>
      <c r="K108" s="48" t="str">
        <f t="shared" si="10"/>
        <v/>
      </c>
      <c r="L108" s="49" t="str">
        <f t="shared" si="11"/>
        <v/>
      </c>
      <c r="M108" s="48" t="str">
        <f>IF($B108="","",KT_nguoc_theo_NL!J105)</f>
        <v/>
      </c>
      <c r="N108" s="48" t="str">
        <f>IF($B108="","",KT_nguoc_theo_NL!K105)</f>
        <v/>
      </c>
      <c r="O108" s="48" t="str">
        <f t="shared" si="12"/>
        <v/>
      </c>
      <c r="P108" s="50" t="str">
        <f t="shared" si="13"/>
        <v/>
      </c>
      <c r="Q108" s="49" t="str">
        <f>IF($B108="","",IF(KT_nguoc_theo_NL!N105="Pass","Khớp",IF(KT_nguoc_theo_NL!N105="KXDDM","KXĐM",IF(KT_nguoc_theo_NL!N105="Xem xét","Cảnh báo",""))))</f>
        <v/>
      </c>
      <c r="R108" s="49" t="str">
        <f t="shared" si="14"/>
        <v/>
      </c>
      <c r="S108" s="31" t="str">
        <f t="shared" si="15"/>
        <v/>
      </c>
    </row>
    <row r="109" spans="1:19" x14ac:dyDescent="0.25">
      <c r="A109" s="36" t="str">
        <f>IF(B109="","",102)</f>
        <v/>
      </c>
      <c r="B109" s="36" t="str">
        <f>'Mau15'!B112&amp;""</f>
        <v/>
      </c>
      <c r="C109" s="47" t="str">
        <f>IF(B109="","",'Mau15'!C112)</f>
        <v/>
      </c>
      <c r="D109" s="36" t="str">
        <f>IF(B109="","",'Mau15'!D112)</f>
        <v/>
      </c>
      <c r="E109" s="48" t="str">
        <f>IF($B109="","",'Mau15'!P112)</f>
        <v/>
      </c>
      <c r="F109" s="48" t="str">
        <f>IF($B109="","",'Mau15'!F112)</f>
        <v/>
      </c>
      <c r="G109" s="48" t="str">
        <f t="shared" si="8"/>
        <v/>
      </c>
      <c r="H109" s="49" t="str">
        <f t="shared" si="9"/>
        <v/>
      </c>
      <c r="I109" s="48" t="str">
        <f>IF($B109="","",'Mau15'!K112)</f>
        <v/>
      </c>
      <c r="J109" s="48" t="str">
        <f>IF($B109="","",'Mau15'!M112)</f>
        <v/>
      </c>
      <c r="K109" s="48" t="str">
        <f t="shared" si="10"/>
        <v/>
      </c>
      <c r="L109" s="49" t="str">
        <f t="shared" si="11"/>
        <v/>
      </c>
      <c r="M109" s="48" t="str">
        <f>IF($B109="","",KT_nguoc_theo_NL!J106)</f>
        <v/>
      </c>
      <c r="N109" s="48" t="str">
        <f>IF($B109="","",KT_nguoc_theo_NL!K106)</f>
        <v/>
      </c>
      <c r="O109" s="48" t="str">
        <f t="shared" si="12"/>
        <v/>
      </c>
      <c r="P109" s="50" t="str">
        <f t="shared" si="13"/>
        <v/>
      </c>
      <c r="Q109" s="49" t="str">
        <f>IF($B109="","",IF(KT_nguoc_theo_NL!N106="Pass","Khớp",IF(KT_nguoc_theo_NL!N106="KXDDM","KXĐM",IF(KT_nguoc_theo_NL!N106="Xem xét","Cảnh báo",""))))</f>
        <v/>
      </c>
      <c r="R109" s="49" t="str">
        <f t="shared" si="14"/>
        <v/>
      </c>
      <c r="S109" s="31" t="str">
        <f t="shared" si="15"/>
        <v/>
      </c>
    </row>
    <row r="110" spans="1:19" x14ac:dyDescent="0.25">
      <c r="A110" s="36" t="str">
        <f>IF(B110="","",103)</f>
        <v/>
      </c>
      <c r="B110" s="36" t="str">
        <f>'Mau15'!B113&amp;""</f>
        <v/>
      </c>
      <c r="C110" s="47" t="str">
        <f>IF(B110="","",'Mau15'!C113)</f>
        <v/>
      </c>
      <c r="D110" s="36" t="str">
        <f>IF(B110="","",'Mau15'!D113)</f>
        <v/>
      </c>
      <c r="E110" s="48" t="str">
        <f>IF($B110="","",'Mau15'!P113)</f>
        <v/>
      </c>
      <c r="F110" s="48" t="str">
        <f>IF($B110="","",'Mau15'!F113)</f>
        <v/>
      </c>
      <c r="G110" s="48" t="str">
        <f t="shared" si="8"/>
        <v/>
      </c>
      <c r="H110" s="49" t="str">
        <f t="shared" si="9"/>
        <v/>
      </c>
      <c r="I110" s="48" t="str">
        <f>IF($B110="","",'Mau15'!K113)</f>
        <v/>
      </c>
      <c r="J110" s="48" t="str">
        <f>IF($B110="","",'Mau15'!M113)</f>
        <v/>
      </c>
      <c r="K110" s="48" t="str">
        <f t="shared" si="10"/>
        <v/>
      </c>
      <c r="L110" s="49" t="str">
        <f t="shared" si="11"/>
        <v/>
      </c>
      <c r="M110" s="48" t="str">
        <f>IF($B110="","",KT_nguoc_theo_NL!J107)</f>
        <v/>
      </c>
      <c r="N110" s="48" t="str">
        <f>IF($B110="","",KT_nguoc_theo_NL!K107)</f>
        <v/>
      </c>
      <c r="O110" s="48" t="str">
        <f t="shared" si="12"/>
        <v/>
      </c>
      <c r="P110" s="50" t="str">
        <f t="shared" si="13"/>
        <v/>
      </c>
      <c r="Q110" s="49" t="str">
        <f>IF($B110="","",IF(KT_nguoc_theo_NL!N107="Pass","Khớp",IF(KT_nguoc_theo_NL!N107="KXDDM","KXĐM",IF(KT_nguoc_theo_NL!N107="Xem xét","Cảnh báo",""))))</f>
        <v/>
      </c>
      <c r="R110" s="49" t="str">
        <f t="shared" si="14"/>
        <v/>
      </c>
      <c r="S110" s="31" t="str">
        <f t="shared" si="15"/>
        <v/>
      </c>
    </row>
    <row r="111" spans="1:19" x14ac:dyDescent="0.25">
      <c r="A111" s="36" t="str">
        <f>IF(B111="","",104)</f>
        <v/>
      </c>
      <c r="B111" s="36" t="str">
        <f>'Mau15'!B114&amp;""</f>
        <v/>
      </c>
      <c r="C111" s="47" t="str">
        <f>IF(B111="","",'Mau15'!C114)</f>
        <v/>
      </c>
      <c r="D111" s="36" t="str">
        <f>IF(B111="","",'Mau15'!D114)</f>
        <v/>
      </c>
      <c r="E111" s="48" t="str">
        <f>IF($B111="","",'Mau15'!P114)</f>
        <v/>
      </c>
      <c r="F111" s="48" t="str">
        <f>IF($B111="","",'Mau15'!F114)</f>
        <v/>
      </c>
      <c r="G111" s="48" t="str">
        <f t="shared" si="8"/>
        <v/>
      </c>
      <c r="H111" s="49" t="str">
        <f t="shared" si="9"/>
        <v/>
      </c>
      <c r="I111" s="48" t="str">
        <f>IF($B111="","",'Mau15'!K114)</f>
        <v/>
      </c>
      <c r="J111" s="48" t="str">
        <f>IF($B111="","",'Mau15'!M114)</f>
        <v/>
      </c>
      <c r="K111" s="48" t="str">
        <f t="shared" si="10"/>
        <v/>
      </c>
      <c r="L111" s="49" t="str">
        <f t="shared" si="11"/>
        <v/>
      </c>
      <c r="M111" s="48" t="str">
        <f>IF($B111="","",KT_nguoc_theo_NL!J108)</f>
        <v/>
      </c>
      <c r="N111" s="48" t="str">
        <f>IF($B111="","",KT_nguoc_theo_NL!K108)</f>
        <v/>
      </c>
      <c r="O111" s="48" t="str">
        <f t="shared" si="12"/>
        <v/>
      </c>
      <c r="P111" s="50" t="str">
        <f t="shared" si="13"/>
        <v/>
      </c>
      <c r="Q111" s="49" t="str">
        <f>IF($B111="","",IF(KT_nguoc_theo_NL!N108="Pass","Khớp",IF(KT_nguoc_theo_NL!N108="KXDDM","KXĐM",IF(KT_nguoc_theo_NL!N108="Xem xét","Cảnh báo",""))))</f>
        <v/>
      </c>
      <c r="R111" s="49" t="str">
        <f t="shared" si="14"/>
        <v/>
      </c>
      <c r="S111" s="31" t="str">
        <f t="shared" si="15"/>
        <v/>
      </c>
    </row>
    <row r="112" spans="1:19" x14ac:dyDescent="0.25">
      <c r="A112" s="36" t="str">
        <f>IF(B112="","",105)</f>
        <v/>
      </c>
      <c r="B112" s="36" t="str">
        <f>'Mau15'!B115&amp;""</f>
        <v/>
      </c>
      <c r="C112" s="47" t="str">
        <f>IF(B112="","",'Mau15'!C115)</f>
        <v/>
      </c>
      <c r="D112" s="36" t="str">
        <f>IF(B112="","",'Mau15'!D115)</f>
        <v/>
      </c>
      <c r="E112" s="48" t="str">
        <f>IF($B112="","",'Mau15'!P115)</f>
        <v/>
      </c>
      <c r="F112" s="48" t="str">
        <f>IF($B112="","",'Mau15'!F115)</f>
        <v/>
      </c>
      <c r="G112" s="48" t="str">
        <f t="shared" si="8"/>
        <v/>
      </c>
      <c r="H112" s="49" t="str">
        <f t="shared" si="9"/>
        <v/>
      </c>
      <c r="I112" s="48" t="str">
        <f>IF($B112="","",'Mau15'!K115)</f>
        <v/>
      </c>
      <c r="J112" s="48" t="str">
        <f>IF($B112="","",'Mau15'!M115)</f>
        <v/>
      </c>
      <c r="K112" s="48" t="str">
        <f t="shared" si="10"/>
        <v/>
      </c>
      <c r="L112" s="49" t="str">
        <f t="shared" si="11"/>
        <v/>
      </c>
      <c r="M112" s="48" t="str">
        <f>IF($B112="","",KT_nguoc_theo_NL!J109)</f>
        <v/>
      </c>
      <c r="N112" s="48" t="str">
        <f>IF($B112="","",KT_nguoc_theo_NL!K109)</f>
        <v/>
      </c>
      <c r="O112" s="48" t="str">
        <f t="shared" si="12"/>
        <v/>
      </c>
      <c r="P112" s="50" t="str">
        <f t="shared" si="13"/>
        <v/>
      </c>
      <c r="Q112" s="49" t="str">
        <f>IF($B112="","",IF(KT_nguoc_theo_NL!N109="Pass","Khớp",IF(KT_nguoc_theo_NL!N109="KXDDM","KXĐM",IF(KT_nguoc_theo_NL!N109="Xem xét","Cảnh báo",""))))</f>
        <v/>
      </c>
      <c r="R112" s="49" t="str">
        <f t="shared" si="14"/>
        <v/>
      </c>
      <c r="S112" s="31" t="str">
        <f t="shared" si="15"/>
        <v/>
      </c>
    </row>
    <row r="113" spans="1:19" x14ac:dyDescent="0.25">
      <c r="A113" s="36" t="str">
        <f>IF(B113="","",106)</f>
        <v/>
      </c>
      <c r="B113" s="36" t="str">
        <f>'Mau15'!B116&amp;""</f>
        <v/>
      </c>
      <c r="C113" s="47" t="str">
        <f>IF(B113="","",'Mau15'!C116)</f>
        <v/>
      </c>
      <c r="D113" s="36" t="str">
        <f>IF(B113="","",'Mau15'!D116)</f>
        <v/>
      </c>
      <c r="E113" s="48" t="str">
        <f>IF($B113="","",'Mau15'!P116)</f>
        <v/>
      </c>
      <c r="F113" s="48" t="str">
        <f>IF($B113="","",'Mau15'!F116)</f>
        <v/>
      </c>
      <c r="G113" s="48" t="str">
        <f t="shared" si="8"/>
        <v/>
      </c>
      <c r="H113" s="49" t="str">
        <f t="shared" si="9"/>
        <v/>
      </c>
      <c r="I113" s="48" t="str">
        <f>IF($B113="","",'Mau15'!K116)</f>
        <v/>
      </c>
      <c r="J113" s="48" t="str">
        <f>IF($B113="","",'Mau15'!M116)</f>
        <v/>
      </c>
      <c r="K113" s="48" t="str">
        <f t="shared" si="10"/>
        <v/>
      </c>
      <c r="L113" s="49" t="str">
        <f t="shared" si="11"/>
        <v/>
      </c>
      <c r="M113" s="48" t="str">
        <f>IF($B113="","",KT_nguoc_theo_NL!J110)</f>
        <v/>
      </c>
      <c r="N113" s="48" t="str">
        <f>IF($B113="","",KT_nguoc_theo_NL!K110)</f>
        <v/>
      </c>
      <c r="O113" s="48" t="str">
        <f t="shared" si="12"/>
        <v/>
      </c>
      <c r="P113" s="50" t="str">
        <f t="shared" si="13"/>
        <v/>
      </c>
      <c r="Q113" s="49" t="str">
        <f>IF($B113="","",IF(KT_nguoc_theo_NL!N110="Pass","Khớp",IF(KT_nguoc_theo_NL!N110="KXDDM","KXĐM",IF(KT_nguoc_theo_NL!N110="Xem xét","Cảnh báo",""))))</f>
        <v/>
      </c>
      <c r="R113" s="49" t="str">
        <f t="shared" si="14"/>
        <v/>
      </c>
      <c r="S113" s="31" t="str">
        <f t="shared" si="15"/>
        <v/>
      </c>
    </row>
    <row r="114" spans="1:19" x14ac:dyDescent="0.25">
      <c r="A114" s="36" t="str">
        <f>IF(B114="","",107)</f>
        <v/>
      </c>
      <c r="B114" s="36" t="str">
        <f>'Mau15'!B117&amp;""</f>
        <v/>
      </c>
      <c r="C114" s="47" t="str">
        <f>IF(B114="","",'Mau15'!C117)</f>
        <v/>
      </c>
      <c r="D114" s="36" t="str">
        <f>IF(B114="","",'Mau15'!D117)</f>
        <v/>
      </c>
      <c r="E114" s="48" t="str">
        <f>IF($B114="","",'Mau15'!P117)</f>
        <v/>
      </c>
      <c r="F114" s="48" t="str">
        <f>IF($B114="","",'Mau15'!F117)</f>
        <v/>
      </c>
      <c r="G114" s="48" t="str">
        <f t="shared" si="8"/>
        <v/>
      </c>
      <c r="H114" s="49" t="str">
        <f t="shared" si="9"/>
        <v/>
      </c>
      <c r="I114" s="48" t="str">
        <f>IF($B114="","",'Mau15'!K117)</f>
        <v/>
      </c>
      <c r="J114" s="48" t="str">
        <f>IF($B114="","",'Mau15'!M117)</f>
        <v/>
      </c>
      <c r="K114" s="48" t="str">
        <f t="shared" si="10"/>
        <v/>
      </c>
      <c r="L114" s="49" t="str">
        <f t="shared" si="11"/>
        <v/>
      </c>
      <c r="M114" s="48" t="str">
        <f>IF($B114="","",KT_nguoc_theo_NL!J111)</f>
        <v/>
      </c>
      <c r="N114" s="48" t="str">
        <f>IF($B114="","",KT_nguoc_theo_NL!K111)</f>
        <v/>
      </c>
      <c r="O114" s="48" t="str">
        <f t="shared" si="12"/>
        <v/>
      </c>
      <c r="P114" s="50" t="str">
        <f t="shared" si="13"/>
        <v/>
      </c>
      <c r="Q114" s="49" t="str">
        <f>IF($B114="","",IF(KT_nguoc_theo_NL!N111="Pass","Khớp",IF(KT_nguoc_theo_NL!N111="KXDDM","KXĐM",IF(KT_nguoc_theo_NL!N111="Xem xét","Cảnh báo",""))))</f>
        <v/>
      </c>
      <c r="R114" s="49" t="str">
        <f t="shared" si="14"/>
        <v/>
      </c>
      <c r="S114" s="31" t="str">
        <f t="shared" si="15"/>
        <v/>
      </c>
    </row>
    <row r="115" spans="1:19" x14ac:dyDescent="0.25">
      <c r="A115" s="36" t="str">
        <f>IF(B115="","",108)</f>
        <v/>
      </c>
      <c r="B115" s="36" t="str">
        <f>'Mau15'!B118&amp;""</f>
        <v/>
      </c>
      <c r="C115" s="47" t="str">
        <f>IF(B115="","",'Mau15'!C118)</f>
        <v/>
      </c>
      <c r="D115" s="36" t="str">
        <f>IF(B115="","",'Mau15'!D118)</f>
        <v/>
      </c>
      <c r="E115" s="48" t="str">
        <f>IF($B115="","",'Mau15'!P118)</f>
        <v/>
      </c>
      <c r="F115" s="48" t="str">
        <f>IF($B115="","",'Mau15'!F118)</f>
        <v/>
      </c>
      <c r="G115" s="48" t="str">
        <f t="shared" si="8"/>
        <v/>
      </c>
      <c r="H115" s="49" t="str">
        <f t="shared" si="9"/>
        <v/>
      </c>
      <c r="I115" s="48" t="str">
        <f>IF($B115="","",'Mau15'!K118)</f>
        <v/>
      </c>
      <c r="J115" s="48" t="str">
        <f>IF($B115="","",'Mau15'!M118)</f>
        <v/>
      </c>
      <c r="K115" s="48" t="str">
        <f t="shared" si="10"/>
        <v/>
      </c>
      <c r="L115" s="49" t="str">
        <f t="shared" si="11"/>
        <v/>
      </c>
      <c r="M115" s="48" t="str">
        <f>IF($B115="","",KT_nguoc_theo_NL!J112)</f>
        <v/>
      </c>
      <c r="N115" s="48" t="str">
        <f>IF($B115="","",KT_nguoc_theo_NL!K112)</f>
        <v/>
      </c>
      <c r="O115" s="48" t="str">
        <f t="shared" si="12"/>
        <v/>
      </c>
      <c r="P115" s="50" t="str">
        <f t="shared" si="13"/>
        <v/>
      </c>
      <c r="Q115" s="49" t="str">
        <f>IF($B115="","",IF(KT_nguoc_theo_NL!N112="Pass","Khớp",IF(KT_nguoc_theo_NL!N112="KXDDM","KXĐM",IF(KT_nguoc_theo_NL!N112="Xem xét","Cảnh báo",""))))</f>
        <v/>
      </c>
      <c r="R115" s="49" t="str">
        <f t="shared" si="14"/>
        <v/>
      </c>
      <c r="S115" s="31" t="str">
        <f t="shared" si="15"/>
        <v/>
      </c>
    </row>
    <row r="116" spans="1:19" x14ac:dyDescent="0.25">
      <c r="A116" s="36" t="str">
        <f>IF(B116="","",109)</f>
        <v/>
      </c>
      <c r="B116" s="36" t="str">
        <f>'Mau15'!B119&amp;""</f>
        <v/>
      </c>
      <c r="C116" s="47" t="str">
        <f>IF(B116="","",'Mau15'!C119)</f>
        <v/>
      </c>
      <c r="D116" s="36" t="str">
        <f>IF(B116="","",'Mau15'!D119)</f>
        <v/>
      </c>
      <c r="E116" s="48" t="str">
        <f>IF($B116="","",'Mau15'!P119)</f>
        <v/>
      </c>
      <c r="F116" s="48" t="str">
        <f>IF($B116="","",'Mau15'!F119)</f>
        <v/>
      </c>
      <c r="G116" s="48" t="str">
        <f t="shared" si="8"/>
        <v/>
      </c>
      <c r="H116" s="49" t="str">
        <f t="shared" si="9"/>
        <v/>
      </c>
      <c r="I116" s="48" t="str">
        <f>IF($B116="","",'Mau15'!K119)</f>
        <v/>
      </c>
      <c r="J116" s="48" t="str">
        <f>IF($B116="","",'Mau15'!M119)</f>
        <v/>
      </c>
      <c r="K116" s="48" t="str">
        <f t="shared" si="10"/>
        <v/>
      </c>
      <c r="L116" s="49" t="str">
        <f t="shared" si="11"/>
        <v/>
      </c>
      <c r="M116" s="48" t="str">
        <f>IF($B116="","",KT_nguoc_theo_NL!J113)</f>
        <v/>
      </c>
      <c r="N116" s="48" t="str">
        <f>IF($B116="","",KT_nguoc_theo_NL!K113)</f>
        <v/>
      </c>
      <c r="O116" s="48" t="str">
        <f t="shared" si="12"/>
        <v/>
      </c>
      <c r="P116" s="50" t="str">
        <f t="shared" si="13"/>
        <v/>
      </c>
      <c r="Q116" s="49" t="str">
        <f>IF($B116="","",IF(KT_nguoc_theo_NL!N113="Pass","Khớp",IF(KT_nguoc_theo_NL!N113="KXDDM","KXĐM",IF(KT_nguoc_theo_NL!N113="Xem xét","Cảnh báo",""))))</f>
        <v/>
      </c>
      <c r="R116" s="49" t="str">
        <f t="shared" si="14"/>
        <v/>
      </c>
      <c r="S116" s="31" t="str">
        <f t="shared" si="15"/>
        <v/>
      </c>
    </row>
    <row r="117" spans="1:19" x14ac:dyDescent="0.25">
      <c r="A117" s="36" t="str">
        <f>IF(B117="","",110)</f>
        <v/>
      </c>
      <c r="B117" s="36" t="str">
        <f>'Mau15'!B120&amp;""</f>
        <v/>
      </c>
      <c r="C117" s="47" t="str">
        <f>IF(B117="","",'Mau15'!C120)</f>
        <v/>
      </c>
      <c r="D117" s="36" t="str">
        <f>IF(B117="","",'Mau15'!D120)</f>
        <v/>
      </c>
      <c r="E117" s="48" t="str">
        <f>IF($B117="","",'Mau15'!P120)</f>
        <v/>
      </c>
      <c r="F117" s="48" t="str">
        <f>IF($B117="","",'Mau15'!F120)</f>
        <v/>
      </c>
      <c r="G117" s="48" t="str">
        <f t="shared" si="8"/>
        <v/>
      </c>
      <c r="H117" s="49" t="str">
        <f t="shared" si="9"/>
        <v/>
      </c>
      <c r="I117" s="48" t="str">
        <f>IF($B117="","",'Mau15'!K120)</f>
        <v/>
      </c>
      <c r="J117" s="48" t="str">
        <f>IF($B117="","",'Mau15'!M120)</f>
        <v/>
      </c>
      <c r="K117" s="48" t="str">
        <f t="shared" si="10"/>
        <v/>
      </c>
      <c r="L117" s="49" t="str">
        <f t="shared" si="11"/>
        <v/>
      </c>
      <c r="M117" s="48" t="str">
        <f>IF($B117="","",KT_nguoc_theo_NL!J114)</f>
        <v/>
      </c>
      <c r="N117" s="48" t="str">
        <f>IF($B117="","",KT_nguoc_theo_NL!K114)</f>
        <v/>
      </c>
      <c r="O117" s="48" t="str">
        <f t="shared" si="12"/>
        <v/>
      </c>
      <c r="P117" s="50" t="str">
        <f t="shared" si="13"/>
        <v/>
      </c>
      <c r="Q117" s="49" t="str">
        <f>IF($B117="","",IF(KT_nguoc_theo_NL!N114="Pass","Khớp",IF(KT_nguoc_theo_NL!N114="KXDDM","KXĐM",IF(KT_nguoc_theo_NL!N114="Xem xét","Cảnh báo",""))))</f>
        <v/>
      </c>
      <c r="R117" s="49" t="str">
        <f t="shared" si="14"/>
        <v/>
      </c>
      <c r="S117" s="31" t="str">
        <f t="shared" si="15"/>
        <v/>
      </c>
    </row>
    <row r="118" spans="1:19" x14ac:dyDescent="0.25">
      <c r="A118" s="36" t="str">
        <f>IF(B118="","",111)</f>
        <v/>
      </c>
      <c r="B118" s="36" t="str">
        <f>'Mau15'!B121&amp;""</f>
        <v/>
      </c>
      <c r="C118" s="47" t="str">
        <f>IF(B118="","",'Mau15'!C121)</f>
        <v/>
      </c>
      <c r="D118" s="36" t="str">
        <f>IF(B118="","",'Mau15'!D121)</f>
        <v/>
      </c>
      <c r="E118" s="48" t="str">
        <f>IF($B118="","",'Mau15'!P121)</f>
        <v/>
      </c>
      <c r="F118" s="48" t="str">
        <f>IF($B118="","",'Mau15'!F121)</f>
        <v/>
      </c>
      <c r="G118" s="48" t="str">
        <f t="shared" si="8"/>
        <v/>
      </c>
      <c r="H118" s="49" t="str">
        <f t="shared" si="9"/>
        <v/>
      </c>
      <c r="I118" s="48" t="str">
        <f>IF($B118="","",'Mau15'!K121)</f>
        <v/>
      </c>
      <c r="J118" s="48" t="str">
        <f>IF($B118="","",'Mau15'!M121)</f>
        <v/>
      </c>
      <c r="K118" s="48" t="str">
        <f t="shared" si="10"/>
        <v/>
      </c>
      <c r="L118" s="49" t="str">
        <f t="shared" si="11"/>
        <v/>
      </c>
      <c r="M118" s="48" t="str">
        <f>IF($B118="","",KT_nguoc_theo_NL!J115)</f>
        <v/>
      </c>
      <c r="N118" s="48" t="str">
        <f>IF($B118="","",KT_nguoc_theo_NL!K115)</f>
        <v/>
      </c>
      <c r="O118" s="48" t="str">
        <f t="shared" si="12"/>
        <v/>
      </c>
      <c r="P118" s="50" t="str">
        <f t="shared" si="13"/>
        <v/>
      </c>
      <c r="Q118" s="49" t="str">
        <f>IF($B118="","",IF(KT_nguoc_theo_NL!N115="Pass","Khớp",IF(KT_nguoc_theo_NL!N115="KXDDM","KXĐM",IF(KT_nguoc_theo_NL!N115="Xem xét","Cảnh báo",""))))</f>
        <v/>
      </c>
      <c r="R118" s="49" t="str">
        <f t="shared" si="14"/>
        <v/>
      </c>
      <c r="S118" s="31" t="str">
        <f t="shared" si="15"/>
        <v/>
      </c>
    </row>
    <row r="119" spans="1:19" x14ac:dyDescent="0.25">
      <c r="A119" s="36" t="str">
        <f>IF(B119="","",112)</f>
        <v/>
      </c>
      <c r="B119" s="36" t="str">
        <f>'Mau15'!B122&amp;""</f>
        <v/>
      </c>
      <c r="C119" s="47" t="str">
        <f>IF(B119="","",'Mau15'!C122)</f>
        <v/>
      </c>
      <c r="D119" s="36" t="str">
        <f>IF(B119="","",'Mau15'!D122)</f>
        <v/>
      </c>
      <c r="E119" s="48" t="str">
        <f>IF($B119="","",'Mau15'!P122)</f>
        <v/>
      </c>
      <c r="F119" s="48" t="str">
        <f>IF($B119="","",'Mau15'!F122)</f>
        <v/>
      </c>
      <c r="G119" s="48" t="str">
        <f t="shared" si="8"/>
        <v/>
      </c>
      <c r="H119" s="49" t="str">
        <f t="shared" si="9"/>
        <v/>
      </c>
      <c r="I119" s="48" t="str">
        <f>IF($B119="","",'Mau15'!K122)</f>
        <v/>
      </c>
      <c r="J119" s="48" t="str">
        <f>IF($B119="","",'Mau15'!M122)</f>
        <v/>
      </c>
      <c r="K119" s="48" t="str">
        <f t="shared" si="10"/>
        <v/>
      </c>
      <c r="L119" s="49" t="str">
        <f t="shared" si="11"/>
        <v/>
      </c>
      <c r="M119" s="48" t="str">
        <f>IF($B119="","",KT_nguoc_theo_NL!J116)</f>
        <v/>
      </c>
      <c r="N119" s="48" t="str">
        <f>IF($B119="","",KT_nguoc_theo_NL!K116)</f>
        <v/>
      </c>
      <c r="O119" s="48" t="str">
        <f t="shared" si="12"/>
        <v/>
      </c>
      <c r="P119" s="50" t="str">
        <f t="shared" si="13"/>
        <v/>
      </c>
      <c r="Q119" s="49" t="str">
        <f>IF($B119="","",IF(KT_nguoc_theo_NL!N116="Pass","Khớp",IF(KT_nguoc_theo_NL!N116="KXDDM","KXĐM",IF(KT_nguoc_theo_NL!N116="Xem xét","Cảnh báo",""))))</f>
        <v/>
      </c>
      <c r="R119" s="49" t="str">
        <f t="shared" si="14"/>
        <v/>
      </c>
      <c r="S119" s="31" t="str">
        <f t="shared" si="15"/>
        <v/>
      </c>
    </row>
    <row r="120" spans="1:19" x14ac:dyDescent="0.25">
      <c r="A120" s="36" t="str">
        <f>IF(B120="","",113)</f>
        <v/>
      </c>
      <c r="B120" s="36" t="str">
        <f>'Mau15'!B123&amp;""</f>
        <v/>
      </c>
      <c r="C120" s="47" t="str">
        <f>IF(B120="","",'Mau15'!C123)</f>
        <v/>
      </c>
      <c r="D120" s="36" t="str">
        <f>IF(B120="","",'Mau15'!D123)</f>
        <v/>
      </c>
      <c r="E120" s="48" t="str">
        <f>IF($B120="","",'Mau15'!P123)</f>
        <v/>
      </c>
      <c r="F120" s="48" t="str">
        <f>IF($B120="","",'Mau15'!F123)</f>
        <v/>
      </c>
      <c r="G120" s="48" t="str">
        <f t="shared" si="8"/>
        <v/>
      </c>
      <c r="H120" s="49" t="str">
        <f t="shared" si="9"/>
        <v/>
      </c>
      <c r="I120" s="48" t="str">
        <f>IF($B120="","",'Mau15'!K123)</f>
        <v/>
      </c>
      <c r="J120" s="48" t="str">
        <f>IF($B120="","",'Mau15'!M123)</f>
        <v/>
      </c>
      <c r="K120" s="48" t="str">
        <f t="shared" si="10"/>
        <v/>
      </c>
      <c r="L120" s="49" t="str">
        <f t="shared" si="11"/>
        <v/>
      </c>
      <c r="M120" s="48" t="str">
        <f>IF($B120="","",KT_nguoc_theo_NL!J117)</f>
        <v/>
      </c>
      <c r="N120" s="48" t="str">
        <f>IF($B120="","",KT_nguoc_theo_NL!K117)</f>
        <v/>
      </c>
      <c r="O120" s="48" t="str">
        <f t="shared" si="12"/>
        <v/>
      </c>
      <c r="P120" s="50" t="str">
        <f t="shared" si="13"/>
        <v/>
      </c>
      <c r="Q120" s="49" t="str">
        <f>IF($B120="","",IF(KT_nguoc_theo_NL!N117="Pass","Khớp",IF(KT_nguoc_theo_NL!N117="KXDDM","KXĐM",IF(KT_nguoc_theo_NL!N117="Xem xét","Cảnh báo",""))))</f>
        <v/>
      </c>
      <c r="R120" s="49" t="str">
        <f t="shared" si="14"/>
        <v/>
      </c>
      <c r="S120" s="31" t="str">
        <f t="shared" si="15"/>
        <v/>
      </c>
    </row>
    <row r="121" spans="1:19" x14ac:dyDescent="0.25">
      <c r="A121" s="36" t="str">
        <f>IF(B121="","",114)</f>
        <v/>
      </c>
      <c r="B121" s="36" t="str">
        <f>'Mau15'!B124&amp;""</f>
        <v/>
      </c>
      <c r="C121" s="47" t="str">
        <f>IF(B121="","",'Mau15'!C124)</f>
        <v/>
      </c>
      <c r="D121" s="36" t="str">
        <f>IF(B121="","",'Mau15'!D124)</f>
        <v/>
      </c>
      <c r="E121" s="48" t="str">
        <f>IF($B121="","",'Mau15'!P124)</f>
        <v/>
      </c>
      <c r="F121" s="48" t="str">
        <f>IF($B121="","",'Mau15'!F124)</f>
        <v/>
      </c>
      <c r="G121" s="48" t="str">
        <f t="shared" si="8"/>
        <v/>
      </c>
      <c r="H121" s="49" t="str">
        <f t="shared" si="9"/>
        <v/>
      </c>
      <c r="I121" s="48" t="str">
        <f>IF($B121="","",'Mau15'!K124)</f>
        <v/>
      </c>
      <c r="J121" s="48" t="str">
        <f>IF($B121="","",'Mau15'!M124)</f>
        <v/>
      </c>
      <c r="K121" s="48" t="str">
        <f t="shared" si="10"/>
        <v/>
      </c>
      <c r="L121" s="49" t="str">
        <f t="shared" si="11"/>
        <v/>
      </c>
      <c r="M121" s="48" t="str">
        <f>IF($B121="","",KT_nguoc_theo_NL!J118)</f>
        <v/>
      </c>
      <c r="N121" s="48" t="str">
        <f>IF($B121="","",KT_nguoc_theo_NL!K118)</f>
        <v/>
      </c>
      <c r="O121" s="48" t="str">
        <f t="shared" si="12"/>
        <v/>
      </c>
      <c r="P121" s="50" t="str">
        <f t="shared" si="13"/>
        <v/>
      </c>
      <c r="Q121" s="49" t="str">
        <f>IF($B121="","",IF(KT_nguoc_theo_NL!N118="Pass","Khớp",IF(KT_nguoc_theo_NL!N118="KXDDM","KXĐM",IF(KT_nguoc_theo_NL!N118="Xem xét","Cảnh báo",""))))</f>
        <v/>
      </c>
      <c r="R121" s="49" t="str">
        <f t="shared" si="14"/>
        <v/>
      </c>
      <c r="S121" s="31" t="str">
        <f t="shared" si="15"/>
        <v/>
      </c>
    </row>
    <row r="122" spans="1:19" x14ac:dyDescent="0.25">
      <c r="A122" s="36" t="str">
        <f>IF(B122="","",115)</f>
        <v/>
      </c>
      <c r="B122" s="36" t="str">
        <f>'Mau15'!B125&amp;""</f>
        <v/>
      </c>
      <c r="C122" s="47" t="str">
        <f>IF(B122="","",'Mau15'!C125)</f>
        <v/>
      </c>
      <c r="D122" s="36" t="str">
        <f>IF(B122="","",'Mau15'!D125)</f>
        <v/>
      </c>
      <c r="E122" s="48" t="str">
        <f>IF($B122="","",'Mau15'!P125)</f>
        <v/>
      </c>
      <c r="F122" s="48" t="str">
        <f>IF($B122="","",'Mau15'!F125)</f>
        <v/>
      </c>
      <c r="G122" s="48" t="str">
        <f t="shared" si="8"/>
        <v/>
      </c>
      <c r="H122" s="49" t="str">
        <f t="shared" si="9"/>
        <v/>
      </c>
      <c r="I122" s="48" t="str">
        <f>IF($B122="","",'Mau15'!K125)</f>
        <v/>
      </c>
      <c r="J122" s="48" t="str">
        <f>IF($B122="","",'Mau15'!M125)</f>
        <v/>
      </c>
      <c r="K122" s="48" t="str">
        <f t="shared" si="10"/>
        <v/>
      </c>
      <c r="L122" s="49" t="str">
        <f t="shared" si="11"/>
        <v/>
      </c>
      <c r="M122" s="48" t="str">
        <f>IF($B122="","",KT_nguoc_theo_NL!J119)</f>
        <v/>
      </c>
      <c r="N122" s="48" t="str">
        <f>IF($B122="","",KT_nguoc_theo_NL!K119)</f>
        <v/>
      </c>
      <c r="O122" s="48" t="str">
        <f t="shared" si="12"/>
        <v/>
      </c>
      <c r="P122" s="50" t="str">
        <f t="shared" si="13"/>
        <v/>
      </c>
      <c r="Q122" s="49" t="str">
        <f>IF($B122="","",IF(KT_nguoc_theo_NL!N119="Pass","Khớp",IF(KT_nguoc_theo_NL!N119="KXDDM","KXĐM",IF(KT_nguoc_theo_NL!N119="Xem xét","Cảnh báo",""))))</f>
        <v/>
      </c>
      <c r="R122" s="49" t="str">
        <f t="shared" si="14"/>
        <v/>
      </c>
      <c r="S122" s="31" t="str">
        <f t="shared" si="15"/>
        <v/>
      </c>
    </row>
    <row r="123" spans="1:19" x14ac:dyDescent="0.25">
      <c r="A123" s="36" t="str">
        <f>IF(B123="","",116)</f>
        <v/>
      </c>
      <c r="B123" s="36" t="str">
        <f>'Mau15'!B126&amp;""</f>
        <v/>
      </c>
      <c r="C123" s="47" t="str">
        <f>IF(B123="","",'Mau15'!C126)</f>
        <v/>
      </c>
      <c r="D123" s="36" t="str">
        <f>IF(B123="","",'Mau15'!D126)</f>
        <v/>
      </c>
      <c r="E123" s="48" t="str">
        <f>IF($B123="","",'Mau15'!P126)</f>
        <v/>
      </c>
      <c r="F123" s="48" t="str">
        <f>IF($B123="","",'Mau15'!F126)</f>
        <v/>
      </c>
      <c r="G123" s="48" t="str">
        <f t="shared" si="8"/>
        <v/>
      </c>
      <c r="H123" s="49" t="str">
        <f t="shared" si="9"/>
        <v/>
      </c>
      <c r="I123" s="48" t="str">
        <f>IF($B123="","",'Mau15'!K126)</f>
        <v/>
      </c>
      <c r="J123" s="48" t="str">
        <f>IF($B123="","",'Mau15'!M126)</f>
        <v/>
      </c>
      <c r="K123" s="48" t="str">
        <f t="shared" si="10"/>
        <v/>
      </c>
      <c r="L123" s="49" t="str">
        <f t="shared" si="11"/>
        <v/>
      </c>
      <c r="M123" s="48" t="str">
        <f>IF($B123="","",KT_nguoc_theo_NL!J120)</f>
        <v/>
      </c>
      <c r="N123" s="48" t="str">
        <f>IF($B123="","",KT_nguoc_theo_NL!K120)</f>
        <v/>
      </c>
      <c r="O123" s="48" t="str">
        <f t="shared" si="12"/>
        <v/>
      </c>
      <c r="P123" s="50" t="str">
        <f t="shared" si="13"/>
        <v/>
      </c>
      <c r="Q123" s="49" t="str">
        <f>IF($B123="","",IF(KT_nguoc_theo_NL!N120="Pass","Khớp",IF(KT_nguoc_theo_NL!N120="KXDDM","KXĐM",IF(KT_nguoc_theo_NL!N120="Xem xét","Cảnh báo",""))))</f>
        <v/>
      </c>
      <c r="R123" s="49" t="str">
        <f t="shared" si="14"/>
        <v/>
      </c>
      <c r="S123" s="31" t="str">
        <f t="shared" si="15"/>
        <v/>
      </c>
    </row>
    <row r="124" spans="1:19" x14ac:dyDescent="0.25">
      <c r="A124" s="36" t="str">
        <f>IF(B124="","",117)</f>
        <v/>
      </c>
      <c r="B124" s="36" t="str">
        <f>'Mau15'!B127&amp;""</f>
        <v/>
      </c>
      <c r="C124" s="47" t="str">
        <f>IF(B124="","",'Mau15'!C127)</f>
        <v/>
      </c>
      <c r="D124" s="36" t="str">
        <f>IF(B124="","",'Mau15'!D127)</f>
        <v/>
      </c>
      <c r="E124" s="48" t="str">
        <f>IF($B124="","",'Mau15'!P127)</f>
        <v/>
      </c>
      <c r="F124" s="48" t="str">
        <f>IF($B124="","",'Mau15'!F127)</f>
        <v/>
      </c>
      <c r="G124" s="48" t="str">
        <f t="shared" si="8"/>
        <v/>
      </c>
      <c r="H124" s="49" t="str">
        <f t="shared" si="9"/>
        <v/>
      </c>
      <c r="I124" s="48" t="str">
        <f>IF($B124="","",'Mau15'!K127)</f>
        <v/>
      </c>
      <c r="J124" s="48" t="str">
        <f>IF($B124="","",'Mau15'!M127)</f>
        <v/>
      </c>
      <c r="K124" s="48" t="str">
        <f t="shared" si="10"/>
        <v/>
      </c>
      <c r="L124" s="49" t="str">
        <f t="shared" si="11"/>
        <v/>
      </c>
      <c r="M124" s="48" t="str">
        <f>IF($B124="","",KT_nguoc_theo_NL!J121)</f>
        <v/>
      </c>
      <c r="N124" s="48" t="str">
        <f>IF($B124="","",KT_nguoc_theo_NL!K121)</f>
        <v/>
      </c>
      <c r="O124" s="48" t="str">
        <f t="shared" si="12"/>
        <v/>
      </c>
      <c r="P124" s="50" t="str">
        <f t="shared" si="13"/>
        <v/>
      </c>
      <c r="Q124" s="49" t="str">
        <f>IF($B124="","",IF(KT_nguoc_theo_NL!N121="Pass","Khớp",IF(KT_nguoc_theo_NL!N121="KXDDM","KXĐM",IF(KT_nguoc_theo_NL!N121="Xem xét","Cảnh báo",""))))</f>
        <v/>
      </c>
      <c r="R124" s="49" t="str">
        <f t="shared" si="14"/>
        <v/>
      </c>
      <c r="S124" s="31" t="str">
        <f t="shared" si="15"/>
        <v/>
      </c>
    </row>
    <row r="125" spans="1:19" x14ac:dyDescent="0.25">
      <c r="A125" s="36" t="str">
        <f>IF(B125="","",118)</f>
        <v/>
      </c>
      <c r="B125" s="36" t="str">
        <f>'Mau15'!B128&amp;""</f>
        <v/>
      </c>
      <c r="C125" s="47" t="str">
        <f>IF(B125="","",'Mau15'!C128)</f>
        <v/>
      </c>
      <c r="D125" s="36" t="str">
        <f>IF(B125="","",'Mau15'!D128)</f>
        <v/>
      </c>
      <c r="E125" s="48" t="str">
        <f>IF($B125="","",'Mau15'!P128)</f>
        <v/>
      </c>
      <c r="F125" s="48" t="str">
        <f>IF($B125="","",'Mau15'!F128)</f>
        <v/>
      </c>
      <c r="G125" s="48" t="str">
        <f t="shared" si="8"/>
        <v/>
      </c>
      <c r="H125" s="49" t="str">
        <f t="shared" si="9"/>
        <v/>
      </c>
      <c r="I125" s="48" t="str">
        <f>IF($B125="","",'Mau15'!K128)</f>
        <v/>
      </c>
      <c r="J125" s="48" t="str">
        <f>IF($B125="","",'Mau15'!M128)</f>
        <v/>
      </c>
      <c r="K125" s="48" t="str">
        <f t="shared" si="10"/>
        <v/>
      </c>
      <c r="L125" s="49" t="str">
        <f t="shared" si="11"/>
        <v/>
      </c>
      <c r="M125" s="48" t="str">
        <f>IF($B125="","",KT_nguoc_theo_NL!J122)</f>
        <v/>
      </c>
      <c r="N125" s="48" t="str">
        <f>IF($B125="","",KT_nguoc_theo_NL!K122)</f>
        <v/>
      </c>
      <c r="O125" s="48" t="str">
        <f t="shared" si="12"/>
        <v/>
      </c>
      <c r="P125" s="50" t="str">
        <f t="shared" si="13"/>
        <v/>
      </c>
      <c r="Q125" s="49" t="str">
        <f>IF($B125="","",IF(KT_nguoc_theo_NL!N122="Pass","Khớp",IF(KT_nguoc_theo_NL!N122="KXDDM","KXĐM",IF(KT_nguoc_theo_NL!N122="Xem xét","Cảnh báo",""))))</f>
        <v/>
      </c>
      <c r="R125" s="49" t="str">
        <f t="shared" si="14"/>
        <v/>
      </c>
      <c r="S125" s="31" t="str">
        <f t="shared" si="15"/>
        <v/>
      </c>
    </row>
    <row r="126" spans="1:19" x14ac:dyDescent="0.25">
      <c r="A126" s="36" t="str">
        <f>IF(B126="","",119)</f>
        <v/>
      </c>
      <c r="B126" s="36" t="str">
        <f>'Mau15'!B129&amp;""</f>
        <v/>
      </c>
      <c r="C126" s="47" t="str">
        <f>IF(B126="","",'Mau15'!C129)</f>
        <v/>
      </c>
      <c r="D126" s="36" t="str">
        <f>IF(B126="","",'Mau15'!D129)</f>
        <v/>
      </c>
      <c r="E126" s="48" t="str">
        <f>IF($B126="","",'Mau15'!P129)</f>
        <v/>
      </c>
      <c r="F126" s="48" t="str">
        <f>IF($B126="","",'Mau15'!F129)</f>
        <v/>
      </c>
      <c r="G126" s="48" t="str">
        <f t="shared" si="8"/>
        <v/>
      </c>
      <c r="H126" s="49" t="str">
        <f t="shared" si="9"/>
        <v/>
      </c>
      <c r="I126" s="48" t="str">
        <f>IF($B126="","",'Mau15'!K129)</f>
        <v/>
      </c>
      <c r="J126" s="48" t="str">
        <f>IF($B126="","",'Mau15'!M129)</f>
        <v/>
      </c>
      <c r="K126" s="48" t="str">
        <f t="shared" si="10"/>
        <v/>
      </c>
      <c r="L126" s="49" t="str">
        <f t="shared" si="11"/>
        <v/>
      </c>
      <c r="M126" s="48" t="str">
        <f>IF($B126="","",KT_nguoc_theo_NL!J123)</f>
        <v/>
      </c>
      <c r="N126" s="48" t="str">
        <f>IF($B126="","",KT_nguoc_theo_NL!K123)</f>
        <v/>
      </c>
      <c r="O126" s="48" t="str">
        <f t="shared" si="12"/>
        <v/>
      </c>
      <c r="P126" s="50" t="str">
        <f t="shared" si="13"/>
        <v/>
      </c>
      <c r="Q126" s="49" t="str">
        <f>IF($B126="","",IF(KT_nguoc_theo_NL!N123="Pass","Khớp",IF(KT_nguoc_theo_NL!N123="KXDDM","KXĐM",IF(KT_nguoc_theo_NL!N123="Xem xét","Cảnh báo",""))))</f>
        <v/>
      </c>
      <c r="R126" s="49" t="str">
        <f t="shared" si="14"/>
        <v/>
      </c>
      <c r="S126" s="31" t="str">
        <f t="shared" si="15"/>
        <v/>
      </c>
    </row>
    <row r="127" spans="1:19" x14ac:dyDescent="0.25">
      <c r="A127" s="36" t="str">
        <f>IF(B127="","",120)</f>
        <v/>
      </c>
      <c r="B127" s="36" t="str">
        <f>'Mau15'!B130&amp;""</f>
        <v/>
      </c>
      <c r="C127" s="47" t="str">
        <f>IF(B127="","",'Mau15'!C130)</f>
        <v/>
      </c>
      <c r="D127" s="36" t="str">
        <f>IF(B127="","",'Mau15'!D130)</f>
        <v/>
      </c>
      <c r="E127" s="48" t="str">
        <f>IF($B127="","",'Mau15'!P130)</f>
        <v/>
      </c>
      <c r="F127" s="48" t="str">
        <f>IF($B127="","",'Mau15'!F130)</f>
        <v/>
      </c>
      <c r="G127" s="48" t="str">
        <f t="shared" si="8"/>
        <v/>
      </c>
      <c r="H127" s="49" t="str">
        <f t="shared" si="9"/>
        <v/>
      </c>
      <c r="I127" s="48" t="str">
        <f>IF($B127="","",'Mau15'!K130)</f>
        <v/>
      </c>
      <c r="J127" s="48" t="str">
        <f>IF($B127="","",'Mau15'!M130)</f>
        <v/>
      </c>
      <c r="K127" s="48" t="str">
        <f t="shared" si="10"/>
        <v/>
      </c>
      <c r="L127" s="49" t="str">
        <f t="shared" si="11"/>
        <v/>
      </c>
      <c r="M127" s="48" t="str">
        <f>IF($B127="","",KT_nguoc_theo_NL!J124)</f>
        <v/>
      </c>
      <c r="N127" s="48" t="str">
        <f>IF($B127="","",KT_nguoc_theo_NL!K124)</f>
        <v/>
      </c>
      <c r="O127" s="48" t="str">
        <f t="shared" si="12"/>
        <v/>
      </c>
      <c r="P127" s="50" t="str">
        <f t="shared" si="13"/>
        <v/>
      </c>
      <c r="Q127" s="49" t="str">
        <f>IF($B127="","",IF(KT_nguoc_theo_NL!N124="Pass","Khớp",IF(KT_nguoc_theo_NL!N124="KXDDM","KXĐM",IF(KT_nguoc_theo_NL!N124="Xem xét","Cảnh báo",""))))</f>
        <v/>
      </c>
      <c r="R127" s="49" t="str">
        <f t="shared" si="14"/>
        <v/>
      </c>
      <c r="S127" s="31" t="str">
        <f t="shared" si="15"/>
        <v/>
      </c>
    </row>
    <row r="128" spans="1:19" x14ac:dyDescent="0.25">
      <c r="A128" s="36" t="str">
        <f>IF(B128="","",121)</f>
        <v/>
      </c>
      <c r="B128" s="36" t="str">
        <f>'Mau15'!B131&amp;""</f>
        <v/>
      </c>
      <c r="C128" s="47" t="str">
        <f>IF(B128="","",'Mau15'!C131)</f>
        <v/>
      </c>
      <c r="D128" s="36" t="str">
        <f>IF(B128="","",'Mau15'!D131)</f>
        <v/>
      </c>
      <c r="E128" s="48" t="str">
        <f>IF($B128="","",'Mau15'!P131)</f>
        <v/>
      </c>
      <c r="F128" s="48" t="str">
        <f>IF($B128="","",'Mau15'!F131)</f>
        <v/>
      </c>
      <c r="G128" s="48" t="str">
        <f t="shared" si="8"/>
        <v/>
      </c>
      <c r="H128" s="49" t="str">
        <f t="shared" si="9"/>
        <v/>
      </c>
      <c r="I128" s="48" t="str">
        <f>IF($B128="","",'Mau15'!K131)</f>
        <v/>
      </c>
      <c r="J128" s="48" t="str">
        <f>IF($B128="","",'Mau15'!M131)</f>
        <v/>
      </c>
      <c r="K128" s="48" t="str">
        <f t="shared" si="10"/>
        <v/>
      </c>
      <c r="L128" s="49" t="str">
        <f t="shared" si="11"/>
        <v/>
      </c>
      <c r="M128" s="48" t="str">
        <f>IF($B128="","",KT_nguoc_theo_NL!J125)</f>
        <v/>
      </c>
      <c r="N128" s="48" t="str">
        <f>IF($B128="","",KT_nguoc_theo_NL!K125)</f>
        <v/>
      </c>
      <c r="O128" s="48" t="str">
        <f t="shared" si="12"/>
        <v/>
      </c>
      <c r="P128" s="50" t="str">
        <f t="shared" si="13"/>
        <v/>
      </c>
      <c r="Q128" s="49" t="str">
        <f>IF($B128="","",IF(KT_nguoc_theo_NL!N125="Pass","Khớp",IF(KT_nguoc_theo_NL!N125="KXDDM","KXĐM",IF(KT_nguoc_theo_NL!N125="Xem xét","Cảnh báo",""))))</f>
        <v/>
      </c>
      <c r="R128" s="49" t="str">
        <f t="shared" si="14"/>
        <v/>
      </c>
      <c r="S128" s="31" t="str">
        <f t="shared" si="15"/>
        <v/>
      </c>
    </row>
    <row r="129" spans="1:19" x14ac:dyDescent="0.25">
      <c r="A129" s="36" t="str">
        <f>IF(B129="","",122)</f>
        <v/>
      </c>
      <c r="B129" s="36" t="str">
        <f>'Mau15'!B132&amp;""</f>
        <v/>
      </c>
      <c r="C129" s="47" t="str">
        <f>IF(B129="","",'Mau15'!C132)</f>
        <v/>
      </c>
      <c r="D129" s="36" t="str">
        <f>IF(B129="","",'Mau15'!D132)</f>
        <v/>
      </c>
      <c r="E129" s="48" t="str">
        <f>IF($B129="","",'Mau15'!P132)</f>
        <v/>
      </c>
      <c r="F129" s="48" t="str">
        <f>IF($B129="","",'Mau15'!F132)</f>
        <v/>
      </c>
      <c r="G129" s="48" t="str">
        <f t="shared" si="8"/>
        <v/>
      </c>
      <c r="H129" s="49" t="str">
        <f t="shared" si="9"/>
        <v/>
      </c>
      <c r="I129" s="48" t="str">
        <f>IF($B129="","",'Mau15'!K132)</f>
        <v/>
      </c>
      <c r="J129" s="48" t="str">
        <f>IF($B129="","",'Mau15'!M132)</f>
        <v/>
      </c>
      <c r="K129" s="48" t="str">
        <f t="shared" si="10"/>
        <v/>
      </c>
      <c r="L129" s="49" t="str">
        <f t="shared" si="11"/>
        <v/>
      </c>
      <c r="M129" s="48" t="str">
        <f>IF($B129="","",KT_nguoc_theo_NL!J126)</f>
        <v/>
      </c>
      <c r="N129" s="48" t="str">
        <f>IF($B129="","",KT_nguoc_theo_NL!K126)</f>
        <v/>
      </c>
      <c r="O129" s="48" t="str">
        <f t="shared" si="12"/>
        <v/>
      </c>
      <c r="P129" s="50" t="str">
        <f t="shared" si="13"/>
        <v/>
      </c>
      <c r="Q129" s="49" t="str">
        <f>IF($B129="","",IF(KT_nguoc_theo_NL!N126="Pass","Khớp",IF(KT_nguoc_theo_NL!N126="KXDDM","KXĐM",IF(KT_nguoc_theo_NL!N126="Xem xét","Cảnh báo",""))))</f>
        <v/>
      </c>
      <c r="R129" s="49" t="str">
        <f t="shared" si="14"/>
        <v/>
      </c>
      <c r="S129" s="31" t="str">
        <f t="shared" si="15"/>
        <v/>
      </c>
    </row>
    <row r="130" spans="1:19" x14ac:dyDescent="0.25">
      <c r="A130" s="36" t="str">
        <f>IF(B130="","",123)</f>
        <v/>
      </c>
      <c r="B130" s="36" t="str">
        <f>'Mau15'!B133&amp;""</f>
        <v/>
      </c>
      <c r="C130" s="47" t="str">
        <f>IF(B130="","",'Mau15'!C133)</f>
        <v/>
      </c>
      <c r="D130" s="36" t="str">
        <f>IF(B130="","",'Mau15'!D133)</f>
        <v/>
      </c>
      <c r="E130" s="48" t="str">
        <f>IF($B130="","",'Mau15'!P133)</f>
        <v/>
      </c>
      <c r="F130" s="48" t="str">
        <f>IF($B130="","",'Mau15'!F133)</f>
        <v/>
      </c>
      <c r="G130" s="48" t="str">
        <f t="shared" si="8"/>
        <v/>
      </c>
      <c r="H130" s="49" t="str">
        <f t="shared" si="9"/>
        <v/>
      </c>
      <c r="I130" s="48" t="str">
        <f>IF($B130="","",'Mau15'!K133)</f>
        <v/>
      </c>
      <c r="J130" s="48" t="str">
        <f>IF($B130="","",'Mau15'!M133)</f>
        <v/>
      </c>
      <c r="K130" s="48" t="str">
        <f t="shared" si="10"/>
        <v/>
      </c>
      <c r="L130" s="49" t="str">
        <f t="shared" si="11"/>
        <v/>
      </c>
      <c r="M130" s="48" t="str">
        <f>IF($B130="","",KT_nguoc_theo_NL!J127)</f>
        <v/>
      </c>
      <c r="N130" s="48" t="str">
        <f>IF($B130="","",KT_nguoc_theo_NL!K127)</f>
        <v/>
      </c>
      <c r="O130" s="48" t="str">
        <f t="shared" si="12"/>
        <v/>
      </c>
      <c r="P130" s="50" t="str">
        <f t="shared" si="13"/>
        <v/>
      </c>
      <c r="Q130" s="49" t="str">
        <f>IF($B130="","",IF(KT_nguoc_theo_NL!N127="Pass","Khớp",IF(KT_nguoc_theo_NL!N127="KXDDM","KXĐM",IF(KT_nguoc_theo_NL!N127="Xem xét","Cảnh báo",""))))</f>
        <v/>
      </c>
      <c r="R130" s="49" t="str">
        <f t="shared" si="14"/>
        <v/>
      </c>
      <c r="S130" s="31" t="str">
        <f t="shared" si="15"/>
        <v/>
      </c>
    </row>
    <row r="131" spans="1:19" x14ac:dyDescent="0.25">
      <c r="A131" s="36" t="str">
        <f>IF(B131="","",124)</f>
        <v/>
      </c>
      <c r="B131" s="36" t="str">
        <f>'Mau15'!B134&amp;""</f>
        <v/>
      </c>
      <c r="C131" s="47" t="str">
        <f>IF(B131="","",'Mau15'!C134)</f>
        <v/>
      </c>
      <c r="D131" s="36" t="str">
        <f>IF(B131="","",'Mau15'!D134)</f>
        <v/>
      </c>
      <c r="E131" s="48" t="str">
        <f>IF($B131="","",'Mau15'!P134)</f>
        <v/>
      </c>
      <c r="F131" s="48" t="str">
        <f>IF($B131="","",'Mau15'!F134)</f>
        <v/>
      </c>
      <c r="G131" s="48" t="str">
        <f t="shared" si="8"/>
        <v/>
      </c>
      <c r="H131" s="49" t="str">
        <f t="shared" si="9"/>
        <v/>
      </c>
      <c r="I131" s="48" t="str">
        <f>IF($B131="","",'Mau15'!K134)</f>
        <v/>
      </c>
      <c r="J131" s="48" t="str">
        <f>IF($B131="","",'Mau15'!M134)</f>
        <v/>
      </c>
      <c r="K131" s="48" t="str">
        <f t="shared" si="10"/>
        <v/>
      </c>
      <c r="L131" s="49" t="str">
        <f t="shared" si="11"/>
        <v/>
      </c>
      <c r="M131" s="48" t="str">
        <f>IF($B131="","",KT_nguoc_theo_NL!J128)</f>
        <v/>
      </c>
      <c r="N131" s="48" t="str">
        <f>IF($B131="","",KT_nguoc_theo_NL!K128)</f>
        <v/>
      </c>
      <c r="O131" s="48" t="str">
        <f t="shared" si="12"/>
        <v/>
      </c>
      <c r="P131" s="50" t="str">
        <f t="shared" si="13"/>
        <v/>
      </c>
      <c r="Q131" s="49" t="str">
        <f>IF($B131="","",IF(KT_nguoc_theo_NL!N128="Pass","Khớp",IF(KT_nguoc_theo_NL!N128="KXDDM","KXĐM",IF(KT_nguoc_theo_NL!N128="Xem xét","Cảnh báo",""))))</f>
        <v/>
      </c>
      <c r="R131" s="49" t="str">
        <f t="shared" si="14"/>
        <v/>
      </c>
      <c r="S131" s="31" t="str">
        <f t="shared" si="15"/>
        <v/>
      </c>
    </row>
    <row r="132" spans="1:19" x14ac:dyDescent="0.25">
      <c r="A132" s="36" t="str">
        <f>IF(B132="","",125)</f>
        <v/>
      </c>
      <c r="B132" s="36" t="str">
        <f>'Mau15'!B135&amp;""</f>
        <v/>
      </c>
      <c r="C132" s="47" t="str">
        <f>IF(B132="","",'Mau15'!C135)</f>
        <v/>
      </c>
      <c r="D132" s="36" t="str">
        <f>IF(B132="","",'Mau15'!D135)</f>
        <v/>
      </c>
      <c r="E132" s="48" t="str">
        <f>IF($B132="","",'Mau15'!P135)</f>
        <v/>
      </c>
      <c r="F132" s="48" t="str">
        <f>IF($B132="","",'Mau15'!F135)</f>
        <v/>
      </c>
      <c r="G132" s="48" t="str">
        <f t="shared" si="8"/>
        <v/>
      </c>
      <c r="H132" s="49" t="str">
        <f t="shared" si="9"/>
        <v/>
      </c>
      <c r="I132" s="48" t="str">
        <f>IF($B132="","",'Mau15'!K135)</f>
        <v/>
      </c>
      <c r="J132" s="48" t="str">
        <f>IF($B132="","",'Mau15'!M135)</f>
        <v/>
      </c>
      <c r="K132" s="48" t="str">
        <f t="shared" si="10"/>
        <v/>
      </c>
      <c r="L132" s="49" t="str">
        <f t="shared" si="11"/>
        <v/>
      </c>
      <c r="M132" s="48" t="str">
        <f>IF($B132="","",KT_nguoc_theo_NL!J129)</f>
        <v/>
      </c>
      <c r="N132" s="48" t="str">
        <f>IF($B132="","",KT_nguoc_theo_NL!K129)</f>
        <v/>
      </c>
      <c r="O132" s="48" t="str">
        <f t="shared" si="12"/>
        <v/>
      </c>
      <c r="P132" s="50" t="str">
        <f t="shared" si="13"/>
        <v/>
      </c>
      <c r="Q132" s="49" t="str">
        <f>IF($B132="","",IF(KT_nguoc_theo_NL!N129="Pass","Khớp",IF(KT_nguoc_theo_NL!N129="KXDDM","KXĐM",IF(KT_nguoc_theo_NL!N129="Xem xét","Cảnh báo",""))))</f>
        <v/>
      </c>
      <c r="R132" s="49" t="str">
        <f t="shared" si="14"/>
        <v/>
      </c>
      <c r="S132" s="31" t="str">
        <f t="shared" si="15"/>
        <v/>
      </c>
    </row>
    <row r="133" spans="1:19" x14ac:dyDescent="0.25">
      <c r="A133" s="36" t="str">
        <f>IF(B133="","",126)</f>
        <v/>
      </c>
      <c r="B133" s="36" t="str">
        <f>'Mau15'!B136&amp;""</f>
        <v/>
      </c>
      <c r="C133" s="47" t="str">
        <f>IF(B133="","",'Mau15'!C136)</f>
        <v/>
      </c>
      <c r="D133" s="36" t="str">
        <f>IF(B133="","",'Mau15'!D136)</f>
        <v/>
      </c>
      <c r="E133" s="48" t="str">
        <f>IF($B133="","",'Mau15'!P136)</f>
        <v/>
      </c>
      <c r="F133" s="48" t="str">
        <f>IF($B133="","",'Mau15'!F136)</f>
        <v/>
      </c>
      <c r="G133" s="48" t="str">
        <f t="shared" si="8"/>
        <v/>
      </c>
      <c r="H133" s="49" t="str">
        <f t="shared" si="9"/>
        <v/>
      </c>
      <c r="I133" s="48" t="str">
        <f>IF($B133="","",'Mau15'!K136)</f>
        <v/>
      </c>
      <c r="J133" s="48" t="str">
        <f>IF($B133="","",'Mau15'!M136)</f>
        <v/>
      </c>
      <c r="K133" s="48" t="str">
        <f t="shared" si="10"/>
        <v/>
      </c>
      <c r="L133" s="49" t="str">
        <f t="shared" si="11"/>
        <v/>
      </c>
      <c r="M133" s="48" t="str">
        <f>IF($B133="","",KT_nguoc_theo_NL!J130)</f>
        <v/>
      </c>
      <c r="N133" s="48" t="str">
        <f>IF($B133="","",KT_nguoc_theo_NL!K130)</f>
        <v/>
      </c>
      <c r="O133" s="48" t="str">
        <f t="shared" si="12"/>
        <v/>
      </c>
      <c r="P133" s="50" t="str">
        <f t="shared" si="13"/>
        <v/>
      </c>
      <c r="Q133" s="49" t="str">
        <f>IF($B133="","",IF(KT_nguoc_theo_NL!N130="Pass","Khớp",IF(KT_nguoc_theo_NL!N130="KXDDM","KXĐM",IF(KT_nguoc_theo_NL!N130="Xem xét","Cảnh báo",""))))</f>
        <v/>
      </c>
      <c r="R133" s="49" t="str">
        <f t="shared" si="14"/>
        <v/>
      </c>
      <c r="S133" s="31" t="str">
        <f t="shared" si="15"/>
        <v/>
      </c>
    </row>
    <row r="134" spans="1:19" x14ac:dyDescent="0.25">
      <c r="A134" s="36" t="str">
        <f>IF(B134="","",127)</f>
        <v/>
      </c>
      <c r="B134" s="36" t="str">
        <f>'Mau15'!B137&amp;""</f>
        <v/>
      </c>
      <c r="C134" s="47" t="str">
        <f>IF(B134="","",'Mau15'!C137)</f>
        <v/>
      </c>
      <c r="D134" s="36" t="str">
        <f>IF(B134="","",'Mau15'!D137)</f>
        <v/>
      </c>
      <c r="E134" s="48" t="str">
        <f>IF($B134="","",'Mau15'!P137)</f>
        <v/>
      </c>
      <c r="F134" s="48" t="str">
        <f>IF($B134="","",'Mau15'!F137)</f>
        <v/>
      </c>
      <c r="G134" s="48" t="str">
        <f t="shared" si="8"/>
        <v/>
      </c>
      <c r="H134" s="49" t="str">
        <f t="shared" si="9"/>
        <v/>
      </c>
      <c r="I134" s="48" t="str">
        <f>IF($B134="","",'Mau15'!K137)</f>
        <v/>
      </c>
      <c r="J134" s="48" t="str">
        <f>IF($B134="","",'Mau15'!M137)</f>
        <v/>
      </c>
      <c r="K134" s="48" t="str">
        <f t="shared" si="10"/>
        <v/>
      </c>
      <c r="L134" s="49" t="str">
        <f t="shared" si="11"/>
        <v/>
      </c>
      <c r="M134" s="48" t="str">
        <f>IF($B134="","",KT_nguoc_theo_NL!J131)</f>
        <v/>
      </c>
      <c r="N134" s="48" t="str">
        <f>IF($B134="","",KT_nguoc_theo_NL!K131)</f>
        <v/>
      </c>
      <c r="O134" s="48" t="str">
        <f t="shared" si="12"/>
        <v/>
      </c>
      <c r="P134" s="50" t="str">
        <f t="shared" si="13"/>
        <v/>
      </c>
      <c r="Q134" s="49" t="str">
        <f>IF($B134="","",IF(KT_nguoc_theo_NL!N131="Pass","Khớp",IF(KT_nguoc_theo_NL!N131="KXDDM","KXĐM",IF(KT_nguoc_theo_NL!N131="Xem xét","Cảnh báo",""))))</f>
        <v/>
      </c>
      <c r="R134" s="49" t="str">
        <f t="shared" si="14"/>
        <v/>
      </c>
      <c r="S134" s="31" t="str">
        <f t="shared" si="15"/>
        <v/>
      </c>
    </row>
    <row r="135" spans="1:19" x14ac:dyDescent="0.25">
      <c r="A135" s="36" t="str">
        <f>IF(B135="","",128)</f>
        <v/>
      </c>
      <c r="B135" s="36" t="str">
        <f>'Mau15'!B138&amp;""</f>
        <v/>
      </c>
      <c r="C135" s="47" t="str">
        <f>IF(B135="","",'Mau15'!C138)</f>
        <v/>
      </c>
      <c r="D135" s="36" t="str">
        <f>IF(B135="","",'Mau15'!D138)</f>
        <v/>
      </c>
      <c r="E135" s="48" t="str">
        <f>IF($B135="","",'Mau15'!P138)</f>
        <v/>
      </c>
      <c r="F135" s="48" t="str">
        <f>IF($B135="","",'Mau15'!F138)</f>
        <v/>
      </c>
      <c r="G135" s="48" t="str">
        <f t="shared" si="8"/>
        <v/>
      </c>
      <c r="H135" s="49" t="str">
        <f t="shared" si="9"/>
        <v/>
      </c>
      <c r="I135" s="48" t="str">
        <f>IF($B135="","",'Mau15'!K138)</f>
        <v/>
      </c>
      <c r="J135" s="48" t="str">
        <f>IF($B135="","",'Mau15'!M138)</f>
        <v/>
      </c>
      <c r="K135" s="48" t="str">
        <f t="shared" si="10"/>
        <v/>
      </c>
      <c r="L135" s="49" t="str">
        <f t="shared" si="11"/>
        <v/>
      </c>
      <c r="M135" s="48" t="str">
        <f>IF($B135="","",KT_nguoc_theo_NL!J132)</f>
        <v/>
      </c>
      <c r="N135" s="48" t="str">
        <f>IF($B135="","",KT_nguoc_theo_NL!K132)</f>
        <v/>
      </c>
      <c r="O135" s="48" t="str">
        <f t="shared" si="12"/>
        <v/>
      </c>
      <c r="P135" s="50" t="str">
        <f t="shared" si="13"/>
        <v/>
      </c>
      <c r="Q135" s="49" t="str">
        <f>IF($B135="","",IF(KT_nguoc_theo_NL!N132="Pass","Khớp",IF(KT_nguoc_theo_NL!N132="KXDDM","KXĐM",IF(KT_nguoc_theo_NL!N132="Xem xét","Cảnh báo",""))))</f>
        <v/>
      </c>
      <c r="R135" s="49" t="str">
        <f t="shared" si="14"/>
        <v/>
      </c>
      <c r="S135" s="31" t="str">
        <f t="shared" si="15"/>
        <v/>
      </c>
    </row>
    <row r="136" spans="1:19" x14ac:dyDescent="0.25">
      <c r="A136" s="36" t="str">
        <f>IF(B136="","",129)</f>
        <v/>
      </c>
      <c r="B136" s="36" t="str">
        <f>'Mau15'!B139&amp;""</f>
        <v/>
      </c>
      <c r="C136" s="47" t="str">
        <f>IF(B136="","",'Mau15'!C139)</f>
        <v/>
      </c>
      <c r="D136" s="36" t="str">
        <f>IF(B136="","",'Mau15'!D139)</f>
        <v/>
      </c>
      <c r="E136" s="48" t="str">
        <f>IF($B136="","",'Mau15'!P139)</f>
        <v/>
      </c>
      <c r="F136" s="48" t="str">
        <f>IF($B136="","",'Mau15'!F139)</f>
        <v/>
      </c>
      <c r="G136" s="48" t="str">
        <f t="shared" ref="G136:G199" si="16">IF($B136="","",N(E136)-N(F136))</f>
        <v/>
      </c>
      <c r="H136" s="49" t="str">
        <f t="shared" ref="H136:H199" si="17">IF($B136="","",IF(ABS(G136)&lt;0.000001,"Khớp","Giải trình"))</f>
        <v/>
      </c>
      <c r="I136" s="48" t="str">
        <f>IF($B136="","",'Mau15'!K139)</f>
        <v/>
      </c>
      <c r="J136" s="48" t="str">
        <f>IF($B136="","",'Mau15'!M139)</f>
        <v/>
      </c>
      <c r="K136" s="48" t="str">
        <f t="shared" ref="K136:K199" si="18">IF($B136="","",N(I136)-N(J136))</f>
        <v/>
      </c>
      <c r="L136" s="49" t="str">
        <f t="shared" ref="L136:L199" si="19">IF($B136="","",IF(ABS(K136)&lt;0.000001,"Khớp","Lỗi"))</f>
        <v/>
      </c>
      <c r="M136" s="48" t="str">
        <f>IF($B136="","",KT_nguoc_theo_NL!J133)</f>
        <v/>
      </c>
      <c r="N136" s="48" t="str">
        <f>IF($B136="","",KT_nguoc_theo_NL!K133)</f>
        <v/>
      </c>
      <c r="O136" s="48" t="str">
        <f t="shared" ref="O136:O199" si="20">IF($B136="","",N(M136)-N(N136))</f>
        <v/>
      </c>
      <c r="P136" s="50" t="str">
        <f t="shared" ref="P136:P199" si="21">IF($B136="","",IF(N(N136)=0,"",O136/N136))</f>
        <v/>
      </c>
      <c r="Q136" s="49" t="str">
        <f>IF($B136="","",IF(KT_nguoc_theo_NL!N133="Pass","Khớp",IF(KT_nguoc_theo_NL!N133="KXDDM","KXĐM",IF(KT_nguoc_theo_NL!N133="Xem xét","Cảnh báo",""))))</f>
        <v/>
      </c>
      <c r="R136" s="49" t="str">
        <f t="shared" ref="R136:R199" si="22">IF(B136="","",IF(COUNTIF(H136:Q136,"Lỗi")&gt;0,"Lỗi",IF(COUNTIF(H136:Q136,"Cảnh báo")&gt;0,"Cảnh báo",IF(COUNTIF(H136:Q136,"Giải trình")&gt;0,"Giải trình","Khớp"))))</f>
        <v/>
      </c>
      <c r="S136" s="31" t="str">
        <f t="shared" ref="S136:S199" si="23">IF(B136="","",IF(G136&gt;0,"Nhập: tờ khai nhiều hơn nhập kho "&amp;TEXT(G136,IF(MOD(G136,1)=0,"#,##0","#,##0.######"))&amp;" – hàng đã thông quan chưa nhập kho (đi đường), ghi cột (12) Mẫu 15; ","")&amp;IF(G136&lt;0,"Nhập: nhập kho nhiều hơn tờ khai "&amp;TEXT(ABS(G136),IF(MOD(ABS(G136),1)=0,"#,##0","#,##0.######"))&amp;" – NL từ HĐ gia công khác chuyển sang, nhập lại sau gia công lại, DNCX mua nội địa không làm thủ tục, hoặc tờ khai kỳ trước – rà soát và ghi chú; ","")&amp;IF(N(K136)&lt;&gt;0,"Tồn cuối lệch sổ kho/kiểm kê "&amp;TEXT(K136,IF(MOD(K136,1)=0,"#,##0","#,##0.######"))&amp;" – rà soát cột (5)–(10) hoặc số kiểm kê; ","")&amp;IF(Q136="Cảnh báo","Định mức: NL thực tế dùng lệch "&amp;TEXT(P136,"0.0%")&amp;" so với Σ SX × ĐMTT – rà ĐMTT Mẫu 16, dở dang/tồn chuyền, NL nguồn khác (sheet Cau_noi); ","")&amp;IF(Q136="KXĐM","Vật tư không xây dựng được định mức – chỉ theo dõi nhập - xuất - tồn; ",""))</f>
        <v/>
      </c>
    </row>
    <row r="137" spans="1:19" x14ac:dyDescent="0.25">
      <c r="A137" s="36" t="str">
        <f>IF(B137="","",130)</f>
        <v/>
      </c>
      <c r="B137" s="36" t="str">
        <f>'Mau15'!B140&amp;""</f>
        <v/>
      </c>
      <c r="C137" s="47" t="str">
        <f>IF(B137="","",'Mau15'!C140)</f>
        <v/>
      </c>
      <c r="D137" s="36" t="str">
        <f>IF(B137="","",'Mau15'!D140)</f>
        <v/>
      </c>
      <c r="E137" s="48" t="str">
        <f>IF($B137="","",'Mau15'!P140)</f>
        <v/>
      </c>
      <c r="F137" s="48" t="str">
        <f>IF($B137="","",'Mau15'!F140)</f>
        <v/>
      </c>
      <c r="G137" s="48" t="str">
        <f t="shared" si="16"/>
        <v/>
      </c>
      <c r="H137" s="49" t="str">
        <f t="shared" si="17"/>
        <v/>
      </c>
      <c r="I137" s="48" t="str">
        <f>IF($B137="","",'Mau15'!K140)</f>
        <v/>
      </c>
      <c r="J137" s="48" t="str">
        <f>IF($B137="","",'Mau15'!M140)</f>
        <v/>
      </c>
      <c r="K137" s="48" t="str">
        <f t="shared" si="18"/>
        <v/>
      </c>
      <c r="L137" s="49" t="str">
        <f t="shared" si="19"/>
        <v/>
      </c>
      <c r="M137" s="48" t="str">
        <f>IF($B137="","",KT_nguoc_theo_NL!J134)</f>
        <v/>
      </c>
      <c r="N137" s="48" t="str">
        <f>IF($B137="","",KT_nguoc_theo_NL!K134)</f>
        <v/>
      </c>
      <c r="O137" s="48" t="str">
        <f t="shared" si="20"/>
        <v/>
      </c>
      <c r="P137" s="50" t="str">
        <f t="shared" si="21"/>
        <v/>
      </c>
      <c r="Q137" s="49" t="str">
        <f>IF($B137="","",IF(KT_nguoc_theo_NL!N134="Pass","Khớp",IF(KT_nguoc_theo_NL!N134="KXDDM","KXĐM",IF(KT_nguoc_theo_NL!N134="Xem xét","Cảnh báo",""))))</f>
        <v/>
      </c>
      <c r="R137" s="49" t="str">
        <f t="shared" si="22"/>
        <v/>
      </c>
      <c r="S137" s="31" t="str">
        <f t="shared" si="23"/>
        <v/>
      </c>
    </row>
    <row r="138" spans="1:19" x14ac:dyDescent="0.25">
      <c r="A138" s="36" t="str">
        <f>IF(B138="","",131)</f>
        <v/>
      </c>
      <c r="B138" s="36" t="str">
        <f>'Mau15'!B141&amp;""</f>
        <v/>
      </c>
      <c r="C138" s="47" t="str">
        <f>IF(B138="","",'Mau15'!C141)</f>
        <v/>
      </c>
      <c r="D138" s="36" t="str">
        <f>IF(B138="","",'Mau15'!D141)</f>
        <v/>
      </c>
      <c r="E138" s="48" t="str">
        <f>IF($B138="","",'Mau15'!P141)</f>
        <v/>
      </c>
      <c r="F138" s="48" t="str">
        <f>IF($B138="","",'Mau15'!F141)</f>
        <v/>
      </c>
      <c r="G138" s="48" t="str">
        <f t="shared" si="16"/>
        <v/>
      </c>
      <c r="H138" s="49" t="str">
        <f t="shared" si="17"/>
        <v/>
      </c>
      <c r="I138" s="48" t="str">
        <f>IF($B138="","",'Mau15'!K141)</f>
        <v/>
      </c>
      <c r="J138" s="48" t="str">
        <f>IF($B138="","",'Mau15'!M141)</f>
        <v/>
      </c>
      <c r="K138" s="48" t="str">
        <f t="shared" si="18"/>
        <v/>
      </c>
      <c r="L138" s="49" t="str">
        <f t="shared" si="19"/>
        <v/>
      </c>
      <c r="M138" s="48" t="str">
        <f>IF($B138="","",KT_nguoc_theo_NL!J135)</f>
        <v/>
      </c>
      <c r="N138" s="48" t="str">
        <f>IF($B138="","",KT_nguoc_theo_NL!K135)</f>
        <v/>
      </c>
      <c r="O138" s="48" t="str">
        <f t="shared" si="20"/>
        <v/>
      </c>
      <c r="P138" s="50" t="str">
        <f t="shared" si="21"/>
        <v/>
      </c>
      <c r="Q138" s="49" t="str">
        <f>IF($B138="","",IF(KT_nguoc_theo_NL!N135="Pass","Khớp",IF(KT_nguoc_theo_NL!N135="KXDDM","KXĐM",IF(KT_nguoc_theo_NL!N135="Xem xét","Cảnh báo",""))))</f>
        <v/>
      </c>
      <c r="R138" s="49" t="str">
        <f t="shared" si="22"/>
        <v/>
      </c>
      <c r="S138" s="31" t="str">
        <f t="shared" si="23"/>
        <v/>
      </c>
    </row>
    <row r="139" spans="1:19" x14ac:dyDescent="0.25">
      <c r="A139" s="36" t="str">
        <f>IF(B139="","",132)</f>
        <v/>
      </c>
      <c r="B139" s="36" t="str">
        <f>'Mau15'!B142&amp;""</f>
        <v/>
      </c>
      <c r="C139" s="47" t="str">
        <f>IF(B139="","",'Mau15'!C142)</f>
        <v/>
      </c>
      <c r="D139" s="36" t="str">
        <f>IF(B139="","",'Mau15'!D142)</f>
        <v/>
      </c>
      <c r="E139" s="48" t="str">
        <f>IF($B139="","",'Mau15'!P142)</f>
        <v/>
      </c>
      <c r="F139" s="48" t="str">
        <f>IF($B139="","",'Mau15'!F142)</f>
        <v/>
      </c>
      <c r="G139" s="48" t="str">
        <f t="shared" si="16"/>
        <v/>
      </c>
      <c r="H139" s="49" t="str">
        <f t="shared" si="17"/>
        <v/>
      </c>
      <c r="I139" s="48" t="str">
        <f>IF($B139="","",'Mau15'!K142)</f>
        <v/>
      </c>
      <c r="J139" s="48" t="str">
        <f>IF($B139="","",'Mau15'!M142)</f>
        <v/>
      </c>
      <c r="K139" s="48" t="str">
        <f t="shared" si="18"/>
        <v/>
      </c>
      <c r="L139" s="49" t="str">
        <f t="shared" si="19"/>
        <v/>
      </c>
      <c r="M139" s="48" t="str">
        <f>IF($B139="","",KT_nguoc_theo_NL!J136)</f>
        <v/>
      </c>
      <c r="N139" s="48" t="str">
        <f>IF($B139="","",KT_nguoc_theo_NL!K136)</f>
        <v/>
      </c>
      <c r="O139" s="48" t="str">
        <f t="shared" si="20"/>
        <v/>
      </c>
      <c r="P139" s="50" t="str">
        <f t="shared" si="21"/>
        <v/>
      </c>
      <c r="Q139" s="49" t="str">
        <f>IF($B139="","",IF(KT_nguoc_theo_NL!N136="Pass","Khớp",IF(KT_nguoc_theo_NL!N136="KXDDM","KXĐM",IF(KT_nguoc_theo_NL!N136="Xem xét","Cảnh báo",""))))</f>
        <v/>
      </c>
      <c r="R139" s="49" t="str">
        <f t="shared" si="22"/>
        <v/>
      </c>
      <c r="S139" s="31" t="str">
        <f t="shared" si="23"/>
        <v/>
      </c>
    </row>
    <row r="140" spans="1:19" x14ac:dyDescent="0.25">
      <c r="A140" s="36" t="str">
        <f>IF(B140="","",133)</f>
        <v/>
      </c>
      <c r="B140" s="36" t="str">
        <f>'Mau15'!B143&amp;""</f>
        <v/>
      </c>
      <c r="C140" s="47" t="str">
        <f>IF(B140="","",'Mau15'!C143)</f>
        <v/>
      </c>
      <c r="D140" s="36" t="str">
        <f>IF(B140="","",'Mau15'!D143)</f>
        <v/>
      </c>
      <c r="E140" s="48" t="str">
        <f>IF($B140="","",'Mau15'!P143)</f>
        <v/>
      </c>
      <c r="F140" s="48" t="str">
        <f>IF($B140="","",'Mau15'!F143)</f>
        <v/>
      </c>
      <c r="G140" s="48" t="str">
        <f t="shared" si="16"/>
        <v/>
      </c>
      <c r="H140" s="49" t="str">
        <f t="shared" si="17"/>
        <v/>
      </c>
      <c r="I140" s="48" t="str">
        <f>IF($B140="","",'Mau15'!K143)</f>
        <v/>
      </c>
      <c r="J140" s="48" t="str">
        <f>IF($B140="","",'Mau15'!M143)</f>
        <v/>
      </c>
      <c r="K140" s="48" t="str">
        <f t="shared" si="18"/>
        <v/>
      </c>
      <c r="L140" s="49" t="str">
        <f t="shared" si="19"/>
        <v/>
      </c>
      <c r="M140" s="48" t="str">
        <f>IF($B140="","",KT_nguoc_theo_NL!J137)</f>
        <v/>
      </c>
      <c r="N140" s="48" t="str">
        <f>IF($B140="","",KT_nguoc_theo_NL!K137)</f>
        <v/>
      </c>
      <c r="O140" s="48" t="str">
        <f t="shared" si="20"/>
        <v/>
      </c>
      <c r="P140" s="50" t="str">
        <f t="shared" si="21"/>
        <v/>
      </c>
      <c r="Q140" s="49" t="str">
        <f>IF($B140="","",IF(KT_nguoc_theo_NL!N137="Pass","Khớp",IF(KT_nguoc_theo_NL!N137="KXDDM","KXĐM",IF(KT_nguoc_theo_NL!N137="Xem xét","Cảnh báo",""))))</f>
        <v/>
      </c>
      <c r="R140" s="49" t="str">
        <f t="shared" si="22"/>
        <v/>
      </c>
      <c r="S140" s="31" t="str">
        <f t="shared" si="23"/>
        <v/>
      </c>
    </row>
    <row r="141" spans="1:19" x14ac:dyDescent="0.25">
      <c r="A141" s="36" t="str">
        <f>IF(B141="","",134)</f>
        <v/>
      </c>
      <c r="B141" s="36" t="str">
        <f>'Mau15'!B144&amp;""</f>
        <v/>
      </c>
      <c r="C141" s="47" t="str">
        <f>IF(B141="","",'Mau15'!C144)</f>
        <v/>
      </c>
      <c r="D141" s="36" t="str">
        <f>IF(B141="","",'Mau15'!D144)</f>
        <v/>
      </c>
      <c r="E141" s="48" t="str">
        <f>IF($B141="","",'Mau15'!P144)</f>
        <v/>
      </c>
      <c r="F141" s="48" t="str">
        <f>IF($B141="","",'Mau15'!F144)</f>
        <v/>
      </c>
      <c r="G141" s="48" t="str">
        <f t="shared" si="16"/>
        <v/>
      </c>
      <c r="H141" s="49" t="str">
        <f t="shared" si="17"/>
        <v/>
      </c>
      <c r="I141" s="48" t="str">
        <f>IF($B141="","",'Mau15'!K144)</f>
        <v/>
      </c>
      <c r="J141" s="48" t="str">
        <f>IF($B141="","",'Mau15'!M144)</f>
        <v/>
      </c>
      <c r="K141" s="48" t="str">
        <f t="shared" si="18"/>
        <v/>
      </c>
      <c r="L141" s="49" t="str">
        <f t="shared" si="19"/>
        <v/>
      </c>
      <c r="M141" s="48" t="str">
        <f>IF($B141="","",KT_nguoc_theo_NL!J138)</f>
        <v/>
      </c>
      <c r="N141" s="48" t="str">
        <f>IF($B141="","",KT_nguoc_theo_NL!K138)</f>
        <v/>
      </c>
      <c r="O141" s="48" t="str">
        <f t="shared" si="20"/>
        <v/>
      </c>
      <c r="P141" s="50" t="str">
        <f t="shared" si="21"/>
        <v/>
      </c>
      <c r="Q141" s="49" t="str">
        <f>IF($B141="","",IF(KT_nguoc_theo_NL!N138="Pass","Khớp",IF(KT_nguoc_theo_NL!N138="KXDDM","KXĐM",IF(KT_nguoc_theo_NL!N138="Xem xét","Cảnh báo",""))))</f>
        <v/>
      </c>
      <c r="R141" s="49" t="str">
        <f t="shared" si="22"/>
        <v/>
      </c>
      <c r="S141" s="31" t="str">
        <f t="shared" si="23"/>
        <v/>
      </c>
    </row>
    <row r="142" spans="1:19" x14ac:dyDescent="0.25">
      <c r="A142" s="36" t="str">
        <f>IF(B142="","",135)</f>
        <v/>
      </c>
      <c r="B142" s="36" t="str">
        <f>'Mau15'!B145&amp;""</f>
        <v/>
      </c>
      <c r="C142" s="47" t="str">
        <f>IF(B142="","",'Mau15'!C145)</f>
        <v/>
      </c>
      <c r="D142" s="36" t="str">
        <f>IF(B142="","",'Mau15'!D145)</f>
        <v/>
      </c>
      <c r="E142" s="48" t="str">
        <f>IF($B142="","",'Mau15'!P145)</f>
        <v/>
      </c>
      <c r="F142" s="48" t="str">
        <f>IF($B142="","",'Mau15'!F145)</f>
        <v/>
      </c>
      <c r="G142" s="48" t="str">
        <f t="shared" si="16"/>
        <v/>
      </c>
      <c r="H142" s="49" t="str">
        <f t="shared" si="17"/>
        <v/>
      </c>
      <c r="I142" s="48" t="str">
        <f>IF($B142="","",'Mau15'!K145)</f>
        <v/>
      </c>
      <c r="J142" s="48" t="str">
        <f>IF($B142="","",'Mau15'!M145)</f>
        <v/>
      </c>
      <c r="K142" s="48" t="str">
        <f t="shared" si="18"/>
        <v/>
      </c>
      <c r="L142" s="49" t="str">
        <f t="shared" si="19"/>
        <v/>
      </c>
      <c r="M142" s="48" t="str">
        <f>IF($B142="","",KT_nguoc_theo_NL!J139)</f>
        <v/>
      </c>
      <c r="N142" s="48" t="str">
        <f>IF($B142="","",KT_nguoc_theo_NL!K139)</f>
        <v/>
      </c>
      <c r="O142" s="48" t="str">
        <f t="shared" si="20"/>
        <v/>
      </c>
      <c r="P142" s="50" t="str">
        <f t="shared" si="21"/>
        <v/>
      </c>
      <c r="Q142" s="49" t="str">
        <f>IF($B142="","",IF(KT_nguoc_theo_NL!N139="Pass","Khớp",IF(KT_nguoc_theo_NL!N139="KXDDM","KXĐM",IF(KT_nguoc_theo_NL!N139="Xem xét","Cảnh báo",""))))</f>
        <v/>
      </c>
      <c r="R142" s="49" t="str">
        <f t="shared" si="22"/>
        <v/>
      </c>
      <c r="S142" s="31" t="str">
        <f t="shared" si="23"/>
        <v/>
      </c>
    </row>
    <row r="143" spans="1:19" x14ac:dyDescent="0.25">
      <c r="A143" s="36" t="str">
        <f>IF(B143="","",136)</f>
        <v/>
      </c>
      <c r="B143" s="36" t="str">
        <f>'Mau15'!B146&amp;""</f>
        <v/>
      </c>
      <c r="C143" s="47" t="str">
        <f>IF(B143="","",'Mau15'!C146)</f>
        <v/>
      </c>
      <c r="D143" s="36" t="str">
        <f>IF(B143="","",'Mau15'!D146)</f>
        <v/>
      </c>
      <c r="E143" s="48" t="str">
        <f>IF($B143="","",'Mau15'!P146)</f>
        <v/>
      </c>
      <c r="F143" s="48" t="str">
        <f>IF($B143="","",'Mau15'!F146)</f>
        <v/>
      </c>
      <c r="G143" s="48" t="str">
        <f t="shared" si="16"/>
        <v/>
      </c>
      <c r="H143" s="49" t="str">
        <f t="shared" si="17"/>
        <v/>
      </c>
      <c r="I143" s="48" t="str">
        <f>IF($B143="","",'Mau15'!K146)</f>
        <v/>
      </c>
      <c r="J143" s="48" t="str">
        <f>IF($B143="","",'Mau15'!M146)</f>
        <v/>
      </c>
      <c r="K143" s="48" t="str">
        <f t="shared" si="18"/>
        <v/>
      </c>
      <c r="L143" s="49" t="str">
        <f t="shared" si="19"/>
        <v/>
      </c>
      <c r="M143" s="48" t="str">
        <f>IF($B143="","",KT_nguoc_theo_NL!J140)</f>
        <v/>
      </c>
      <c r="N143" s="48" t="str">
        <f>IF($B143="","",KT_nguoc_theo_NL!K140)</f>
        <v/>
      </c>
      <c r="O143" s="48" t="str">
        <f t="shared" si="20"/>
        <v/>
      </c>
      <c r="P143" s="50" t="str">
        <f t="shared" si="21"/>
        <v/>
      </c>
      <c r="Q143" s="49" t="str">
        <f>IF($B143="","",IF(KT_nguoc_theo_NL!N140="Pass","Khớp",IF(KT_nguoc_theo_NL!N140="KXDDM","KXĐM",IF(KT_nguoc_theo_NL!N140="Xem xét","Cảnh báo",""))))</f>
        <v/>
      </c>
      <c r="R143" s="49" t="str">
        <f t="shared" si="22"/>
        <v/>
      </c>
      <c r="S143" s="31" t="str">
        <f t="shared" si="23"/>
        <v/>
      </c>
    </row>
    <row r="144" spans="1:19" x14ac:dyDescent="0.25">
      <c r="A144" s="36" t="str">
        <f>IF(B144="","",137)</f>
        <v/>
      </c>
      <c r="B144" s="36" t="str">
        <f>'Mau15'!B147&amp;""</f>
        <v/>
      </c>
      <c r="C144" s="47" t="str">
        <f>IF(B144="","",'Mau15'!C147)</f>
        <v/>
      </c>
      <c r="D144" s="36" t="str">
        <f>IF(B144="","",'Mau15'!D147)</f>
        <v/>
      </c>
      <c r="E144" s="48" t="str">
        <f>IF($B144="","",'Mau15'!P147)</f>
        <v/>
      </c>
      <c r="F144" s="48" t="str">
        <f>IF($B144="","",'Mau15'!F147)</f>
        <v/>
      </c>
      <c r="G144" s="48" t="str">
        <f t="shared" si="16"/>
        <v/>
      </c>
      <c r="H144" s="49" t="str">
        <f t="shared" si="17"/>
        <v/>
      </c>
      <c r="I144" s="48" t="str">
        <f>IF($B144="","",'Mau15'!K147)</f>
        <v/>
      </c>
      <c r="J144" s="48" t="str">
        <f>IF($B144="","",'Mau15'!M147)</f>
        <v/>
      </c>
      <c r="K144" s="48" t="str">
        <f t="shared" si="18"/>
        <v/>
      </c>
      <c r="L144" s="49" t="str">
        <f t="shared" si="19"/>
        <v/>
      </c>
      <c r="M144" s="48" t="str">
        <f>IF($B144="","",KT_nguoc_theo_NL!J141)</f>
        <v/>
      </c>
      <c r="N144" s="48" t="str">
        <f>IF($B144="","",KT_nguoc_theo_NL!K141)</f>
        <v/>
      </c>
      <c r="O144" s="48" t="str">
        <f t="shared" si="20"/>
        <v/>
      </c>
      <c r="P144" s="50" t="str">
        <f t="shared" si="21"/>
        <v/>
      </c>
      <c r="Q144" s="49" t="str">
        <f>IF($B144="","",IF(KT_nguoc_theo_NL!N141="Pass","Khớp",IF(KT_nguoc_theo_NL!N141="KXDDM","KXĐM",IF(KT_nguoc_theo_NL!N141="Xem xét","Cảnh báo",""))))</f>
        <v/>
      </c>
      <c r="R144" s="49" t="str">
        <f t="shared" si="22"/>
        <v/>
      </c>
      <c r="S144" s="31" t="str">
        <f t="shared" si="23"/>
        <v/>
      </c>
    </row>
    <row r="145" spans="1:19" x14ac:dyDescent="0.25">
      <c r="A145" s="36" t="str">
        <f>IF(B145="","",138)</f>
        <v/>
      </c>
      <c r="B145" s="36" t="str">
        <f>'Mau15'!B148&amp;""</f>
        <v/>
      </c>
      <c r="C145" s="47" t="str">
        <f>IF(B145="","",'Mau15'!C148)</f>
        <v/>
      </c>
      <c r="D145" s="36" t="str">
        <f>IF(B145="","",'Mau15'!D148)</f>
        <v/>
      </c>
      <c r="E145" s="48" t="str">
        <f>IF($B145="","",'Mau15'!P148)</f>
        <v/>
      </c>
      <c r="F145" s="48" t="str">
        <f>IF($B145="","",'Mau15'!F148)</f>
        <v/>
      </c>
      <c r="G145" s="48" t="str">
        <f t="shared" si="16"/>
        <v/>
      </c>
      <c r="H145" s="49" t="str">
        <f t="shared" si="17"/>
        <v/>
      </c>
      <c r="I145" s="48" t="str">
        <f>IF($B145="","",'Mau15'!K148)</f>
        <v/>
      </c>
      <c r="J145" s="48" t="str">
        <f>IF($B145="","",'Mau15'!M148)</f>
        <v/>
      </c>
      <c r="K145" s="48" t="str">
        <f t="shared" si="18"/>
        <v/>
      </c>
      <c r="L145" s="49" t="str">
        <f t="shared" si="19"/>
        <v/>
      </c>
      <c r="M145" s="48" t="str">
        <f>IF($B145="","",KT_nguoc_theo_NL!J142)</f>
        <v/>
      </c>
      <c r="N145" s="48" t="str">
        <f>IF($B145="","",KT_nguoc_theo_NL!K142)</f>
        <v/>
      </c>
      <c r="O145" s="48" t="str">
        <f t="shared" si="20"/>
        <v/>
      </c>
      <c r="P145" s="50" t="str">
        <f t="shared" si="21"/>
        <v/>
      </c>
      <c r="Q145" s="49" t="str">
        <f>IF($B145="","",IF(KT_nguoc_theo_NL!N142="Pass","Khớp",IF(KT_nguoc_theo_NL!N142="KXDDM","KXĐM",IF(KT_nguoc_theo_NL!N142="Xem xét","Cảnh báo",""))))</f>
        <v/>
      </c>
      <c r="R145" s="49" t="str">
        <f t="shared" si="22"/>
        <v/>
      </c>
      <c r="S145" s="31" t="str">
        <f t="shared" si="23"/>
        <v/>
      </c>
    </row>
    <row r="146" spans="1:19" x14ac:dyDescent="0.25">
      <c r="A146" s="36" t="str">
        <f>IF(B146="","",139)</f>
        <v/>
      </c>
      <c r="B146" s="36" t="str">
        <f>'Mau15'!B149&amp;""</f>
        <v/>
      </c>
      <c r="C146" s="47" t="str">
        <f>IF(B146="","",'Mau15'!C149)</f>
        <v/>
      </c>
      <c r="D146" s="36" t="str">
        <f>IF(B146="","",'Mau15'!D149)</f>
        <v/>
      </c>
      <c r="E146" s="48" t="str">
        <f>IF($B146="","",'Mau15'!P149)</f>
        <v/>
      </c>
      <c r="F146" s="48" t="str">
        <f>IF($B146="","",'Mau15'!F149)</f>
        <v/>
      </c>
      <c r="G146" s="48" t="str">
        <f t="shared" si="16"/>
        <v/>
      </c>
      <c r="H146" s="49" t="str">
        <f t="shared" si="17"/>
        <v/>
      </c>
      <c r="I146" s="48" t="str">
        <f>IF($B146="","",'Mau15'!K149)</f>
        <v/>
      </c>
      <c r="J146" s="48" t="str">
        <f>IF($B146="","",'Mau15'!M149)</f>
        <v/>
      </c>
      <c r="K146" s="48" t="str">
        <f t="shared" si="18"/>
        <v/>
      </c>
      <c r="L146" s="49" t="str">
        <f t="shared" si="19"/>
        <v/>
      </c>
      <c r="M146" s="48" t="str">
        <f>IF($B146="","",KT_nguoc_theo_NL!J143)</f>
        <v/>
      </c>
      <c r="N146" s="48" t="str">
        <f>IF($B146="","",KT_nguoc_theo_NL!K143)</f>
        <v/>
      </c>
      <c r="O146" s="48" t="str">
        <f t="shared" si="20"/>
        <v/>
      </c>
      <c r="P146" s="50" t="str">
        <f t="shared" si="21"/>
        <v/>
      </c>
      <c r="Q146" s="49" t="str">
        <f>IF($B146="","",IF(KT_nguoc_theo_NL!N143="Pass","Khớp",IF(KT_nguoc_theo_NL!N143="KXDDM","KXĐM",IF(KT_nguoc_theo_NL!N143="Xem xét","Cảnh báo",""))))</f>
        <v/>
      </c>
      <c r="R146" s="49" t="str">
        <f t="shared" si="22"/>
        <v/>
      </c>
      <c r="S146" s="31" t="str">
        <f t="shared" si="23"/>
        <v/>
      </c>
    </row>
    <row r="147" spans="1:19" x14ac:dyDescent="0.25">
      <c r="A147" s="36" t="str">
        <f>IF(B147="","",140)</f>
        <v/>
      </c>
      <c r="B147" s="36" t="str">
        <f>'Mau15'!B150&amp;""</f>
        <v/>
      </c>
      <c r="C147" s="47" t="str">
        <f>IF(B147="","",'Mau15'!C150)</f>
        <v/>
      </c>
      <c r="D147" s="36" t="str">
        <f>IF(B147="","",'Mau15'!D150)</f>
        <v/>
      </c>
      <c r="E147" s="48" t="str">
        <f>IF($B147="","",'Mau15'!P150)</f>
        <v/>
      </c>
      <c r="F147" s="48" t="str">
        <f>IF($B147="","",'Mau15'!F150)</f>
        <v/>
      </c>
      <c r="G147" s="48" t="str">
        <f t="shared" si="16"/>
        <v/>
      </c>
      <c r="H147" s="49" t="str">
        <f t="shared" si="17"/>
        <v/>
      </c>
      <c r="I147" s="48" t="str">
        <f>IF($B147="","",'Mau15'!K150)</f>
        <v/>
      </c>
      <c r="J147" s="48" t="str">
        <f>IF($B147="","",'Mau15'!M150)</f>
        <v/>
      </c>
      <c r="K147" s="48" t="str">
        <f t="shared" si="18"/>
        <v/>
      </c>
      <c r="L147" s="49" t="str">
        <f t="shared" si="19"/>
        <v/>
      </c>
      <c r="M147" s="48" t="str">
        <f>IF($B147="","",KT_nguoc_theo_NL!J144)</f>
        <v/>
      </c>
      <c r="N147" s="48" t="str">
        <f>IF($B147="","",KT_nguoc_theo_NL!K144)</f>
        <v/>
      </c>
      <c r="O147" s="48" t="str">
        <f t="shared" si="20"/>
        <v/>
      </c>
      <c r="P147" s="50" t="str">
        <f t="shared" si="21"/>
        <v/>
      </c>
      <c r="Q147" s="49" t="str">
        <f>IF($B147="","",IF(KT_nguoc_theo_NL!N144="Pass","Khớp",IF(KT_nguoc_theo_NL!N144="KXDDM","KXĐM",IF(KT_nguoc_theo_NL!N144="Xem xét","Cảnh báo",""))))</f>
        <v/>
      </c>
      <c r="R147" s="49" t="str">
        <f t="shared" si="22"/>
        <v/>
      </c>
      <c r="S147" s="31" t="str">
        <f t="shared" si="23"/>
        <v/>
      </c>
    </row>
    <row r="148" spans="1:19" x14ac:dyDescent="0.25">
      <c r="A148" s="36" t="str">
        <f>IF(B148="","",141)</f>
        <v/>
      </c>
      <c r="B148" s="36" t="str">
        <f>'Mau15'!B151&amp;""</f>
        <v/>
      </c>
      <c r="C148" s="47" t="str">
        <f>IF(B148="","",'Mau15'!C151)</f>
        <v/>
      </c>
      <c r="D148" s="36" t="str">
        <f>IF(B148="","",'Mau15'!D151)</f>
        <v/>
      </c>
      <c r="E148" s="48" t="str">
        <f>IF($B148="","",'Mau15'!P151)</f>
        <v/>
      </c>
      <c r="F148" s="48" t="str">
        <f>IF($B148="","",'Mau15'!F151)</f>
        <v/>
      </c>
      <c r="G148" s="48" t="str">
        <f t="shared" si="16"/>
        <v/>
      </c>
      <c r="H148" s="49" t="str">
        <f t="shared" si="17"/>
        <v/>
      </c>
      <c r="I148" s="48" t="str">
        <f>IF($B148="","",'Mau15'!K151)</f>
        <v/>
      </c>
      <c r="J148" s="48" t="str">
        <f>IF($B148="","",'Mau15'!M151)</f>
        <v/>
      </c>
      <c r="K148" s="48" t="str">
        <f t="shared" si="18"/>
        <v/>
      </c>
      <c r="L148" s="49" t="str">
        <f t="shared" si="19"/>
        <v/>
      </c>
      <c r="M148" s="48" t="str">
        <f>IF($B148="","",KT_nguoc_theo_NL!J145)</f>
        <v/>
      </c>
      <c r="N148" s="48" t="str">
        <f>IF($B148="","",KT_nguoc_theo_NL!K145)</f>
        <v/>
      </c>
      <c r="O148" s="48" t="str">
        <f t="shared" si="20"/>
        <v/>
      </c>
      <c r="P148" s="50" t="str">
        <f t="shared" si="21"/>
        <v/>
      </c>
      <c r="Q148" s="49" t="str">
        <f>IF($B148="","",IF(KT_nguoc_theo_NL!N145="Pass","Khớp",IF(KT_nguoc_theo_NL!N145="KXDDM","KXĐM",IF(KT_nguoc_theo_NL!N145="Xem xét","Cảnh báo",""))))</f>
        <v/>
      </c>
      <c r="R148" s="49" t="str">
        <f t="shared" si="22"/>
        <v/>
      </c>
      <c r="S148" s="31" t="str">
        <f t="shared" si="23"/>
        <v/>
      </c>
    </row>
    <row r="149" spans="1:19" x14ac:dyDescent="0.25">
      <c r="A149" s="36" t="str">
        <f>IF(B149="","",142)</f>
        <v/>
      </c>
      <c r="B149" s="36" t="str">
        <f>'Mau15'!B152&amp;""</f>
        <v/>
      </c>
      <c r="C149" s="47" t="str">
        <f>IF(B149="","",'Mau15'!C152)</f>
        <v/>
      </c>
      <c r="D149" s="36" t="str">
        <f>IF(B149="","",'Mau15'!D152)</f>
        <v/>
      </c>
      <c r="E149" s="48" t="str">
        <f>IF($B149="","",'Mau15'!P152)</f>
        <v/>
      </c>
      <c r="F149" s="48" t="str">
        <f>IF($B149="","",'Mau15'!F152)</f>
        <v/>
      </c>
      <c r="G149" s="48" t="str">
        <f t="shared" si="16"/>
        <v/>
      </c>
      <c r="H149" s="49" t="str">
        <f t="shared" si="17"/>
        <v/>
      </c>
      <c r="I149" s="48" t="str">
        <f>IF($B149="","",'Mau15'!K152)</f>
        <v/>
      </c>
      <c r="J149" s="48" t="str">
        <f>IF($B149="","",'Mau15'!M152)</f>
        <v/>
      </c>
      <c r="K149" s="48" t="str">
        <f t="shared" si="18"/>
        <v/>
      </c>
      <c r="L149" s="49" t="str">
        <f t="shared" si="19"/>
        <v/>
      </c>
      <c r="M149" s="48" t="str">
        <f>IF($B149="","",KT_nguoc_theo_NL!J146)</f>
        <v/>
      </c>
      <c r="N149" s="48" t="str">
        <f>IF($B149="","",KT_nguoc_theo_NL!K146)</f>
        <v/>
      </c>
      <c r="O149" s="48" t="str">
        <f t="shared" si="20"/>
        <v/>
      </c>
      <c r="P149" s="50" t="str">
        <f t="shared" si="21"/>
        <v/>
      </c>
      <c r="Q149" s="49" t="str">
        <f>IF($B149="","",IF(KT_nguoc_theo_NL!N146="Pass","Khớp",IF(KT_nguoc_theo_NL!N146="KXDDM","KXĐM",IF(KT_nguoc_theo_NL!N146="Xem xét","Cảnh báo",""))))</f>
        <v/>
      </c>
      <c r="R149" s="49" t="str">
        <f t="shared" si="22"/>
        <v/>
      </c>
      <c r="S149" s="31" t="str">
        <f t="shared" si="23"/>
        <v/>
      </c>
    </row>
    <row r="150" spans="1:19" x14ac:dyDescent="0.25">
      <c r="A150" s="36" t="str">
        <f>IF(B150="","",143)</f>
        <v/>
      </c>
      <c r="B150" s="36" t="str">
        <f>'Mau15'!B153&amp;""</f>
        <v/>
      </c>
      <c r="C150" s="47" t="str">
        <f>IF(B150="","",'Mau15'!C153)</f>
        <v/>
      </c>
      <c r="D150" s="36" t="str">
        <f>IF(B150="","",'Mau15'!D153)</f>
        <v/>
      </c>
      <c r="E150" s="48" t="str">
        <f>IF($B150="","",'Mau15'!P153)</f>
        <v/>
      </c>
      <c r="F150" s="48" t="str">
        <f>IF($B150="","",'Mau15'!F153)</f>
        <v/>
      </c>
      <c r="G150" s="48" t="str">
        <f t="shared" si="16"/>
        <v/>
      </c>
      <c r="H150" s="49" t="str">
        <f t="shared" si="17"/>
        <v/>
      </c>
      <c r="I150" s="48" t="str">
        <f>IF($B150="","",'Mau15'!K153)</f>
        <v/>
      </c>
      <c r="J150" s="48" t="str">
        <f>IF($B150="","",'Mau15'!M153)</f>
        <v/>
      </c>
      <c r="K150" s="48" t="str">
        <f t="shared" si="18"/>
        <v/>
      </c>
      <c r="L150" s="49" t="str">
        <f t="shared" si="19"/>
        <v/>
      </c>
      <c r="M150" s="48" t="str">
        <f>IF($B150="","",KT_nguoc_theo_NL!J147)</f>
        <v/>
      </c>
      <c r="N150" s="48" t="str">
        <f>IF($B150="","",KT_nguoc_theo_NL!K147)</f>
        <v/>
      </c>
      <c r="O150" s="48" t="str">
        <f t="shared" si="20"/>
        <v/>
      </c>
      <c r="P150" s="50" t="str">
        <f t="shared" si="21"/>
        <v/>
      </c>
      <c r="Q150" s="49" t="str">
        <f>IF($B150="","",IF(KT_nguoc_theo_NL!N147="Pass","Khớp",IF(KT_nguoc_theo_NL!N147="KXDDM","KXĐM",IF(KT_nguoc_theo_NL!N147="Xem xét","Cảnh báo",""))))</f>
        <v/>
      </c>
      <c r="R150" s="49" t="str">
        <f t="shared" si="22"/>
        <v/>
      </c>
      <c r="S150" s="31" t="str">
        <f t="shared" si="23"/>
        <v/>
      </c>
    </row>
    <row r="151" spans="1:19" x14ac:dyDescent="0.25">
      <c r="A151" s="36" t="str">
        <f>IF(B151="","",144)</f>
        <v/>
      </c>
      <c r="B151" s="36" t="str">
        <f>'Mau15'!B154&amp;""</f>
        <v/>
      </c>
      <c r="C151" s="47" t="str">
        <f>IF(B151="","",'Mau15'!C154)</f>
        <v/>
      </c>
      <c r="D151" s="36" t="str">
        <f>IF(B151="","",'Mau15'!D154)</f>
        <v/>
      </c>
      <c r="E151" s="48" t="str">
        <f>IF($B151="","",'Mau15'!P154)</f>
        <v/>
      </c>
      <c r="F151" s="48" t="str">
        <f>IF($B151="","",'Mau15'!F154)</f>
        <v/>
      </c>
      <c r="G151" s="48" t="str">
        <f t="shared" si="16"/>
        <v/>
      </c>
      <c r="H151" s="49" t="str">
        <f t="shared" si="17"/>
        <v/>
      </c>
      <c r="I151" s="48" t="str">
        <f>IF($B151="","",'Mau15'!K154)</f>
        <v/>
      </c>
      <c r="J151" s="48" t="str">
        <f>IF($B151="","",'Mau15'!M154)</f>
        <v/>
      </c>
      <c r="K151" s="48" t="str">
        <f t="shared" si="18"/>
        <v/>
      </c>
      <c r="L151" s="49" t="str">
        <f t="shared" si="19"/>
        <v/>
      </c>
      <c r="M151" s="48" t="str">
        <f>IF($B151="","",KT_nguoc_theo_NL!J148)</f>
        <v/>
      </c>
      <c r="N151" s="48" t="str">
        <f>IF($B151="","",KT_nguoc_theo_NL!K148)</f>
        <v/>
      </c>
      <c r="O151" s="48" t="str">
        <f t="shared" si="20"/>
        <v/>
      </c>
      <c r="P151" s="50" t="str">
        <f t="shared" si="21"/>
        <v/>
      </c>
      <c r="Q151" s="49" t="str">
        <f>IF($B151="","",IF(KT_nguoc_theo_NL!N148="Pass","Khớp",IF(KT_nguoc_theo_NL!N148="KXDDM","KXĐM",IF(KT_nguoc_theo_NL!N148="Xem xét","Cảnh báo",""))))</f>
        <v/>
      </c>
      <c r="R151" s="49" t="str">
        <f t="shared" si="22"/>
        <v/>
      </c>
      <c r="S151" s="31" t="str">
        <f t="shared" si="23"/>
        <v/>
      </c>
    </row>
    <row r="152" spans="1:19" x14ac:dyDescent="0.25">
      <c r="A152" s="36" t="str">
        <f>IF(B152="","",145)</f>
        <v/>
      </c>
      <c r="B152" s="36" t="str">
        <f>'Mau15'!B155&amp;""</f>
        <v/>
      </c>
      <c r="C152" s="47" t="str">
        <f>IF(B152="","",'Mau15'!C155)</f>
        <v/>
      </c>
      <c r="D152" s="36" t="str">
        <f>IF(B152="","",'Mau15'!D155)</f>
        <v/>
      </c>
      <c r="E152" s="48" t="str">
        <f>IF($B152="","",'Mau15'!P155)</f>
        <v/>
      </c>
      <c r="F152" s="48" t="str">
        <f>IF($B152="","",'Mau15'!F155)</f>
        <v/>
      </c>
      <c r="G152" s="48" t="str">
        <f t="shared" si="16"/>
        <v/>
      </c>
      <c r="H152" s="49" t="str">
        <f t="shared" si="17"/>
        <v/>
      </c>
      <c r="I152" s="48" t="str">
        <f>IF($B152="","",'Mau15'!K155)</f>
        <v/>
      </c>
      <c r="J152" s="48" t="str">
        <f>IF($B152="","",'Mau15'!M155)</f>
        <v/>
      </c>
      <c r="K152" s="48" t="str">
        <f t="shared" si="18"/>
        <v/>
      </c>
      <c r="L152" s="49" t="str">
        <f t="shared" si="19"/>
        <v/>
      </c>
      <c r="M152" s="48" t="str">
        <f>IF($B152="","",KT_nguoc_theo_NL!J149)</f>
        <v/>
      </c>
      <c r="N152" s="48" t="str">
        <f>IF($B152="","",KT_nguoc_theo_NL!K149)</f>
        <v/>
      </c>
      <c r="O152" s="48" t="str">
        <f t="shared" si="20"/>
        <v/>
      </c>
      <c r="P152" s="50" t="str">
        <f t="shared" si="21"/>
        <v/>
      </c>
      <c r="Q152" s="49" t="str">
        <f>IF($B152="","",IF(KT_nguoc_theo_NL!N149="Pass","Khớp",IF(KT_nguoc_theo_NL!N149="KXDDM","KXĐM",IF(KT_nguoc_theo_NL!N149="Xem xét","Cảnh báo",""))))</f>
        <v/>
      </c>
      <c r="R152" s="49" t="str">
        <f t="shared" si="22"/>
        <v/>
      </c>
      <c r="S152" s="31" t="str">
        <f t="shared" si="23"/>
        <v/>
      </c>
    </row>
    <row r="153" spans="1:19" x14ac:dyDescent="0.25">
      <c r="A153" s="36" t="str">
        <f>IF(B153="","",146)</f>
        <v/>
      </c>
      <c r="B153" s="36" t="str">
        <f>'Mau15'!B156&amp;""</f>
        <v/>
      </c>
      <c r="C153" s="47" t="str">
        <f>IF(B153="","",'Mau15'!C156)</f>
        <v/>
      </c>
      <c r="D153" s="36" t="str">
        <f>IF(B153="","",'Mau15'!D156)</f>
        <v/>
      </c>
      <c r="E153" s="48" t="str">
        <f>IF($B153="","",'Mau15'!P156)</f>
        <v/>
      </c>
      <c r="F153" s="48" t="str">
        <f>IF($B153="","",'Mau15'!F156)</f>
        <v/>
      </c>
      <c r="G153" s="48" t="str">
        <f t="shared" si="16"/>
        <v/>
      </c>
      <c r="H153" s="49" t="str">
        <f t="shared" si="17"/>
        <v/>
      </c>
      <c r="I153" s="48" t="str">
        <f>IF($B153="","",'Mau15'!K156)</f>
        <v/>
      </c>
      <c r="J153" s="48" t="str">
        <f>IF($B153="","",'Mau15'!M156)</f>
        <v/>
      </c>
      <c r="K153" s="48" t="str">
        <f t="shared" si="18"/>
        <v/>
      </c>
      <c r="L153" s="49" t="str">
        <f t="shared" si="19"/>
        <v/>
      </c>
      <c r="M153" s="48" t="str">
        <f>IF($B153="","",KT_nguoc_theo_NL!J150)</f>
        <v/>
      </c>
      <c r="N153" s="48" t="str">
        <f>IF($B153="","",KT_nguoc_theo_NL!K150)</f>
        <v/>
      </c>
      <c r="O153" s="48" t="str">
        <f t="shared" si="20"/>
        <v/>
      </c>
      <c r="P153" s="50" t="str">
        <f t="shared" si="21"/>
        <v/>
      </c>
      <c r="Q153" s="49" t="str">
        <f>IF($B153="","",IF(KT_nguoc_theo_NL!N150="Pass","Khớp",IF(KT_nguoc_theo_NL!N150="KXDDM","KXĐM",IF(KT_nguoc_theo_NL!N150="Xem xét","Cảnh báo",""))))</f>
        <v/>
      </c>
      <c r="R153" s="49" t="str">
        <f t="shared" si="22"/>
        <v/>
      </c>
      <c r="S153" s="31" t="str">
        <f t="shared" si="23"/>
        <v/>
      </c>
    </row>
    <row r="154" spans="1:19" x14ac:dyDescent="0.25">
      <c r="A154" s="36" t="str">
        <f>IF(B154="","",147)</f>
        <v/>
      </c>
      <c r="B154" s="36" t="str">
        <f>'Mau15'!B157&amp;""</f>
        <v/>
      </c>
      <c r="C154" s="47" t="str">
        <f>IF(B154="","",'Mau15'!C157)</f>
        <v/>
      </c>
      <c r="D154" s="36" t="str">
        <f>IF(B154="","",'Mau15'!D157)</f>
        <v/>
      </c>
      <c r="E154" s="48" t="str">
        <f>IF($B154="","",'Mau15'!P157)</f>
        <v/>
      </c>
      <c r="F154" s="48" t="str">
        <f>IF($B154="","",'Mau15'!F157)</f>
        <v/>
      </c>
      <c r="G154" s="48" t="str">
        <f t="shared" si="16"/>
        <v/>
      </c>
      <c r="H154" s="49" t="str">
        <f t="shared" si="17"/>
        <v/>
      </c>
      <c r="I154" s="48" t="str">
        <f>IF($B154="","",'Mau15'!K157)</f>
        <v/>
      </c>
      <c r="J154" s="48" t="str">
        <f>IF($B154="","",'Mau15'!M157)</f>
        <v/>
      </c>
      <c r="K154" s="48" t="str">
        <f t="shared" si="18"/>
        <v/>
      </c>
      <c r="L154" s="49" t="str">
        <f t="shared" si="19"/>
        <v/>
      </c>
      <c r="M154" s="48" t="str">
        <f>IF($B154="","",KT_nguoc_theo_NL!J151)</f>
        <v/>
      </c>
      <c r="N154" s="48" t="str">
        <f>IF($B154="","",KT_nguoc_theo_NL!K151)</f>
        <v/>
      </c>
      <c r="O154" s="48" t="str">
        <f t="shared" si="20"/>
        <v/>
      </c>
      <c r="P154" s="50" t="str">
        <f t="shared" si="21"/>
        <v/>
      </c>
      <c r="Q154" s="49" t="str">
        <f>IF($B154="","",IF(KT_nguoc_theo_NL!N151="Pass","Khớp",IF(KT_nguoc_theo_NL!N151="KXDDM","KXĐM",IF(KT_nguoc_theo_NL!N151="Xem xét","Cảnh báo",""))))</f>
        <v/>
      </c>
      <c r="R154" s="49" t="str">
        <f t="shared" si="22"/>
        <v/>
      </c>
      <c r="S154" s="31" t="str">
        <f t="shared" si="23"/>
        <v/>
      </c>
    </row>
    <row r="155" spans="1:19" x14ac:dyDescent="0.25">
      <c r="A155" s="36" t="str">
        <f>IF(B155="","",148)</f>
        <v/>
      </c>
      <c r="B155" s="36" t="str">
        <f>'Mau15'!B158&amp;""</f>
        <v/>
      </c>
      <c r="C155" s="47" t="str">
        <f>IF(B155="","",'Mau15'!C158)</f>
        <v/>
      </c>
      <c r="D155" s="36" t="str">
        <f>IF(B155="","",'Mau15'!D158)</f>
        <v/>
      </c>
      <c r="E155" s="48" t="str">
        <f>IF($B155="","",'Mau15'!P158)</f>
        <v/>
      </c>
      <c r="F155" s="48" t="str">
        <f>IF($B155="","",'Mau15'!F158)</f>
        <v/>
      </c>
      <c r="G155" s="48" t="str">
        <f t="shared" si="16"/>
        <v/>
      </c>
      <c r="H155" s="49" t="str">
        <f t="shared" si="17"/>
        <v/>
      </c>
      <c r="I155" s="48" t="str">
        <f>IF($B155="","",'Mau15'!K158)</f>
        <v/>
      </c>
      <c r="J155" s="48" t="str">
        <f>IF($B155="","",'Mau15'!M158)</f>
        <v/>
      </c>
      <c r="K155" s="48" t="str">
        <f t="shared" si="18"/>
        <v/>
      </c>
      <c r="L155" s="49" t="str">
        <f t="shared" si="19"/>
        <v/>
      </c>
      <c r="M155" s="48" t="str">
        <f>IF($B155="","",KT_nguoc_theo_NL!J152)</f>
        <v/>
      </c>
      <c r="N155" s="48" t="str">
        <f>IF($B155="","",KT_nguoc_theo_NL!K152)</f>
        <v/>
      </c>
      <c r="O155" s="48" t="str">
        <f t="shared" si="20"/>
        <v/>
      </c>
      <c r="P155" s="50" t="str">
        <f t="shared" si="21"/>
        <v/>
      </c>
      <c r="Q155" s="49" t="str">
        <f>IF($B155="","",IF(KT_nguoc_theo_NL!N152="Pass","Khớp",IF(KT_nguoc_theo_NL!N152="KXDDM","KXĐM",IF(KT_nguoc_theo_NL!N152="Xem xét","Cảnh báo",""))))</f>
        <v/>
      </c>
      <c r="R155" s="49" t="str">
        <f t="shared" si="22"/>
        <v/>
      </c>
      <c r="S155" s="31" t="str">
        <f t="shared" si="23"/>
        <v/>
      </c>
    </row>
    <row r="156" spans="1:19" x14ac:dyDescent="0.25">
      <c r="A156" s="36" t="str">
        <f>IF(B156="","",149)</f>
        <v/>
      </c>
      <c r="B156" s="36" t="str">
        <f>'Mau15'!B159&amp;""</f>
        <v/>
      </c>
      <c r="C156" s="47" t="str">
        <f>IF(B156="","",'Mau15'!C159)</f>
        <v/>
      </c>
      <c r="D156" s="36" t="str">
        <f>IF(B156="","",'Mau15'!D159)</f>
        <v/>
      </c>
      <c r="E156" s="48" t="str">
        <f>IF($B156="","",'Mau15'!P159)</f>
        <v/>
      </c>
      <c r="F156" s="48" t="str">
        <f>IF($B156="","",'Mau15'!F159)</f>
        <v/>
      </c>
      <c r="G156" s="48" t="str">
        <f t="shared" si="16"/>
        <v/>
      </c>
      <c r="H156" s="49" t="str">
        <f t="shared" si="17"/>
        <v/>
      </c>
      <c r="I156" s="48" t="str">
        <f>IF($B156="","",'Mau15'!K159)</f>
        <v/>
      </c>
      <c r="J156" s="48" t="str">
        <f>IF($B156="","",'Mau15'!M159)</f>
        <v/>
      </c>
      <c r="K156" s="48" t="str">
        <f t="shared" si="18"/>
        <v/>
      </c>
      <c r="L156" s="49" t="str">
        <f t="shared" si="19"/>
        <v/>
      </c>
      <c r="M156" s="48" t="str">
        <f>IF($B156="","",KT_nguoc_theo_NL!J153)</f>
        <v/>
      </c>
      <c r="N156" s="48" t="str">
        <f>IF($B156="","",KT_nguoc_theo_NL!K153)</f>
        <v/>
      </c>
      <c r="O156" s="48" t="str">
        <f t="shared" si="20"/>
        <v/>
      </c>
      <c r="P156" s="50" t="str">
        <f t="shared" si="21"/>
        <v/>
      </c>
      <c r="Q156" s="49" t="str">
        <f>IF($B156="","",IF(KT_nguoc_theo_NL!N153="Pass","Khớp",IF(KT_nguoc_theo_NL!N153="KXDDM","KXĐM",IF(KT_nguoc_theo_NL!N153="Xem xét","Cảnh báo",""))))</f>
        <v/>
      </c>
      <c r="R156" s="49" t="str">
        <f t="shared" si="22"/>
        <v/>
      </c>
      <c r="S156" s="31" t="str">
        <f t="shared" si="23"/>
        <v/>
      </c>
    </row>
    <row r="157" spans="1:19" x14ac:dyDescent="0.25">
      <c r="A157" s="36" t="str">
        <f>IF(B157="","",150)</f>
        <v/>
      </c>
      <c r="B157" s="36" t="str">
        <f>'Mau15'!B160&amp;""</f>
        <v/>
      </c>
      <c r="C157" s="47" t="str">
        <f>IF(B157="","",'Mau15'!C160)</f>
        <v/>
      </c>
      <c r="D157" s="36" t="str">
        <f>IF(B157="","",'Mau15'!D160)</f>
        <v/>
      </c>
      <c r="E157" s="48" t="str">
        <f>IF($B157="","",'Mau15'!P160)</f>
        <v/>
      </c>
      <c r="F157" s="48" t="str">
        <f>IF($B157="","",'Mau15'!F160)</f>
        <v/>
      </c>
      <c r="G157" s="48" t="str">
        <f t="shared" si="16"/>
        <v/>
      </c>
      <c r="H157" s="49" t="str">
        <f t="shared" si="17"/>
        <v/>
      </c>
      <c r="I157" s="48" t="str">
        <f>IF($B157="","",'Mau15'!K160)</f>
        <v/>
      </c>
      <c r="J157" s="48" t="str">
        <f>IF($B157="","",'Mau15'!M160)</f>
        <v/>
      </c>
      <c r="K157" s="48" t="str">
        <f t="shared" si="18"/>
        <v/>
      </c>
      <c r="L157" s="49" t="str">
        <f t="shared" si="19"/>
        <v/>
      </c>
      <c r="M157" s="48" t="str">
        <f>IF($B157="","",KT_nguoc_theo_NL!J154)</f>
        <v/>
      </c>
      <c r="N157" s="48" t="str">
        <f>IF($B157="","",KT_nguoc_theo_NL!K154)</f>
        <v/>
      </c>
      <c r="O157" s="48" t="str">
        <f t="shared" si="20"/>
        <v/>
      </c>
      <c r="P157" s="50" t="str">
        <f t="shared" si="21"/>
        <v/>
      </c>
      <c r="Q157" s="49" t="str">
        <f>IF($B157="","",IF(KT_nguoc_theo_NL!N154="Pass","Khớp",IF(KT_nguoc_theo_NL!N154="KXDDM","KXĐM",IF(KT_nguoc_theo_NL!N154="Xem xét","Cảnh báo",""))))</f>
        <v/>
      </c>
      <c r="R157" s="49" t="str">
        <f t="shared" si="22"/>
        <v/>
      </c>
      <c r="S157" s="31" t="str">
        <f t="shared" si="23"/>
        <v/>
      </c>
    </row>
    <row r="158" spans="1:19" x14ac:dyDescent="0.25">
      <c r="A158" s="36" t="str">
        <f>IF(B158="","",151)</f>
        <v/>
      </c>
      <c r="B158" s="36" t="str">
        <f>'Mau15'!B161&amp;""</f>
        <v/>
      </c>
      <c r="C158" s="47" t="str">
        <f>IF(B158="","",'Mau15'!C161)</f>
        <v/>
      </c>
      <c r="D158" s="36" t="str">
        <f>IF(B158="","",'Mau15'!D161)</f>
        <v/>
      </c>
      <c r="E158" s="48" t="str">
        <f>IF($B158="","",'Mau15'!P161)</f>
        <v/>
      </c>
      <c r="F158" s="48" t="str">
        <f>IF($B158="","",'Mau15'!F161)</f>
        <v/>
      </c>
      <c r="G158" s="48" t="str">
        <f t="shared" si="16"/>
        <v/>
      </c>
      <c r="H158" s="49" t="str">
        <f t="shared" si="17"/>
        <v/>
      </c>
      <c r="I158" s="48" t="str">
        <f>IF($B158="","",'Mau15'!K161)</f>
        <v/>
      </c>
      <c r="J158" s="48" t="str">
        <f>IF($B158="","",'Mau15'!M161)</f>
        <v/>
      </c>
      <c r="K158" s="48" t="str">
        <f t="shared" si="18"/>
        <v/>
      </c>
      <c r="L158" s="49" t="str">
        <f t="shared" si="19"/>
        <v/>
      </c>
      <c r="M158" s="48" t="str">
        <f>IF($B158="","",KT_nguoc_theo_NL!J155)</f>
        <v/>
      </c>
      <c r="N158" s="48" t="str">
        <f>IF($B158="","",KT_nguoc_theo_NL!K155)</f>
        <v/>
      </c>
      <c r="O158" s="48" t="str">
        <f t="shared" si="20"/>
        <v/>
      </c>
      <c r="P158" s="50" t="str">
        <f t="shared" si="21"/>
        <v/>
      </c>
      <c r="Q158" s="49" t="str">
        <f>IF($B158="","",IF(KT_nguoc_theo_NL!N155="Pass","Khớp",IF(KT_nguoc_theo_NL!N155="KXDDM","KXĐM",IF(KT_nguoc_theo_NL!N155="Xem xét","Cảnh báo",""))))</f>
        <v/>
      </c>
      <c r="R158" s="49" t="str">
        <f t="shared" si="22"/>
        <v/>
      </c>
      <c r="S158" s="31" t="str">
        <f t="shared" si="23"/>
        <v/>
      </c>
    </row>
    <row r="159" spans="1:19" x14ac:dyDescent="0.25">
      <c r="A159" s="36" t="str">
        <f>IF(B159="","",152)</f>
        <v/>
      </c>
      <c r="B159" s="36" t="str">
        <f>'Mau15'!B162&amp;""</f>
        <v/>
      </c>
      <c r="C159" s="47" t="str">
        <f>IF(B159="","",'Mau15'!C162)</f>
        <v/>
      </c>
      <c r="D159" s="36" t="str">
        <f>IF(B159="","",'Mau15'!D162)</f>
        <v/>
      </c>
      <c r="E159" s="48" t="str">
        <f>IF($B159="","",'Mau15'!P162)</f>
        <v/>
      </c>
      <c r="F159" s="48" t="str">
        <f>IF($B159="","",'Mau15'!F162)</f>
        <v/>
      </c>
      <c r="G159" s="48" t="str">
        <f t="shared" si="16"/>
        <v/>
      </c>
      <c r="H159" s="49" t="str">
        <f t="shared" si="17"/>
        <v/>
      </c>
      <c r="I159" s="48" t="str">
        <f>IF($B159="","",'Mau15'!K162)</f>
        <v/>
      </c>
      <c r="J159" s="48" t="str">
        <f>IF($B159="","",'Mau15'!M162)</f>
        <v/>
      </c>
      <c r="K159" s="48" t="str">
        <f t="shared" si="18"/>
        <v/>
      </c>
      <c r="L159" s="49" t="str">
        <f t="shared" si="19"/>
        <v/>
      </c>
      <c r="M159" s="48" t="str">
        <f>IF($B159="","",KT_nguoc_theo_NL!J156)</f>
        <v/>
      </c>
      <c r="N159" s="48" t="str">
        <f>IF($B159="","",KT_nguoc_theo_NL!K156)</f>
        <v/>
      </c>
      <c r="O159" s="48" t="str">
        <f t="shared" si="20"/>
        <v/>
      </c>
      <c r="P159" s="50" t="str">
        <f t="shared" si="21"/>
        <v/>
      </c>
      <c r="Q159" s="49" t="str">
        <f>IF($B159="","",IF(KT_nguoc_theo_NL!N156="Pass","Khớp",IF(KT_nguoc_theo_NL!N156="KXDDM","KXĐM",IF(KT_nguoc_theo_NL!N156="Xem xét","Cảnh báo",""))))</f>
        <v/>
      </c>
      <c r="R159" s="49" t="str">
        <f t="shared" si="22"/>
        <v/>
      </c>
      <c r="S159" s="31" t="str">
        <f t="shared" si="23"/>
        <v/>
      </c>
    </row>
    <row r="160" spans="1:19" x14ac:dyDescent="0.25">
      <c r="A160" s="36" t="str">
        <f>IF(B160="","",153)</f>
        <v/>
      </c>
      <c r="B160" s="36" t="str">
        <f>'Mau15'!B163&amp;""</f>
        <v/>
      </c>
      <c r="C160" s="47" t="str">
        <f>IF(B160="","",'Mau15'!C163)</f>
        <v/>
      </c>
      <c r="D160" s="36" t="str">
        <f>IF(B160="","",'Mau15'!D163)</f>
        <v/>
      </c>
      <c r="E160" s="48" t="str">
        <f>IF($B160="","",'Mau15'!P163)</f>
        <v/>
      </c>
      <c r="F160" s="48" t="str">
        <f>IF($B160="","",'Mau15'!F163)</f>
        <v/>
      </c>
      <c r="G160" s="48" t="str">
        <f t="shared" si="16"/>
        <v/>
      </c>
      <c r="H160" s="49" t="str">
        <f t="shared" si="17"/>
        <v/>
      </c>
      <c r="I160" s="48" t="str">
        <f>IF($B160="","",'Mau15'!K163)</f>
        <v/>
      </c>
      <c r="J160" s="48" t="str">
        <f>IF($B160="","",'Mau15'!M163)</f>
        <v/>
      </c>
      <c r="K160" s="48" t="str">
        <f t="shared" si="18"/>
        <v/>
      </c>
      <c r="L160" s="49" t="str">
        <f t="shared" si="19"/>
        <v/>
      </c>
      <c r="M160" s="48" t="str">
        <f>IF($B160="","",KT_nguoc_theo_NL!J157)</f>
        <v/>
      </c>
      <c r="N160" s="48" t="str">
        <f>IF($B160="","",KT_nguoc_theo_NL!K157)</f>
        <v/>
      </c>
      <c r="O160" s="48" t="str">
        <f t="shared" si="20"/>
        <v/>
      </c>
      <c r="P160" s="50" t="str">
        <f t="shared" si="21"/>
        <v/>
      </c>
      <c r="Q160" s="49" t="str">
        <f>IF($B160="","",IF(KT_nguoc_theo_NL!N157="Pass","Khớp",IF(KT_nguoc_theo_NL!N157="KXDDM","KXĐM",IF(KT_nguoc_theo_NL!N157="Xem xét","Cảnh báo",""))))</f>
        <v/>
      </c>
      <c r="R160" s="49" t="str">
        <f t="shared" si="22"/>
        <v/>
      </c>
      <c r="S160" s="31" t="str">
        <f t="shared" si="23"/>
        <v/>
      </c>
    </row>
    <row r="161" spans="1:19" x14ac:dyDescent="0.25">
      <c r="A161" s="36" t="str">
        <f>IF(B161="","",154)</f>
        <v/>
      </c>
      <c r="B161" s="36" t="str">
        <f>'Mau15'!B164&amp;""</f>
        <v/>
      </c>
      <c r="C161" s="47" t="str">
        <f>IF(B161="","",'Mau15'!C164)</f>
        <v/>
      </c>
      <c r="D161" s="36" t="str">
        <f>IF(B161="","",'Mau15'!D164)</f>
        <v/>
      </c>
      <c r="E161" s="48" t="str">
        <f>IF($B161="","",'Mau15'!P164)</f>
        <v/>
      </c>
      <c r="F161" s="48" t="str">
        <f>IF($B161="","",'Mau15'!F164)</f>
        <v/>
      </c>
      <c r="G161" s="48" t="str">
        <f t="shared" si="16"/>
        <v/>
      </c>
      <c r="H161" s="49" t="str">
        <f t="shared" si="17"/>
        <v/>
      </c>
      <c r="I161" s="48" t="str">
        <f>IF($B161="","",'Mau15'!K164)</f>
        <v/>
      </c>
      <c r="J161" s="48" t="str">
        <f>IF($B161="","",'Mau15'!M164)</f>
        <v/>
      </c>
      <c r="K161" s="48" t="str">
        <f t="shared" si="18"/>
        <v/>
      </c>
      <c r="L161" s="49" t="str">
        <f t="shared" si="19"/>
        <v/>
      </c>
      <c r="M161" s="48" t="str">
        <f>IF($B161="","",KT_nguoc_theo_NL!J158)</f>
        <v/>
      </c>
      <c r="N161" s="48" t="str">
        <f>IF($B161="","",KT_nguoc_theo_NL!K158)</f>
        <v/>
      </c>
      <c r="O161" s="48" t="str">
        <f t="shared" si="20"/>
        <v/>
      </c>
      <c r="P161" s="50" t="str">
        <f t="shared" si="21"/>
        <v/>
      </c>
      <c r="Q161" s="49" t="str">
        <f>IF($B161="","",IF(KT_nguoc_theo_NL!N158="Pass","Khớp",IF(KT_nguoc_theo_NL!N158="KXDDM","KXĐM",IF(KT_nguoc_theo_NL!N158="Xem xét","Cảnh báo",""))))</f>
        <v/>
      </c>
      <c r="R161" s="49" t="str">
        <f t="shared" si="22"/>
        <v/>
      </c>
      <c r="S161" s="31" t="str">
        <f t="shared" si="23"/>
        <v/>
      </c>
    </row>
    <row r="162" spans="1:19" x14ac:dyDescent="0.25">
      <c r="A162" s="36" t="str">
        <f>IF(B162="","",155)</f>
        <v/>
      </c>
      <c r="B162" s="36" t="str">
        <f>'Mau15'!B165&amp;""</f>
        <v/>
      </c>
      <c r="C162" s="47" t="str">
        <f>IF(B162="","",'Mau15'!C165)</f>
        <v/>
      </c>
      <c r="D162" s="36" t="str">
        <f>IF(B162="","",'Mau15'!D165)</f>
        <v/>
      </c>
      <c r="E162" s="48" t="str">
        <f>IF($B162="","",'Mau15'!P165)</f>
        <v/>
      </c>
      <c r="F162" s="48" t="str">
        <f>IF($B162="","",'Mau15'!F165)</f>
        <v/>
      </c>
      <c r="G162" s="48" t="str">
        <f t="shared" si="16"/>
        <v/>
      </c>
      <c r="H162" s="49" t="str">
        <f t="shared" si="17"/>
        <v/>
      </c>
      <c r="I162" s="48" t="str">
        <f>IF($B162="","",'Mau15'!K165)</f>
        <v/>
      </c>
      <c r="J162" s="48" t="str">
        <f>IF($B162="","",'Mau15'!M165)</f>
        <v/>
      </c>
      <c r="K162" s="48" t="str">
        <f t="shared" si="18"/>
        <v/>
      </c>
      <c r="L162" s="49" t="str">
        <f t="shared" si="19"/>
        <v/>
      </c>
      <c r="M162" s="48" t="str">
        <f>IF($B162="","",KT_nguoc_theo_NL!J159)</f>
        <v/>
      </c>
      <c r="N162" s="48" t="str">
        <f>IF($B162="","",KT_nguoc_theo_NL!K159)</f>
        <v/>
      </c>
      <c r="O162" s="48" t="str">
        <f t="shared" si="20"/>
        <v/>
      </c>
      <c r="P162" s="50" t="str">
        <f t="shared" si="21"/>
        <v/>
      </c>
      <c r="Q162" s="49" t="str">
        <f>IF($B162="","",IF(KT_nguoc_theo_NL!N159="Pass","Khớp",IF(KT_nguoc_theo_NL!N159="KXDDM","KXĐM",IF(KT_nguoc_theo_NL!N159="Xem xét","Cảnh báo",""))))</f>
        <v/>
      </c>
      <c r="R162" s="49" t="str">
        <f t="shared" si="22"/>
        <v/>
      </c>
      <c r="S162" s="31" t="str">
        <f t="shared" si="23"/>
        <v/>
      </c>
    </row>
    <row r="163" spans="1:19" x14ac:dyDescent="0.25">
      <c r="A163" s="36" t="str">
        <f>IF(B163="","",156)</f>
        <v/>
      </c>
      <c r="B163" s="36" t="str">
        <f>'Mau15'!B166&amp;""</f>
        <v/>
      </c>
      <c r="C163" s="47" t="str">
        <f>IF(B163="","",'Mau15'!C166)</f>
        <v/>
      </c>
      <c r="D163" s="36" t="str">
        <f>IF(B163="","",'Mau15'!D166)</f>
        <v/>
      </c>
      <c r="E163" s="48" t="str">
        <f>IF($B163="","",'Mau15'!P166)</f>
        <v/>
      </c>
      <c r="F163" s="48" t="str">
        <f>IF($B163="","",'Mau15'!F166)</f>
        <v/>
      </c>
      <c r="G163" s="48" t="str">
        <f t="shared" si="16"/>
        <v/>
      </c>
      <c r="H163" s="49" t="str">
        <f t="shared" si="17"/>
        <v/>
      </c>
      <c r="I163" s="48" t="str">
        <f>IF($B163="","",'Mau15'!K166)</f>
        <v/>
      </c>
      <c r="J163" s="48" t="str">
        <f>IF($B163="","",'Mau15'!M166)</f>
        <v/>
      </c>
      <c r="K163" s="48" t="str">
        <f t="shared" si="18"/>
        <v/>
      </c>
      <c r="L163" s="49" t="str">
        <f t="shared" si="19"/>
        <v/>
      </c>
      <c r="M163" s="48" t="str">
        <f>IF($B163="","",KT_nguoc_theo_NL!J160)</f>
        <v/>
      </c>
      <c r="N163" s="48" t="str">
        <f>IF($B163="","",KT_nguoc_theo_NL!K160)</f>
        <v/>
      </c>
      <c r="O163" s="48" t="str">
        <f t="shared" si="20"/>
        <v/>
      </c>
      <c r="P163" s="50" t="str">
        <f t="shared" si="21"/>
        <v/>
      </c>
      <c r="Q163" s="49" t="str">
        <f>IF($B163="","",IF(KT_nguoc_theo_NL!N160="Pass","Khớp",IF(KT_nguoc_theo_NL!N160="KXDDM","KXĐM",IF(KT_nguoc_theo_NL!N160="Xem xét","Cảnh báo",""))))</f>
        <v/>
      </c>
      <c r="R163" s="49" t="str">
        <f t="shared" si="22"/>
        <v/>
      </c>
      <c r="S163" s="31" t="str">
        <f t="shared" si="23"/>
        <v/>
      </c>
    </row>
    <row r="164" spans="1:19" x14ac:dyDescent="0.25">
      <c r="A164" s="36" t="str">
        <f>IF(B164="","",157)</f>
        <v/>
      </c>
      <c r="B164" s="36" t="str">
        <f>'Mau15'!B167&amp;""</f>
        <v/>
      </c>
      <c r="C164" s="47" t="str">
        <f>IF(B164="","",'Mau15'!C167)</f>
        <v/>
      </c>
      <c r="D164" s="36" t="str">
        <f>IF(B164="","",'Mau15'!D167)</f>
        <v/>
      </c>
      <c r="E164" s="48" t="str">
        <f>IF($B164="","",'Mau15'!P167)</f>
        <v/>
      </c>
      <c r="F164" s="48" t="str">
        <f>IF($B164="","",'Mau15'!F167)</f>
        <v/>
      </c>
      <c r="G164" s="48" t="str">
        <f t="shared" si="16"/>
        <v/>
      </c>
      <c r="H164" s="49" t="str">
        <f t="shared" si="17"/>
        <v/>
      </c>
      <c r="I164" s="48" t="str">
        <f>IF($B164="","",'Mau15'!K167)</f>
        <v/>
      </c>
      <c r="J164" s="48" t="str">
        <f>IF($B164="","",'Mau15'!M167)</f>
        <v/>
      </c>
      <c r="K164" s="48" t="str">
        <f t="shared" si="18"/>
        <v/>
      </c>
      <c r="L164" s="49" t="str">
        <f t="shared" si="19"/>
        <v/>
      </c>
      <c r="M164" s="48" t="str">
        <f>IF($B164="","",KT_nguoc_theo_NL!J161)</f>
        <v/>
      </c>
      <c r="N164" s="48" t="str">
        <f>IF($B164="","",KT_nguoc_theo_NL!K161)</f>
        <v/>
      </c>
      <c r="O164" s="48" t="str">
        <f t="shared" si="20"/>
        <v/>
      </c>
      <c r="P164" s="50" t="str">
        <f t="shared" si="21"/>
        <v/>
      </c>
      <c r="Q164" s="49" t="str">
        <f>IF($B164="","",IF(KT_nguoc_theo_NL!N161="Pass","Khớp",IF(KT_nguoc_theo_NL!N161="KXDDM","KXĐM",IF(KT_nguoc_theo_NL!N161="Xem xét","Cảnh báo",""))))</f>
        <v/>
      </c>
      <c r="R164" s="49" t="str">
        <f t="shared" si="22"/>
        <v/>
      </c>
      <c r="S164" s="31" t="str">
        <f t="shared" si="23"/>
        <v/>
      </c>
    </row>
    <row r="165" spans="1:19" x14ac:dyDescent="0.25">
      <c r="A165" s="36" t="str">
        <f>IF(B165="","",158)</f>
        <v/>
      </c>
      <c r="B165" s="36" t="str">
        <f>'Mau15'!B168&amp;""</f>
        <v/>
      </c>
      <c r="C165" s="47" t="str">
        <f>IF(B165="","",'Mau15'!C168)</f>
        <v/>
      </c>
      <c r="D165" s="36" t="str">
        <f>IF(B165="","",'Mau15'!D168)</f>
        <v/>
      </c>
      <c r="E165" s="48" t="str">
        <f>IF($B165="","",'Mau15'!P168)</f>
        <v/>
      </c>
      <c r="F165" s="48" t="str">
        <f>IF($B165="","",'Mau15'!F168)</f>
        <v/>
      </c>
      <c r="G165" s="48" t="str">
        <f t="shared" si="16"/>
        <v/>
      </c>
      <c r="H165" s="49" t="str">
        <f t="shared" si="17"/>
        <v/>
      </c>
      <c r="I165" s="48" t="str">
        <f>IF($B165="","",'Mau15'!K168)</f>
        <v/>
      </c>
      <c r="J165" s="48" t="str">
        <f>IF($B165="","",'Mau15'!M168)</f>
        <v/>
      </c>
      <c r="K165" s="48" t="str">
        <f t="shared" si="18"/>
        <v/>
      </c>
      <c r="L165" s="49" t="str">
        <f t="shared" si="19"/>
        <v/>
      </c>
      <c r="M165" s="48" t="str">
        <f>IF($B165="","",KT_nguoc_theo_NL!J162)</f>
        <v/>
      </c>
      <c r="N165" s="48" t="str">
        <f>IF($B165="","",KT_nguoc_theo_NL!K162)</f>
        <v/>
      </c>
      <c r="O165" s="48" t="str">
        <f t="shared" si="20"/>
        <v/>
      </c>
      <c r="P165" s="50" t="str">
        <f t="shared" si="21"/>
        <v/>
      </c>
      <c r="Q165" s="49" t="str">
        <f>IF($B165="","",IF(KT_nguoc_theo_NL!N162="Pass","Khớp",IF(KT_nguoc_theo_NL!N162="KXDDM","KXĐM",IF(KT_nguoc_theo_NL!N162="Xem xét","Cảnh báo",""))))</f>
        <v/>
      </c>
      <c r="R165" s="49" t="str">
        <f t="shared" si="22"/>
        <v/>
      </c>
      <c r="S165" s="31" t="str">
        <f t="shared" si="23"/>
        <v/>
      </c>
    </row>
    <row r="166" spans="1:19" x14ac:dyDescent="0.25">
      <c r="A166" s="36" t="str">
        <f>IF(B166="","",159)</f>
        <v/>
      </c>
      <c r="B166" s="36" t="str">
        <f>'Mau15'!B169&amp;""</f>
        <v/>
      </c>
      <c r="C166" s="47" t="str">
        <f>IF(B166="","",'Mau15'!C169)</f>
        <v/>
      </c>
      <c r="D166" s="36" t="str">
        <f>IF(B166="","",'Mau15'!D169)</f>
        <v/>
      </c>
      <c r="E166" s="48" t="str">
        <f>IF($B166="","",'Mau15'!P169)</f>
        <v/>
      </c>
      <c r="F166" s="48" t="str">
        <f>IF($B166="","",'Mau15'!F169)</f>
        <v/>
      </c>
      <c r="G166" s="48" t="str">
        <f t="shared" si="16"/>
        <v/>
      </c>
      <c r="H166" s="49" t="str">
        <f t="shared" si="17"/>
        <v/>
      </c>
      <c r="I166" s="48" t="str">
        <f>IF($B166="","",'Mau15'!K169)</f>
        <v/>
      </c>
      <c r="J166" s="48" t="str">
        <f>IF($B166="","",'Mau15'!M169)</f>
        <v/>
      </c>
      <c r="K166" s="48" t="str">
        <f t="shared" si="18"/>
        <v/>
      </c>
      <c r="L166" s="49" t="str">
        <f t="shared" si="19"/>
        <v/>
      </c>
      <c r="M166" s="48" t="str">
        <f>IF($B166="","",KT_nguoc_theo_NL!J163)</f>
        <v/>
      </c>
      <c r="N166" s="48" t="str">
        <f>IF($B166="","",KT_nguoc_theo_NL!K163)</f>
        <v/>
      </c>
      <c r="O166" s="48" t="str">
        <f t="shared" si="20"/>
        <v/>
      </c>
      <c r="P166" s="50" t="str">
        <f t="shared" si="21"/>
        <v/>
      </c>
      <c r="Q166" s="49" t="str">
        <f>IF($B166="","",IF(KT_nguoc_theo_NL!N163="Pass","Khớp",IF(KT_nguoc_theo_NL!N163="KXDDM","KXĐM",IF(KT_nguoc_theo_NL!N163="Xem xét","Cảnh báo",""))))</f>
        <v/>
      </c>
      <c r="R166" s="49" t="str">
        <f t="shared" si="22"/>
        <v/>
      </c>
      <c r="S166" s="31" t="str">
        <f t="shared" si="23"/>
        <v/>
      </c>
    </row>
    <row r="167" spans="1:19" x14ac:dyDescent="0.25">
      <c r="A167" s="36" t="str">
        <f>IF(B167="","",160)</f>
        <v/>
      </c>
      <c r="B167" s="36" t="str">
        <f>'Mau15'!B170&amp;""</f>
        <v/>
      </c>
      <c r="C167" s="47" t="str">
        <f>IF(B167="","",'Mau15'!C170)</f>
        <v/>
      </c>
      <c r="D167" s="36" t="str">
        <f>IF(B167="","",'Mau15'!D170)</f>
        <v/>
      </c>
      <c r="E167" s="48" t="str">
        <f>IF($B167="","",'Mau15'!P170)</f>
        <v/>
      </c>
      <c r="F167" s="48" t="str">
        <f>IF($B167="","",'Mau15'!F170)</f>
        <v/>
      </c>
      <c r="G167" s="48" t="str">
        <f t="shared" si="16"/>
        <v/>
      </c>
      <c r="H167" s="49" t="str">
        <f t="shared" si="17"/>
        <v/>
      </c>
      <c r="I167" s="48" t="str">
        <f>IF($B167="","",'Mau15'!K170)</f>
        <v/>
      </c>
      <c r="J167" s="48" t="str">
        <f>IF($B167="","",'Mau15'!M170)</f>
        <v/>
      </c>
      <c r="K167" s="48" t="str">
        <f t="shared" si="18"/>
        <v/>
      </c>
      <c r="L167" s="49" t="str">
        <f t="shared" si="19"/>
        <v/>
      </c>
      <c r="M167" s="48" t="str">
        <f>IF($B167="","",KT_nguoc_theo_NL!J164)</f>
        <v/>
      </c>
      <c r="N167" s="48" t="str">
        <f>IF($B167="","",KT_nguoc_theo_NL!K164)</f>
        <v/>
      </c>
      <c r="O167" s="48" t="str">
        <f t="shared" si="20"/>
        <v/>
      </c>
      <c r="P167" s="50" t="str">
        <f t="shared" si="21"/>
        <v/>
      </c>
      <c r="Q167" s="49" t="str">
        <f>IF($B167="","",IF(KT_nguoc_theo_NL!N164="Pass","Khớp",IF(KT_nguoc_theo_NL!N164="KXDDM","KXĐM",IF(KT_nguoc_theo_NL!N164="Xem xét","Cảnh báo",""))))</f>
        <v/>
      </c>
      <c r="R167" s="49" t="str">
        <f t="shared" si="22"/>
        <v/>
      </c>
      <c r="S167" s="31" t="str">
        <f t="shared" si="23"/>
        <v/>
      </c>
    </row>
    <row r="168" spans="1:19" x14ac:dyDescent="0.25">
      <c r="A168" s="36" t="str">
        <f>IF(B168="","",161)</f>
        <v/>
      </c>
      <c r="B168" s="36" t="str">
        <f>'Mau15'!B171&amp;""</f>
        <v/>
      </c>
      <c r="C168" s="47" t="str">
        <f>IF(B168="","",'Mau15'!C171)</f>
        <v/>
      </c>
      <c r="D168" s="36" t="str">
        <f>IF(B168="","",'Mau15'!D171)</f>
        <v/>
      </c>
      <c r="E168" s="48" t="str">
        <f>IF($B168="","",'Mau15'!P171)</f>
        <v/>
      </c>
      <c r="F168" s="48" t="str">
        <f>IF($B168="","",'Mau15'!F171)</f>
        <v/>
      </c>
      <c r="G168" s="48" t="str">
        <f t="shared" si="16"/>
        <v/>
      </c>
      <c r="H168" s="49" t="str">
        <f t="shared" si="17"/>
        <v/>
      </c>
      <c r="I168" s="48" t="str">
        <f>IF($B168="","",'Mau15'!K171)</f>
        <v/>
      </c>
      <c r="J168" s="48" t="str">
        <f>IF($B168="","",'Mau15'!M171)</f>
        <v/>
      </c>
      <c r="K168" s="48" t="str">
        <f t="shared" si="18"/>
        <v/>
      </c>
      <c r="L168" s="49" t="str">
        <f t="shared" si="19"/>
        <v/>
      </c>
      <c r="M168" s="48" t="str">
        <f>IF($B168="","",KT_nguoc_theo_NL!J165)</f>
        <v/>
      </c>
      <c r="N168" s="48" t="str">
        <f>IF($B168="","",KT_nguoc_theo_NL!K165)</f>
        <v/>
      </c>
      <c r="O168" s="48" t="str">
        <f t="shared" si="20"/>
        <v/>
      </c>
      <c r="P168" s="50" t="str">
        <f t="shared" si="21"/>
        <v/>
      </c>
      <c r="Q168" s="49" t="str">
        <f>IF($B168="","",IF(KT_nguoc_theo_NL!N165="Pass","Khớp",IF(KT_nguoc_theo_NL!N165="KXDDM","KXĐM",IF(KT_nguoc_theo_NL!N165="Xem xét","Cảnh báo",""))))</f>
        <v/>
      </c>
      <c r="R168" s="49" t="str">
        <f t="shared" si="22"/>
        <v/>
      </c>
      <c r="S168" s="31" t="str">
        <f t="shared" si="23"/>
        <v/>
      </c>
    </row>
    <row r="169" spans="1:19" x14ac:dyDescent="0.25">
      <c r="A169" s="36" t="str">
        <f>IF(B169="","",162)</f>
        <v/>
      </c>
      <c r="B169" s="36" t="str">
        <f>'Mau15'!B172&amp;""</f>
        <v/>
      </c>
      <c r="C169" s="47" t="str">
        <f>IF(B169="","",'Mau15'!C172)</f>
        <v/>
      </c>
      <c r="D169" s="36" t="str">
        <f>IF(B169="","",'Mau15'!D172)</f>
        <v/>
      </c>
      <c r="E169" s="48" t="str">
        <f>IF($B169="","",'Mau15'!P172)</f>
        <v/>
      </c>
      <c r="F169" s="48" t="str">
        <f>IF($B169="","",'Mau15'!F172)</f>
        <v/>
      </c>
      <c r="G169" s="48" t="str">
        <f t="shared" si="16"/>
        <v/>
      </c>
      <c r="H169" s="49" t="str">
        <f t="shared" si="17"/>
        <v/>
      </c>
      <c r="I169" s="48" t="str">
        <f>IF($B169="","",'Mau15'!K172)</f>
        <v/>
      </c>
      <c r="J169" s="48" t="str">
        <f>IF($B169="","",'Mau15'!M172)</f>
        <v/>
      </c>
      <c r="K169" s="48" t="str">
        <f t="shared" si="18"/>
        <v/>
      </c>
      <c r="L169" s="49" t="str">
        <f t="shared" si="19"/>
        <v/>
      </c>
      <c r="M169" s="48" t="str">
        <f>IF($B169="","",KT_nguoc_theo_NL!J166)</f>
        <v/>
      </c>
      <c r="N169" s="48" t="str">
        <f>IF($B169="","",KT_nguoc_theo_NL!K166)</f>
        <v/>
      </c>
      <c r="O169" s="48" t="str">
        <f t="shared" si="20"/>
        <v/>
      </c>
      <c r="P169" s="50" t="str">
        <f t="shared" si="21"/>
        <v/>
      </c>
      <c r="Q169" s="49" t="str">
        <f>IF($B169="","",IF(KT_nguoc_theo_NL!N166="Pass","Khớp",IF(KT_nguoc_theo_NL!N166="KXDDM","KXĐM",IF(KT_nguoc_theo_NL!N166="Xem xét","Cảnh báo",""))))</f>
        <v/>
      </c>
      <c r="R169" s="49" t="str">
        <f t="shared" si="22"/>
        <v/>
      </c>
      <c r="S169" s="31" t="str">
        <f t="shared" si="23"/>
        <v/>
      </c>
    </row>
    <row r="170" spans="1:19" x14ac:dyDescent="0.25">
      <c r="A170" s="36" t="str">
        <f>IF(B170="","",163)</f>
        <v/>
      </c>
      <c r="B170" s="36" t="str">
        <f>'Mau15'!B173&amp;""</f>
        <v/>
      </c>
      <c r="C170" s="47" t="str">
        <f>IF(B170="","",'Mau15'!C173)</f>
        <v/>
      </c>
      <c r="D170" s="36" t="str">
        <f>IF(B170="","",'Mau15'!D173)</f>
        <v/>
      </c>
      <c r="E170" s="48" t="str">
        <f>IF($B170="","",'Mau15'!P173)</f>
        <v/>
      </c>
      <c r="F170" s="48" t="str">
        <f>IF($B170="","",'Mau15'!F173)</f>
        <v/>
      </c>
      <c r="G170" s="48" t="str">
        <f t="shared" si="16"/>
        <v/>
      </c>
      <c r="H170" s="49" t="str">
        <f t="shared" si="17"/>
        <v/>
      </c>
      <c r="I170" s="48" t="str">
        <f>IF($B170="","",'Mau15'!K173)</f>
        <v/>
      </c>
      <c r="J170" s="48" t="str">
        <f>IF($B170="","",'Mau15'!M173)</f>
        <v/>
      </c>
      <c r="K170" s="48" t="str">
        <f t="shared" si="18"/>
        <v/>
      </c>
      <c r="L170" s="49" t="str">
        <f t="shared" si="19"/>
        <v/>
      </c>
      <c r="M170" s="48" t="str">
        <f>IF($B170="","",KT_nguoc_theo_NL!J167)</f>
        <v/>
      </c>
      <c r="N170" s="48" t="str">
        <f>IF($B170="","",KT_nguoc_theo_NL!K167)</f>
        <v/>
      </c>
      <c r="O170" s="48" t="str">
        <f t="shared" si="20"/>
        <v/>
      </c>
      <c r="P170" s="50" t="str">
        <f t="shared" si="21"/>
        <v/>
      </c>
      <c r="Q170" s="49" t="str">
        <f>IF($B170="","",IF(KT_nguoc_theo_NL!N167="Pass","Khớp",IF(KT_nguoc_theo_NL!N167="KXDDM","KXĐM",IF(KT_nguoc_theo_NL!N167="Xem xét","Cảnh báo",""))))</f>
        <v/>
      </c>
      <c r="R170" s="49" t="str">
        <f t="shared" si="22"/>
        <v/>
      </c>
      <c r="S170" s="31" t="str">
        <f t="shared" si="23"/>
        <v/>
      </c>
    </row>
    <row r="171" spans="1:19" x14ac:dyDescent="0.25">
      <c r="A171" s="36" t="str">
        <f>IF(B171="","",164)</f>
        <v/>
      </c>
      <c r="B171" s="36" t="str">
        <f>'Mau15'!B174&amp;""</f>
        <v/>
      </c>
      <c r="C171" s="47" t="str">
        <f>IF(B171="","",'Mau15'!C174)</f>
        <v/>
      </c>
      <c r="D171" s="36" t="str">
        <f>IF(B171="","",'Mau15'!D174)</f>
        <v/>
      </c>
      <c r="E171" s="48" t="str">
        <f>IF($B171="","",'Mau15'!P174)</f>
        <v/>
      </c>
      <c r="F171" s="48" t="str">
        <f>IF($B171="","",'Mau15'!F174)</f>
        <v/>
      </c>
      <c r="G171" s="48" t="str">
        <f t="shared" si="16"/>
        <v/>
      </c>
      <c r="H171" s="49" t="str">
        <f t="shared" si="17"/>
        <v/>
      </c>
      <c r="I171" s="48" t="str">
        <f>IF($B171="","",'Mau15'!K174)</f>
        <v/>
      </c>
      <c r="J171" s="48" t="str">
        <f>IF($B171="","",'Mau15'!M174)</f>
        <v/>
      </c>
      <c r="K171" s="48" t="str">
        <f t="shared" si="18"/>
        <v/>
      </c>
      <c r="L171" s="49" t="str">
        <f t="shared" si="19"/>
        <v/>
      </c>
      <c r="M171" s="48" t="str">
        <f>IF($B171="","",KT_nguoc_theo_NL!J168)</f>
        <v/>
      </c>
      <c r="N171" s="48" t="str">
        <f>IF($B171="","",KT_nguoc_theo_NL!K168)</f>
        <v/>
      </c>
      <c r="O171" s="48" t="str">
        <f t="shared" si="20"/>
        <v/>
      </c>
      <c r="P171" s="50" t="str">
        <f t="shared" si="21"/>
        <v/>
      </c>
      <c r="Q171" s="49" t="str">
        <f>IF($B171="","",IF(KT_nguoc_theo_NL!N168="Pass","Khớp",IF(KT_nguoc_theo_NL!N168="KXDDM","KXĐM",IF(KT_nguoc_theo_NL!N168="Xem xét","Cảnh báo",""))))</f>
        <v/>
      </c>
      <c r="R171" s="49" t="str">
        <f t="shared" si="22"/>
        <v/>
      </c>
      <c r="S171" s="31" t="str">
        <f t="shared" si="23"/>
        <v/>
      </c>
    </row>
    <row r="172" spans="1:19" x14ac:dyDescent="0.25">
      <c r="A172" s="36" t="str">
        <f>IF(B172="","",165)</f>
        <v/>
      </c>
      <c r="B172" s="36" t="str">
        <f>'Mau15'!B175&amp;""</f>
        <v/>
      </c>
      <c r="C172" s="47" t="str">
        <f>IF(B172="","",'Mau15'!C175)</f>
        <v/>
      </c>
      <c r="D172" s="36" t="str">
        <f>IF(B172="","",'Mau15'!D175)</f>
        <v/>
      </c>
      <c r="E172" s="48" t="str">
        <f>IF($B172="","",'Mau15'!P175)</f>
        <v/>
      </c>
      <c r="F172" s="48" t="str">
        <f>IF($B172="","",'Mau15'!F175)</f>
        <v/>
      </c>
      <c r="G172" s="48" t="str">
        <f t="shared" si="16"/>
        <v/>
      </c>
      <c r="H172" s="49" t="str">
        <f t="shared" si="17"/>
        <v/>
      </c>
      <c r="I172" s="48" t="str">
        <f>IF($B172="","",'Mau15'!K175)</f>
        <v/>
      </c>
      <c r="J172" s="48" t="str">
        <f>IF($B172="","",'Mau15'!M175)</f>
        <v/>
      </c>
      <c r="K172" s="48" t="str">
        <f t="shared" si="18"/>
        <v/>
      </c>
      <c r="L172" s="49" t="str">
        <f t="shared" si="19"/>
        <v/>
      </c>
      <c r="M172" s="48" t="str">
        <f>IF($B172="","",KT_nguoc_theo_NL!J169)</f>
        <v/>
      </c>
      <c r="N172" s="48" t="str">
        <f>IF($B172="","",KT_nguoc_theo_NL!K169)</f>
        <v/>
      </c>
      <c r="O172" s="48" t="str">
        <f t="shared" si="20"/>
        <v/>
      </c>
      <c r="P172" s="50" t="str">
        <f t="shared" si="21"/>
        <v/>
      </c>
      <c r="Q172" s="49" t="str">
        <f>IF($B172="","",IF(KT_nguoc_theo_NL!N169="Pass","Khớp",IF(KT_nguoc_theo_NL!N169="KXDDM","KXĐM",IF(KT_nguoc_theo_NL!N169="Xem xét","Cảnh báo",""))))</f>
        <v/>
      </c>
      <c r="R172" s="49" t="str">
        <f t="shared" si="22"/>
        <v/>
      </c>
      <c r="S172" s="31" t="str">
        <f t="shared" si="23"/>
        <v/>
      </c>
    </row>
    <row r="173" spans="1:19" x14ac:dyDescent="0.25">
      <c r="A173" s="36" t="str">
        <f>IF(B173="","",166)</f>
        <v/>
      </c>
      <c r="B173" s="36" t="str">
        <f>'Mau15'!B176&amp;""</f>
        <v/>
      </c>
      <c r="C173" s="47" t="str">
        <f>IF(B173="","",'Mau15'!C176)</f>
        <v/>
      </c>
      <c r="D173" s="36" t="str">
        <f>IF(B173="","",'Mau15'!D176)</f>
        <v/>
      </c>
      <c r="E173" s="48" t="str">
        <f>IF($B173="","",'Mau15'!P176)</f>
        <v/>
      </c>
      <c r="F173" s="48" t="str">
        <f>IF($B173="","",'Mau15'!F176)</f>
        <v/>
      </c>
      <c r="G173" s="48" t="str">
        <f t="shared" si="16"/>
        <v/>
      </c>
      <c r="H173" s="49" t="str">
        <f t="shared" si="17"/>
        <v/>
      </c>
      <c r="I173" s="48" t="str">
        <f>IF($B173="","",'Mau15'!K176)</f>
        <v/>
      </c>
      <c r="J173" s="48" t="str">
        <f>IF($B173="","",'Mau15'!M176)</f>
        <v/>
      </c>
      <c r="K173" s="48" t="str">
        <f t="shared" si="18"/>
        <v/>
      </c>
      <c r="L173" s="49" t="str">
        <f t="shared" si="19"/>
        <v/>
      </c>
      <c r="M173" s="48" t="str">
        <f>IF($B173="","",KT_nguoc_theo_NL!J170)</f>
        <v/>
      </c>
      <c r="N173" s="48" t="str">
        <f>IF($B173="","",KT_nguoc_theo_NL!K170)</f>
        <v/>
      </c>
      <c r="O173" s="48" t="str">
        <f t="shared" si="20"/>
        <v/>
      </c>
      <c r="P173" s="50" t="str">
        <f t="shared" si="21"/>
        <v/>
      </c>
      <c r="Q173" s="49" t="str">
        <f>IF($B173="","",IF(KT_nguoc_theo_NL!N170="Pass","Khớp",IF(KT_nguoc_theo_NL!N170="KXDDM","KXĐM",IF(KT_nguoc_theo_NL!N170="Xem xét","Cảnh báo",""))))</f>
        <v/>
      </c>
      <c r="R173" s="49" t="str">
        <f t="shared" si="22"/>
        <v/>
      </c>
      <c r="S173" s="31" t="str">
        <f t="shared" si="23"/>
        <v/>
      </c>
    </row>
    <row r="174" spans="1:19" x14ac:dyDescent="0.25">
      <c r="A174" s="36" t="str">
        <f>IF(B174="","",167)</f>
        <v/>
      </c>
      <c r="B174" s="36" t="str">
        <f>'Mau15'!B177&amp;""</f>
        <v/>
      </c>
      <c r="C174" s="47" t="str">
        <f>IF(B174="","",'Mau15'!C177)</f>
        <v/>
      </c>
      <c r="D174" s="36" t="str">
        <f>IF(B174="","",'Mau15'!D177)</f>
        <v/>
      </c>
      <c r="E174" s="48" t="str">
        <f>IF($B174="","",'Mau15'!P177)</f>
        <v/>
      </c>
      <c r="F174" s="48" t="str">
        <f>IF($B174="","",'Mau15'!F177)</f>
        <v/>
      </c>
      <c r="G174" s="48" t="str">
        <f t="shared" si="16"/>
        <v/>
      </c>
      <c r="H174" s="49" t="str">
        <f t="shared" si="17"/>
        <v/>
      </c>
      <c r="I174" s="48" t="str">
        <f>IF($B174="","",'Mau15'!K177)</f>
        <v/>
      </c>
      <c r="J174" s="48" t="str">
        <f>IF($B174="","",'Mau15'!M177)</f>
        <v/>
      </c>
      <c r="K174" s="48" t="str">
        <f t="shared" si="18"/>
        <v/>
      </c>
      <c r="L174" s="49" t="str">
        <f t="shared" si="19"/>
        <v/>
      </c>
      <c r="M174" s="48" t="str">
        <f>IF($B174="","",KT_nguoc_theo_NL!J171)</f>
        <v/>
      </c>
      <c r="N174" s="48" t="str">
        <f>IF($B174="","",KT_nguoc_theo_NL!K171)</f>
        <v/>
      </c>
      <c r="O174" s="48" t="str">
        <f t="shared" si="20"/>
        <v/>
      </c>
      <c r="P174" s="50" t="str">
        <f t="shared" si="21"/>
        <v/>
      </c>
      <c r="Q174" s="49" t="str">
        <f>IF($B174="","",IF(KT_nguoc_theo_NL!N171="Pass","Khớp",IF(KT_nguoc_theo_NL!N171="KXDDM","KXĐM",IF(KT_nguoc_theo_NL!N171="Xem xét","Cảnh báo",""))))</f>
        <v/>
      </c>
      <c r="R174" s="49" t="str">
        <f t="shared" si="22"/>
        <v/>
      </c>
      <c r="S174" s="31" t="str">
        <f t="shared" si="23"/>
        <v/>
      </c>
    </row>
    <row r="175" spans="1:19" x14ac:dyDescent="0.25">
      <c r="A175" s="36" t="str">
        <f>IF(B175="","",168)</f>
        <v/>
      </c>
      <c r="B175" s="36" t="str">
        <f>'Mau15'!B178&amp;""</f>
        <v/>
      </c>
      <c r="C175" s="47" t="str">
        <f>IF(B175="","",'Mau15'!C178)</f>
        <v/>
      </c>
      <c r="D175" s="36" t="str">
        <f>IF(B175="","",'Mau15'!D178)</f>
        <v/>
      </c>
      <c r="E175" s="48" t="str">
        <f>IF($B175="","",'Mau15'!P178)</f>
        <v/>
      </c>
      <c r="F175" s="48" t="str">
        <f>IF($B175="","",'Mau15'!F178)</f>
        <v/>
      </c>
      <c r="G175" s="48" t="str">
        <f t="shared" si="16"/>
        <v/>
      </c>
      <c r="H175" s="49" t="str">
        <f t="shared" si="17"/>
        <v/>
      </c>
      <c r="I175" s="48" t="str">
        <f>IF($B175="","",'Mau15'!K178)</f>
        <v/>
      </c>
      <c r="J175" s="48" t="str">
        <f>IF($B175="","",'Mau15'!M178)</f>
        <v/>
      </c>
      <c r="K175" s="48" t="str">
        <f t="shared" si="18"/>
        <v/>
      </c>
      <c r="L175" s="49" t="str">
        <f t="shared" si="19"/>
        <v/>
      </c>
      <c r="M175" s="48" t="str">
        <f>IF($B175="","",KT_nguoc_theo_NL!J172)</f>
        <v/>
      </c>
      <c r="N175" s="48" t="str">
        <f>IF($B175="","",KT_nguoc_theo_NL!K172)</f>
        <v/>
      </c>
      <c r="O175" s="48" t="str">
        <f t="shared" si="20"/>
        <v/>
      </c>
      <c r="P175" s="50" t="str">
        <f t="shared" si="21"/>
        <v/>
      </c>
      <c r="Q175" s="49" t="str">
        <f>IF($B175="","",IF(KT_nguoc_theo_NL!N172="Pass","Khớp",IF(KT_nguoc_theo_NL!N172="KXDDM","KXĐM",IF(KT_nguoc_theo_NL!N172="Xem xét","Cảnh báo",""))))</f>
        <v/>
      </c>
      <c r="R175" s="49" t="str">
        <f t="shared" si="22"/>
        <v/>
      </c>
      <c r="S175" s="31" t="str">
        <f t="shared" si="23"/>
        <v/>
      </c>
    </row>
    <row r="176" spans="1:19" x14ac:dyDescent="0.25">
      <c r="A176" s="36" t="str">
        <f>IF(B176="","",169)</f>
        <v/>
      </c>
      <c r="B176" s="36" t="str">
        <f>'Mau15'!B179&amp;""</f>
        <v/>
      </c>
      <c r="C176" s="47" t="str">
        <f>IF(B176="","",'Mau15'!C179)</f>
        <v/>
      </c>
      <c r="D176" s="36" t="str">
        <f>IF(B176="","",'Mau15'!D179)</f>
        <v/>
      </c>
      <c r="E176" s="48" t="str">
        <f>IF($B176="","",'Mau15'!P179)</f>
        <v/>
      </c>
      <c r="F176" s="48" t="str">
        <f>IF($B176="","",'Mau15'!F179)</f>
        <v/>
      </c>
      <c r="G176" s="48" t="str">
        <f t="shared" si="16"/>
        <v/>
      </c>
      <c r="H176" s="49" t="str">
        <f t="shared" si="17"/>
        <v/>
      </c>
      <c r="I176" s="48" t="str">
        <f>IF($B176="","",'Mau15'!K179)</f>
        <v/>
      </c>
      <c r="J176" s="48" t="str">
        <f>IF($B176="","",'Mau15'!M179)</f>
        <v/>
      </c>
      <c r="K176" s="48" t="str">
        <f t="shared" si="18"/>
        <v/>
      </c>
      <c r="L176" s="49" t="str">
        <f t="shared" si="19"/>
        <v/>
      </c>
      <c r="M176" s="48" t="str">
        <f>IF($B176="","",KT_nguoc_theo_NL!J173)</f>
        <v/>
      </c>
      <c r="N176" s="48" t="str">
        <f>IF($B176="","",KT_nguoc_theo_NL!K173)</f>
        <v/>
      </c>
      <c r="O176" s="48" t="str">
        <f t="shared" si="20"/>
        <v/>
      </c>
      <c r="P176" s="50" t="str">
        <f t="shared" si="21"/>
        <v/>
      </c>
      <c r="Q176" s="49" t="str">
        <f>IF($B176="","",IF(KT_nguoc_theo_NL!N173="Pass","Khớp",IF(KT_nguoc_theo_NL!N173="KXDDM","KXĐM",IF(KT_nguoc_theo_NL!N173="Xem xét","Cảnh báo",""))))</f>
        <v/>
      </c>
      <c r="R176" s="49" t="str">
        <f t="shared" si="22"/>
        <v/>
      </c>
      <c r="S176" s="31" t="str">
        <f t="shared" si="23"/>
        <v/>
      </c>
    </row>
    <row r="177" spans="1:19" x14ac:dyDescent="0.25">
      <c r="A177" s="36" t="str">
        <f>IF(B177="","",170)</f>
        <v/>
      </c>
      <c r="B177" s="36" t="str">
        <f>'Mau15'!B180&amp;""</f>
        <v/>
      </c>
      <c r="C177" s="47" t="str">
        <f>IF(B177="","",'Mau15'!C180)</f>
        <v/>
      </c>
      <c r="D177" s="36" t="str">
        <f>IF(B177="","",'Mau15'!D180)</f>
        <v/>
      </c>
      <c r="E177" s="48" t="str">
        <f>IF($B177="","",'Mau15'!P180)</f>
        <v/>
      </c>
      <c r="F177" s="48" t="str">
        <f>IF($B177="","",'Mau15'!F180)</f>
        <v/>
      </c>
      <c r="G177" s="48" t="str">
        <f t="shared" si="16"/>
        <v/>
      </c>
      <c r="H177" s="49" t="str">
        <f t="shared" si="17"/>
        <v/>
      </c>
      <c r="I177" s="48" t="str">
        <f>IF($B177="","",'Mau15'!K180)</f>
        <v/>
      </c>
      <c r="J177" s="48" t="str">
        <f>IF($B177="","",'Mau15'!M180)</f>
        <v/>
      </c>
      <c r="K177" s="48" t="str">
        <f t="shared" si="18"/>
        <v/>
      </c>
      <c r="L177" s="49" t="str">
        <f t="shared" si="19"/>
        <v/>
      </c>
      <c r="M177" s="48" t="str">
        <f>IF($B177="","",KT_nguoc_theo_NL!J174)</f>
        <v/>
      </c>
      <c r="N177" s="48" t="str">
        <f>IF($B177="","",KT_nguoc_theo_NL!K174)</f>
        <v/>
      </c>
      <c r="O177" s="48" t="str">
        <f t="shared" si="20"/>
        <v/>
      </c>
      <c r="P177" s="50" t="str">
        <f t="shared" si="21"/>
        <v/>
      </c>
      <c r="Q177" s="49" t="str">
        <f>IF($B177="","",IF(KT_nguoc_theo_NL!N174="Pass","Khớp",IF(KT_nguoc_theo_NL!N174="KXDDM","KXĐM",IF(KT_nguoc_theo_NL!N174="Xem xét","Cảnh báo",""))))</f>
        <v/>
      </c>
      <c r="R177" s="49" t="str">
        <f t="shared" si="22"/>
        <v/>
      </c>
      <c r="S177" s="31" t="str">
        <f t="shared" si="23"/>
        <v/>
      </c>
    </row>
    <row r="178" spans="1:19" x14ac:dyDescent="0.25">
      <c r="A178" s="36" t="str">
        <f>IF(B178="","",171)</f>
        <v/>
      </c>
      <c r="B178" s="36" t="str">
        <f>'Mau15'!B181&amp;""</f>
        <v/>
      </c>
      <c r="C178" s="47" t="str">
        <f>IF(B178="","",'Mau15'!C181)</f>
        <v/>
      </c>
      <c r="D178" s="36" t="str">
        <f>IF(B178="","",'Mau15'!D181)</f>
        <v/>
      </c>
      <c r="E178" s="48" t="str">
        <f>IF($B178="","",'Mau15'!P181)</f>
        <v/>
      </c>
      <c r="F178" s="48" t="str">
        <f>IF($B178="","",'Mau15'!F181)</f>
        <v/>
      </c>
      <c r="G178" s="48" t="str">
        <f t="shared" si="16"/>
        <v/>
      </c>
      <c r="H178" s="49" t="str">
        <f t="shared" si="17"/>
        <v/>
      </c>
      <c r="I178" s="48" t="str">
        <f>IF($B178="","",'Mau15'!K181)</f>
        <v/>
      </c>
      <c r="J178" s="48" t="str">
        <f>IF($B178="","",'Mau15'!M181)</f>
        <v/>
      </c>
      <c r="K178" s="48" t="str">
        <f t="shared" si="18"/>
        <v/>
      </c>
      <c r="L178" s="49" t="str">
        <f t="shared" si="19"/>
        <v/>
      </c>
      <c r="M178" s="48" t="str">
        <f>IF($B178="","",KT_nguoc_theo_NL!J175)</f>
        <v/>
      </c>
      <c r="N178" s="48" t="str">
        <f>IF($B178="","",KT_nguoc_theo_NL!K175)</f>
        <v/>
      </c>
      <c r="O178" s="48" t="str">
        <f t="shared" si="20"/>
        <v/>
      </c>
      <c r="P178" s="50" t="str">
        <f t="shared" si="21"/>
        <v/>
      </c>
      <c r="Q178" s="49" t="str">
        <f>IF($B178="","",IF(KT_nguoc_theo_NL!N175="Pass","Khớp",IF(KT_nguoc_theo_NL!N175="KXDDM","KXĐM",IF(KT_nguoc_theo_NL!N175="Xem xét","Cảnh báo",""))))</f>
        <v/>
      </c>
      <c r="R178" s="49" t="str">
        <f t="shared" si="22"/>
        <v/>
      </c>
      <c r="S178" s="31" t="str">
        <f t="shared" si="23"/>
        <v/>
      </c>
    </row>
    <row r="179" spans="1:19" x14ac:dyDescent="0.25">
      <c r="A179" s="36" t="str">
        <f>IF(B179="","",172)</f>
        <v/>
      </c>
      <c r="B179" s="36" t="str">
        <f>'Mau15'!B182&amp;""</f>
        <v/>
      </c>
      <c r="C179" s="47" t="str">
        <f>IF(B179="","",'Mau15'!C182)</f>
        <v/>
      </c>
      <c r="D179" s="36" t="str">
        <f>IF(B179="","",'Mau15'!D182)</f>
        <v/>
      </c>
      <c r="E179" s="48" t="str">
        <f>IF($B179="","",'Mau15'!P182)</f>
        <v/>
      </c>
      <c r="F179" s="48" t="str">
        <f>IF($B179="","",'Mau15'!F182)</f>
        <v/>
      </c>
      <c r="G179" s="48" t="str">
        <f t="shared" si="16"/>
        <v/>
      </c>
      <c r="H179" s="49" t="str">
        <f t="shared" si="17"/>
        <v/>
      </c>
      <c r="I179" s="48" t="str">
        <f>IF($B179="","",'Mau15'!K182)</f>
        <v/>
      </c>
      <c r="J179" s="48" t="str">
        <f>IF($B179="","",'Mau15'!M182)</f>
        <v/>
      </c>
      <c r="K179" s="48" t="str">
        <f t="shared" si="18"/>
        <v/>
      </c>
      <c r="L179" s="49" t="str">
        <f t="shared" si="19"/>
        <v/>
      </c>
      <c r="M179" s="48" t="str">
        <f>IF($B179="","",KT_nguoc_theo_NL!J176)</f>
        <v/>
      </c>
      <c r="N179" s="48" t="str">
        <f>IF($B179="","",KT_nguoc_theo_NL!K176)</f>
        <v/>
      </c>
      <c r="O179" s="48" t="str">
        <f t="shared" si="20"/>
        <v/>
      </c>
      <c r="P179" s="50" t="str">
        <f t="shared" si="21"/>
        <v/>
      </c>
      <c r="Q179" s="49" t="str">
        <f>IF($B179="","",IF(KT_nguoc_theo_NL!N176="Pass","Khớp",IF(KT_nguoc_theo_NL!N176="KXDDM","KXĐM",IF(KT_nguoc_theo_NL!N176="Xem xét","Cảnh báo",""))))</f>
        <v/>
      </c>
      <c r="R179" s="49" t="str">
        <f t="shared" si="22"/>
        <v/>
      </c>
      <c r="S179" s="31" t="str">
        <f t="shared" si="23"/>
        <v/>
      </c>
    </row>
    <row r="180" spans="1:19" x14ac:dyDescent="0.25">
      <c r="A180" s="36" t="str">
        <f>IF(B180="","",173)</f>
        <v/>
      </c>
      <c r="B180" s="36" t="str">
        <f>'Mau15'!B183&amp;""</f>
        <v/>
      </c>
      <c r="C180" s="47" t="str">
        <f>IF(B180="","",'Mau15'!C183)</f>
        <v/>
      </c>
      <c r="D180" s="36" t="str">
        <f>IF(B180="","",'Mau15'!D183)</f>
        <v/>
      </c>
      <c r="E180" s="48" t="str">
        <f>IF($B180="","",'Mau15'!P183)</f>
        <v/>
      </c>
      <c r="F180" s="48" t="str">
        <f>IF($B180="","",'Mau15'!F183)</f>
        <v/>
      </c>
      <c r="G180" s="48" t="str">
        <f t="shared" si="16"/>
        <v/>
      </c>
      <c r="H180" s="49" t="str">
        <f t="shared" si="17"/>
        <v/>
      </c>
      <c r="I180" s="48" t="str">
        <f>IF($B180="","",'Mau15'!K183)</f>
        <v/>
      </c>
      <c r="J180" s="48" t="str">
        <f>IF($B180="","",'Mau15'!M183)</f>
        <v/>
      </c>
      <c r="K180" s="48" t="str">
        <f t="shared" si="18"/>
        <v/>
      </c>
      <c r="L180" s="49" t="str">
        <f t="shared" si="19"/>
        <v/>
      </c>
      <c r="M180" s="48" t="str">
        <f>IF($B180="","",KT_nguoc_theo_NL!J177)</f>
        <v/>
      </c>
      <c r="N180" s="48" t="str">
        <f>IF($B180="","",KT_nguoc_theo_NL!K177)</f>
        <v/>
      </c>
      <c r="O180" s="48" t="str">
        <f t="shared" si="20"/>
        <v/>
      </c>
      <c r="P180" s="50" t="str">
        <f t="shared" si="21"/>
        <v/>
      </c>
      <c r="Q180" s="49" t="str">
        <f>IF($B180="","",IF(KT_nguoc_theo_NL!N177="Pass","Khớp",IF(KT_nguoc_theo_NL!N177="KXDDM","KXĐM",IF(KT_nguoc_theo_NL!N177="Xem xét","Cảnh báo",""))))</f>
        <v/>
      </c>
      <c r="R180" s="49" t="str">
        <f t="shared" si="22"/>
        <v/>
      </c>
      <c r="S180" s="31" t="str">
        <f t="shared" si="23"/>
        <v/>
      </c>
    </row>
    <row r="181" spans="1:19" x14ac:dyDescent="0.25">
      <c r="A181" s="36" t="str">
        <f>IF(B181="","",174)</f>
        <v/>
      </c>
      <c r="B181" s="36" t="str">
        <f>'Mau15'!B184&amp;""</f>
        <v/>
      </c>
      <c r="C181" s="47" t="str">
        <f>IF(B181="","",'Mau15'!C184)</f>
        <v/>
      </c>
      <c r="D181" s="36" t="str">
        <f>IF(B181="","",'Mau15'!D184)</f>
        <v/>
      </c>
      <c r="E181" s="48" t="str">
        <f>IF($B181="","",'Mau15'!P184)</f>
        <v/>
      </c>
      <c r="F181" s="48" t="str">
        <f>IF($B181="","",'Mau15'!F184)</f>
        <v/>
      </c>
      <c r="G181" s="48" t="str">
        <f t="shared" si="16"/>
        <v/>
      </c>
      <c r="H181" s="49" t="str">
        <f t="shared" si="17"/>
        <v/>
      </c>
      <c r="I181" s="48" t="str">
        <f>IF($B181="","",'Mau15'!K184)</f>
        <v/>
      </c>
      <c r="J181" s="48" t="str">
        <f>IF($B181="","",'Mau15'!M184)</f>
        <v/>
      </c>
      <c r="K181" s="48" t="str">
        <f t="shared" si="18"/>
        <v/>
      </c>
      <c r="L181" s="49" t="str">
        <f t="shared" si="19"/>
        <v/>
      </c>
      <c r="M181" s="48" t="str">
        <f>IF($B181="","",KT_nguoc_theo_NL!J178)</f>
        <v/>
      </c>
      <c r="N181" s="48" t="str">
        <f>IF($B181="","",KT_nguoc_theo_NL!K178)</f>
        <v/>
      </c>
      <c r="O181" s="48" t="str">
        <f t="shared" si="20"/>
        <v/>
      </c>
      <c r="P181" s="50" t="str">
        <f t="shared" si="21"/>
        <v/>
      </c>
      <c r="Q181" s="49" t="str">
        <f>IF($B181="","",IF(KT_nguoc_theo_NL!N178="Pass","Khớp",IF(KT_nguoc_theo_NL!N178="KXDDM","KXĐM",IF(KT_nguoc_theo_NL!N178="Xem xét","Cảnh báo",""))))</f>
        <v/>
      </c>
      <c r="R181" s="49" t="str">
        <f t="shared" si="22"/>
        <v/>
      </c>
      <c r="S181" s="31" t="str">
        <f t="shared" si="23"/>
        <v/>
      </c>
    </row>
    <row r="182" spans="1:19" x14ac:dyDescent="0.25">
      <c r="A182" s="36" t="str">
        <f>IF(B182="","",175)</f>
        <v/>
      </c>
      <c r="B182" s="36" t="str">
        <f>'Mau15'!B185&amp;""</f>
        <v/>
      </c>
      <c r="C182" s="47" t="str">
        <f>IF(B182="","",'Mau15'!C185)</f>
        <v/>
      </c>
      <c r="D182" s="36" t="str">
        <f>IF(B182="","",'Mau15'!D185)</f>
        <v/>
      </c>
      <c r="E182" s="48" t="str">
        <f>IF($B182="","",'Mau15'!P185)</f>
        <v/>
      </c>
      <c r="F182" s="48" t="str">
        <f>IF($B182="","",'Mau15'!F185)</f>
        <v/>
      </c>
      <c r="G182" s="48" t="str">
        <f t="shared" si="16"/>
        <v/>
      </c>
      <c r="H182" s="49" t="str">
        <f t="shared" si="17"/>
        <v/>
      </c>
      <c r="I182" s="48" t="str">
        <f>IF($B182="","",'Mau15'!K185)</f>
        <v/>
      </c>
      <c r="J182" s="48" t="str">
        <f>IF($B182="","",'Mau15'!M185)</f>
        <v/>
      </c>
      <c r="K182" s="48" t="str">
        <f t="shared" si="18"/>
        <v/>
      </c>
      <c r="L182" s="49" t="str">
        <f t="shared" si="19"/>
        <v/>
      </c>
      <c r="M182" s="48" t="str">
        <f>IF($B182="","",KT_nguoc_theo_NL!J179)</f>
        <v/>
      </c>
      <c r="N182" s="48" t="str">
        <f>IF($B182="","",KT_nguoc_theo_NL!K179)</f>
        <v/>
      </c>
      <c r="O182" s="48" t="str">
        <f t="shared" si="20"/>
        <v/>
      </c>
      <c r="P182" s="50" t="str">
        <f t="shared" si="21"/>
        <v/>
      </c>
      <c r="Q182" s="49" t="str">
        <f>IF($B182="","",IF(KT_nguoc_theo_NL!N179="Pass","Khớp",IF(KT_nguoc_theo_NL!N179="KXDDM","KXĐM",IF(KT_nguoc_theo_NL!N179="Xem xét","Cảnh báo",""))))</f>
        <v/>
      </c>
      <c r="R182" s="49" t="str">
        <f t="shared" si="22"/>
        <v/>
      </c>
      <c r="S182" s="31" t="str">
        <f t="shared" si="23"/>
        <v/>
      </c>
    </row>
    <row r="183" spans="1:19" x14ac:dyDescent="0.25">
      <c r="A183" s="36" t="str">
        <f>IF(B183="","",176)</f>
        <v/>
      </c>
      <c r="B183" s="36" t="str">
        <f>'Mau15'!B186&amp;""</f>
        <v/>
      </c>
      <c r="C183" s="47" t="str">
        <f>IF(B183="","",'Mau15'!C186)</f>
        <v/>
      </c>
      <c r="D183" s="36" t="str">
        <f>IF(B183="","",'Mau15'!D186)</f>
        <v/>
      </c>
      <c r="E183" s="48" t="str">
        <f>IF($B183="","",'Mau15'!P186)</f>
        <v/>
      </c>
      <c r="F183" s="48" t="str">
        <f>IF($B183="","",'Mau15'!F186)</f>
        <v/>
      </c>
      <c r="G183" s="48" t="str">
        <f t="shared" si="16"/>
        <v/>
      </c>
      <c r="H183" s="49" t="str">
        <f t="shared" si="17"/>
        <v/>
      </c>
      <c r="I183" s="48" t="str">
        <f>IF($B183="","",'Mau15'!K186)</f>
        <v/>
      </c>
      <c r="J183" s="48" t="str">
        <f>IF($B183="","",'Mau15'!M186)</f>
        <v/>
      </c>
      <c r="K183" s="48" t="str">
        <f t="shared" si="18"/>
        <v/>
      </c>
      <c r="L183" s="49" t="str">
        <f t="shared" si="19"/>
        <v/>
      </c>
      <c r="M183" s="48" t="str">
        <f>IF($B183="","",KT_nguoc_theo_NL!J180)</f>
        <v/>
      </c>
      <c r="N183" s="48" t="str">
        <f>IF($B183="","",KT_nguoc_theo_NL!K180)</f>
        <v/>
      </c>
      <c r="O183" s="48" t="str">
        <f t="shared" si="20"/>
        <v/>
      </c>
      <c r="P183" s="50" t="str">
        <f t="shared" si="21"/>
        <v/>
      </c>
      <c r="Q183" s="49" t="str">
        <f>IF($B183="","",IF(KT_nguoc_theo_NL!N180="Pass","Khớp",IF(KT_nguoc_theo_NL!N180="KXDDM","KXĐM",IF(KT_nguoc_theo_NL!N180="Xem xét","Cảnh báo",""))))</f>
        <v/>
      </c>
      <c r="R183" s="49" t="str">
        <f t="shared" si="22"/>
        <v/>
      </c>
      <c r="S183" s="31" t="str">
        <f t="shared" si="23"/>
        <v/>
      </c>
    </row>
    <row r="184" spans="1:19" x14ac:dyDescent="0.25">
      <c r="A184" s="36" t="str">
        <f>IF(B184="","",177)</f>
        <v/>
      </c>
      <c r="B184" s="36" t="str">
        <f>'Mau15'!B187&amp;""</f>
        <v/>
      </c>
      <c r="C184" s="47" t="str">
        <f>IF(B184="","",'Mau15'!C187)</f>
        <v/>
      </c>
      <c r="D184" s="36" t="str">
        <f>IF(B184="","",'Mau15'!D187)</f>
        <v/>
      </c>
      <c r="E184" s="48" t="str">
        <f>IF($B184="","",'Mau15'!P187)</f>
        <v/>
      </c>
      <c r="F184" s="48" t="str">
        <f>IF($B184="","",'Mau15'!F187)</f>
        <v/>
      </c>
      <c r="G184" s="48" t="str">
        <f t="shared" si="16"/>
        <v/>
      </c>
      <c r="H184" s="49" t="str">
        <f t="shared" si="17"/>
        <v/>
      </c>
      <c r="I184" s="48" t="str">
        <f>IF($B184="","",'Mau15'!K187)</f>
        <v/>
      </c>
      <c r="J184" s="48" t="str">
        <f>IF($B184="","",'Mau15'!M187)</f>
        <v/>
      </c>
      <c r="K184" s="48" t="str">
        <f t="shared" si="18"/>
        <v/>
      </c>
      <c r="L184" s="49" t="str">
        <f t="shared" si="19"/>
        <v/>
      </c>
      <c r="M184" s="48" t="str">
        <f>IF($B184="","",KT_nguoc_theo_NL!J181)</f>
        <v/>
      </c>
      <c r="N184" s="48" t="str">
        <f>IF($B184="","",KT_nguoc_theo_NL!K181)</f>
        <v/>
      </c>
      <c r="O184" s="48" t="str">
        <f t="shared" si="20"/>
        <v/>
      </c>
      <c r="P184" s="50" t="str">
        <f t="shared" si="21"/>
        <v/>
      </c>
      <c r="Q184" s="49" t="str">
        <f>IF($B184="","",IF(KT_nguoc_theo_NL!N181="Pass","Khớp",IF(KT_nguoc_theo_NL!N181="KXDDM","KXĐM",IF(KT_nguoc_theo_NL!N181="Xem xét","Cảnh báo",""))))</f>
        <v/>
      </c>
      <c r="R184" s="49" t="str">
        <f t="shared" si="22"/>
        <v/>
      </c>
      <c r="S184" s="31" t="str">
        <f t="shared" si="23"/>
        <v/>
      </c>
    </row>
    <row r="185" spans="1:19" x14ac:dyDescent="0.25">
      <c r="A185" s="36" t="str">
        <f>IF(B185="","",178)</f>
        <v/>
      </c>
      <c r="B185" s="36" t="str">
        <f>'Mau15'!B188&amp;""</f>
        <v/>
      </c>
      <c r="C185" s="47" t="str">
        <f>IF(B185="","",'Mau15'!C188)</f>
        <v/>
      </c>
      <c r="D185" s="36" t="str">
        <f>IF(B185="","",'Mau15'!D188)</f>
        <v/>
      </c>
      <c r="E185" s="48" t="str">
        <f>IF($B185="","",'Mau15'!P188)</f>
        <v/>
      </c>
      <c r="F185" s="48" t="str">
        <f>IF($B185="","",'Mau15'!F188)</f>
        <v/>
      </c>
      <c r="G185" s="48" t="str">
        <f t="shared" si="16"/>
        <v/>
      </c>
      <c r="H185" s="49" t="str">
        <f t="shared" si="17"/>
        <v/>
      </c>
      <c r="I185" s="48" t="str">
        <f>IF($B185="","",'Mau15'!K188)</f>
        <v/>
      </c>
      <c r="J185" s="48" t="str">
        <f>IF($B185="","",'Mau15'!M188)</f>
        <v/>
      </c>
      <c r="K185" s="48" t="str">
        <f t="shared" si="18"/>
        <v/>
      </c>
      <c r="L185" s="49" t="str">
        <f t="shared" si="19"/>
        <v/>
      </c>
      <c r="M185" s="48" t="str">
        <f>IF($B185="","",KT_nguoc_theo_NL!J182)</f>
        <v/>
      </c>
      <c r="N185" s="48" t="str">
        <f>IF($B185="","",KT_nguoc_theo_NL!K182)</f>
        <v/>
      </c>
      <c r="O185" s="48" t="str">
        <f t="shared" si="20"/>
        <v/>
      </c>
      <c r="P185" s="50" t="str">
        <f t="shared" si="21"/>
        <v/>
      </c>
      <c r="Q185" s="49" t="str">
        <f>IF($B185="","",IF(KT_nguoc_theo_NL!N182="Pass","Khớp",IF(KT_nguoc_theo_NL!N182="KXDDM","KXĐM",IF(KT_nguoc_theo_NL!N182="Xem xét","Cảnh báo",""))))</f>
        <v/>
      </c>
      <c r="R185" s="49" t="str">
        <f t="shared" si="22"/>
        <v/>
      </c>
      <c r="S185" s="31" t="str">
        <f t="shared" si="23"/>
        <v/>
      </c>
    </row>
    <row r="186" spans="1:19" x14ac:dyDescent="0.25">
      <c r="A186" s="36" t="str">
        <f>IF(B186="","",179)</f>
        <v/>
      </c>
      <c r="B186" s="36" t="str">
        <f>'Mau15'!B189&amp;""</f>
        <v/>
      </c>
      <c r="C186" s="47" t="str">
        <f>IF(B186="","",'Mau15'!C189)</f>
        <v/>
      </c>
      <c r="D186" s="36" t="str">
        <f>IF(B186="","",'Mau15'!D189)</f>
        <v/>
      </c>
      <c r="E186" s="48" t="str">
        <f>IF($B186="","",'Mau15'!P189)</f>
        <v/>
      </c>
      <c r="F186" s="48" t="str">
        <f>IF($B186="","",'Mau15'!F189)</f>
        <v/>
      </c>
      <c r="G186" s="48" t="str">
        <f t="shared" si="16"/>
        <v/>
      </c>
      <c r="H186" s="49" t="str">
        <f t="shared" si="17"/>
        <v/>
      </c>
      <c r="I186" s="48" t="str">
        <f>IF($B186="","",'Mau15'!K189)</f>
        <v/>
      </c>
      <c r="J186" s="48" t="str">
        <f>IF($B186="","",'Mau15'!M189)</f>
        <v/>
      </c>
      <c r="K186" s="48" t="str">
        <f t="shared" si="18"/>
        <v/>
      </c>
      <c r="L186" s="49" t="str">
        <f t="shared" si="19"/>
        <v/>
      </c>
      <c r="M186" s="48" t="str">
        <f>IF($B186="","",KT_nguoc_theo_NL!J183)</f>
        <v/>
      </c>
      <c r="N186" s="48" t="str">
        <f>IF($B186="","",KT_nguoc_theo_NL!K183)</f>
        <v/>
      </c>
      <c r="O186" s="48" t="str">
        <f t="shared" si="20"/>
        <v/>
      </c>
      <c r="P186" s="50" t="str">
        <f t="shared" si="21"/>
        <v/>
      </c>
      <c r="Q186" s="49" t="str">
        <f>IF($B186="","",IF(KT_nguoc_theo_NL!N183="Pass","Khớp",IF(KT_nguoc_theo_NL!N183="KXDDM","KXĐM",IF(KT_nguoc_theo_NL!N183="Xem xét","Cảnh báo",""))))</f>
        <v/>
      </c>
      <c r="R186" s="49" t="str">
        <f t="shared" si="22"/>
        <v/>
      </c>
      <c r="S186" s="31" t="str">
        <f t="shared" si="23"/>
        <v/>
      </c>
    </row>
    <row r="187" spans="1:19" x14ac:dyDescent="0.25">
      <c r="A187" s="36" t="str">
        <f>IF(B187="","",180)</f>
        <v/>
      </c>
      <c r="B187" s="36" t="str">
        <f>'Mau15'!B190&amp;""</f>
        <v/>
      </c>
      <c r="C187" s="47" t="str">
        <f>IF(B187="","",'Mau15'!C190)</f>
        <v/>
      </c>
      <c r="D187" s="36" t="str">
        <f>IF(B187="","",'Mau15'!D190)</f>
        <v/>
      </c>
      <c r="E187" s="48" t="str">
        <f>IF($B187="","",'Mau15'!P190)</f>
        <v/>
      </c>
      <c r="F187" s="48" t="str">
        <f>IF($B187="","",'Mau15'!F190)</f>
        <v/>
      </c>
      <c r="G187" s="48" t="str">
        <f t="shared" si="16"/>
        <v/>
      </c>
      <c r="H187" s="49" t="str">
        <f t="shared" si="17"/>
        <v/>
      </c>
      <c r="I187" s="48" t="str">
        <f>IF($B187="","",'Mau15'!K190)</f>
        <v/>
      </c>
      <c r="J187" s="48" t="str">
        <f>IF($B187="","",'Mau15'!M190)</f>
        <v/>
      </c>
      <c r="K187" s="48" t="str">
        <f t="shared" si="18"/>
        <v/>
      </c>
      <c r="L187" s="49" t="str">
        <f t="shared" si="19"/>
        <v/>
      </c>
      <c r="M187" s="48" t="str">
        <f>IF($B187="","",KT_nguoc_theo_NL!J184)</f>
        <v/>
      </c>
      <c r="N187" s="48" t="str">
        <f>IF($B187="","",KT_nguoc_theo_NL!K184)</f>
        <v/>
      </c>
      <c r="O187" s="48" t="str">
        <f t="shared" si="20"/>
        <v/>
      </c>
      <c r="P187" s="50" t="str">
        <f t="shared" si="21"/>
        <v/>
      </c>
      <c r="Q187" s="49" t="str">
        <f>IF($B187="","",IF(KT_nguoc_theo_NL!N184="Pass","Khớp",IF(KT_nguoc_theo_NL!N184="KXDDM","KXĐM",IF(KT_nguoc_theo_NL!N184="Xem xét","Cảnh báo",""))))</f>
        <v/>
      </c>
      <c r="R187" s="49" t="str">
        <f t="shared" si="22"/>
        <v/>
      </c>
      <c r="S187" s="31" t="str">
        <f t="shared" si="23"/>
        <v/>
      </c>
    </row>
    <row r="188" spans="1:19" x14ac:dyDescent="0.25">
      <c r="A188" s="36" t="str">
        <f>IF(B188="","",181)</f>
        <v/>
      </c>
      <c r="B188" s="36" t="str">
        <f>'Mau15'!B191&amp;""</f>
        <v/>
      </c>
      <c r="C188" s="47" t="str">
        <f>IF(B188="","",'Mau15'!C191)</f>
        <v/>
      </c>
      <c r="D188" s="36" t="str">
        <f>IF(B188="","",'Mau15'!D191)</f>
        <v/>
      </c>
      <c r="E188" s="48" t="str">
        <f>IF($B188="","",'Mau15'!P191)</f>
        <v/>
      </c>
      <c r="F188" s="48" t="str">
        <f>IF($B188="","",'Mau15'!F191)</f>
        <v/>
      </c>
      <c r="G188" s="48" t="str">
        <f t="shared" si="16"/>
        <v/>
      </c>
      <c r="H188" s="49" t="str">
        <f t="shared" si="17"/>
        <v/>
      </c>
      <c r="I188" s="48" t="str">
        <f>IF($B188="","",'Mau15'!K191)</f>
        <v/>
      </c>
      <c r="J188" s="48" t="str">
        <f>IF($B188="","",'Mau15'!M191)</f>
        <v/>
      </c>
      <c r="K188" s="48" t="str">
        <f t="shared" si="18"/>
        <v/>
      </c>
      <c r="L188" s="49" t="str">
        <f t="shared" si="19"/>
        <v/>
      </c>
      <c r="M188" s="48" t="str">
        <f>IF($B188="","",KT_nguoc_theo_NL!J185)</f>
        <v/>
      </c>
      <c r="N188" s="48" t="str">
        <f>IF($B188="","",KT_nguoc_theo_NL!K185)</f>
        <v/>
      </c>
      <c r="O188" s="48" t="str">
        <f t="shared" si="20"/>
        <v/>
      </c>
      <c r="P188" s="50" t="str">
        <f t="shared" si="21"/>
        <v/>
      </c>
      <c r="Q188" s="49" t="str">
        <f>IF($B188="","",IF(KT_nguoc_theo_NL!N185="Pass","Khớp",IF(KT_nguoc_theo_NL!N185="KXDDM","KXĐM",IF(KT_nguoc_theo_NL!N185="Xem xét","Cảnh báo",""))))</f>
        <v/>
      </c>
      <c r="R188" s="49" t="str">
        <f t="shared" si="22"/>
        <v/>
      </c>
      <c r="S188" s="31" t="str">
        <f t="shared" si="23"/>
        <v/>
      </c>
    </row>
    <row r="189" spans="1:19" x14ac:dyDescent="0.25">
      <c r="A189" s="36" t="str">
        <f>IF(B189="","",182)</f>
        <v/>
      </c>
      <c r="B189" s="36" t="str">
        <f>'Mau15'!B192&amp;""</f>
        <v/>
      </c>
      <c r="C189" s="47" t="str">
        <f>IF(B189="","",'Mau15'!C192)</f>
        <v/>
      </c>
      <c r="D189" s="36" t="str">
        <f>IF(B189="","",'Mau15'!D192)</f>
        <v/>
      </c>
      <c r="E189" s="48" t="str">
        <f>IF($B189="","",'Mau15'!P192)</f>
        <v/>
      </c>
      <c r="F189" s="48" t="str">
        <f>IF($B189="","",'Mau15'!F192)</f>
        <v/>
      </c>
      <c r="G189" s="48" t="str">
        <f t="shared" si="16"/>
        <v/>
      </c>
      <c r="H189" s="49" t="str">
        <f t="shared" si="17"/>
        <v/>
      </c>
      <c r="I189" s="48" t="str">
        <f>IF($B189="","",'Mau15'!K192)</f>
        <v/>
      </c>
      <c r="J189" s="48" t="str">
        <f>IF($B189="","",'Mau15'!M192)</f>
        <v/>
      </c>
      <c r="K189" s="48" t="str">
        <f t="shared" si="18"/>
        <v/>
      </c>
      <c r="L189" s="49" t="str">
        <f t="shared" si="19"/>
        <v/>
      </c>
      <c r="M189" s="48" t="str">
        <f>IF($B189="","",KT_nguoc_theo_NL!J186)</f>
        <v/>
      </c>
      <c r="N189" s="48" t="str">
        <f>IF($B189="","",KT_nguoc_theo_NL!K186)</f>
        <v/>
      </c>
      <c r="O189" s="48" t="str">
        <f t="shared" si="20"/>
        <v/>
      </c>
      <c r="P189" s="50" t="str">
        <f t="shared" si="21"/>
        <v/>
      </c>
      <c r="Q189" s="49" t="str">
        <f>IF($B189="","",IF(KT_nguoc_theo_NL!N186="Pass","Khớp",IF(KT_nguoc_theo_NL!N186="KXDDM","KXĐM",IF(KT_nguoc_theo_NL!N186="Xem xét","Cảnh báo",""))))</f>
        <v/>
      </c>
      <c r="R189" s="49" t="str">
        <f t="shared" si="22"/>
        <v/>
      </c>
      <c r="S189" s="31" t="str">
        <f t="shared" si="23"/>
        <v/>
      </c>
    </row>
    <row r="190" spans="1:19" x14ac:dyDescent="0.25">
      <c r="A190" s="36" t="str">
        <f>IF(B190="","",183)</f>
        <v/>
      </c>
      <c r="B190" s="36" t="str">
        <f>'Mau15'!B193&amp;""</f>
        <v/>
      </c>
      <c r="C190" s="47" t="str">
        <f>IF(B190="","",'Mau15'!C193)</f>
        <v/>
      </c>
      <c r="D190" s="36" t="str">
        <f>IF(B190="","",'Mau15'!D193)</f>
        <v/>
      </c>
      <c r="E190" s="48" t="str">
        <f>IF($B190="","",'Mau15'!P193)</f>
        <v/>
      </c>
      <c r="F190" s="48" t="str">
        <f>IF($B190="","",'Mau15'!F193)</f>
        <v/>
      </c>
      <c r="G190" s="48" t="str">
        <f t="shared" si="16"/>
        <v/>
      </c>
      <c r="H190" s="49" t="str">
        <f t="shared" si="17"/>
        <v/>
      </c>
      <c r="I190" s="48" t="str">
        <f>IF($B190="","",'Mau15'!K193)</f>
        <v/>
      </c>
      <c r="J190" s="48" t="str">
        <f>IF($B190="","",'Mau15'!M193)</f>
        <v/>
      </c>
      <c r="K190" s="48" t="str">
        <f t="shared" si="18"/>
        <v/>
      </c>
      <c r="L190" s="49" t="str">
        <f t="shared" si="19"/>
        <v/>
      </c>
      <c r="M190" s="48" t="str">
        <f>IF($B190="","",KT_nguoc_theo_NL!J187)</f>
        <v/>
      </c>
      <c r="N190" s="48" t="str">
        <f>IF($B190="","",KT_nguoc_theo_NL!K187)</f>
        <v/>
      </c>
      <c r="O190" s="48" t="str">
        <f t="shared" si="20"/>
        <v/>
      </c>
      <c r="P190" s="50" t="str">
        <f t="shared" si="21"/>
        <v/>
      </c>
      <c r="Q190" s="49" t="str">
        <f>IF($B190="","",IF(KT_nguoc_theo_NL!N187="Pass","Khớp",IF(KT_nguoc_theo_NL!N187="KXDDM","KXĐM",IF(KT_nguoc_theo_NL!N187="Xem xét","Cảnh báo",""))))</f>
        <v/>
      </c>
      <c r="R190" s="49" t="str">
        <f t="shared" si="22"/>
        <v/>
      </c>
      <c r="S190" s="31" t="str">
        <f t="shared" si="23"/>
        <v/>
      </c>
    </row>
    <row r="191" spans="1:19" x14ac:dyDescent="0.25">
      <c r="A191" s="36" t="str">
        <f>IF(B191="","",184)</f>
        <v/>
      </c>
      <c r="B191" s="36" t="str">
        <f>'Mau15'!B194&amp;""</f>
        <v/>
      </c>
      <c r="C191" s="47" t="str">
        <f>IF(B191="","",'Mau15'!C194)</f>
        <v/>
      </c>
      <c r="D191" s="36" t="str">
        <f>IF(B191="","",'Mau15'!D194)</f>
        <v/>
      </c>
      <c r="E191" s="48" t="str">
        <f>IF($B191="","",'Mau15'!P194)</f>
        <v/>
      </c>
      <c r="F191" s="48" t="str">
        <f>IF($B191="","",'Mau15'!F194)</f>
        <v/>
      </c>
      <c r="G191" s="48" t="str">
        <f t="shared" si="16"/>
        <v/>
      </c>
      <c r="H191" s="49" t="str">
        <f t="shared" si="17"/>
        <v/>
      </c>
      <c r="I191" s="48" t="str">
        <f>IF($B191="","",'Mau15'!K194)</f>
        <v/>
      </c>
      <c r="J191" s="48" t="str">
        <f>IF($B191="","",'Mau15'!M194)</f>
        <v/>
      </c>
      <c r="K191" s="48" t="str">
        <f t="shared" si="18"/>
        <v/>
      </c>
      <c r="L191" s="49" t="str">
        <f t="shared" si="19"/>
        <v/>
      </c>
      <c r="M191" s="48" t="str">
        <f>IF($B191="","",KT_nguoc_theo_NL!J188)</f>
        <v/>
      </c>
      <c r="N191" s="48" t="str">
        <f>IF($B191="","",KT_nguoc_theo_NL!K188)</f>
        <v/>
      </c>
      <c r="O191" s="48" t="str">
        <f t="shared" si="20"/>
        <v/>
      </c>
      <c r="P191" s="50" t="str">
        <f t="shared" si="21"/>
        <v/>
      </c>
      <c r="Q191" s="49" t="str">
        <f>IF($B191="","",IF(KT_nguoc_theo_NL!N188="Pass","Khớp",IF(KT_nguoc_theo_NL!N188="KXDDM","KXĐM",IF(KT_nguoc_theo_NL!N188="Xem xét","Cảnh báo",""))))</f>
        <v/>
      </c>
      <c r="R191" s="49" t="str">
        <f t="shared" si="22"/>
        <v/>
      </c>
      <c r="S191" s="31" t="str">
        <f t="shared" si="23"/>
        <v/>
      </c>
    </row>
    <row r="192" spans="1:19" x14ac:dyDescent="0.25">
      <c r="A192" s="36" t="str">
        <f>IF(B192="","",185)</f>
        <v/>
      </c>
      <c r="B192" s="36" t="str">
        <f>'Mau15'!B195&amp;""</f>
        <v/>
      </c>
      <c r="C192" s="47" t="str">
        <f>IF(B192="","",'Mau15'!C195)</f>
        <v/>
      </c>
      <c r="D192" s="36" t="str">
        <f>IF(B192="","",'Mau15'!D195)</f>
        <v/>
      </c>
      <c r="E192" s="48" t="str">
        <f>IF($B192="","",'Mau15'!P195)</f>
        <v/>
      </c>
      <c r="F192" s="48" t="str">
        <f>IF($B192="","",'Mau15'!F195)</f>
        <v/>
      </c>
      <c r="G192" s="48" t="str">
        <f t="shared" si="16"/>
        <v/>
      </c>
      <c r="H192" s="49" t="str">
        <f t="shared" si="17"/>
        <v/>
      </c>
      <c r="I192" s="48" t="str">
        <f>IF($B192="","",'Mau15'!K195)</f>
        <v/>
      </c>
      <c r="J192" s="48" t="str">
        <f>IF($B192="","",'Mau15'!M195)</f>
        <v/>
      </c>
      <c r="K192" s="48" t="str">
        <f t="shared" si="18"/>
        <v/>
      </c>
      <c r="L192" s="49" t="str">
        <f t="shared" si="19"/>
        <v/>
      </c>
      <c r="M192" s="48" t="str">
        <f>IF($B192="","",KT_nguoc_theo_NL!J189)</f>
        <v/>
      </c>
      <c r="N192" s="48" t="str">
        <f>IF($B192="","",KT_nguoc_theo_NL!K189)</f>
        <v/>
      </c>
      <c r="O192" s="48" t="str">
        <f t="shared" si="20"/>
        <v/>
      </c>
      <c r="P192" s="50" t="str">
        <f t="shared" si="21"/>
        <v/>
      </c>
      <c r="Q192" s="49" t="str">
        <f>IF($B192="","",IF(KT_nguoc_theo_NL!N189="Pass","Khớp",IF(KT_nguoc_theo_NL!N189="KXDDM","KXĐM",IF(KT_nguoc_theo_NL!N189="Xem xét","Cảnh báo",""))))</f>
        <v/>
      </c>
      <c r="R192" s="49" t="str">
        <f t="shared" si="22"/>
        <v/>
      </c>
      <c r="S192" s="31" t="str">
        <f t="shared" si="23"/>
        <v/>
      </c>
    </row>
    <row r="193" spans="1:19" x14ac:dyDescent="0.25">
      <c r="A193" s="36" t="str">
        <f>IF(B193="","",186)</f>
        <v/>
      </c>
      <c r="B193" s="36" t="str">
        <f>'Mau15'!B196&amp;""</f>
        <v/>
      </c>
      <c r="C193" s="47" t="str">
        <f>IF(B193="","",'Mau15'!C196)</f>
        <v/>
      </c>
      <c r="D193" s="36" t="str">
        <f>IF(B193="","",'Mau15'!D196)</f>
        <v/>
      </c>
      <c r="E193" s="48" t="str">
        <f>IF($B193="","",'Mau15'!P196)</f>
        <v/>
      </c>
      <c r="F193" s="48" t="str">
        <f>IF($B193="","",'Mau15'!F196)</f>
        <v/>
      </c>
      <c r="G193" s="48" t="str">
        <f t="shared" si="16"/>
        <v/>
      </c>
      <c r="H193" s="49" t="str">
        <f t="shared" si="17"/>
        <v/>
      </c>
      <c r="I193" s="48" t="str">
        <f>IF($B193="","",'Mau15'!K196)</f>
        <v/>
      </c>
      <c r="J193" s="48" t="str">
        <f>IF($B193="","",'Mau15'!M196)</f>
        <v/>
      </c>
      <c r="K193" s="48" t="str">
        <f t="shared" si="18"/>
        <v/>
      </c>
      <c r="L193" s="49" t="str">
        <f t="shared" si="19"/>
        <v/>
      </c>
      <c r="M193" s="48" t="str">
        <f>IF($B193="","",KT_nguoc_theo_NL!J190)</f>
        <v/>
      </c>
      <c r="N193" s="48" t="str">
        <f>IF($B193="","",KT_nguoc_theo_NL!K190)</f>
        <v/>
      </c>
      <c r="O193" s="48" t="str">
        <f t="shared" si="20"/>
        <v/>
      </c>
      <c r="P193" s="50" t="str">
        <f t="shared" si="21"/>
        <v/>
      </c>
      <c r="Q193" s="49" t="str">
        <f>IF($B193="","",IF(KT_nguoc_theo_NL!N190="Pass","Khớp",IF(KT_nguoc_theo_NL!N190="KXDDM","KXĐM",IF(KT_nguoc_theo_NL!N190="Xem xét","Cảnh báo",""))))</f>
        <v/>
      </c>
      <c r="R193" s="49" t="str">
        <f t="shared" si="22"/>
        <v/>
      </c>
      <c r="S193" s="31" t="str">
        <f t="shared" si="23"/>
        <v/>
      </c>
    </row>
    <row r="194" spans="1:19" x14ac:dyDescent="0.25">
      <c r="A194" s="36" t="str">
        <f>IF(B194="","",187)</f>
        <v/>
      </c>
      <c r="B194" s="36" t="str">
        <f>'Mau15'!B197&amp;""</f>
        <v/>
      </c>
      <c r="C194" s="47" t="str">
        <f>IF(B194="","",'Mau15'!C197)</f>
        <v/>
      </c>
      <c r="D194" s="36" t="str">
        <f>IF(B194="","",'Mau15'!D197)</f>
        <v/>
      </c>
      <c r="E194" s="48" t="str">
        <f>IF($B194="","",'Mau15'!P197)</f>
        <v/>
      </c>
      <c r="F194" s="48" t="str">
        <f>IF($B194="","",'Mau15'!F197)</f>
        <v/>
      </c>
      <c r="G194" s="48" t="str">
        <f t="shared" si="16"/>
        <v/>
      </c>
      <c r="H194" s="49" t="str">
        <f t="shared" si="17"/>
        <v/>
      </c>
      <c r="I194" s="48" t="str">
        <f>IF($B194="","",'Mau15'!K197)</f>
        <v/>
      </c>
      <c r="J194" s="48" t="str">
        <f>IF($B194="","",'Mau15'!M197)</f>
        <v/>
      </c>
      <c r="K194" s="48" t="str">
        <f t="shared" si="18"/>
        <v/>
      </c>
      <c r="L194" s="49" t="str">
        <f t="shared" si="19"/>
        <v/>
      </c>
      <c r="M194" s="48" t="str">
        <f>IF($B194="","",KT_nguoc_theo_NL!J191)</f>
        <v/>
      </c>
      <c r="N194" s="48" t="str">
        <f>IF($B194="","",KT_nguoc_theo_NL!K191)</f>
        <v/>
      </c>
      <c r="O194" s="48" t="str">
        <f t="shared" si="20"/>
        <v/>
      </c>
      <c r="P194" s="50" t="str">
        <f t="shared" si="21"/>
        <v/>
      </c>
      <c r="Q194" s="49" t="str">
        <f>IF($B194="","",IF(KT_nguoc_theo_NL!N191="Pass","Khớp",IF(KT_nguoc_theo_NL!N191="KXDDM","KXĐM",IF(KT_nguoc_theo_NL!N191="Xem xét","Cảnh báo",""))))</f>
        <v/>
      </c>
      <c r="R194" s="49" t="str">
        <f t="shared" si="22"/>
        <v/>
      </c>
      <c r="S194" s="31" t="str">
        <f t="shared" si="23"/>
        <v/>
      </c>
    </row>
    <row r="195" spans="1:19" x14ac:dyDescent="0.25">
      <c r="A195" s="36" t="str">
        <f>IF(B195="","",188)</f>
        <v/>
      </c>
      <c r="B195" s="36" t="str">
        <f>'Mau15'!B198&amp;""</f>
        <v/>
      </c>
      <c r="C195" s="47" t="str">
        <f>IF(B195="","",'Mau15'!C198)</f>
        <v/>
      </c>
      <c r="D195" s="36" t="str">
        <f>IF(B195="","",'Mau15'!D198)</f>
        <v/>
      </c>
      <c r="E195" s="48" t="str">
        <f>IF($B195="","",'Mau15'!P198)</f>
        <v/>
      </c>
      <c r="F195" s="48" t="str">
        <f>IF($B195="","",'Mau15'!F198)</f>
        <v/>
      </c>
      <c r="G195" s="48" t="str">
        <f t="shared" si="16"/>
        <v/>
      </c>
      <c r="H195" s="49" t="str">
        <f t="shared" si="17"/>
        <v/>
      </c>
      <c r="I195" s="48" t="str">
        <f>IF($B195="","",'Mau15'!K198)</f>
        <v/>
      </c>
      <c r="J195" s="48" t="str">
        <f>IF($B195="","",'Mau15'!M198)</f>
        <v/>
      </c>
      <c r="K195" s="48" t="str">
        <f t="shared" si="18"/>
        <v/>
      </c>
      <c r="L195" s="49" t="str">
        <f t="shared" si="19"/>
        <v/>
      </c>
      <c r="M195" s="48" t="str">
        <f>IF($B195="","",KT_nguoc_theo_NL!J192)</f>
        <v/>
      </c>
      <c r="N195" s="48" t="str">
        <f>IF($B195="","",KT_nguoc_theo_NL!K192)</f>
        <v/>
      </c>
      <c r="O195" s="48" t="str">
        <f t="shared" si="20"/>
        <v/>
      </c>
      <c r="P195" s="50" t="str">
        <f t="shared" si="21"/>
        <v/>
      </c>
      <c r="Q195" s="49" t="str">
        <f>IF($B195="","",IF(KT_nguoc_theo_NL!N192="Pass","Khớp",IF(KT_nguoc_theo_NL!N192="KXDDM","KXĐM",IF(KT_nguoc_theo_NL!N192="Xem xét","Cảnh báo",""))))</f>
        <v/>
      </c>
      <c r="R195" s="49" t="str">
        <f t="shared" si="22"/>
        <v/>
      </c>
      <c r="S195" s="31" t="str">
        <f t="shared" si="23"/>
        <v/>
      </c>
    </row>
    <row r="196" spans="1:19" x14ac:dyDescent="0.25">
      <c r="A196" s="36" t="str">
        <f>IF(B196="","",189)</f>
        <v/>
      </c>
      <c r="B196" s="36" t="str">
        <f>'Mau15'!B199&amp;""</f>
        <v/>
      </c>
      <c r="C196" s="47" t="str">
        <f>IF(B196="","",'Mau15'!C199)</f>
        <v/>
      </c>
      <c r="D196" s="36" t="str">
        <f>IF(B196="","",'Mau15'!D199)</f>
        <v/>
      </c>
      <c r="E196" s="48" t="str">
        <f>IF($B196="","",'Mau15'!P199)</f>
        <v/>
      </c>
      <c r="F196" s="48" t="str">
        <f>IF($B196="","",'Mau15'!F199)</f>
        <v/>
      </c>
      <c r="G196" s="48" t="str">
        <f t="shared" si="16"/>
        <v/>
      </c>
      <c r="H196" s="49" t="str">
        <f t="shared" si="17"/>
        <v/>
      </c>
      <c r="I196" s="48" t="str">
        <f>IF($B196="","",'Mau15'!K199)</f>
        <v/>
      </c>
      <c r="J196" s="48" t="str">
        <f>IF($B196="","",'Mau15'!M199)</f>
        <v/>
      </c>
      <c r="K196" s="48" t="str">
        <f t="shared" si="18"/>
        <v/>
      </c>
      <c r="L196" s="49" t="str">
        <f t="shared" si="19"/>
        <v/>
      </c>
      <c r="M196" s="48" t="str">
        <f>IF($B196="","",KT_nguoc_theo_NL!J193)</f>
        <v/>
      </c>
      <c r="N196" s="48" t="str">
        <f>IF($B196="","",KT_nguoc_theo_NL!K193)</f>
        <v/>
      </c>
      <c r="O196" s="48" t="str">
        <f t="shared" si="20"/>
        <v/>
      </c>
      <c r="P196" s="50" t="str">
        <f t="shared" si="21"/>
        <v/>
      </c>
      <c r="Q196" s="49" t="str">
        <f>IF($B196="","",IF(KT_nguoc_theo_NL!N193="Pass","Khớp",IF(KT_nguoc_theo_NL!N193="KXDDM","KXĐM",IF(KT_nguoc_theo_NL!N193="Xem xét","Cảnh báo",""))))</f>
        <v/>
      </c>
      <c r="R196" s="49" t="str">
        <f t="shared" si="22"/>
        <v/>
      </c>
      <c r="S196" s="31" t="str">
        <f t="shared" si="23"/>
        <v/>
      </c>
    </row>
    <row r="197" spans="1:19" x14ac:dyDescent="0.25">
      <c r="A197" s="36" t="str">
        <f>IF(B197="","",190)</f>
        <v/>
      </c>
      <c r="B197" s="36" t="str">
        <f>'Mau15'!B200&amp;""</f>
        <v/>
      </c>
      <c r="C197" s="47" t="str">
        <f>IF(B197="","",'Mau15'!C200)</f>
        <v/>
      </c>
      <c r="D197" s="36" t="str">
        <f>IF(B197="","",'Mau15'!D200)</f>
        <v/>
      </c>
      <c r="E197" s="48" t="str">
        <f>IF($B197="","",'Mau15'!P200)</f>
        <v/>
      </c>
      <c r="F197" s="48" t="str">
        <f>IF($B197="","",'Mau15'!F200)</f>
        <v/>
      </c>
      <c r="G197" s="48" t="str">
        <f t="shared" si="16"/>
        <v/>
      </c>
      <c r="H197" s="49" t="str">
        <f t="shared" si="17"/>
        <v/>
      </c>
      <c r="I197" s="48" t="str">
        <f>IF($B197="","",'Mau15'!K200)</f>
        <v/>
      </c>
      <c r="J197" s="48" t="str">
        <f>IF($B197="","",'Mau15'!M200)</f>
        <v/>
      </c>
      <c r="K197" s="48" t="str">
        <f t="shared" si="18"/>
        <v/>
      </c>
      <c r="L197" s="49" t="str">
        <f t="shared" si="19"/>
        <v/>
      </c>
      <c r="M197" s="48" t="str">
        <f>IF($B197="","",KT_nguoc_theo_NL!J194)</f>
        <v/>
      </c>
      <c r="N197" s="48" t="str">
        <f>IF($B197="","",KT_nguoc_theo_NL!K194)</f>
        <v/>
      </c>
      <c r="O197" s="48" t="str">
        <f t="shared" si="20"/>
        <v/>
      </c>
      <c r="P197" s="50" t="str">
        <f t="shared" si="21"/>
        <v/>
      </c>
      <c r="Q197" s="49" t="str">
        <f>IF($B197="","",IF(KT_nguoc_theo_NL!N194="Pass","Khớp",IF(KT_nguoc_theo_NL!N194="KXDDM","KXĐM",IF(KT_nguoc_theo_NL!N194="Xem xét","Cảnh báo",""))))</f>
        <v/>
      </c>
      <c r="R197" s="49" t="str">
        <f t="shared" si="22"/>
        <v/>
      </c>
      <c r="S197" s="31" t="str">
        <f t="shared" si="23"/>
        <v/>
      </c>
    </row>
    <row r="198" spans="1:19" x14ac:dyDescent="0.25">
      <c r="A198" s="36" t="str">
        <f>IF(B198="","",191)</f>
        <v/>
      </c>
      <c r="B198" s="36" t="str">
        <f>'Mau15'!B201&amp;""</f>
        <v/>
      </c>
      <c r="C198" s="47" t="str">
        <f>IF(B198="","",'Mau15'!C201)</f>
        <v/>
      </c>
      <c r="D198" s="36" t="str">
        <f>IF(B198="","",'Mau15'!D201)</f>
        <v/>
      </c>
      <c r="E198" s="48" t="str">
        <f>IF($B198="","",'Mau15'!P201)</f>
        <v/>
      </c>
      <c r="F198" s="48" t="str">
        <f>IF($B198="","",'Mau15'!F201)</f>
        <v/>
      </c>
      <c r="G198" s="48" t="str">
        <f t="shared" si="16"/>
        <v/>
      </c>
      <c r="H198" s="49" t="str">
        <f t="shared" si="17"/>
        <v/>
      </c>
      <c r="I198" s="48" t="str">
        <f>IF($B198="","",'Mau15'!K201)</f>
        <v/>
      </c>
      <c r="J198" s="48" t="str">
        <f>IF($B198="","",'Mau15'!M201)</f>
        <v/>
      </c>
      <c r="K198" s="48" t="str">
        <f t="shared" si="18"/>
        <v/>
      </c>
      <c r="L198" s="49" t="str">
        <f t="shared" si="19"/>
        <v/>
      </c>
      <c r="M198" s="48" t="str">
        <f>IF($B198="","",KT_nguoc_theo_NL!J195)</f>
        <v/>
      </c>
      <c r="N198" s="48" t="str">
        <f>IF($B198="","",KT_nguoc_theo_NL!K195)</f>
        <v/>
      </c>
      <c r="O198" s="48" t="str">
        <f t="shared" si="20"/>
        <v/>
      </c>
      <c r="P198" s="50" t="str">
        <f t="shared" si="21"/>
        <v/>
      </c>
      <c r="Q198" s="49" t="str">
        <f>IF($B198="","",IF(KT_nguoc_theo_NL!N195="Pass","Khớp",IF(KT_nguoc_theo_NL!N195="KXDDM","KXĐM",IF(KT_nguoc_theo_NL!N195="Xem xét","Cảnh báo",""))))</f>
        <v/>
      </c>
      <c r="R198" s="49" t="str">
        <f t="shared" si="22"/>
        <v/>
      </c>
      <c r="S198" s="31" t="str">
        <f t="shared" si="23"/>
        <v/>
      </c>
    </row>
    <row r="199" spans="1:19" x14ac:dyDescent="0.25">
      <c r="A199" s="36" t="str">
        <f>IF(B199="","",192)</f>
        <v/>
      </c>
      <c r="B199" s="36" t="str">
        <f>'Mau15'!B202&amp;""</f>
        <v/>
      </c>
      <c r="C199" s="47" t="str">
        <f>IF(B199="","",'Mau15'!C202)</f>
        <v/>
      </c>
      <c r="D199" s="36" t="str">
        <f>IF(B199="","",'Mau15'!D202)</f>
        <v/>
      </c>
      <c r="E199" s="48" t="str">
        <f>IF($B199="","",'Mau15'!P202)</f>
        <v/>
      </c>
      <c r="F199" s="48" t="str">
        <f>IF($B199="","",'Mau15'!F202)</f>
        <v/>
      </c>
      <c r="G199" s="48" t="str">
        <f t="shared" si="16"/>
        <v/>
      </c>
      <c r="H199" s="49" t="str">
        <f t="shared" si="17"/>
        <v/>
      </c>
      <c r="I199" s="48" t="str">
        <f>IF($B199="","",'Mau15'!K202)</f>
        <v/>
      </c>
      <c r="J199" s="48" t="str">
        <f>IF($B199="","",'Mau15'!M202)</f>
        <v/>
      </c>
      <c r="K199" s="48" t="str">
        <f t="shared" si="18"/>
        <v/>
      </c>
      <c r="L199" s="49" t="str">
        <f t="shared" si="19"/>
        <v/>
      </c>
      <c r="M199" s="48" t="str">
        <f>IF($B199="","",KT_nguoc_theo_NL!J196)</f>
        <v/>
      </c>
      <c r="N199" s="48" t="str">
        <f>IF($B199="","",KT_nguoc_theo_NL!K196)</f>
        <v/>
      </c>
      <c r="O199" s="48" t="str">
        <f t="shared" si="20"/>
        <v/>
      </c>
      <c r="P199" s="50" t="str">
        <f t="shared" si="21"/>
        <v/>
      </c>
      <c r="Q199" s="49" t="str">
        <f>IF($B199="","",IF(KT_nguoc_theo_NL!N196="Pass","Khớp",IF(KT_nguoc_theo_NL!N196="KXDDM","KXĐM",IF(KT_nguoc_theo_NL!N196="Xem xét","Cảnh báo",""))))</f>
        <v/>
      </c>
      <c r="R199" s="49" t="str">
        <f t="shared" si="22"/>
        <v/>
      </c>
      <c r="S199" s="31" t="str">
        <f t="shared" si="23"/>
        <v/>
      </c>
    </row>
    <row r="200" spans="1:19" x14ac:dyDescent="0.25">
      <c r="A200" s="36" t="str">
        <f>IF(B200="","",193)</f>
        <v/>
      </c>
      <c r="B200" s="36" t="str">
        <f>'Mau15'!B203&amp;""</f>
        <v/>
      </c>
      <c r="C200" s="47" t="str">
        <f>IF(B200="","",'Mau15'!C203)</f>
        <v/>
      </c>
      <c r="D200" s="36" t="str">
        <f>IF(B200="","",'Mau15'!D203)</f>
        <v/>
      </c>
      <c r="E200" s="48" t="str">
        <f>IF($B200="","",'Mau15'!P203)</f>
        <v/>
      </c>
      <c r="F200" s="48" t="str">
        <f>IF($B200="","",'Mau15'!F203)</f>
        <v/>
      </c>
      <c r="G200" s="48" t="str">
        <f t="shared" ref="G200:G263" si="24">IF($B200="","",N(E200)-N(F200))</f>
        <v/>
      </c>
      <c r="H200" s="49" t="str">
        <f t="shared" ref="H200:H263" si="25">IF($B200="","",IF(ABS(G200)&lt;0.000001,"Khớp","Giải trình"))</f>
        <v/>
      </c>
      <c r="I200" s="48" t="str">
        <f>IF($B200="","",'Mau15'!K203)</f>
        <v/>
      </c>
      <c r="J200" s="48" t="str">
        <f>IF($B200="","",'Mau15'!M203)</f>
        <v/>
      </c>
      <c r="K200" s="48" t="str">
        <f t="shared" ref="K200:K263" si="26">IF($B200="","",N(I200)-N(J200))</f>
        <v/>
      </c>
      <c r="L200" s="49" t="str">
        <f t="shared" ref="L200:L263" si="27">IF($B200="","",IF(ABS(K200)&lt;0.000001,"Khớp","Lỗi"))</f>
        <v/>
      </c>
      <c r="M200" s="48" t="str">
        <f>IF($B200="","",KT_nguoc_theo_NL!J197)</f>
        <v/>
      </c>
      <c r="N200" s="48" t="str">
        <f>IF($B200="","",KT_nguoc_theo_NL!K197)</f>
        <v/>
      </c>
      <c r="O200" s="48" t="str">
        <f t="shared" ref="O200:O263" si="28">IF($B200="","",N(M200)-N(N200))</f>
        <v/>
      </c>
      <c r="P200" s="50" t="str">
        <f t="shared" ref="P200:P263" si="29">IF($B200="","",IF(N(N200)=0,"",O200/N200))</f>
        <v/>
      </c>
      <c r="Q200" s="49" t="str">
        <f>IF($B200="","",IF(KT_nguoc_theo_NL!N197="Pass","Khớp",IF(KT_nguoc_theo_NL!N197="KXDDM","KXĐM",IF(KT_nguoc_theo_NL!N197="Xem xét","Cảnh báo",""))))</f>
        <v/>
      </c>
      <c r="R200" s="49" t="str">
        <f t="shared" ref="R200:R263" si="30">IF(B200="","",IF(COUNTIF(H200:Q200,"Lỗi")&gt;0,"Lỗi",IF(COUNTIF(H200:Q200,"Cảnh báo")&gt;0,"Cảnh báo",IF(COUNTIF(H200:Q200,"Giải trình")&gt;0,"Giải trình","Khớp"))))</f>
        <v/>
      </c>
      <c r="S200" s="31" t="str">
        <f t="shared" ref="S200:S263" si="31">IF(B200="","",IF(G200&gt;0,"Nhập: tờ khai nhiều hơn nhập kho "&amp;TEXT(G200,IF(MOD(G200,1)=0,"#,##0","#,##0.######"))&amp;" – hàng đã thông quan chưa nhập kho (đi đường), ghi cột (12) Mẫu 15; ","")&amp;IF(G200&lt;0,"Nhập: nhập kho nhiều hơn tờ khai "&amp;TEXT(ABS(G200),IF(MOD(ABS(G200),1)=0,"#,##0","#,##0.######"))&amp;" – NL từ HĐ gia công khác chuyển sang, nhập lại sau gia công lại, DNCX mua nội địa không làm thủ tục, hoặc tờ khai kỳ trước – rà soát và ghi chú; ","")&amp;IF(N(K200)&lt;&gt;0,"Tồn cuối lệch sổ kho/kiểm kê "&amp;TEXT(K200,IF(MOD(K200,1)=0,"#,##0","#,##0.######"))&amp;" – rà soát cột (5)–(10) hoặc số kiểm kê; ","")&amp;IF(Q200="Cảnh báo","Định mức: NL thực tế dùng lệch "&amp;TEXT(P200,"0.0%")&amp;" so với Σ SX × ĐMTT – rà ĐMTT Mẫu 16, dở dang/tồn chuyền, NL nguồn khác (sheet Cau_noi); ","")&amp;IF(Q200="KXĐM","Vật tư không xây dựng được định mức – chỉ theo dõi nhập - xuất - tồn; ",""))</f>
        <v/>
      </c>
    </row>
    <row r="201" spans="1:19" x14ac:dyDescent="0.25">
      <c r="A201" s="36" t="str">
        <f>IF(B201="","",194)</f>
        <v/>
      </c>
      <c r="B201" s="36" t="str">
        <f>'Mau15'!B204&amp;""</f>
        <v/>
      </c>
      <c r="C201" s="47" t="str">
        <f>IF(B201="","",'Mau15'!C204)</f>
        <v/>
      </c>
      <c r="D201" s="36" t="str">
        <f>IF(B201="","",'Mau15'!D204)</f>
        <v/>
      </c>
      <c r="E201" s="48" t="str">
        <f>IF($B201="","",'Mau15'!P204)</f>
        <v/>
      </c>
      <c r="F201" s="48" t="str">
        <f>IF($B201="","",'Mau15'!F204)</f>
        <v/>
      </c>
      <c r="G201" s="48" t="str">
        <f t="shared" si="24"/>
        <v/>
      </c>
      <c r="H201" s="49" t="str">
        <f t="shared" si="25"/>
        <v/>
      </c>
      <c r="I201" s="48" t="str">
        <f>IF($B201="","",'Mau15'!K204)</f>
        <v/>
      </c>
      <c r="J201" s="48" t="str">
        <f>IF($B201="","",'Mau15'!M204)</f>
        <v/>
      </c>
      <c r="K201" s="48" t="str">
        <f t="shared" si="26"/>
        <v/>
      </c>
      <c r="L201" s="49" t="str">
        <f t="shared" si="27"/>
        <v/>
      </c>
      <c r="M201" s="48" t="str">
        <f>IF($B201="","",KT_nguoc_theo_NL!J198)</f>
        <v/>
      </c>
      <c r="N201" s="48" t="str">
        <f>IF($B201="","",KT_nguoc_theo_NL!K198)</f>
        <v/>
      </c>
      <c r="O201" s="48" t="str">
        <f t="shared" si="28"/>
        <v/>
      </c>
      <c r="P201" s="50" t="str">
        <f t="shared" si="29"/>
        <v/>
      </c>
      <c r="Q201" s="49" t="str">
        <f>IF($B201="","",IF(KT_nguoc_theo_NL!N198="Pass","Khớp",IF(KT_nguoc_theo_NL!N198="KXDDM","KXĐM",IF(KT_nguoc_theo_NL!N198="Xem xét","Cảnh báo",""))))</f>
        <v/>
      </c>
      <c r="R201" s="49" t="str">
        <f t="shared" si="30"/>
        <v/>
      </c>
      <c r="S201" s="31" t="str">
        <f t="shared" si="31"/>
        <v/>
      </c>
    </row>
    <row r="202" spans="1:19" x14ac:dyDescent="0.25">
      <c r="A202" s="36" t="str">
        <f>IF(B202="","",195)</f>
        <v/>
      </c>
      <c r="B202" s="36" t="str">
        <f>'Mau15'!B205&amp;""</f>
        <v/>
      </c>
      <c r="C202" s="47" t="str">
        <f>IF(B202="","",'Mau15'!C205)</f>
        <v/>
      </c>
      <c r="D202" s="36" t="str">
        <f>IF(B202="","",'Mau15'!D205)</f>
        <v/>
      </c>
      <c r="E202" s="48" t="str">
        <f>IF($B202="","",'Mau15'!P205)</f>
        <v/>
      </c>
      <c r="F202" s="48" t="str">
        <f>IF($B202="","",'Mau15'!F205)</f>
        <v/>
      </c>
      <c r="G202" s="48" t="str">
        <f t="shared" si="24"/>
        <v/>
      </c>
      <c r="H202" s="49" t="str">
        <f t="shared" si="25"/>
        <v/>
      </c>
      <c r="I202" s="48" t="str">
        <f>IF($B202="","",'Mau15'!K205)</f>
        <v/>
      </c>
      <c r="J202" s="48" t="str">
        <f>IF($B202="","",'Mau15'!M205)</f>
        <v/>
      </c>
      <c r="K202" s="48" t="str">
        <f t="shared" si="26"/>
        <v/>
      </c>
      <c r="L202" s="49" t="str">
        <f t="shared" si="27"/>
        <v/>
      </c>
      <c r="M202" s="48" t="str">
        <f>IF($B202="","",KT_nguoc_theo_NL!J199)</f>
        <v/>
      </c>
      <c r="N202" s="48" t="str">
        <f>IF($B202="","",KT_nguoc_theo_NL!K199)</f>
        <v/>
      </c>
      <c r="O202" s="48" t="str">
        <f t="shared" si="28"/>
        <v/>
      </c>
      <c r="P202" s="50" t="str">
        <f t="shared" si="29"/>
        <v/>
      </c>
      <c r="Q202" s="49" t="str">
        <f>IF($B202="","",IF(KT_nguoc_theo_NL!N199="Pass","Khớp",IF(KT_nguoc_theo_NL!N199="KXDDM","KXĐM",IF(KT_nguoc_theo_NL!N199="Xem xét","Cảnh báo",""))))</f>
        <v/>
      </c>
      <c r="R202" s="49" t="str">
        <f t="shared" si="30"/>
        <v/>
      </c>
      <c r="S202" s="31" t="str">
        <f t="shared" si="31"/>
        <v/>
      </c>
    </row>
    <row r="203" spans="1:19" x14ac:dyDescent="0.25">
      <c r="A203" s="36" t="str">
        <f>IF(B203="","",196)</f>
        <v/>
      </c>
      <c r="B203" s="36" t="str">
        <f>'Mau15'!B206&amp;""</f>
        <v/>
      </c>
      <c r="C203" s="47" t="str">
        <f>IF(B203="","",'Mau15'!C206)</f>
        <v/>
      </c>
      <c r="D203" s="36" t="str">
        <f>IF(B203="","",'Mau15'!D206)</f>
        <v/>
      </c>
      <c r="E203" s="48" t="str">
        <f>IF($B203="","",'Mau15'!P206)</f>
        <v/>
      </c>
      <c r="F203" s="48" t="str">
        <f>IF($B203="","",'Mau15'!F206)</f>
        <v/>
      </c>
      <c r="G203" s="48" t="str">
        <f t="shared" si="24"/>
        <v/>
      </c>
      <c r="H203" s="49" t="str">
        <f t="shared" si="25"/>
        <v/>
      </c>
      <c r="I203" s="48" t="str">
        <f>IF($B203="","",'Mau15'!K206)</f>
        <v/>
      </c>
      <c r="J203" s="48" t="str">
        <f>IF($B203="","",'Mau15'!M206)</f>
        <v/>
      </c>
      <c r="K203" s="48" t="str">
        <f t="shared" si="26"/>
        <v/>
      </c>
      <c r="L203" s="49" t="str">
        <f t="shared" si="27"/>
        <v/>
      </c>
      <c r="M203" s="48" t="str">
        <f>IF($B203="","",KT_nguoc_theo_NL!J200)</f>
        <v/>
      </c>
      <c r="N203" s="48" t="str">
        <f>IF($B203="","",KT_nguoc_theo_NL!K200)</f>
        <v/>
      </c>
      <c r="O203" s="48" t="str">
        <f t="shared" si="28"/>
        <v/>
      </c>
      <c r="P203" s="50" t="str">
        <f t="shared" si="29"/>
        <v/>
      </c>
      <c r="Q203" s="49" t="str">
        <f>IF($B203="","",IF(KT_nguoc_theo_NL!N200="Pass","Khớp",IF(KT_nguoc_theo_NL!N200="KXDDM","KXĐM",IF(KT_nguoc_theo_NL!N200="Xem xét","Cảnh báo",""))))</f>
        <v/>
      </c>
      <c r="R203" s="49" t="str">
        <f t="shared" si="30"/>
        <v/>
      </c>
      <c r="S203" s="31" t="str">
        <f t="shared" si="31"/>
        <v/>
      </c>
    </row>
    <row r="204" spans="1:19" x14ac:dyDescent="0.25">
      <c r="A204" s="36" t="str">
        <f>IF(B204="","",197)</f>
        <v/>
      </c>
      <c r="B204" s="36" t="str">
        <f>'Mau15'!B207&amp;""</f>
        <v/>
      </c>
      <c r="C204" s="47" t="str">
        <f>IF(B204="","",'Mau15'!C207)</f>
        <v/>
      </c>
      <c r="D204" s="36" t="str">
        <f>IF(B204="","",'Mau15'!D207)</f>
        <v/>
      </c>
      <c r="E204" s="48" t="str">
        <f>IF($B204="","",'Mau15'!P207)</f>
        <v/>
      </c>
      <c r="F204" s="48" t="str">
        <f>IF($B204="","",'Mau15'!F207)</f>
        <v/>
      </c>
      <c r="G204" s="48" t="str">
        <f t="shared" si="24"/>
        <v/>
      </c>
      <c r="H204" s="49" t="str">
        <f t="shared" si="25"/>
        <v/>
      </c>
      <c r="I204" s="48" t="str">
        <f>IF($B204="","",'Mau15'!K207)</f>
        <v/>
      </c>
      <c r="J204" s="48" t="str">
        <f>IF($B204="","",'Mau15'!M207)</f>
        <v/>
      </c>
      <c r="K204" s="48" t="str">
        <f t="shared" si="26"/>
        <v/>
      </c>
      <c r="L204" s="49" t="str">
        <f t="shared" si="27"/>
        <v/>
      </c>
      <c r="M204" s="48" t="str">
        <f>IF($B204="","",KT_nguoc_theo_NL!J201)</f>
        <v/>
      </c>
      <c r="N204" s="48" t="str">
        <f>IF($B204="","",KT_nguoc_theo_NL!K201)</f>
        <v/>
      </c>
      <c r="O204" s="48" t="str">
        <f t="shared" si="28"/>
        <v/>
      </c>
      <c r="P204" s="50" t="str">
        <f t="shared" si="29"/>
        <v/>
      </c>
      <c r="Q204" s="49" t="str">
        <f>IF($B204="","",IF(KT_nguoc_theo_NL!N201="Pass","Khớp",IF(KT_nguoc_theo_NL!N201="KXDDM","KXĐM",IF(KT_nguoc_theo_NL!N201="Xem xét","Cảnh báo",""))))</f>
        <v/>
      </c>
      <c r="R204" s="49" t="str">
        <f t="shared" si="30"/>
        <v/>
      </c>
      <c r="S204" s="31" t="str">
        <f t="shared" si="31"/>
        <v/>
      </c>
    </row>
    <row r="205" spans="1:19" x14ac:dyDescent="0.25">
      <c r="A205" s="36" t="str">
        <f>IF(B205="","",198)</f>
        <v/>
      </c>
      <c r="B205" s="36" t="str">
        <f>'Mau15'!B208&amp;""</f>
        <v/>
      </c>
      <c r="C205" s="47" t="str">
        <f>IF(B205="","",'Mau15'!C208)</f>
        <v/>
      </c>
      <c r="D205" s="36" t="str">
        <f>IF(B205="","",'Mau15'!D208)</f>
        <v/>
      </c>
      <c r="E205" s="48" t="str">
        <f>IF($B205="","",'Mau15'!P208)</f>
        <v/>
      </c>
      <c r="F205" s="48" t="str">
        <f>IF($B205="","",'Mau15'!F208)</f>
        <v/>
      </c>
      <c r="G205" s="48" t="str">
        <f t="shared" si="24"/>
        <v/>
      </c>
      <c r="H205" s="49" t="str">
        <f t="shared" si="25"/>
        <v/>
      </c>
      <c r="I205" s="48" t="str">
        <f>IF($B205="","",'Mau15'!K208)</f>
        <v/>
      </c>
      <c r="J205" s="48" t="str">
        <f>IF($B205="","",'Mau15'!M208)</f>
        <v/>
      </c>
      <c r="K205" s="48" t="str">
        <f t="shared" si="26"/>
        <v/>
      </c>
      <c r="L205" s="49" t="str">
        <f t="shared" si="27"/>
        <v/>
      </c>
      <c r="M205" s="48" t="str">
        <f>IF($B205="","",KT_nguoc_theo_NL!J202)</f>
        <v/>
      </c>
      <c r="N205" s="48" t="str">
        <f>IF($B205="","",KT_nguoc_theo_NL!K202)</f>
        <v/>
      </c>
      <c r="O205" s="48" t="str">
        <f t="shared" si="28"/>
        <v/>
      </c>
      <c r="P205" s="50" t="str">
        <f t="shared" si="29"/>
        <v/>
      </c>
      <c r="Q205" s="49" t="str">
        <f>IF($B205="","",IF(KT_nguoc_theo_NL!N202="Pass","Khớp",IF(KT_nguoc_theo_NL!N202="KXDDM","KXĐM",IF(KT_nguoc_theo_NL!N202="Xem xét","Cảnh báo",""))))</f>
        <v/>
      </c>
      <c r="R205" s="49" t="str">
        <f t="shared" si="30"/>
        <v/>
      </c>
      <c r="S205" s="31" t="str">
        <f t="shared" si="31"/>
        <v/>
      </c>
    </row>
    <row r="206" spans="1:19" x14ac:dyDescent="0.25">
      <c r="A206" s="36" t="str">
        <f>IF(B206="","",199)</f>
        <v/>
      </c>
      <c r="B206" s="36" t="str">
        <f>'Mau15'!B209&amp;""</f>
        <v/>
      </c>
      <c r="C206" s="47" t="str">
        <f>IF(B206="","",'Mau15'!C209)</f>
        <v/>
      </c>
      <c r="D206" s="36" t="str">
        <f>IF(B206="","",'Mau15'!D209)</f>
        <v/>
      </c>
      <c r="E206" s="48" t="str">
        <f>IF($B206="","",'Mau15'!P209)</f>
        <v/>
      </c>
      <c r="F206" s="48" t="str">
        <f>IF($B206="","",'Mau15'!F209)</f>
        <v/>
      </c>
      <c r="G206" s="48" t="str">
        <f t="shared" si="24"/>
        <v/>
      </c>
      <c r="H206" s="49" t="str">
        <f t="shared" si="25"/>
        <v/>
      </c>
      <c r="I206" s="48" t="str">
        <f>IF($B206="","",'Mau15'!K209)</f>
        <v/>
      </c>
      <c r="J206" s="48" t="str">
        <f>IF($B206="","",'Mau15'!M209)</f>
        <v/>
      </c>
      <c r="K206" s="48" t="str">
        <f t="shared" si="26"/>
        <v/>
      </c>
      <c r="L206" s="49" t="str">
        <f t="shared" si="27"/>
        <v/>
      </c>
      <c r="M206" s="48" t="str">
        <f>IF($B206="","",KT_nguoc_theo_NL!J203)</f>
        <v/>
      </c>
      <c r="N206" s="48" t="str">
        <f>IF($B206="","",KT_nguoc_theo_NL!K203)</f>
        <v/>
      </c>
      <c r="O206" s="48" t="str">
        <f t="shared" si="28"/>
        <v/>
      </c>
      <c r="P206" s="50" t="str">
        <f t="shared" si="29"/>
        <v/>
      </c>
      <c r="Q206" s="49" t="str">
        <f>IF($B206="","",IF(KT_nguoc_theo_NL!N203="Pass","Khớp",IF(KT_nguoc_theo_NL!N203="KXDDM","KXĐM",IF(KT_nguoc_theo_NL!N203="Xem xét","Cảnh báo",""))))</f>
        <v/>
      </c>
      <c r="R206" s="49" t="str">
        <f t="shared" si="30"/>
        <v/>
      </c>
      <c r="S206" s="31" t="str">
        <f t="shared" si="31"/>
        <v/>
      </c>
    </row>
    <row r="207" spans="1:19" x14ac:dyDescent="0.25">
      <c r="A207" s="36" t="str">
        <f>IF(B207="","",200)</f>
        <v/>
      </c>
      <c r="B207" s="36" t="str">
        <f>'Mau15'!B210&amp;""</f>
        <v/>
      </c>
      <c r="C207" s="47" t="str">
        <f>IF(B207="","",'Mau15'!C210)</f>
        <v/>
      </c>
      <c r="D207" s="36" t="str">
        <f>IF(B207="","",'Mau15'!D210)</f>
        <v/>
      </c>
      <c r="E207" s="48" t="str">
        <f>IF($B207="","",'Mau15'!P210)</f>
        <v/>
      </c>
      <c r="F207" s="48" t="str">
        <f>IF($B207="","",'Mau15'!F210)</f>
        <v/>
      </c>
      <c r="G207" s="48" t="str">
        <f t="shared" si="24"/>
        <v/>
      </c>
      <c r="H207" s="49" t="str">
        <f t="shared" si="25"/>
        <v/>
      </c>
      <c r="I207" s="48" t="str">
        <f>IF($B207="","",'Mau15'!K210)</f>
        <v/>
      </c>
      <c r="J207" s="48" t="str">
        <f>IF($B207="","",'Mau15'!M210)</f>
        <v/>
      </c>
      <c r="K207" s="48" t="str">
        <f t="shared" si="26"/>
        <v/>
      </c>
      <c r="L207" s="49" t="str">
        <f t="shared" si="27"/>
        <v/>
      </c>
      <c r="M207" s="48" t="str">
        <f>IF($B207="","",KT_nguoc_theo_NL!J204)</f>
        <v/>
      </c>
      <c r="N207" s="48" t="str">
        <f>IF($B207="","",KT_nguoc_theo_NL!K204)</f>
        <v/>
      </c>
      <c r="O207" s="48" t="str">
        <f t="shared" si="28"/>
        <v/>
      </c>
      <c r="P207" s="50" t="str">
        <f t="shared" si="29"/>
        <v/>
      </c>
      <c r="Q207" s="49" t="str">
        <f>IF($B207="","",IF(KT_nguoc_theo_NL!N204="Pass","Khớp",IF(KT_nguoc_theo_NL!N204="KXDDM","KXĐM",IF(KT_nguoc_theo_NL!N204="Xem xét","Cảnh báo",""))))</f>
        <v/>
      </c>
      <c r="R207" s="49" t="str">
        <f t="shared" si="30"/>
        <v/>
      </c>
      <c r="S207" s="31" t="str">
        <f t="shared" si="31"/>
        <v/>
      </c>
    </row>
    <row r="208" spans="1:19" x14ac:dyDescent="0.25">
      <c r="A208" s="36" t="str">
        <f>IF(B208="","",201)</f>
        <v/>
      </c>
      <c r="B208" s="36" t="str">
        <f>'Mau15'!B211&amp;""</f>
        <v/>
      </c>
      <c r="C208" s="47" t="str">
        <f>IF(B208="","",'Mau15'!C211)</f>
        <v/>
      </c>
      <c r="D208" s="36" t="str">
        <f>IF(B208="","",'Mau15'!D211)</f>
        <v/>
      </c>
      <c r="E208" s="48" t="str">
        <f>IF($B208="","",'Mau15'!P211)</f>
        <v/>
      </c>
      <c r="F208" s="48" t="str">
        <f>IF($B208="","",'Mau15'!F211)</f>
        <v/>
      </c>
      <c r="G208" s="48" t="str">
        <f t="shared" si="24"/>
        <v/>
      </c>
      <c r="H208" s="49" t="str">
        <f t="shared" si="25"/>
        <v/>
      </c>
      <c r="I208" s="48" t="str">
        <f>IF($B208="","",'Mau15'!K211)</f>
        <v/>
      </c>
      <c r="J208" s="48" t="str">
        <f>IF($B208="","",'Mau15'!M211)</f>
        <v/>
      </c>
      <c r="K208" s="48" t="str">
        <f t="shared" si="26"/>
        <v/>
      </c>
      <c r="L208" s="49" t="str">
        <f t="shared" si="27"/>
        <v/>
      </c>
      <c r="M208" s="48" t="str">
        <f>IF($B208="","",KT_nguoc_theo_NL!J205)</f>
        <v/>
      </c>
      <c r="N208" s="48" t="str">
        <f>IF($B208="","",KT_nguoc_theo_NL!K205)</f>
        <v/>
      </c>
      <c r="O208" s="48" t="str">
        <f t="shared" si="28"/>
        <v/>
      </c>
      <c r="P208" s="50" t="str">
        <f t="shared" si="29"/>
        <v/>
      </c>
      <c r="Q208" s="49" t="str">
        <f>IF($B208="","",IF(KT_nguoc_theo_NL!N205="Pass","Khớp",IF(KT_nguoc_theo_NL!N205="KXDDM","KXĐM",IF(KT_nguoc_theo_NL!N205="Xem xét","Cảnh báo",""))))</f>
        <v/>
      </c>
      <c r="R208" s="49" t="str">
        <f t="shared" si="30"/>
        <v/>
      </c>
      <c r="S208" s="31" t="str">
        <f t="shared" si="31"/>
        <v/>
      </c>
    </row>
    <row r="209" spans="1:19" x14ac:dyDescent="0.25">
      <c r="A209" s="36" t="str">
        <f>IF(B209="","",202)</f>
        <v/>
      </c>
      <c r="B209" s="36" t="str">
        <f>'Mau15'!B212&amp;""</f>
        <v/>
      </c>
      <c r="C209" s="47" t="str">
        <f>IF(B209="","",'Mau15'!C212)</f>
        <v/>
      </c>
      <c r="D209" s="36" t="str">
        <f>IF(B209="","",'Mau15'!D212)</f>
        <v/>
      </c>
      <c r="E209" s="48" t="str">
        <f>IF($B209="","",'Mau15'!P212)</f>
        <v/>
      </c>
      <c r="F209" s="48" t="str">
        <f>IF($B209="","",'Mau15'!F212)</f>
        <v/>
      </c>
      <c r="G209" s="48" t="str">
        <f t="shared" si="24"/>
        <v/>
      </c>
      <c r="H209" s="49" t="str">
        <f t="shared" si="25"/>
        <v/>
      </c>
      <c r="I209" s="48" t="str">
        <f>IF($B209="","",'Mau15'!K212)</f>
        <v/>
      </c>
      <c r="J209" s="48" t="str">
        <f>IF($B209="","",'Mau15'!M212)</f>
        <v/>
      </c>
      <c r="K209" s="48" t="str">
        <f t="shared" si="26"/>
        <v/>
      </c>
      <c r="L209" s="49" t="str">
        <f t="shared" si="27"/>
        <v/>
      </c>
      <c r="M209" s="48" t="str">
        <f>IF($B209="","",KT_nguoc_theo_NL!J206)</f>
        <v/>
      </c>
      <c r="N209" s="48" t="str">
        <f>IF($B209="","",KT_nguoc_theo_NL!K206)</f>
        <v/>
      </c>
      <c r="O209" s="48" t="str">
        <f t="shared" si="28"/>
        <v/>
      </c>
      <c r="P209" s="50" t="str">
        <f t="shared" si="29"/>
        <v/>
      </c>
      <c r="Q209" s="49" t="str">
        <f>IF($B209="","",IF(KT_nguoc_theo_NL!N206="Pass","Khớp",IF(KT_nguoc_theo_NL!N206="KXDDM","KXĐM",IF(KT_nguoc_theo_NL!N206="Xem xét","Cảnh báo",""))))</f>
        <v/>
      </c>
      <c r="R209" s="49" t="str">
        <f t="shared" si="30"/>
        <v/>
      </c>
      <c r="S209" s="31" t="str">
        <f t="shared" si="31"/>
        <v/>
      </c>
    </row>
    <row r="210" spans="1:19" x14ac:dyDescent="0.25">
      <c r="A210" s="36" t="str">
        <f>IF(B210="","",203)</f>
        <v/>
      </c>
      <c r="B210" s="36" t="str">
        <f>'Mau15'!B213&amp;""</f>
        <v/>
      </c>
      <c r="C210" s="47" t="str">
        <f>IF(B210="","",'Mau15'!C213)</f>
        <v/>
      </c>
      <c r="D210" s="36" t="str">
        <f>IF(B210="","",'Mau15'!D213)</f>
        <v/>
      </c>
      <c r="E210" s="48" t="str">
        <f>IF($B210="","",'Mau15'!P213)</f>
        <v/>
      </c>
      <c r="F210" s="48" t="str">
        <f>IF($B210="","",'Mau15'!F213)</f>
        <v/>
      </c>
      <c r="G210" s="48" t="str">
        <f t="shared" si="24"/>
        <v/>
      </c>
      <c r="H210" s="49" t="str">
        <f t="shared" si="25"/>
        <v/>
      </c>
      <c r="I210" s="48" t="str">
        <f>IF($B210="","",'Mau15'!K213)</f>
        <v/>
      </c>
      <c r="J210" s="48" t="str">
        <f>IF($B210="","",'Mau15'!M213)</f>
        <v/>
      </c>
      <c r="K210" s="48" t="str">
        <f t="shared" si="26"/>
        <v/>
      </c>
      <c r="L210" s="49" t="str">
        <f t="shared" si="27"/>
        <v/>
      </c>
      <c r="M210" s="48" t="str">
        <f>IF($B210="","",KT_nguoc_theo_NL!J207)</f>
        <v/>
      </c>
      <c r="N210" s="48" t="str">
        <f>IF($B210="","",KT_nguoc_theo_NL!K207)</f>
        <v/>
      </c>
      <c r="O210" s="48" t="str">
        <f t="shared" si="28"/>
        <v/>
      </c>
      <c r="P210" s="50" t="str">
        <f t="shared" si="29"/>
        <v/>
      </c>
      <c r="Q210" s="49" t="str">
        <f>IF($B210="","",IF(KT_nguoc_theo_NL!N207="Pass","Khớp",IF(KT_nguoc_theo_NL!N207="KXDDM","KXĐM",IF(KT_nguoc_theo_NL!N207="Xem xét","Cảnh báo",""))))</f>
        <v/>
      </c>
      <c r="R210" s="49" t="str">
        <f t="shared" si="30"/>
        <v/>
      </c>
      <c r="S210" s="31" t="str">
        <f t="shared" si="31"/>
        <v/>
      </c>
    </row>
    <row r="211" spans="1:19" x14ac:dyDescent="0.25">
      <c r="A211" s="36" t="str">
        <f>IF(B211="","",204)</f>
        <v/>
      </c>
      <c r="B211" s="36" t="str">
        <f>'Mau15'!B214&amp;""</f>
        <v/>
      </c>
      <c r="C211" s="47" t="str">
        <f>IF(B211="","",'Mau15'!C214)</f>
        <v/>
      </c>
      <c r="D211" s="36" t="str">
        <f>IF(B211="","",'Mau15'!D214)</f>
        <v/>
      </c>
      <c r="E211" s="48" t="str">
        <f>IF($B211="","",'Mau15'!P214)</f>
        <v/>
      </c>
      <c r="F211" s="48" t="str">
        <f>IF($B211="","",'Mau15'!F214)</f>
        <v/>
      </c>
      <c r="G211" s="48" t="str">
        <f t="shared" si="24"/>
        <v/>
      </c>
      <c r="H211" s="49" t="str">
        <f t="shared" si="25"/>
        <v/>
      </c>
      <c r="I211" s="48" t="str">
        <f>IF($B211="","",'Mau15'!K214)</f>
        <v/>
      </c>
      <c r="J211" s="48" t="str">
        <f>IF($B211="","",'Mau15'!M214)</f>
        <v/>
      </c>
      <c r="K211" s="48" t="str">
        <f t="shared" si="26"/>
        <v/>
      </c>
      <c r="L211" s="49" t="str">
        <f t="shared" si="27"/>
        <v/>
      </c>
      <c r="M211" s="48" t="str">
        <f>IF($B211="","",KT_nguoc_theo_NL!J208)</f>
        <v/>
      </c>
      <c r="N211" s="48" t="str">
        <f>IF($B211="","",KT_nguoc_theo_NL!K208)</f>
        <v/>
      </c>
      <c r="O211" s="48" t="str">
        <f t="shared" si="28"/>
        <v/>
      </c>
      <c r="P211" s="50" t="str">
        <f t="shared" si="29"/>
        <v/>
      </c>
      <c r="Q211" s="49" t="str">
        <f>IF($B211="","",IF(KT_nguoc_theo_NL!N208="Pass","Khớp",IF(KT_nguoc_theo_NL!N208="KXDDM","KXĐM",IF(KT_nguoc_theo_NL!N208="Xem xét","Cảnh báo",""))))</f>
        <v/>
      </c>
      <c r="R211" s="49" t="str">
        <f t="shared" si="30"/>
        <v/>
      </c>
      <c r="S211" s="31" t="str">
        <f t="shared" si="31"/>
        <v/>
      </c>
    </row>
    <row r="212" spans="1:19" x14ac:dyDescent="0.25">
      <c r="A212" s="36" t="str">
        <f>IF(B212="","",205)</f>
        <v/>
      </c>
      <c r="B212" s="36" t="str">
        <f>'Mau15'!B215&amp;""</f>
        <v/>
      </c>
      <c r="C212" s="47" t="str">
        <f>IF(B212="","",'Mau15'!C215)</f>
        <v/>
      </c>
      <c r="D212" s="36" t="str">
        <f>IF(B212="","",'Mau15'!D215)</f>
        <v/>
      </c>
      <c r="E212" s="48" t="str">
        <f>IF($B212="","",'Mau15'!P215)</f>
        <v/>
      </c>
      <c r="F212" s="48" t="str">
        <f>IF($B212="","",'Mau15'!F215)</f>
        <v/>
      </c>
      <c r="G212" s="48" t="str">
        <f t="shared" si="24"/>
        <v/>
      </c>
      <c r="H212" s="49" t="str">
        <f t="shared" si="25"/>
        <v/>
      </c>
      <c r="I212" s="48" t="str">
        <f>IF($B212="","",'Mau15'!K215)</f>
        <v/>
      </c>
      <c r="J212" s="48" t="str">
        <f>IF($B212="","",'Mau15'!M215)</f>
        <v/>
      </c>
      <c r="K212" s="48" t="str">
        <f t="shared" si="26"/>
        <v/>
      </c>
      <c r="L212" s="49" t="str">
        <f t="shared" si="27"/>
        <v/>
      </c>
      <c r="M212" s="48" t="str">
        <f>IF($B212="","",KT_nguoc_theo_NL!J209)</f>
        <v/>
      </c>
      <c r="N212" s="48" t="str">
        <f>IF($B212="","",KT_nguoc_theo_NL!K209)</f>
        <v/>
      </c>
      <c r="O212" s="48" t="str">
        <f t="shared" si="28"/>
        <v/>
      </c>
      <c r="P212" s="50" t="str">
        <f t="shared" si="29"/>
        <v/>
      </c>
      <c r="Q212" s="49" t="str">
        <f>IF($B212="","",IF(KT_nguoc_theo_NL!N209="Pass","Khớp",IF(KT_nguoc_theo_NL!N209="KXDDM","KXĐM",IF(KT_nguoc_theo_NL!N209="Xem xét","Cảnh báo",""))))</f>
        <v/>
      </c>
      <c r="R212" s="49" t="str">
        <f t="shared" si="30"/>
        <v/>
      </c>
      <c r="S212" s="31" t="str">
        <f t="shared" si="31"/>
        <v/>
      </c>
    </row>
    <row r="213" spans="1:19" x14ac:dyDescent="0.25">
      <c r="A213" s="36" t="str">
        <f>IF(B213="","",206)</f>
        <v/>
      </c>
      <c r="B213" s="36" t="str">
        <f>'Mau15'!B216&amp;""</f>
        <v/>
      </c>
      <c r="C213" s="47" t="str">
        <f>IF(B213="","",'Mau15'!C216)</f>
        <v/>
      </c>
      <c r="D213" s="36" t="str">
        <f>IF(B213="","",'Mau15'!D216)</f>
        <v/>
      </c>
      <c r="E213" s="48" t="str">
        <f>IF($B213="","",'Mau15'!P216)</f>
        <v/>
      </c>
      <c r="F213" s="48" t="str">
        <f>IF($B213="","",'Mau15'!F216)</f>
        <v/>
      </c>
      <c r="G213" s="48" t="str">
        <f t="shared" si="24"/>
        <v/>
      </c>
      <c r="H213" s="49" t="str">
        <f t="shared" si="25"/>
        <v/>
      </c>
      <c r="I213" s="48" t="str">
        <f>IF($B213="","",'Mau15'!K216)</f>
        <v/>
      </c>
      <c r="J213" s="48" t="str">
        <f>IF($B213="","",'Mau15'!M216)</f>
        <v/>
      </c>
      <c r="K213" s="48" t="str">
        <f t="shared" si="26"/>
        <v/>
      </c>
      <c r="L213" s="49" t="str">
        <f t="shared" si="27"/>
        <v/>
      </c>
      <c r="M213" s="48" t="str">
        <f>IF($B213="","",KT_nguoc_theo_NL!J210)</f>
        <v/>
      </c>
      <c r="N213" s="48" t="str">
        <f>IF($B213="","",KT_nguoc_theo_NL!K210)</f>
        <v/>
      </c>
      <c r="O213" s="48" t="str">
        <f t="shared" si="28"/>
        <v/>
      </c>
      <c r="P213" s="50" t="str">
        <f t="shared" si="29"/>
        <v/>
      </c>
      <c r="Q213" s="49" t="str">
        <f>IF($B213="","",IF(KT_nguoc_theo_NL!N210="Pass","Khớp",IF(KT_nguoc_theo_NL!N210="KXDDM","KXĐM",IF(KT_nguoc_theo_NL!N210="Xem xét","Cảnh báo",""))))</f>
        <v/>
      </c>
      <c r="R213" s="49" t="str">
        <f t="shared" si="30"/>
        <v/>
      </c>
      <c r="S213" s="31" t="str">
        <f t="shared" si="31"/>
        <v/>
      </c>
    </row>
    <row r="214" spans="1:19" x14ac:dyDescent="0.25">
      <c r="A214" s="36" t="str">
        <f>IF(B214="","",207)</f>
        <v/>
      </c>
      <c r="B214" s="36" t="str">
        <f>'Mau15'!B217&amp;""</f>
        <v/>
      </c>
      <c r="C214" s="47" t="str">
        <f>IF(B214="","",'Mau15'!C217)</f>
        <v/>
      </c>
      <c r="D214" s="36" t="str">
        <f>IF(B214="","",'Mau15'!D217)</f>
        <v/>
      </c>
      <c r="E214" s="48" t="str">
        <f>IF($B214="","",'Mau15'!P217)</f>
        <v/>
      </c>
      <c r="F214" s="48" t="str">
        <f>IF($B214="","",'Mau15'!F217)</f>
        <v/>
      </c>
      <c r="G214" s="48" t="str">
        <f t="shared" si="24"/>
        <v/>
      </c>
      <c r="H214" s="49" t="str">
        <f t="shared" si="25"/>
        <v/>
      </c>
      <c r="I214" s="48" t="str">
        <f>IF($B214="","",'Mau15'!K217)</f>
        <v/>
      </c>
      <c r="J214" s="48" t="str">
        <f>IF($B214="","",'Mau15'!M217)</f>
        <v/>
      </c>
      <c r="K214" s="48" t="str">
        <f t="shared" si="26"/>
        <v/>
      </c>
      <c r="L214" s="49" t="str">
        <f t="shared" si="27"/>
        <v/>
      </c>
      <c r="M214" s="48" t="str">
        <f>IF($B214="","",KT_nguoc_theo_NL!J211)</f>
        <v/>
      </c>
      <c r="N214" s="48" t="str">
        <f>IF($B214="","",KT_nguoc_theo_NL!K211)</f>
        <v/>
      </c>
      <c r="O214" s="48" t="str">
        <f t="shared" si="28"/>
        <v/>
      </c>
      <c r="P214" s="50" t="str">
        <f t="shared" si="29"/>
        <v/>
      </c>
      <c r="Q214" s="49" t="str">
        <f>IF($B214="","",IF(KT_nguoc_theo_NL!N211="Pass","Khớp",IF(KT_nguoc_theo_NL!N211="KXDDM","KXĐM",IF(KT_nguoc_theo_NL!N211="Xem xét","Cảnh báo",""))))</f>
        <v/>
      </c>
      <c r="R214" s="49" t="str">
        <f t="shared" si="30"/>
        <v/>
      </c>
      <c r="S214" s="31" t="str">
        <f t="shared" si="31"/>
        <v/>
      </c>
    </row>
    <row r="215" spans="1:19" x14ac:dyDescent="0.25">
      <c r="A215" s="36" t="str">
        <f>IF(B215="","",208)</f>
        <v/>
      </c>
      <c r="B215" s="36" t="str">
        <f>'Mau15'!B218&amp;""</f>
        <v/>
      </c>
      <c r="C215" s="47" t="str">
        <f>IF(B215="","",'Mau15'!C218)</f>
        <v/>
      </c>
      <c r="D215" s="36" t="str">
        <f>IF(B215="","",'Mau15'!D218)</f>
        <v/>
      </c>
      <c r="E215" s="48" t="str">
        <f>IF($B215="","",'Mau15'!P218)</f>
        <v/>
      </c>
      <c r="F215" s="48" t="str">
        <f>IF($B215="","",'Mau15'!F218)</f>
        <v/>
      </c>
      <c r="G215" s="48" t="str">
        <f t="shared" si="24"/>
        <v/>
      </c>
      <c r="H215" s="49" t="str">
        <f t="shared" si="25"/>
        <v/>
      </c>
      <c r="I215" s="48" t="str">
        <f>IF($B215="","",'Mau15'!K218)</f>
        <v/>
      </c>
      <c r="J215" s="48" t="str">
        <f>IF($B215="","",'Mau15'!M218)</f>
        <v/>
      </c>
      <c r="K215" s="48" t="str">
        <f t="shared" si="26"/>
        <v/>
      </c>
      <c r="L215" s="49" t="str">
        <f t="shared" si="27"/>
        <v/>
      </c>
      <c r="M215" s="48" t="str">
        <f>IF($B215="","",KT_nguoc_theo_NL!J212)</f>
        <v/>
      </c>
      <c r="N215" s="48" t="str">
        <f>IF($B215="","",KT_nguoc_theo_NL!K212)</f>
        <v/>
      </c>
      <c r="O215" s="48" t="str">
        <f t="shared" si="28"/>
        <v/>
      </c>
      <c r="P215" s="50" t="str">
        <f t="shared" si="29"/>
        <v/>
      </c>
      <c r="Q215" s="49" t="str">
        <f>IF($B215="","",IF(KT_nguoc_theo_NL!N212="Pass","Khớp",IF(KT_nguoc_theo_NL!N212="KXDDM","KXĐM",IF(KT_nguoc_theo_NL!N212="Xem xét","Cảnh báo",""))))</f>
        <v/>
      </c>
      <c r="R215" s="49" t="str">
        <f t="shared" si="30"/>
        <v/>
      </c>
      <c r="S215" s="31" t="str">
        <f t="shared" si="31"/>
        <v/>
      </c>
    </row>
    <row r="216" spans="1:19" x14ac:dyDescent="0.25">
      <c r="A216" s="36" t="str">
        <f>IF(B216="","",209)</f>
        <v/>
      </c>
      <c r="B216" s="36" t="str">
        <f>'Mau15'!B219&amp;""</f>
        <v/>
      </c>
      <c r="C216" s="47" t="str">
        <f>IF(B216="","",'Mau15'!C219)</f>
        <v/>
      </c>
      <c r="D216" s="36" t="str">
        <f>IF(B216="","",'Mau15'!D219)</f>
        <v/>
      </c>
      <c r="E216" s="48" t="str">
        <f>IF($B216="","",'Mau15'!P219)</f>
        <v/>
      </c>
      <c r="F216" s="48" t="str">
        <f>IF($B216="","",'Mau15'!F219)</f>
        <v/>
      </c>
      <c r="G216" s="48" t="str">
        <f t="shared" si="24"/>
        <v/>
      </c>
      <c r="H216" s="49" t="str">
        <f t="shared" si="25"/>
        <v/>
      </c>
      <c r="I216" s="48" t="str">
        <f>IF($B216="","",'Mau15'!K219)</f>
        <v/>
      </c>
      <c r="J216" s="48" t="str">
        <f>IF($B216="","",'Mau15'!M219)</f>
        <v/>
      </c>
      <c r="K216" s="48" t="str">
        <f t="shared" si="26"/>
        <v/>
      </c>
      <c r="L216" s="49" t="str">
        <f t="shared" si="27"/>
        <v/>
      </c>
      <c r="M216" s="48" t="str">
        <f>IF($B216="","",KT_nguoc_theo_NL!J213)</f>
        <v/>
      </c>
      <c r="N216" s="48" t="str">
        <f>IF($B216="","",KT_nguoc_theo_NL!K213)</f>
        <v/>
      </c>
      <c r="O216" s="48" t="str">
        <f t="shared" si="28"/>
        <v/>
      </c>
      <c r="P216" s="50" t="str">
        <f t="shared" si="29"/>
        <v/>
      </c>
      <c r="Q216" s="49" t="str">
        <f>IF($B216="","",IF(KT_nguoc_theo_NL!N213="Pass","Khớp",IF(KT_nguoc_theo_NL!N213="KXDDM","KXĐM",IF(KT_nguoc_theo_NL!N213="Xem xét","Cảnh báo",""))))</f>
        <v/>
      </c>
      <c r="R216" s="49" t="str">
        <f t="shared" si="30"/>
        <v/>
      </c>
      <c r="S216" s="31" t="str">
        <f t="shared" si="31"/>
        <v/>
      </c>
    </row>
    <row r="217" spans="1:19" x14ac:dyDescent="0.25">
      <c r="A217" s="36" t="str">
        <f>IF(B217="","",210)</f>
        <v/>
      </c>
      <c r="B217" s="36" t="str">
        <f>'Mau15'!B220&amp;""</f>
        <v/>
      </c>
      <c r="C217" s="47" t="str">
        <f>IF(B217="","",'Mau15'!C220)</f>
        <v/>
      </c>
      <c r="D217" s="36" t="str">
        <f>IF(B217="","",'Mau15'!D220)</f>
        <v/>
      </c>
      <c r="E217" s="48" t="str">
        <f>IF($B217="","",'Mau15'!P220)</f>
        <v/>
      </c>
      <c r="F217" s="48" t="str">
        <f>IF($B217="","",'Mau15'!F220)</f>
        <v/>
      </c>
      <c r="G217" s="48" t="str">
        <f t="shared" si="24"/>
        <v/>
      </c>
      <c r="H217" s="49" t="str">
        <f t="shared" si="25"/>
        <v/>
      </c>
      <c r="I217" s="48" t="str">
        <f>IF($B217="","",'Mau15'!K220)</f>
        <v/>
      </c>
      <c r="J217" s="48" t="str">
        <f>IF($B217="","",'Mau15'!M220)</f>
        <v/>
      </c>
      <c r="K217" s="48" t="str">
        <f t="shared" si="26"/>
        <v/>
      </c>
      <c r="L217" s="49" t="str">
        <f t="shared" si="27"/>
        <v/>
      </c>
      <c r="M217" s="48" t="str">
        <f>IF($B217="","",KT_nguoc_theo_NL!J214)</f>
        <v/>
      </c>
      <c r="N217" s="48" t="str">
        <f>IF($B217="","",KT_nguoc_theo_NL!K214)</f>
        <v/>
      </c>
      <c r="O217" s="48" t="str">
        <f t="shared" si="28"/>
        <v/>
      </c>
      <c r="P217" s="50" t="str">
        <f t="shared" si="29"/>
        <v/>
      </c>
      <c r="Q217" s="49" t="str">
        <f>IF($B217="","",IF(KT_nguoc_theo_NL!N214="Pass","Khớp",IF(KT_nguoc_theo_NL!N214="KXDDM","KXĐM",IF(KT_nguoc_theo_NL!N214="Xem xét","Cảnh báo",""))))</f>
        <v/>
      </c>
      <c r="R217" s="49" t="str">
        <f t="shared" si="30"/>
        <v/>
      </c>
      <c r="S217" s="31" t="str">
        <f t="shared" si="31"/>
        <v/>
      </c>
    </row>
    <row r="218" spans="1:19" x14ac:dyDescent="0.25">
      <c r="A218" s="36" t="str">
        <f>IF(B218="","",211)</f>
        <v/>
      </c>
      <c r="B218" s="36" t="str">
        <f>'Mau15'!B221&amp;""</f>
        <v/>
      </c>
      <c r="C218" s="47" t="str">
        <f>IF(B218="","",'Mau15'!C221)</f>
        <v/>
      </c>
      <c r="D218" s="36" t="str">
        <f>IF(B218="","",'Mau15'!D221)</f>
        <v/>
      </c>
      <c r="E218" s="48" t="str">
        <f>IF($B218="","",'Mau15'!P221)</f>
        <v/>
      </c>
      <c r="F218" s="48" t="str">
        <f>IF($B218="","",'Mau15'!F221)</f>
        <v/>
      </c>
      <c r="G218" s="48" t="str">
        <f t="shared" si="24"/>
        <v/>
      </c>
      <c r="H218" s="49" t="str">
        <f t="shared" si="25"/>
        <v/>
      </c>
      <c r="I218" s="48" t="str">
        <f>IF($B218="","",'Mau15'!K221)</f>
        <v/>
      </c>
      <c r="J218" s="48" t="str">
        <f>IF($B218="","",'Mau15'!M221)</f>
        <v/>
      </c>
      <c r="K218" s="48" t="str">
        <f t="shared" si="26"/>
        <v/>
      </c>
      <c r="L218" s="49" t="str">
        <f t="shared" si="27"/>
        <v/>
      </c>
      <c r="M218" s="48" t="str">
        <f>IF($B218="","",KT_nguoc_theo_NL!J215)</f>
        <v/>
      </c>
      <c r="N218" s="48" t="str">
        <f>IF($B218="","",KT_nguoc_theo_NL!K215)</f>
        <v/>
      </c>
      <c r="O218" s="48" t="str">
        <f t="shared" si="28"/>
        <v/>
      </c>
      <c r="P218" s="50" t="str">
        <f t="shared" si="29"/>
        <v/>
      </c>
      <c r="Q218" s="49" t="str">
        <f>IF($B218="","",IF(KT_nguoc_theo_NL!N215="Pass","Khớp",IF(KT_nguoc_theo_NL!N215="KXDDM","KXĐM",IF(KT_nguoc_theo_NL!N215="Xem xét","Cảnh báo",""))))</f>
        <v/>
      </c>
      <c r="R218" s="49" t="str">
        <f t="shared" si="30"/>
        <v/>
      </c>
      <c r="S218" s="31" t="str">
        <f t="shared" si="31"/>
        <v/>
      </c>
    </row>
    <row r="219" spans="1:19" x14ac:dyDescent="0.25">
      <c r="A219" s="36" t="str">
        <f>IF(B219="","",212)</f>
        <v/>
      </c>
      <c r="B219" s="36" t="str">
        <f>'Mau15'!B222&amp;""</f>
        <v/>
      </c>
      <c r="C219" s="47" t="str">
        <f>IF(B219="","",'Mau15'!C222)</f>
        <v/>
      </c>
      <c r="D219" s="36" t="str">
        <f>IF(B219="","",'Mau15'!D222)</f>
        <v/>
      </c>
      <c r="E219" s="48" t="str">
        <f>IF($B219="","",'Mau15'!P222)</f>
        <v/>
      </c>
      <c r="F219" s="48" t="str">
        <f>IF($B219="","",'Mau15'!F222)</f>
        <v/>
      </c>
      <c r="G219" s="48" t="str">
        <f t="shared" si="24"/>
        <v/>
      </c>
      <c r="H219" s="49" t="str">
        <f t="shared" si="25"/>
        <v/>
      </c>
      <c r="I219" s="48" t="str">
        <f>IF($B219="","",'Mau15'!K222)</f>
        <v/>
      </c>
      <c r="J219" s="48" t="str">
        <f>IF($B219="","",'Mau15'!M222)</f>
        <v/>
      </c>
      <c r="K219" s="48" t="str">
        <f t="shared" si="26"/>
        <v/>
      </c>
      <c r="L219" s="49" t="str">
        <f t="shared" si="27"/>
        <v/>
      </c>
      <c r="M219" s="48" t="str">
        <f>IF($B219="","",KT_nguoc_theo_NL!J216)</f>
        <v/>
      </c>
      <c r="N219" s="48" t="str">
        <f>IF($B219="","",KT_nguoc_theo_NL!K216)</f>
        <v/>
      </c>
      <c r="O219" s="48" t="str">
        <f t="shared" si="28"/>
        <v/>
      </c>
      <c r="P219" s="50" t="str">
        <f t="shared" si="29"/>
        <v/>
      </c>
      <c r="Q219" s="49" t="str">
        <f>IF($B219="","",IF(KT_nguoc_theo_NL!N216="Pass","Khớp",IF(KT_nguoc_theo_NL!N216="KXDDM","KXĐM",IF(KT_nguoc_theo_NL!N216="Xem xét","Cảnh báo",""))))</f>
        <v/>
      </c>
      <c r="R219" s="49" t="str">
        <f t="shared" si="30"/>
        <v/>
      </c>
      <c r="S219" s="31" t="str">
        <f t="shared" si="31"/>
        <v/>
      </c>
    </row>
    <row r="220" spans="1:19" x14ac:dyDescent="0.25">
      <c r="A220" s="36" t="str">
        <f>IF(B220="","",213)</f>
        <v/>
      </c>
      <c r="B220" s="36" t="str">
        <f>'Mau15'!B223&amp;""</f>
        <v/>
      </c>
      <c r="C220" s="47" t="str">
        <f>IF(B220="","",'Mau15'!C223)</f>
        <v/>
      </c>
      <c r="D220" s="36" t="str">
        <f>IF(B220="","",'Mau15'!D223)</f>
        <v/>
      </c>
      <c r="E220" s="48" t="str">
        <f>IF($B220="","",'Mau15'!P223)</f>
        <v/>
      </c>
      <c r="F220" s="48" t="str">
        <f>IF($B220="","",'Mau15'!F223)</f>
        <v/>
      </c>
      <c r="G220" s="48" t="str">
        <f t="shared" si="24"/>
        <v/>
      </c>
      <c r="H220" s="49" t="str">
        <f t="shared" si="25"/>
        <v/>
      </c>
      <c r="I220" s="48" t="str">
        <f>IF($B220="","",'Mau15'!K223)</f>
        <v/>
      </c>
      <c r="J220" s="48" t="str">
        <f>IF($B220="","",'Mau15'!M223)</f>
        <v/>
      </c>
      <c r="K220" s="48" t="str">
        <f t="shared" si="26"/>
        <v/>
      </c>
      <c r="L220" s="49" t="str">
        <f t="shared" si="27"/>
        <v/>
      </c>
      <c r="M220" s="48" t="str">
        <f>IF($B220="","",KT_nguoc_theo_NL!J217)</f>
        <v/>
      </c>
      <c r="N220" s="48" t="str">
        <f>IF($B220="","",KT_nguoc_theo_NL!K217)</f>
        <v/>
      </c>
      <c r="O220" s="48" t="str">
        <f t="shared" si="28"/>
        <v/>
      </c>
      <c r="P220" s="50" t="str">
        <f t="shared" si="29"/>
        <v/>
      </c>
      <c r="Q220" s="49" t="str">
        <f>IF($B220="","",IF(KT_nguoc_theo_NL!N217="Pass","Khớp",IF(KT_nguoc_theo_NL!N217="KXDDM","KXĐM",IF(KT_nguoc_theo_NL!N217="Xem xét","Cảnh báo",""))))</f>
        <v/>
      </c>
      <c r="R220" s="49" t="str">
        <f t="shared" si="30"/>
        <v/>
      </c>
      <c r="S220" s="31" t="str">
        <f t="shared" si="31"/>
        <v/>
      </c>
    </row>
    <row r="221" spans="1:19" x14ac:dyDescent="0.25">
      <c r="A221" s="36" t="str">
        <f>IF(B221="","",214)</f>
        <v/>
      </c>
      <c r="B221" s="36" t="str">
        <f>'Mau15'!B224&amp;""</f>
        <v/>
      </c>
      <c r="C221" s="47" t="str">
        <f>IF(B221="","",'Mau15'!C224)</f>
        <v/>
      </c>
      <c r="D221" s="36" t="str">
        <f>IF(B221="","",'Mau15'!D224)</f>
        <v/>
      </c>
      <c r="E221" s="48" t="str">
        <f>IF($B221="","",'Mau15'!P224)</f>
        <v/>
      </c>
      <c r="F221" s="48" t="str">
        <f>IF($B221="","",'Mau15'!F224)</f>
        <v/>
      </c>
      <c r="G221" s="48" t="str">
        <f t="shared" si="24"/>
        <v/>
      </c>
      <c r="H221" s="49" t="str">
        <f t="shared" si="25"/>
        <v/>
      </c>
      <c r="I221" s="48" t="str">
        <f>IF($B221="","",'Mau15'!K224)</f>
        <v/>
      </c>
      <c r="J221" s="48" t="str">
        <f>IF($B221="","",'Mau15'!M224)</f>
        <v/>
      </c>
      <c r="K221" s="48" t="str">
        <f t="shared" si="26"/>
        <v/>
      </c>
      <c r="L221" s="49" t="str">
        <f t="shared" si="27"/>
        <v/>
      </c>
      <c r="M221" s="48" t="str">
        <f>IF($B221="","",KT_nguoc_theo_NL!J218)</f>
        <v/>
      </c>
      <c r="N221" s="48" t="str">
        <f>IF($B221="","",KT_nguoc_theo_NL!K218)</f>
        <v/>
      </c>
      <c r="O221" s="48" t="str">
        <f t="shared" si="28"/>
        <v/>
      </c>
      <c r="P221" s="50" t="str">
        <f t="shared" si="29"/>
        <v/>
      </c>
      <c r="Q221" s="49" t="str">
        <f>IF($B221="","",IF(KT_nguoc_theo_NL!N218="Pass","Khớp",IF(KT_nguoc_theo_NL!N218="KXDDM","KXĐM",IF(KT_nguoc_theo_NL!N218="Xem xét","Cảnh báo",""))))</f>
        <v/>
      </c>
      <c r="R221" s="49" t="str">
        <f t="shared" si="30"/>
        <v/>
      </c>
      <c r="S221" s="31" t="str">
        <f t="shared" si="31"/>
        <v/>
      </c>
    </row>
    <row r="222" spans="1:19" x14ac:dyDescent="0.25">
      <c r="A222" s="36" t="str">
        <f>IF(B222="","",215)</f>
        <v/>
      </c>
      <c r="B222" s="36" t="str">
        <f>'Mau15'!B225&amp;""</f>
        <v/>
      </c>
      <c r="C222" s="47" t="str">
        <f>IF(B222="","",'Mau15'!C225)</f>
        <v/>
      </c>
      <c r="D222" s="36" t="str">
        <f>IF(B222="","",'Mau15'!D225)</f>
        <v/>
      </c>
      <c r="E222" s="48" t="str">
        <f>IF($B222="","",'Mau15'!P225)</f>
        <v/>
      </c>
      <c r="F222" s="48" t="str">
        <f>IF($B222="","",'Mau15'!F225)</f>
        <v/>
      </c>
      <c r="G222" s="48" t="str">
        <f t="shared" si="24"/>
        <v/>
      </c>
      <c r="H222" s="49" t="str">
        <f t="shared" si="25"/>
        <v/>
      </c>
      <c r="I222" s="48" t="str">
        <f>IF($B222="","",'Mau15'!K225)</f>
        <v/>
      </c>
      <c r="J222" s="48" t="str">
        <f>IF($B222="","",'Mau15'!M225)</f>
        <v/>
      </c>
      <c r="K222" s="48" t="str">
        <f t="shared" si="26"/>
        <v/>
      </c>
      <c r="L222" s="49" t="str">
        <f t="shared" si="27"/>
        <v/>
      </c>
      <c r="M222" s="48" t="str">
        <f>IF($B222="","",KT_nguoc_theo_NL!J219)</f>
        <v/>
      </c>
      <c r="N222" s="48" t="str">
        <f>IF($B222="","",KT_nguoc_theo_NL!K219)</f>
        <v/>
      </c>
      <c r="O222" s="48" t="str">
        <f t="shared" si="28"/>
        <v/>
      </c>
      <c r="P222" s="50" t="str">
        <f t="shared" si="29"/>
        <v/>
      </c>
      <c r="Q222" s="49" t="str">
        <f>IF($B222="","",IF(KT_nguoc_theo_NL!N219="Pass","Khớp",IF(KT_nguoc_theo_NL!N219="KXDDM","KXĐM",IF(KT_nguoc_theo_NL!N219="Xem xét","Cảnh báo",""))))</f>
        <v/>
      </c>
      <c r="R222" s="49" t="str">
        <f t="shared" si="30"/>
        <v/>
      </c>
      <c r="S222" s="31" t="str">
        <f t="shared" si="31"/>
        <v/>
      </c>
    </row>
    <row r="223" spans="1:19" x14ac:dyDescent="0.25">
      <c r="A223" s="36" t="str">
        <f>IF(B223="","",216)</f>
        <v/>
      </c>
      <c r="B223" s="36" t="str">
        <f>'Mau15'!B226&amp;""</f>
        <v/>
      </c>
      <c r="C223" s="47" t="str">
        <f>IF(B223="","",'Mau15'!C226)</f>
        <v/>
      </c>
      <c r="D223" s="36" t="str">
        <f>IF(B223="","",'Mau15'!D226)</f>
        <v/>
      </c>
      <c r="E223" s="48" t="str">
        <f>IF($B223="","",'Mau15'!P226)</f>
        <v/>
      </c>
      <c r="F223" s="48" t="str">
        <f>IF($B223="","",'Mau15'!F226)</f>
        <v/>
      </c>
      <c r="G223" s="48" t="str">
        <f t="shared" si="24"/>
        <v/>
      </c>
      <c r="H223" s="49" t="str">
        <f t="shared" si="25"/>
        <v/>
      </c>
      <c r="I223" s="48" t="str">
        <f>IF($B223="","",'Mau15'!K226)</f>
        <v/>
      </c>
      <c r="J223" s="48" t="str">
        <f>IF($B223="","",'Mau15'!M226)</f>
        <v/>
      </c>
      <c r="K223" s="48" t="str">
        <f t="shared" si="26"/>
        <v/>
      </c>
      <c r="L223" s="49" t="str">
        <f t="shared" si="27"/>
        <v/>
      </c>
      <c r="M223" s="48" t="str">
        <f>IF($B223="","",KT_nguoc_theo_NL!J220)</f>
        <v/>
      </c>
      <c r="N223" s="48" t="str">
        <f>IF($B223="","",KT_nguoc_theo_NL!K220)</f>
        <v/>
      </c>
      <c r="O223" s="48" t="str">
        <f t="shared" si="28"/>
        <v/>
      </c>
      <c r="P223" s="50" t="str">
        <f t="shared" si="29"/>
        <v/>
      </c>
      <c r="Q223" s="49" t="str">
        <f>IF($B223="","",IF(KT_nguoc_theo_NL!N220="Pass","Khớp",IF(KT_nguoc_theo_NL!N220="KXDDM","KXĐM",IF(KT_nguoc_theo_NL!N220="Xem xét","Cảnh báo",""))))</f>
        <v/>
      </c>
      <c r="R223" s="49" t="str">
        <f t="shared" si="30"/>
        <v/>
      </c>
      <c r="S223" s="31" t="str">
        <f t="shared" si="31"/>
        <v/>
      </c>
    </row>
    <row r="224" spans="1:19" x14ac:dyDescent="0.25">
      <c r="A224" s="36" t="str">
        <f>IF(B224="","",217)</f>
        <v/>
      </c>
      <c r="B224" s="36" t="str">
        <f>'Mau15'!B227&amp;""</f>
        <v/>
      </c>
      <c r="C224" s="47" t="str">
        <f>IF(B224="","",'Mau15'!C227)</f>
        <v/>
      </c>
      <c r="D224" s="36" t="str">
        <f>IF(B224="","",'Mau15'!D227)</f>
        <v/>
      </c>
      <c r="E224" s="48" t="str">
        <f>IF($B224="","",'Mau15'!P227)</f>
        <v/>
      </c>
      <c r="F224" s="48" t="str">
        <f>IF($B224="","",'Mau15'!F227)</f>
        <v/>
      </c>
      <c r="G224" s="48" t="str">
        <f t="shared" si="24"/>
        <v/>
      </c>
      <c r="H224" s="49" t="str">
        <f t="shared" si="25"/>
        <v/>
      </c>
      <c r="I224" s="48" t="str">
        <f>IF($B224="","",'Mau15'!K227)</f>
        <v/>
      </c>
      <c r="J224" s="48" t="str">
        <f>IF($B224="","",'Mau15'!M227)</f>
        <v/>
      </c>
      <c r="K224" s="48" t="str">
        <f t="shared" si="26"/>
        <v/>
      </c>
      <c r="L224" s="49" t="str">
        <f t="shared" si="27"/>
        <v/>
      </c>
      <c r="M224" s="48" t="str">
        <f>IF($B224="","",KT_nguoc_theo_NL!J221)</f>
        <v/>
      </c>
      <c r="N224" s="48" t="str">
        <f>IF($B224="","",KT_nguoc_theo_NL!K221)</f>
        <v/>
      </c>
      <c r="O224" s="48" t="str">
        <f t="shared" si="28"/>
        <v/>
      </c>
      <c r="P224" s="50" t="str">
        <f t="shared" si="29"/>
        <v/>
      </c>
      <c r="Q224" s="49" t="str">
        <f>IF($B224="","",IF(KT_nguoc_theo_NL!N221="Pass","Khớp",IF(KT_nguoc_theo_NL!N221="KXDDM","KXĐM",IF(KT_nguoc_theo_NL!N221="Xem xét","Cảnh báo",""))))</f>
        <v/>
      </c>
      <c r="R224" s="49" t="str">
        <f t="shared" si="30"/>
        <v/>
      </c>
      <c r="S224" s="31" t="str">
        <f t="shared" si="31"/>
        <v/>
      </c>
    </row>
    <row r="225" spans="1:19" x14ac:dyDescent="0.25">
      <c r="A225" s="36" t="str">
        <f>IF(B225="","",218)</f>
        <v/>
      </c>
      <c r="B225" s="36" t="str">
        <f>'Mau15'!B228&amp;""</f>
        <v/>
      </c>
      <c r="C225" s="47" t="str">
        <f>IF(B225="","",'Mau15'!C228)</f>
        <v/>
      </c>
      <c r="D225" s="36" t="str">
        <f>IF(B225="","",'Mau15'!D228)</f>
        <v/>
      </c>
      <c r="E225" s="48" t="str">
        <f>IF($B225="","",'Mau15'!P228)</f>
        <v/>
      </c>
      <c r="F225" s="48" t="str">
        <f>IF($B225="","",'Mau15'!F228)</f>
        <v/>
      </c>
      <c r="G225" s="48" t="str">
        <f t="shared" si="24"/>
        <v/>
      </c>
      <c r="H225" s="49" t="str">
        <f t="shared" si="25"/>
        <v/>
      </c>
      <c r="I225" s="48" t="str">
        <f>IF($B225="","",'Mau15'!K228)</f>
        <v/>
      </c>
      <c r="J225" s="48" t="str">
        <f>IF($B225="","",'Mau15'!M228)</f>
        <v/>
      </c>
      <c r="K225" s="48" t="str">
        <f t="shared" si="26"/>
        <v/>
      </c>
      <c r="L225" s="49" t="str">
        <f t="shared" si="27"/>
        <v/>
      </c>
      <c r="M225" s="48" t="str">
        <f>IF($B225="","",KT_nguoc_theo_NL!J222)</f>
        <v/>
      </c>
      <c r="N225" s="48" t="str">
        <f>IF($B225="","",KT_nguoc_theo_NL!K222)</f>
        <v/>
      </c>
      <c r="O225" s="48" t="str">
        <f t="shared" si="28"/>
        <v/>
      </c>
      <c r="P225" s="50" t="str">
        <f t="shared" si="29"/>
        <v/>
      </c>
      <c r="Q225" s="49" t="str">
        <f>IF($B225="","",IF(KT_nguoc_theo_NL!N222="Pass","Khớp",IF(KT_nguoc_theo_NL!N222="KXDDM","KXĐM",IF(KT_nguoc_theo_NL!N222="Xem xét","Cảnh báo",""))))</f>
        <v/>
      </c>
      <c r="R225" s="49" t="str">
        <f t="shared" si="30"/>
        <v/>
      </c>
      <c r="S225" s="31" t="str">
        <f t="shared" si="31"/>
        <v/>
      </c>
    </row>
    <row r="226" spans="1:19" x14ac:dyDescent="0.25">
      <c r="A226" s="36" t="str">
        <f>IF(B226="","",219)</f>
        <v/>
      </c>
      <c r="B226" s="36" t="str">
        <f>'Mau15'!B229&amp;""</f>
        <v/>
      </c>
      <c r="C226" s="47" t="str">
        <f>IF(B226="","",'Mau15'!C229)</f>
        <v/>
      </c>
      <c r="D226" s="36" t="str">
        <f>IF(B226="","",'Mau15'!D229)</f>
        <v/>
      </c>
      <c r="E226" s="48" t="str">
        <f>IF($B226="","",'Mau15'!P229)</f>
        <v/>
      </c>
      <c r="F226" s="48" t="str">
        <f>IF($B226="","",'Mau15'!F229)</f>
        <v/>
      </c>
      <c r="G226" s="48" t="str">
        <f t="shared" si="24"/>
        <v/>
      </c>
      <c r="H226" s="49" t="str">
        <f t="shared" si="25"/>
        <v/>
      </c>
      <c r="I226" s="48" t="str">
        <f>IF($B226="","",'Mau15'!K229)</f>
        <v/>
      </c>
      <c r="J226" s="48" t="str">
        <f>IF($B226="","",'Mau15'!M229)</f>
        <v/>
      </c>
      <c r="K226" s="48" t="str">
        <f t="shared" si="26"/>
        <v/>
      </c>
      <c r="L226" s="49" t="str">
        <f t="shared" si="27"/>
        <v/>
      </c>
      <c r="M226" s="48" t="str">
        <f>IF($B226="","",KT_nguoc_theo_NL!J223)</f>
        <v/>
      </c>
      <c r="N226" s="48" t="str">
        <f>IF($B226="","",KT_nguoc_theo_NL!K223)</f>
        <v/>
      </c>
      <c r="O226" s="48" t="str">
        <f t="shared" si="28"/>
        <v/>
      </c>
      <c r="P226" s="50" t="str">
        <f t="shared" si="29"/>
        <v/>
      </c>
      <c r="Q226" s="49" t="str">
        <f>IF($B226="","",IF(KT_nguoc_theo_NL!N223="Pass","Khớp",IF(KT_nguoc_theo_NL!N223="KXDDM","KXĐM",IF(KT_nguoc_theo_NL!N223="Xem xét","Cảnh báo",""))))</f>
        <v/>
      </c>
      <c r="R226" s="49" t="str">
        <f t="shared" si="30"/>
        <v/>
      </c>
      <c r="S226" s="31" t="str">
        <f t="shared" si="31"/>
        <v/>
      </c>
    </row>
    <row r="227" spans="1:19" x14ac:dyDescent="0.25">
      <c r="A227" s="36" t="str">
        <f>IF(B227="","",220)</f>
        <v/>
      </c>
      <c r="B227" s="36" t="str">
        <f>'Mau15'!B230&amp;""</f>
        <v/>
      </c>
      <c r="C227" s="47" t="str">
        <f>IF(B227="","",'Mau15'!C230)</f>
        <v/>
      </c>
      <c r="D227" s="36" t="str">
        <f>IF(B227="","",'Mau15'!D230)</f>
        <v/>
      </c>
      <c r="E227" s="48" t="str">
        <f>IF($B227="","",'Mau15'!P230)</f>
        <v/>
      </c>
      <c r="F227" s="48" t="str">
        <f>IF($B227="","",'Mau15'!F230)</f>
        <v/>
      </c>
      <c r="G227" s="48" t="str">
        <f t="shared" si="24"/>
        <v/>
      </c>
      <c r="H227" s="49" t="str">
        <f t="shared" si="25"/>
        <v/>
      </c>
      <c r="I227" s="48" t="str">
        <f>IF($B227="","",'Mau15'!K230)</f>
        <v/>
      </c>
      <c r="J227" s="48" t="str">
        <f>IF($B227="","",'Mau15'!M230)</f>
        <v/>
      </c>
      <c r="K227" s="48" t="str">
        <f t="shared" si="26"/>
        <v/>
      </c>
      <c r="L227" s="49" t="str">
        <f t="shared" si="27"/>
        <v/>
      </c>
      <c r="M227" s="48" t="str">
        <f>IF($B227="","",KT_nguoc_theo_NL!J224)</f>
        <v/>
      </c>
      <c r="N227" s="48" t="str">
        <f>IF($B227="","",KT_nguoc_theo_NL!K224)</f>
        <v/>
      </c>
      <c r="O227" s="48" t="str">
        <f t="shared" si="28"/>
        <v/>
      </c>
      <c r="P227" s="50" t="str">
        <f t="shared" si="29"/>
        <v/>
      </c>
      <c r="Q227" s="49" t="str">
        <f>IF($B227="","",IF(KT_nguoc_theo_NL!N224="Pass","Khớp",IF(KT_nguoc_theo_NL!N224="KXDDM","KXĐM",IF(KT_nguoc_theo_NL!N224="Xem xét","Cảnh báo",""))))</f>
        <v/>
      </c>
      <c r="R227" s="49" t="str">
        <f t="shared" si="30"/>
        <v/>
      </c>
      <c r="S227" s="31" t="str">
        <f t="shared" si="31"/>
        <v/>
      </c>
    </row>
    <row r="228" spans="1:19" x14ac:dyDescent="0.25">
      <c r="A228" s="36" t="str">
        <f>IF(B228="","",221)</f>
        <v/>
      </c>
      <c r="B228" s="36" t="str">
        <f>'Mau15'!B231&amp;""</f>
        <v/>
      </c>
      <c r="C228" s="47" t="str">
        <f>IF(B228="","",'Mau15'!C231)</f>
        <v/>
      </c>
      <c r="D228" s="36" t="str">
        <f>IF(B228="","",'Mau15'!D231)</f>
        <v/>
      </c>
      <c r="E228" s="48" t="str">
        <f>IF($B228="","",'Mau15'!P231)</f>
        <v/>
      </c>
      <c r="F228" s="48" t="str">
        <f>IF($B228="","",'Mau15'!F231)</f>
        <v/>
      </c>
      <c r="G228" s="48" t="str">
        <f t="shared" si="24"/>
        <v/>
      </c>
      <c r="H228" s="49" t="str">
        <f t="shared" si="25"/>
        <v/>
      </c>
      <c r="I228" s="48" t="str">
        <f>IF($B228="","",'Mau15'!K231)</f>
        <v/>
      </c>
      <c r="J228" s="48" t="str">
        <f>IF($B228="","",'Mau15'!M231)</f>
        <v/>
      </c>
      <c r="K228" s="48" t="str">
        <f t="shared" si="26"/>
        <v/>
      </c>
      <c r="L228" s="49" t="str">
        <f t="shared" si="27"/>
        <v/>
      </c>
      <c r="M228" s="48" t="str">
        <f>IF($B228="","",KT_nguoc_theo_NL!J225)</f>
        <v/>
      </c>
      <c r="N228" s="48" t="str">
        <f>IF($B228="","",KT_nguoc_theo_NL!K225)</f>
        <v/>
      </c>
      <c r="O228" s="48" t="str">
        <f t="shared" si="28"/>
        <v/>
      </c>
      <c r="P228" s="50" t="str">
        <f t="shared" si="29"/>
        <v/>
      </c>
      <c r="Q228" s="49" t="str">
        <f>IF($B228="","",IF(KT_nguoc_theo_NL!N225="Pass","Khớp",IF(KT_nguoc_theo_NL!N225="KXDDM","KXĐM",IF(KT_nguoc_theo_NL!N225="Xem xét","Cảnh báo",""))))</f>
        <v/>
      </c>
      <c r="R228" s="49" t="str">
        <f t="shared" si="30"/>
        <v/>
      </c>
      <c r="S228" s="31" t="str">
        <f t="shared" si="31"/>
        <v/>
      </c>
    </row>
    <row r="229" spans="1:19" x14ac:dyDescent="0.25">
      <c r="A229" s="36" t="str">
        <f>IF(B229="","",222)</f>
        <v/>
      </c>
      <c r="B229" s="36" t="str">
        <f>'Mau15'!B232&amp;""</f>
        <v/>
      </c>
      <c r="C229" s="47" t="str">
        <f>IF(B229="","",'Mau15'!C232)</f>
        <v/>
      </c>
      <c r="D229" s="36" t="str">
        <f>IF(B229="","",'Mau15'!D232)</f>
        <v/>
      </c>
      <c r="E229" s="48" t="str">
        <f>IF($B229="","",'Mau15'!P232)</f>
        <v/>
      </c>
      <c r="F229" s="48" t="str">
        <f>IF($B229="","",'Mau15'!F232)</f>
        <v/>
      </c>
      <c r="G229" s="48" t="str">
        <f t="shared" si="24"/>
        <v/>
      </c>
      <c r="H229" s="49" t="str">
        <f t="shared" si="25"/>
        <v/>
      </c>
      <c r="I229" s="48" t="str">
        <f>IF($B229="","",'Mau15'!K232)</f>
        <v/>
      </c>
      <c r="J229" s="48" t="str">
        <f>IF($B229="","",'Mau15'!M232)</f>
        <v/>
      </c>
      <c r="K229" s="48" t="str">
        <f t="shared" si="26"/>
        <v/>
      </c>
      <c r="L229" s="49" t="str">
        <f t="shared" si="27"/>
        <v/>
      </c>
      <c r="M229" s="48" t="str">
        <f>IF($B229="","",KT_nguoc_theo_NL!J226)</f>
        <v/>
      </c>
      <c r="N229" s="48" t="str">
        <f>IF($B229="","",KT_nguoc_theo_NL!K226)</f>
        <v/>
      </c>
      <c r="O229" s="48" t="str">
        <f t="shared" si="28"/>
        <v/>
      </c>
      <c r="P229" s="50" t="str">
        <f t="shared" si="29"/>
        <v/>
      </c>
      <c r="Q229" s="49" t="str">
        <f>IF($B229="","",IF(KT_nguoc_theo_NL!N226="Pass","Khớp",IF(KT_nguoc_theo_NL!N226="KXDDM","KXĐM",IF(KT_nguoc_theo_NL!N226="Xem xét","Cảnh báo",""))))</f>
        <v/>
      </c>
      <c r="R229" s="49" t="str">
        <f t="shared" si="30"/>
        <v/>
      </c>
      <c r="S229" s="31" t="str">
        <f t="shared" si="31"/>
        <v/>
      </c>
    </row>
    <row r="230" spans="1:19" x14ac:dyDescent="0.25">
      <c r="A230" s="36" t="str">
        <f>IF(B230="","",223)</f>
        <v/>
      </c>
      <c r="B230" s="36" t="str">
        <f>'Mau15'!B233&amp;""</f>
        <v/>
      </c>
      <c r="C230" s="47" t="str">
        <f>IF(B230="","",'Mau15'!C233)</f>
        <v/>
      </c>
      <c r="D230" s="36" t="str">
        <f>IF(B230="","",'Mau15'!D233)</f>
        <v/>
      </c>
      <c r="E230" s="48" t="str">
        <f>IF($B230="","",'Mau15'!P233)</f>
        <v/>
      </c>
      <c r="F230" s="48" t="str">
        <f>IF($B230="","",'Mau15'!F233)</f>
        <v/>
      </c>
      <c r="G230" s="48" t="str">
        <f t="shared" si="24"/>
        <v/>
      </c>
      <c r="H230" s="49" t="str">
        <f t="shared" si="25"/>
        <v/>
      </c>
      <c r="I230" s="48" t="str">
        <f>IF($B230="","",'Mau15'!K233)</f>
        <v/>
      </c>
      <c r="J230" s="48" t="str">
        <f>IF($B230="","",'Mau15'!M233)</f>
        <v/>
      </c>
      <c r="K230" s="48" t="str">
        <f t="shared" si="26"/>
        <v/>
      </c>
      <c r="L230" s="49" t="str">
        <f t="shared" si="27"/>
        <v/>
      </c>
      <c r="M230" s="48" t="str">
        <f>IF($B230="","",KT_nguoc_theo_NL!J227)</f>
        <v/>
      </c>
      <c r="N230" s="48" t="str">
        <f>IF($B230="","",KT_nguoc_theo_NL!K227)</f>
        <v/>
      </c>
      <c r="O230" s="48" t="str">
        <f t="shared" si="28"/>
        <v/>
      </c>
      <c r="P230" s="50" t="str">
        <f t="shared" si="29"/>
        <v/>
      </c>
      <c r="Q230" s="49" t="str">
        <f>IF($B230="","",IF(KT_nguoc_theo_NL!N227="Pass","Khớp",IF(KT_nguoc_theo_NL!N227="KXDDM","KXĐM",IF(KT_nguoc_theo_NL!N227="Xem xét","Cảnh báo",""))))</f>
        <v/>
      </c>
      <c r="R230" s="49" t="str">
        <f t="shared" si="30"/>
        <v/>
      </c>
      <c r="S230" s="31" t="str">
        <f t="shared" si="31"/>
        <v/>
      </c>
    </row>
    <row r="231" spans="1:19" x14ac:dyDescent="0.25">
      <c r="A231" s="36" t="str">
        <f>IF(B231="","",224)</f>
        <v/>
      </c>
      <c r="B231" s="36" t="str">
        <f>'Mau15'!B234&amp;""</f>
        <v/>
      </c>
      <c r="C231" s="47" t="str">
        <f>IF(B231="","",'Mau15'!C234)</f>
        <v/>
      </c>
      <c r="D231" s="36" t="str">
        <f>IF(B231="","",'Mau15'!D234)</f>
        <v/>
      </c>
      <c r="E231" s="48" t="str">
        <f>IF($B231="","",'Mau15'!P234)</f>
        <v/>
      </c>
      <c r="F231" s="48" t="str">
        <f>IF($B231="","",'Mau15'!F234)</f>
        <v/>
      </c>
      <c r="G231" s="48" t="str">
        <f t="shared" si="24"/>
        <v/>
      </c>
      <c r="H231" s="49" t="str">
        <f t="shared" si="25"/>
        <v/>
      </c>
      <c r="I231" s="48" t="str">
        <f>IF($B231="","",'Mau15'!K234)</f>
        <v/>
      </c>
      <c r="J231" s="48" t="str">
        <f>IF($B231="","",'Mau15'!M234)</f>
        <v/>
      </c>
      <c r="K231" s="48" t="str">
        <f t="shared" si="26"/>
        <v/>
      </c>
      <c r="L231" s="49" t="str">
        <f t="shared" si="27"/>
        <v/>
      </c>
      <c r="M231" s="48" t="str">
        <f>IF($B231="","",KT_nguoc_theo_NL!J228)</f>
        <v/>
      </c>
      <c r="N231" s="48" t="str">
        <f>IF($B231="","",KT_nguoc_theo_NL!K228)</f>
        <v/>
      </c>
      <c r="O231" s="48" t="str">
        <f t="shared" si="28"/>
        <v/>
      </c>
      <c r="P231" s="50" t="str">
        <f t="shared" si="29"/>
        <v/>
      </c>
      <c r="Q231" s="49" t="str">
        <f>IF($B231="","",IF(KT_nguoc_theo_NL!N228="Pass","Khớp",IF(KT_nguoc_theo_NL!N228="KXDDM","KXĐM",IF(KT_nguoc_theo_NL!N228="Xem xét","Cảnh báo",""))))</f>
        <v/>
      </c>
      <c r="R231" s="49" t="str">
        <f t="shared" si="30"/>
        <v/>
      </c>
      <c r="S231" s="31" t="str">
        <f t="shared" si="31"/>
        <v/>
      </c>
    </row>
    <row r="232" spans="1:19" x14ac:dyDescent="0.25">
      <c r="A232" s="36" t="str">
        <f>IF(B232="","",225)</f>
        <v/>
      </c>
      <c r="B232" s="36" t="str">
        <f>'Mau15'!B235&amp;""</f>
        <v/>
      </c>
      <c r="C232" s="47" t="str">
        <f>IF(B232="","",'Mau15'!C235)</f>
        <v/>
      </c>
      <c r="D232" s="36" t="str">
        <f>IF(B232="","",'Mau15'!D235)</f>
        <v/>
      </c>
      <c r="E232" s="48" t="str">
        <f>IF($B232="","",'Mau15'!P235)</f>
        <v/>
      </c>
      <c r="F232" s="48" t="str">
        <f>IF($B232="","",'Mau15'!F235)</f>
        <v/>
      </c>
      <c r="G232" s="48" t="str">
        <f t="shared" si="24"/>
        <v/>
      </c>
      <c r="H232" s="49" t="str">
        <f t="shared" si="25"/>
        <v/>
      </c>
      <c r="I232" s="48" t="str">
        <f>IF($B232="","",'Mau15'!K235)</f>
        <v/>
      </c>
      <c r="J232" s="48" t="str">
        <f>IF($B232="","",'Mau15'!M235)</f>
        <v/>
      </c>
      <c r="K232" s="48" t="str">
        <f t="shared" si="26"/>
        <v/>
      </c>
      <c r="L232" s="49" t="str">
        <f t="shared" si="27"/>
        <v/>
      </c>
      <c r="M232" s="48" t="str">
        <f>IF($B232="","",KT_nguoc_theo_NL!J229)</f>
        <v/>
      </c>
      <c r="N232" s="48" t="str">
        <f>IF($B232="","",KT_nguoc_theo_NL!K229)</f>
        <v/>
      </c>
      <c r="O232" s="48" t="str">
        <f t="shared" si="28"/>
        <v/>
      </c>
      <c r="P232" s="50" t="str">
        <f t="shared" si="29"/>
        <v/>
      </c>
      <c r="Q232" s="49" t="str">
        <f>IF($B232="","",IF(KT_nguoc_theo_NL!N229="Pass","Khớp",IF(KT_nguoc_theo_NL!N229="KXDDM","KXĐM",IF(KT_nguoc_theo_NL!N229="Xem xét","Cảnh báo",""))))</f>
        <v/>
      </c>
      <c r="R232" s="49" t="str">
        <f t="shared" si="30"/>
        <v/>
      </c>
      <c r="S232" s="31" t="str">
        <f t="shared" si="31"/>
        <v/>
      </c>
    </row>
    <row r="233" spans="1:19" x14ac:dyDescent="0.25">
      <c r="A233" s="36" t="str">
        <f>IF(B233="","",226)</f>
        <v/>
      </c>
      <c r="B233" s="36" t="str">
        <f>'Mau15'!B236&amp;""</f>
        <v/>
      </c>
      <c r="C233" s="47" t="str">
        <f>IF(B233="","",'Mau15'!C236)</f>
        <v/>
      </c>
      <c r="D233" s="36" t="str">
        <f>IF(B233="","",'Mau15'!D236)</f>
        <v/>
      </c>
      <c r="E233" s="48" t="str">
        <f>IF($B233="","",'Mau15'!P236)</f>
        <v/>
      </c>
      <c r="F233" s="48" t="str">
        <f>IF($B233="","",'Mau15'!F236)</f>
        <v/>
      </c>
      <c r="G233" s="48" t="str">
        <f t="shared" si="24"/>
        <v/>
      </c>
      <c r="H233" s="49" t="str">
        <f t="shared" si="25"/>
        <v/>
      </c>
      <c r="I233" s="48" t="str">
        <f>IF($B233="","",'Mau15'!K236)</f>
        <v/>
      </c>
      <c r="J233" s="48" t="str">
        <f>IF($B233="","",'Mau15'!M236)</f>
        <v/>
      </c>
      <c r="K233" s="48" t="str">
        <f t="shared" si="26"/>
        <v/>
      </c>
      <c r="L233" s="49" t="str">
        <f t="shared" si="27"/>
        <v/>
      </c>
      <c r="M233" s="48" t="str">
        <f>IF($B233="","",KT_nguoc_theo_NL!J230)</f>
        <v/>
      </c>
      <c r="N233" s="48" t="str">
        <f>IF($B233="","",KT_nguoc_theo_NL!K230)</f>
        <v/>
      </c>
      <c r="O233" s="48" t="str">
        <f t="shared" si="28"/>
        <v/>
      </c>
      <c r="P233" s="50" t="str">
        <f t="shared" si="29"/>
        <v/>
      </c>
      <c r="Q233" s="49" t="str">
        <f>IF($B233="","",IF(KT_nguoc_theo_NL!N230="Pass","Khớp",IF(KT_nguoc_theo_NL!N230="KXDDM","KXĐM",IF(KT_nguoc_theo_NL!N230="Xem xét","Cảnh báo",""))))</f>
        <v/>
      </c>
      <c r="R233" s="49" t="str">
        <f t="shared" si="30"/>
        <v/>
      </c>
      <c r="S233" s="31" t="str">
        <f t="shared" si="31"/>
        <v/>
      </c>
    </row>
    <row r="234" spans="1:19" x14ac:dyDescent="0.25">
      <c r="A234" s="36" t="str">
        <f>IF(B234="","",227)</f>
        <v/>
      </c>
      <c r="B234" s="36" t="str">
        <f>'Mau15'!B237&amp;""</f>
        <v/>
      </c>
      <c r="C234" s="47" t="str">
        <f>IF(B234="","",'Mau15'!C237)</f>
        <v/>
      </c>
      <c r="D234" s="36" t="str">
        <f>IF(B234="","",'Mau15'!D237)</f>
        <v/>
      </c>
      <c r="E234" s="48" t="str">
        <f>IF($B234="","",'Mau15'!P237)</f>
        <v/>
      </c>
      <c r="F234" s="48" t="str">
        <f>IF($B234="","",'Mau15'!F237)</f>
        <v/>
      </c>
      <c r="G234" s="48" t="str">
        <f t="shared" si="24"/>
        <v/>
      </c>
      <c r="H234" s="49" t="str">
        <f t="shared" si="25"/>
        <v/>
      </c>
      <c r="I234" s="48" t="str">
        <f>IF($B234="","",'Mau15'!K237)</f>
        <v/>
      </c>
      <c r="J234" s="48" t="str">
        <f>IF($B234="","",'Mau15'!M237)</f>
        <v/>
      </c>
      <c r="K234" s="48" t="str">
        <f t="shared" si="26"/>
        <v/>
      </c>
      <c r="L234" s="49" t="str">
        <f t="shared" si="27"/>
        <v/>
      </c>
      <c r="M234" s="48" t="str">
        <f>IF($B234="","",KT_nguoc_theo_NL!J231)</f>
        <v/>
      </c>
      <c r="N234" s="48" t="str">
        <f>IF($B234="","",KT_nguoc_theo_NL!K231)</f>
        <v/>
      </c>
      <c r="O234" s="48" t="str">
        <f t="shared" si="28"/>
        <v/>
      </c>
      <c r="P234" s="50" t="str">
        <f t="shared" si="29"/>
        <v/>
      </c>
      <c r="Q234" s="49" t="str">
        <f>IF($B234="","",IF(KT_nguoc_theo_NL!N231="Pass","Khớp",IF(KT_nguoc_theo_NL!N231="KXDDM","KXĐM",IF(KT_nguoc_theo_NL!N231="Xem xét","Cảnh báo",""))))</f>
        <v/>
      </c>
      <c r="R234" s="49" t="str">
        <f t="shared" si="30"/>
        <v/>
      </c>
      <c r="S234" s="31" t="str">
        <f t="shared" si="31"/>
        <v/>
      </c>
    </row>
    <row r="235" spans="1:19" x14ac:dyDescent="0.25">
      <c r="A235" s="36" t="str">
        <f>IF(B235="","",228)</f>
        <v/>
      </c>
      <c r="B235" s="36" t="str">
        <f>'Mau15'!B238&amp;""</f>
        <v/>
      </c>
      <c r="C235" s="47" t="str">
        <f>IF(B235="","",'Mau15'!C238)</f>
        <v/>
      </c>
      <c r="D235" s="36" t="str">
        <f>IF(B235="","",'Mau15'!D238)</f>
        <v/>
      </c>
      <c r="E235" s="48" t="str">
        <f>IF($B235="","",'Mau15'!P238)</f>
        <v/>
      </c>
      <c r="F235" s="48" t="str">
        <f>IF($B235="","",'Mau15'!F238)</f>
        <v/>
      </c>
      <c r="G235" s="48" t="str">
        <f t="shared" si="24"/>
        <v/>
      </c>
      <c r="H235" s="49" t="str">
        <f t="shared" si="25"/>
        <v/>
      </c>
      <c r="I235" s="48" t="str">
        <f>IF($B235="","",'Mau15'!K238)</f>
        <v/>
      </c>
      <c r="J235" s="48" t="str">
        <f>IF($B235="","",'Mau15'!M238)</f>
        <v/>
      </c>
      <c r="K235" s="48" t="str">
        <f t="shared" si="26"/>
        <v/>
      </c>
      <c r="L235" s="49" t="str">
        <f t="shared" si="27"/>
        <v/>
      </c>
      <c r="M235" s="48" t="str">
        <f>IF($B235="","",KT_nguoc_theo_NL!J232)</f>
        <v/>
      </c>
      <c r="N235" s="48" t="str">
        <f>IF($B235="","",KT_nguoc_theo_NL!K232)</f>
        <v/>
      </c>
      <c r="O235" s="48" t="str">
        <f t="shared" si="28"/>
        <v/>
      </c>
      <c r="P235" s="50" t="str">
        <f t="shared" si="29"/>
        <v/>
      </c>
      <c r="Q235" s="49" t="str">
        <f>IF($B235="","",IF(KT_nguoc_theo_NL!N232="Pass","Khớp",IF(KT_nguoc_theo_NL!N232="KXDDM","KXĐM",IF(KT_nguoc_theo_NL!N232="Xem xét","Cảnh báo",""))))</f>
        <v/>
      </c>
      <c r="R235" s="49" t="str">
        <f t="shared" si="30"/>
        <v/>
      </c>
      <c r="S235" s="31" t="str">
        <f t="shared" si="31"/>
        <v/>
      </c>
    </row>
    <row r="236" spans="1:19" x14ac:dyDescent="0.25">
      <c r="A236" s="36" t="str">
        <f>IF(B236="","",229)</f>
        <v/>
      </c>
      <c r="B236" s="36" t="str">
        <f>'Mau15'!B239&amp;""</f>
        <v/>
      </c>
      <c r="C236" s="47" t="str">
        <f>IF(B236="","",'Mau15'!C239)</f>
        <v/>
      </c>
      <c r="D236" s="36" t="str">
        <f>IF(B236="","",'Mau15'!D239)</f>
        <v/>
      </c>
      <c r="E236" s="48" t="str">
        <f>IF($B236="","",'Mau15'!P239)</f>
        <v/>
      </c>
      <c r="F236" s="48" t="str">
        <f>IF($B236="","",'Mau15'!F239)</f>
        <v/>
      </c>
      <c r="G236" s="48" t="str">
        <f t="shared" si="24"/>
        <v/>
      </c>
      <c r="H236" s="49" t="str">
        <f t="shared" si="25"/>
        <v/>
      </c>
      <c r="I236" s="48" t="str">
        <f>IF($B236="","",'Mau15'!K239)</f>
        <v/>
      </c>
      <c r="J236" s="48" t="str">
        <f>IF($B236="","",'Mau15'!M239)</f>
        <v/>
      </c>
      <c r="K236" s="48" t="str">
        <f t="shared" si="26"/>
        <v/>
      </c>
      <c r="L236" s="49" t="str">
        <f t="shared" si="27"/>
        <v/>
      </c>
      <c r="M236" s="48" t="str">
        <f>IF($B236="","",KT_nguoc_theo_NL!J233)</f>
        <v/>
      </c>
      <c r="N236" s="48" t="str">
        <f>IF($B236="","",KT_nguoc_theo_NL!K233)</f>
        <v/>
      </c>
      <c r="O236" s="48" t="str">
        <f t="shared" si="28"/>
        <v/>
      </c>
      <c r="P236" s="50" t="str">
        <f t="shared" si="29"/>
        <v/>
      </c>
      <c r="Q236" s="49" t="str">
        <f>IF($B236="","",IF(KT_nguoc_theo_NL!N233="Pass","Khớp",IF(KT_nguoc_theo_NL!N233="KXDDM","KXĐM",IF(KT_nguoc_theo_NL!N233="Xem xét","Cảnh báo",""))))</f>
        <v/>
      </c>
      <c r="R236" s="49" t="str">
        <f t="shared" si="30"/>
        <v/>
      </c>
      <c r="S236" s="31" t="str">
        <f t="shared" si="31"/>
        <v/>
      </c>
    </row>
    <row r="237" spans="1:19" x14ac:dyDescent="0.25">
      <c r="A237" s="36" t="str">
        <f>IF(B237="","",230)</f>
        <v/>
      </c>
      <c r="B237" s="36" t="str">
        <f>'Mau15'!B240&amp;""</f>
        <v/>
      </c>
      <c r="C237" s="47" t="str">
        <f>IF(B237="","",'Mau15'!C240)</f>
        <v/>
      </c>
      <c r="D237" s="36" t="str">
        <f>IF(B237="","",'Mau15'!D240)</f>
        <v/>
      </c>
      <c r="E237" s="48" t="str">
        <f>IF($B237="","",'Mau15'!P240)</f>
        <v/>
      </c>
      <c r="F237" s="48" t="str">
        <f>IF($B237="","",'Mau15'!F240)</f>
        <v/>
      </c>
      <c r="G237" s="48" t="str">
        <f t="shared" si="24"/>
        <v/>
      </c>
      <c r="H237" s="49" t="str">
        <f t="shared" si="25"/>
        <v/>
      </c>
      <c r="I237" s="48" t="str">
        <f>IF($B237="","",'Mau15'!K240)</f>
        <v/>
      </c>
      <c r="J237" s="48" t="str">
        <f>IF($B237="","",'Mau15'!M240)</f>
        <v/>
      </c>
      <c r="K237" s="48" t="str">
        <f t="shared" si="26"/>
        <v/>
      </c>
      <c r="L237" s="49" t="str">
        <f t="shared" si="27"/>
        <v/>
      </c>
      <c r="M237" s="48" t="str">
        <f>IF($B237="","",KT_nguoc_theo_NL!J234)</f>
        <v/>
      </c>
      <c r="N237" s="48" t="str">
        <f>IF($B237="","",KT_nguoc_theo_NL!K234)</f>
        <v/>
      </c>
      <c r="O237" s="48" t="str">
        <f t="shared" si="28"/>
        <v/>
      </c>
      <c r="P237" s="50" t="str">
        <f t="shared" si="29"/>
        <v/>
      </c>
      <c r="Q237" s="49" t="str">
        <f>IF($B237="","",IF(KT_nguoc_theo_NL!N234="Pass","Khớp",IF(KT_nguoc_theo_NL!N234="KXDDM","KXĐM",IF(KT_nguoc_theo_NL!N234="Xem xét","Cảnh báo",""))))</f>
        <v/>
      </c>
      <c r="R237" s="49" t="str">
        <f t="shared" si="30"/>
        <v/>
      </c>
      <c r="S237" s="31" t="str">
        <f t="shared" si="31"/>
        <v/>
      </c>
    </row>
    <row r="238" spans="1:19" x14ac:dyDescent="0.25">
      <c r="A238" s="36" t="str">
        <f>IF(B238="","",231)</f>
        <v/>
      </c>
      <c r="B238" s="36" t="str">
        <f>'Mau15'!B241&amp;""</f>
        <v/>
      </c>
      <c r="C238" s="47" t="str">
        <f>IF(B238="","",'Mau15'!C241)</f>
        <v/>
      </c>
      <c r="D238" s="36" t="str">
        <f>IF(B238="","",'Mau15'!D241)</f>
        <v/>
      </c>
      <c r="E238" s="48" t="str">
        <f>IF($B238="","",'Mau15'!P241)</f>
        <v/>
      </c>
      <c r="F238" s="48" t="str">
        <f>IF($B238="","",'Mau15'!F241)</f>
        <v/>
      </c>
      <c r="G238" s="48" t="str">
        <f t="shared" si="24"/>
        <v/>
      </c>
      <c r="H238" s="49" t="str">
        <f t="shared" si="25"/>
        <v/>
      </c>
      <c r="I238" s="48" t="str">
        <f>IF($B238="","",'Mau15'!K241)</f>
        <v/>
      </c>
      <c r="J238" s="48" t="str">
        <f>IF($B238="","",'Mau15'!M241)</f>
        <v/>
      </c>
      <c r="K238" s="48" t="str">
        <f t="shared" si="26"/>
        <v/>
      </c>
      <c r="L238" s="49" t="str">
        <f t="shared" si="27"/>
        <v/>
      </c>
      <c r="M238" s="48" t="str">
        <f>IF($B238="","",KT_nguoc_theo_NL!J235)</f>
        <v/>
      </c>
      <c r="N238" s="48" t="str">
        <f>IF($B238="","",KT_nguoc_theo_NL!K235)</f>
        <v/>
      </c>
      <c r="O238" s="48" t="str">
        <f t="shared" si="28"/>
        <v/>
      </c>
      <c r="P238" s="50" t="str">
        <f t="shared" si="29"/>
        <v/>
      </c>
      <c r="Q238" s="49" t="str">
        <f>IF($B238="","",IF(KT_nguoc_theo_NL!N235="Pass","Khớp",IF(KT_nguoc_theo_NL!N235="KXDDM","KXĐM",IF(KT_nguoc_theo_NL!N235="Xem xét","Cảnh báo",""))))</f>
        <v/>
      </c>
      <c r="R238" s="49" t="str">
        <f t="shared" si="30"/>
        <v/>
      </c>
      <c r="S238" s="31" t="str">
        <f t="shared" si="31"/>
        <v/>
      </c>
    </row>
    <row r="239" spans="1:19" x14ac:dyDescent="0.25">
      <c r="A239" s="36" t="str">
        <f>IF(B239="","",232)</f>
        <v/>
      </c>
      <c r="B239" s="36" t="str">
        <f>'Mau15'!B242&amp;""</f>
        <v/>
      </c>
      <c r="C239" s="47" t="str">
        <f>IF(B239="","",'Mau15'!C242)</f>
        <v/>
      </c>
      <c r="D239" s="36" t="str">
        <f>IF(B239="","",'Mau15'!D242)</f>
        <v/>
      </c>
      <c r="E239" s="48" t="str">
        <f>IF($B239="","",'Mau15'!P242)</f>
        <v/>
      </c>
      <c r="F239" s="48" t="str">
        <f>IF($B239="","",'Mau15'!F242)</f>
        <v/>
      </c>
      <c r="G239" s="48" t="str">
        <f t="shared" si="24"/>
        <v/>
      </c>
      <c r="H239" s="49" t="str">
        <f t="shared" si="25"/>
        <v/>
      </c>
      <c r="I239" s="48" t="str">
        <f>IF($B239="","",'Mau15'!K242)</f>
        <v/>
      </c>
      <c r="J239" s="48" t="str">
        <f>IF($B239="","",'Mau15'!M242)</f>
        <v/>
      </c>
      <c r="K239" s="48" t="str">
        <f t="shared" si="26"/>
        <v/>
      </c>
      <c r="L239" s="49" t="str">
        <f t="shared" si="27"/>
        <v/>
      </c>
      <c r="M239" s="48" t="str">
        <f>IF($B239="","",KT_nguoc_theo_NL!J236)</f>
        <v/>
      </c>
      <c r="N239" s="48" t="str">
        <f>IF($B239="","",KT_nguoc_theo_NL!K236)</f>
        <v/>
      </c>
      <c r="O239" s="48" t="str">
        <f t="shared" si="28"/>
        <v/>
      </c>
      <c r="P239" s="50" t="str">
        <f t="shared" si="29"/>
        <v/>
      </c>
      <c r="Q239" s="49" t="str">
        <f>IF($B239="","",IF(KT_nguoc_theo_NL!N236="Pass","Khớp",IF(KT_nguoc_theo_NL!N236="KXDDM","KXĐM",IF(KT_nguoc_theo_NL!N236="Xem xét","Cảnh báo",""))))</f>
        <v/>
      </c>
      <c r="R239" s="49" t="str">
        <f t="shared" si="30"/>
        <v/>
      </c>
      <c r="S239" s="31" t="str">
        <f t="shared" si="31"/>
        <v/>
      </c>
    </row>
    <row r="240" spans="1:19" x14ac:dyDescent="0.25">
      <c r="A240" s="36" t="str">
        <f>IF(B240="","",233)</f>
        <v/>
      </c>
      <c r="B240" s="36" t="str">
        <f>'Mau15'!B243&amp;""</f>
        <v/>
      </c>
      <c r="C240" s="47" t="str">
        <f>IF(B240="","",'Mau15'!C243)</f>
        <v/>
      </c>
      <c r="D240" s="36" t="str">
        <f>IF(B240="","",'Mau15'!D243)</f>
        <v/>
      </c>
      <c r="E240" s="48" t="str">
        <f>IF($B240="","",'Mau15'!P243)</f>
        <v/>
      </c>
      <c r="F240" s="48" t="str">
        <f>IF($B240="","",'Mau15'!F243)</f>
        <v/>
      </c>
      <c r="G240" s="48" t="str">
        <f t="shared" si="24"/>
        <v/>
      </c>
      <c r="H240" s="49" t="str">
        <f t="shared" si="25"/>
        <v/>
      </c>
      <c r="I240" s="48" t="str">
        <f>IF($B240="","",'Mau15'!K243)</f>
        <v/>
      </c>
      <c r="J240" s="48" t="str">
        <f>IF($B240="","",'Mau15'!M243)</f>
        <v/>
      </c>
      <c r="K240" s="48" t="str">
        <f t="shared" si="26"/>
        <v/>
      </c>
      <c r="L240" s="49" t="str">
        <f t="shared" si="27"/>
        <v/>
      </c>
      <c r="M240" s="48" t="str">
        <f>IF($B240="","",KT_nguoc_theo_NL!J237)</f>
        <v/>
      </c>
      <c r="N240" s="48" t="str">
        <f>IF($B240="","",KT_nguoc_theo_NL!K237)</f>
        <v/>
      </c>
      <c r="O240" s="48" t="str">
        <f t="shared" si="28"/>
        <v/>
      </c>
      <c r="P240" s="50" t="str">
        <f t="shared" si="29"/>
        <v/>
      </c>
      <c r="Q240" s="49" t="str">
        <f>IF($B240="","",IF(KT_nguoc_theo_NL!N237="Pass","Khớp",IF(KT_nguoc_theo_NL!N237="KXDDM","KXĐM",IF(KT_nguoc_theo_NL!N237="Xem xét","Cảnh báo",""))))</f>
        <v/>
      </c>
      <c r="R240" s="49" t="str">
        <f t="shared" si="30"/>
        <v/>
      </c>
      <c r="S240" s="31" t="str">
        <f t="shared" si="31"/>
        <v/>
      </c>
    </row>
    <row r="241" spans="1:19" x14ac:dyDescent="0.25">
      <c r="A241" s="36" t="str">
        <f>IF(B241="","",234)</f>
        <v/>
      </c>
      <c r="B241" s="36" t="str">
        <f>'Mau15'!B244&amp;""</f>
        <v/>
      </c>
      <c r="C241" s="47" t="str">
        <f>IF(B241="","",'Mau15'!C244)</f>
        <v/>
      </c>
      <c r="D241" s="36" t="str">
        <f>IF(B241="","",'Mau15'!D244)</f>
        <v/>
      </c>
      <c r="E241" s="48" t="str">
        <f>IF($B241="","",'Mau15'!P244)</f>
        <v/>
      </c>
      <c r="F241" s="48" t="str">
        <f>IF($B241="","",'Mau15'!F244)</f>
        <v/>
      </c>
      <c r="G241" s="48" t="str">
        <f t="shared" si="24"/>
        <v/>
      </c>
      <c r="H241" s="49" t="str">
        <f t="shared" si="25"/>
        <v/>
      </c>
      <c r="I241" s="48" t="str">
        <f>IF($B241="","",'Mau15'!K244)</f>
        <v/>
      </c>
      <c r="J241" s="48" t="str">
        <f>IF($B241="","",'Mau15'!M244)</f>
        <v/>
      </c>
      <c r="K241" s="48" t="str">
        <f t="shared" si="26"/>
        <v/>
      </c>
      <c r="L241" s="49" t="str">
        <f t="shared" si="27"/>
        <v/>
      </c>
      <c r="M241" s="48" t="str">
        <f>IF($B241="","",KT_nguoc_theo_NL!J238)</f>
        <v/>
      </c>
      <c r="N241" s="48" t="str">
        <f>IF($B241="","",KT_nguoc_theo_NL!K238)</f>
        <v/>
      </c>
      <c r="O241" s="48" t="str">
        <f t="shared" si="28"/>
        <v/>
      </c>
      <c r="P241" s="50" t="str">
        <f t="shared" si="29"/>
        <v/>
      </c>
      <c r="Q241" s="49" t="str">
        <f>IF($B241="","",IF(KT_nguoc_theo_NL!N238="Pass","Khớp",IF(KT_nguoc_theo_NL!N238="KXDDM","KXĐM",IF(KT_nguoc_theo_NL!N238="Xem xét","Cảnh báo",""))))</f>
        <v/>
      </c>
      <c r="R241" s="49" t="str">
        <f t="shared" si="30"/>
        <v/>
      </c>
      <c r="S241" s="31" t="str">
        <f t="shared" si="31"/>
        <v/>
      </c>
    </row>
    <row r="242" spans="1:19" x14ac:dyDescent="0.25">
      <c r="A242" s="36" t="str">
        <f>IF(B242="","",235)</f>
        <v/>
      </c>
      <c r="B242" s="36" t="str">
        <f>'Mau15'!B245&amp;""</f>
        <v/>
      </c>
      <c r="C242" s="47" t="str">
        <f>IF(B242="","",'Mau15'!C245)</f>
        <v/>
      </c>
      <c r="D242" s="36" t="str">
        <f>IF(B242="","",'Mau15'!D245)</f>
        <v/>
      </c>
      <c r="E242" s="48" t="str">
        <f>IF($B242="","",'Mau15'!P245)</f>
        <v/>
      </c>
      <c r="F242" s="48" t="str">
        <f>IF($B242="","",'Mau15'!F245)</f>
        <v/>
      </c>
      <c r="G242" s="48" t="str">
        <f t="shared" si="24"/>
        <v/>
      </c>
      <c r="H242" s="49" t="str">
        <f t="shared" si="25"/>
        <v/>
      </c>
      <c r="I242" s="48" t="str">
        <f>IF($B242="","",'Mau15'!K245)</f>
        <v/>
      </c>
      <c r="J242" s="48" t="str">
        <f>IF($B242="","",'Mau15'!M245)</f>
        <v/>
      </c>
      <c r="K242" s="48" t="str">
        <f t="shared" si="26"/>
        <v/>
      </c>
      <c r="L242" s="49" t="str">
        <f t="shared" si="27"/>
        <v/>
      </c>
      <c r="M242" s="48" t="str">
        <f>IF($B242="","",KT_nguoc_theo_NL!J239)</f>
        <v/>
      </c>
      <c r="N242" s="48" t="str">
        <f>IF($B242="","",KT_nguoc_theo_NL!K239)</f>
        <v/>
      </c>
      <c r="O242" s="48" t="str">
        <f t="shared" si="28"/>
        <v/>
      </c>
      <c r="P242" s="50" t="str">
        <f t="shared" si="29"/>
        <v/>
      </c>
      <c r="Q242" s="49" t="str">
        <f>IF($B242="","",IF(KT_nguoc_theo_NL!N239="Pass","Khớp",IF(KT_nguoc_theo_NL!N239="KXDDM","KXĐM",IF(KT_nguoc_theo_NL!N239="Xem xét","Cảnh báo",""))))</f>
        <v/>
      </c>
      <c r="R242" s="49" t="str">
        <f t="shared" si="30"/>
        <v/>
      </c>
      <c r="S242" s="31" t="str">
        <f t="shared" si="31"/>
        <v/>
      </c>
    </row>
    <row r="243" spans="1:19" x14ac:dyDescent="0.25">
      <c r="A243" s="36" t="str">
        <f>IF(B243="","",236)</f>
        <v/>
      </c>
      <c r="B243" s="36" t="str">
        <f>'Mau15'!B246&amp;""</f>
        <v/>
      </c>
      <c r="C243" s="47" t="str">
        <f>IF(B243="","",'Mau15'!C246)</f>
        <v/>
      </c>
      <c r="D243" s="36" t="str">
        <f>IF(B243="","",'Mau15'!D246)</f>
        <v/>
      </c>
      <c r="E243" s="48" t="str">
        <f>IF($B243="","",'Mau15'!P246)</f>
        <v/>
      </c>
      <c r="F243" s="48" t="str">
        <f>IF($B243="","",'Mau15'!F246)</f>
        <v/>
      </c>
      <c r="G243" s="48" t="str">
        <f t="shared" si="24"/>
        <v/>
      </c>
      <c r="H243" s="49" t="str">
        <f t="shared" si="25"/>
        <v/>
      </c>
      <c r="I243" s="48" t="str">
        <f>IF($B243="","",'Mau15'!K246)</f>
        <v/>
      </c>
      <c r="J243" s="48" t="str">
        <f>IF($B243="","",'Mau15'!M246)</f>
        <v/>
      </c>
      <c r="K243" s="48" t="str">
        <f t="shared" si="26"/>
        <v/>
      </c>
      <c r="L243" s="49" t="str">
        <f t="shared" si="27"/>
        <v/>
      </c>
      <c r="M243" s="48" t="str">
        <f>IF($B243="","",KT_nguoc_theo_NL!J240)</f>
        <v/>
      </c>
      <c r="N243" s="48" t="str">
        <f>IF($B243="","",KT_nguoc_theo_NL!K240)</f>
        <v/>
      </c>
      <c r="O243" s="48" t="str">
        <f t="shared" si="28"/>
        <v/>
      </c>
      <c r="P243" s="50" t="str">
        <f t="shared" si="29"/>
        <v/>
      </c>
      <c r="Q243" s="49" t="str">
        <f>IF($B243="","",IF(KT_nguoc_theo_NL!N240="Pass","Khớp",IF(KT_nguoc_theo_NL!N240="KXDDM","KXĐM",IF(KT_nguoc_theo_NL!N240="Xem xét","Cảnh báo",""))))</f>
        <v/>
      </c>
      <c r="R243" s="49" t="str">
        <f t="shared" si="30"/>
        <v/>
      </c>
      <c r="S243" s="31" t="str">
        <f t="shared" si="31"/>
        <v/>
      </c>
    </row>
    <row r="244" spans="1:19" x14ac:dyDescent="0.25">
      <c r="A244" s="36" t="str">
        <f>IF(B244="","",237)</f>
        <v/>
      </c>
      <c r="B244" s="36" t="str">
        <f>'Mau15'!B247&amp;""</f>
        <v/>
      </c>
      <c r="C244" s="47" t="str">
        <f>IF(B244="","",'Mau15'!C247)</f>
        <v/>
      </c>
      <c r="D244" s="36" t="str">
        <f>IF(B244="","",'Mau15'!D247)</f>
        <v/>
      </c>
      <c r="E244" s="48" t="str">
        <f>IF($B244="","",'Mau15'!P247)</f>
        <v/>
      </c>
      <c r="F244" s="48" t="str">
        <f>IF($B244="","",'Mau15'!F247)</f>
        <v/>
      </c>
      <c r="G244" s="48" t="str">
        <f t="shared" si="24"/>
        <v/>
      </c>
      <c r="H244" s="49" t="str">
        <f t="shared" si="25"/>
        <v/>
      </c>
      <c r="I244" s="48" t="str">
        <f>IF($B244="","",'Mau15'!K247)</f>
        <v/>
      </c>
      <c r="J244" s="48" t="str">
        <f>IF($B244="","",'Mau15'!M247)</f>
        <v/>
      </c>
      <c r="K244" s="48" t="str">
        <f t="shared" si="26"/>
        <v/>
      </c>
      <c r="L244" s="49" t="str">
        <f t="shared" si="27"/>
        <v/>
      </c>
      <c r="M244" s="48" t="str">
        <f>IF($B244="","",KT_nguoc_theo_NL!J241)</f>
        <v/>
      </c>
      <c r="N244" s="48" t="str">
        <f>IF($B244="","",KT_nguoc_theo_NL!K241)</f>
        <v/>
      </c>
      <c r="O244" s="48" t="str">
        <f t="shared" si="28"/>
        <v/>
      </c>
      <c r="P244" s="50" t="str">
        <f t="shared" si="29"/>
        <v/>
      </c>
      <c r="Q244" s="49" t="str">
        <f>IF($B244="","",IF(KT_nguoc_theo_NL!N241="Pass","Khớp",IF(KT_nguoc_theo_NL!N241="KXDDM","KXĐM",IF(KT_nguoc_theo_NL!N241="Xem xét","Cảnh báo",""))))</f>
        <v/>
      </c>
      <c r="R244" s="49" t="str">
        <f t="shared" si="30"/>
        <v/>
      </c>
      <c r="S244" s="31" t="str">
        <f t="shared" si="31"/>
        <v/>
      </c>
    </row>
    <row r="245" spans="1:19" x14ac:dyDescent="0.25">
      <c r="A245" s="36" t="str">
        <f>IF(B245="","",238)</f>
        <v/>
      </c>
      <c r="B245" s="36" t="str">
        <f>'Mau15'!B248&amp;""</f>
        <v/>
      </c>
      <c r="C245" s="47" t="str">
        <f>IF(B245="","",'Mau15'!C248)</f>
        <v/>
      </c>
      <c r="D245" s="36" t="str">
        <f>IF(B245="","",'Mau15'!D248)</f>
        <v/>
      </c>
      <c r="E245" s="48" t="str">
        <f>IF($B245="","",'Mau15'!P248)</f>
        <v/>
      </c>
      <c r="F245" s="48" t="str">
        <f>IF($B245="","",'Mau15'!F248)</f>
        <v/>
      </c>
      <c r="G245" s="48" t="str">
        <f t="shared" si="24"/>
        <v/>
      </c>
      <c r="H245" s="49" t="str">
        <f t="shared" si="25"/>
        <v/>
      </c>
      <c r="I245" s="48" t="str">
        <f>IF($B245="","",'Mau15'!K248)</f>
        <v/>
      </c>
      <c r="J245" s="48" t="str">
        <f>IF($B245="","",'Mau15'!M248)</f>
        <v/>
      </c>
      <c r="K245" s="48" t="str">
        <f t="shared" si="26"/>
        <v/>
      </c>
      <c r="L245" s="49" t="str">
        <f t="shared" si="27"/>
        <v/>
      </c>
      <c r="M245" s="48" t="str">
        <f>IF($B245="","",KT_nguoc_theo_NL!J242)</f>
        <v/>
      </c>
      <c r="N245" s="48" t="str">
        <f>IF($B245="","",KT_nguoc_theo_NL!K242)</f>
        <v/>
      </c>
      <c r="O245" s="48" t="str">
        <f t="shared" si="28"/>
        <v/>
      </c>
      <c r="P245" s="50" t="str">
        <f t="shared" si="29"/>
        <v/>
      </c>
      <c r="Q245" s="49" t="str">
        <f>IF($B245="","",IF(KT_nguoc_theo_NL!N242="Pass","Khớp",IF(KT_nguoc_theo_NL!N242="KXDDM","KXĐM",IF(KT_nguoc_theo_NL!N242="Xem xét","Cảnh báo",""))))</f>
        <v/>
      </c>
      <c r="R245" s="49" t="str">
        <f t="shared" si="30"/>
        <v/>
      </c>
      <c r="S245" s="31" t="str">
        <f t="shared" si="31"/>
        <v/>
      </c>
    </row>
    <row r="246" spans="1:19" x14ac:dyDescent="0.25">
      <c r="A246" s="36" t="str">
        <f>IF(B246="","",239)</f>
        <v/>
      </c>
      <c r="B246" s="36" t="str">
        <f>'Mau15'!B249&amp;""</f>
        <v/>
      </c>
      <c r="C246" s="47" t="str">
        <f>IF(B246="","",'Mau15'!C249)</f>
        <v/>
      </c>
      <c r="D246" s="36" t="str">
        <f>IF(B246="","",'Mau15'!D249)</f>
        <v/>
      </c>
      <c r="E246" s="48" t="str">
        <f>IF($B246="","",'Mau15'!P249)</f>
        <v/>
      </c>
      <c r="F246" s="48" t="str">
        <f>IF($B246="","",'Mau15'!F249)</f>
        <v/>
      </c>
      <c r="G246" s="48" t="str">
        <f t="shared" si="24"/>
        <v/>
      </c>
      <c r="H246" s="49" t="str">
        <f t="shared" si="25"/>
        <v/>
      </c>
      <c r="I246" s="48" t="str">
        <f>IF($B246="","",'Mau15'!K249)</f>
        <v/>
      </c>
      <c r="J246" s="48" t="str">
        <f>IF($B246="","",'Mau15'!M249)</f>
        <v/>
      </c>
      <c r="K246" s="48" t="str">
        <f t="shared" si="26"/>
        <v/>
      </c>
      <c r="L246" s="49" t="str">
        <f t="shared" si="27"/>
        <v/>
      </c>
      <c r="M246" s="48" t="str">
        <f>IF($B246="","",KT_nguoc_theo_NL!J243)</f>
        <v/>
      </c>
      <c r="N246" s="48" t="str">
        <f>IF($B246="","",KT_nguoc_theo_NL!K243)</f>
        <v/>
      </c>
      <c r="O246" s="48" t="str">
        <f t="shared" si="28"/>
        <v/>
      </c>
      <c r="P246" s="50" t="str">
        <f t="shared" si="29"/>
        <v/>
      </c>
      <c r="Q246" s="49" t="str">
        <f>IF($B246="","",IF(KT_nguoc_theo_NL!N243="Pass","Khớp",IF(KT_nguoc_theo_NL!N243="KXDDM","KXĐM",IF(KT_nguoc_theo_NL!N243="Xem xét","Cảnh báo",""))))</f>
        <v/>
      </c>
      <c r="R246" s="49" t="str">
        <f t="shared" si="30"/>
        <v/>
      </c>
      <c r="S246" s="31" t="str">
        <f t="shared" si="31"/>
        <v/>
      </c>
    </row>
    <row r="247" spans="1:19" x14ac:dyDescent="0.25">
      <c r="A247" s="36" t="str">
        <f>IF(B247="","",240)</f>
        <v/>
      </c>
      <c r="B247" s="36" t="str">
        <f>'Mau15'!B250&amp;""</f>
        <v/>
      </c>
      <c r="C247" s="47" t="str">
        <f>IF(B247="","",'Mau15'!C250)</f>
        <v/>
      </c>
      <c r="D247" s="36" t="str">
        <f>IF(B247="","",'Mau15'!D250)</f>
        <v/>
      </c>
      <c r="E247" s="48" t="str">
        <f>IF($B247="","",'Mau15'!P250)</f>
        <v/>
      </c>
      <c r="F247" s="48" t="str">
        <f>IF($B247="","",'Mau15'!F250)</f>
        <v/>
      </c>
      <c r="G247" s="48" t="str">
        <f t="shared" si="24"/>
        <v/>
      </c>
      <c r="H247" s="49" t="str">
        <f t="shared" si="25"/>
        <v/>
      </c>
      <c r="I247" s="48" t="str">
        <f>IF($B247="","",'Mau15'!K250)</f>
        <v/>
      </c>
      <c r="J247" s="48" t="str">
        <f>IF($B247="","",'Mau15'!M250)</f>
        <v/>
      </c>
      <c r="K247" s="48" t="str">
        <f t="shared" si="26"/>
        <v/>
      </c>
      <c r="L247" s="49" t="str">
        <f t="shared" si="27"/>
        <v/>
      </c>
      <c r="M247" s="48" t="str">
        <f>IF($B247="","",KT_nguoc_theo_NL!J244)</f>
        <v/>
      </c>
      <c r="N247" s="48" t="str">
        <f>IF($B247="","",KT_nguoc_theo_NL!K244)</f>
        <v/>
      </c>
      <c r="O247" s="48" t="str">
        <f t="shared" si="28"/>
        <v/>
      </c>
      <c r="P247" s="50" t="str">
        <f t="shared" si="29"/>
        <v/>
      </c>
      <c r="Q247" s="49" t="str">
        <f>IF($B247="","",IF(KT_nguoc_theo_NL!N244="Pass","Khớp",IF(KT_nguoc_theo_NL!N244="KXDDM","KXĐM",IF(KT_nguoc_theo_NL!N244="Xem xét","Cảnh báo",""))))</f>
        <v/>
      </c>
      <c r="R247" s="49" t="str">
        <f t="shared" si="30"/>
        <v/>
      </c>
      <c r="S247" s="31" t="str">
        <f t="shared" si="31"/>
        <v/>
      </c>
    </row>
    <row r="248" spans="1:19" x14ac:dyDescent="0.25">
      <c r="A248" s="36" t="str">
        <f>IF(B248="","",241)</f>
        <v/>
      </c>
      <c r="B248" s="36" t="str">
        <f>'Mau15'!B251&amp;""</f>
        <v/>
      </c>
      <c r="C248" s="47" t="str">
        <f>IF(B248="","",'Mau15'!C251)</f>
        <v/>
      </c>
      <c r="D248" s="36" t="str">
        <f>IF(B248="","",'Mau15'!D251)</f>
        <v/>
      </c>
      <c r="E248" s="48" t="str">
        <f>IF($B248="","",'Mau15'!P251)</f>
        <v/>
      </c>
      <c r="F248" s="48" t="str">
        <f>IF($B248="","",'Mau15'!F251)</f>
        <v/>
      </c>
      <c r="G248" s="48" t="str">
        <f t="shared" si="24"/>
        <v/>
      </c>
      <c r="H248" s="49" t="str">
        <f t="shared" si="25"/>
        <v/>
      </c>
      <c r="I248" s="48" t="str">
        <f>IF($B248="","",'Mau15'!K251)</f>
        <v/>
      </c>
      <c r="J248" s="48" t="str">
        <f>IF($B248="","",'Mau15'!M251)</f>
        <v/>
      </c>
      <c r="K248" s="48" t="str">
        <f t="shared" si="26"/>
        <v/>
      </c>
      <c r="L248" s="49" t="str">
        <f t="shared" si="27"/>
        <v/>
      </c>
      <c r="M248" s="48" t="str">
        <f>IF($B248="","",KT_nguoc_theo_NL!J245)</f>
        <v/>
      </c>
      <c r="N248" s="48" t="str">
        <f>IF($B248="","",KT_nguoc_theo_NL!K245)</f>
        <v/>
      </c>
      <c r="O248" s="48" t="str">
        <f t="shared" si="28"/>
        <v/>
      </c>
      <c r="P248" s="50" t="str">
        <f t="shared" si="29"/>
        <v/>
      </c>
      <c r="Q248" s="49" t="str">
        <f>IF($B248="","",IF(KT_nguoc_theo_NL!N245="Pass","Khớp",IF(KT_nguoc_theo_NL!N245="KXDDM","KXĐM",IF(KT_nguoc_theo_NL!N245="Xem xét","Cảnh báo",""))))</f>
        <v/>
      </c>
      <c r="R248" s="49" t="str">
        <f t="shared" si="30"/>
        <v/>
      </c>
      <c r="S248" s="31" t="str">
        <f t="shared" si="31"/>
        <v/>
      </c>
    </row>
    <row r="249" spans="1:19" x14ac:dyDescent="0.25">
      <c r="A249" s="36" t="str">
        <f>IF(B249="","",242)</f>
        <v/>
      </c>
      <c r="B249" s="36" t="str">
        <f>'Mau15'!B252&amp;""</f>
        <v/>
      </c>
      <c r="C249" s="47" t="str">
        <f>IF(B249="","",'Mau15'!C252)</f>
        <v/>
      </c>
      <c r="D249" s="36" t="str">
        <f>IF(B249="","",'Mau15'!D252)</f>
        <v/>
      </c>
      <c r="E249" s="48" t="str">
        <f>IF($B249="","",'Mau15'!P252)</f>
        <v/>
      </c>
      <c r="F249" s="48" t="str">
        <f>IF($B249="","",'Mau15'!F252)</f>
        <v/>
      </c>
      <c r="G249" s="48" t="str">
        <f t="shared" si="24"/>
        <v/>
      </c>
      <c r="H249" s="49" t="str">
        <f t="shared" si="25"/>
        <v/>
      </c>
      <c r="I249" s="48" t="str">
        <f>IF($B249="","",'Mau15'!K252)</f>
        <v/>
      </c>
      <c r="J249" s="48" t="str">
        <f>IF($B249="","",'Mau15'!M252)</f>
        <v/>
      </c>
      <c r="K249" s="48" t="str">
        <f t="shared" si="26"/>
        <v/>
      </c>
      <c r="L249" s="49" t="str">
        <f t="shared" si="27"/>
        <v/>
      </c>
      <c r="M249" s="48" t="str">
        <f>IF($B249="","",KT_nguoc_theo_NL!J246)</f>
        <v/>
      </c>
      <c r="N249" s="48" t="str">
        <f>IF($B249="","",KT_nguoc_theo_NL!K246)</f>
        <v/>
      </c>
      <c r="O249" s="48" t="str">
        <f t="shared" si="28"/>
        <v/>
      </c>
      <c r="P249" s="50" t="str">
        <f t="shared" si="29"/>
        <v/>
      </c>
      <c r="Q249" s="49" t="str">
        <f>IF($B249="","",IF(KT_nguoc_theo_NL!N246="Pass","Khớp",IF(KT_nguoc_theo_NL!N246="KXDDM","KXĐM",IF(KT_nguoc_theo_NL!N246="Xem xét","Cảnh báo",""))))</f>
        <v/>
      </c>
      <c r="R249" s="49" t="str">
        <f t="shared" si="30"/>
        <v/>
      </c>
      <c r="S249" s="31" t="str">
        <f t="shared" si="31"/>
        <v/>
      </c>
    </row>
    <row r="250" spans="1:19" x14ac:dyDescent="0.25">
      <c r="A250" s="36" t="str">
        <f>IF(B250="","",243)</f>
        <v/>
      </c>
      <c r="B250" s="36" t="str">
        <f>'Mau15'!B253&amp;""</f>
        <v/>
      </c>
      <c r="C250" s="47" t="str">
        <f>IF(B250="","",'Mau15'!C253)</f>
        <v/>
      </c>
      <c r="D250" s="36" t="str">
        <f>IF(B250="","",'Mau15'!D253)</f>
        <v/>
      </c>
      <c r="E250" s="48" t="str">
        <f>IF($B250="","",'Mau15'!P253)</f>
        <v/>
      </c>
      <c r="F250" s="48" t="str">
        <f>IF($B250="","",'Mau15'!F253)</f>
        <v/>
      </c>
      <c r="G250" s="48" t="str">
        <f t="shared" si="24"/>
        <v/>
      </c>
      <c r="H250" s="49" t="str">
        <f t="shared" si="25"/>
        <v/>
      </c>
      <c r="I250" s="48" t="str">
        <f>IF($B250="","",'Mau15'!K253)</f>
        <v/>
      </c>
      <c r="J250" s="48" t="str">
        <f>IF($B250="","",'Mau15'!M253)</f>
        <v/>
      </c>
      <c r="K250" s="48" t="str">
        <f t="shared" si="26"/>
        <v/>
      </c>
      <c r="L250" s="49" t="str">
        <f t="shared" si="27"/>
        <v/>
      </c>
      <c r="M250" s="48" t="str">
        <f>IF($B250="","",KT_nguoc_theo_NL!J247)</f>
        <v/>
      </c>
      <c r="N250" s="48" t="str">
        <f>IF($B250="","",KT_nguoc_theo_NL!K247)</f>
        <v/>
      </c>
      <c r="O250" s="48" t="str">
        <f t="shared" si="28"/>
        <v/>
      </c>
      <c r="P250" s="50" t="str">
        <f t="shared" si="29"/>
        <v/>
      </c>
      <c r="Q250" s="49" t="str">
        <f>IF($B250="","",IF(KT_nguoc_theo_NL!N247="Pass","Khớp",IF(KT_nguoc_theo_NL!N247="KXDDM","KXĐM",IF(KT_nguoc_theo_NL!N247="Xem xét","Cảnh báo",""))))</f>
        <v/>
      </c>
      <c r="R250" s="49" t="str">
        <f t="shared" si="30"/>
        <v/>
      </c>
      <c r="S250" s="31" t="str">
        <f t="shared" si="31"/>
        <v/>
      </c>
    </row>
    <row r="251" spans="1:19" x14ac:dyDescent="0.25">
      <c r="A251" s="36" t="str">
        <f>IF(B251="","",244)</f>
        <v/>
      </c>
      <c r="B251" s="36" t="str">
        <f>'Mau15'!B254&amp;""</f>
        <v/>
      </c>
      <c r="C251" s="47" t="str">
        <f>IF(B251="","",'Mau15'!C254)</f>
        <v/>
      </c>
      <c r="D251" s="36" t="str">
        <f>IF(B251="","",'Mau15'!D254)</f>
        <v/>
      </c>
      <c r="E251" s="48" t="str">
        <f>IF($B251="","",'Mau15'!P254)</f>
        <v/>
      </c>
      <c r="F251" s="48" t="str">
        <f>IF($B251="","",'Mau15'!F254)</f>
        <v/>
      </c>
      <c r="G251" s="48" t="str">
        <f t="shared" si="24"/>
        <v/>
      </c>
      <c r="H251" s="49" t="str">
        <f t="shared" si="25"/>
        <v/>
      </c>
      <c r="I251" s="48" t="str">
        <f>IF($B251="","",'Mau15'!K254)</f>
        <v/>
      </c>
      <c r="J251" s="48" t="str">
        <f>IF($B251="","",'Mau15'!M254)</f>
        <v/>
      </c>
      <c r="K251" s="48" t="str">
        <f t="shared" si="26"/>
        <v/>
      </c>
      <c r="L251" s="49" t="str">
        <f t="shared" si="27"/>
        <v/>
      </c>
      <c r="M251" s="48" t="str">
        <f>IF($B251="","",KT_nguoc_theo_NL!J248)</f>
        <v/>
      </c>
      <c r="N251" s="48" t="str">
        <f>IF($B251="","",KT_nguoc_theo_NL!K248)</f>
        <v/>
      </c>
      <c r="O251" s="48" t="str">
        <f t="shared" si="28"/>
        <v/>
      </c>
      <c r="P251" s="50" t="str">
        <f t="shared" si="29"/>
        <v/>
      </c>
      <c r="Q251" s="49" t="str">
        <f>IF($B251="","",IF(KT_nguoc_theo_NL!N248="Pass","Khớp",IF(KT_nguoc_theo_NL!N248="KXDDM","KXĐM",IF(KT_nguoc_theo_NL!N248="Xem xét","Cảnh báo",""))))</f>
        <v/>
      </c>
      <c r="R251" s="49" t="str">
        <f t="shared" si="30"/>
        <v/>
      </c>
      <c r="S251" s="31" t="str">
        <f t="shared" si="31"/>
        <v/>
      </c>
    </row>
    <row r="252" spans="1:19" x14ac:dyDescent="0.25">
      <c r="A252" s="36" t="str">
        <f>IF(B252="","",245)</f>
        <v/>
      </c>
      <c r="B252" s="36" t="str">
        <f>'Mau15'!B255&amp;""</f>
        <v/>
      </c>
      <c r="C252" s="47" t="str">
        <f>IF(B252="","",'Mau15'!C255)</f>
        <v/>
      </c>
      <c r="D252" s="36" t="str">
        <f>IF(B252="","",'Mau15'!D255)</f>
        <v/>
      </c>
      <c r="E252" s="48" t="str">
        <f>IF($B252="","",'Mau15'!P255)</f>
        <v/>
      </c>
      <c r="F252" s="48" t="str">
        <f>IF($B252="","",'Mau15'!F255)</f>
        <v/>
      </c>
      <c r="G252" s="48" t="str">
        <f t="shared" si="24"/>
        <v/>
      </c>
      <c r="H252" s="49" t="str">
        <f t="shared" si="25"/>
        <v/>
      </c>
      <c r="I252" s="48" t="str">
        <f>IF($B252="","",'Mau15'!K255)</f>
        <v/>
      </c>
      <c r="J252" s="48" t="str">
        <f>IF($B252="","",'Mau15'!M255)</f>
        <v/>
      </c>
      <c r="K252" s="48" t="str">
        <f t="shared" si="26"/>
        <v/>
      </c>
      <c r="L252" s="49" t="str">
        <f t="shared" si="27"/>
        <v/>
      </c>
      <c r="M252" s="48" t="str">
        <f>IF($B252="","",KT_nguoc_theo_NL!J249)</f>
        <v/>
      </c>
      <c r="N252" s="48" t="str">
        <f>IF($B252="","",KT_nguoc_theo_NL!K249)</f>
        <v/>
      </c>
      <c r="O252" s="48" t="str">
        <f t="shared" si="28"/>
        <v/>
      </c>
      <c r="P252" s="50" t="str">
        <f t="shared" si="29"/>
        <v/>
      </c>
      <c r="Q252" s="49" t="str">
        <f>IF($B252="","",IF(KT_nguoc_theo_NL!N249="Pass","Khớp",IF(KT_nguoc_theo_NL!N249="KXDDM","KXĐM",IF(KT_nguoc_theo_NL!N249="Xem xét","Cảnh báo",""))))</f>
        <v/>
      </c>
      <c r="R252" s="49" t="str">
        <f t="shared" si="30"/>
        <v/>
      </c>
      <c r="S252" s="31" t="str">
        <f t="shared" si="31"/>
        <v/>
      </c>
    </row>
    <row r="253" spans="1:19" x14ac:dyDescent="0.25">
      <c r="A253" s="36" t="str">
        <f>IF(B253="","",246)</f>
        <v/>
      </c>
      <c r="B253" s="36" t="str">
        <f>'Mau15'!B256&amp;""</f>
        <v/>
      </c>
      <c r="C253" s="47" t="str">
        <f>IF(B253="","",'Mau15'!C256)</f>
        <v/>
      </c>
      <c r="D253" s="36" t="str">
        <f>IF(B253="","",'Mau15'!D256)</f>
        <v/>
      </c>
      <c r="E253" s="48" t="str">
        <f>IF($B253="","",'Mau15'!P256)</f>
        <v/>
      </c>
      <c r="F253" s="48" t="str">
        <f>IF($B253="","",'Mau15'!F256)</f>
        <v/>
      </c>
      <c r="G253" s="48" t="str">
        <f t="shared" si="24"/>
        <v/>
      </c>
      <c r="H253" s="49" t="str">
        <f t="shared" si="25"/>
        <v/>
      </c>
      <c r="I253" s="48" t="str">
        <f>IF($B253="","",'Mau15'!K256)</f>
        <v/>
      </c>
      <c r="J253" s="48" t="str">
        <f>IF($B253="","",'Mau15'!M256)</f>
        <v/>
      </c>
      <c r="K253" s="48" t="str">
        <f t="shared" si="26"/>
        <v/>
      </c>
      <c r="L253" s="49" t="str">
        <f t="shared" si="27"/>
        <v/>
      </c>
      <c r="M253" s="48" t="str">
        <f>IF($B253="","",KT_nguoc_theo_NL!J250)</f>
        <v/>
      </c>
      <c r="N253" s="48" t="str">
        <f>IF($B253="","",KT_nguoc_theo_NL!K250)</f>
        <v/>
      </c>
      <c r="O253" s="48" t="str">
        <f t="shared" si="28"/>
        <v/>
      </c>
      <c r="P253" s="50" t="str">
        <f t="shared" si="29"/>
        <v/>
      </c>
      <c r="Q253" s="49" t="str">
        <f>IF($B253="","",IF(KT_nguoc_theo_NL!N250="Pass","Khớp",IF(KT_nguoc_theo_NL!N250="KXDDM","KXĐM",IF(KT_nguoc_theo_NL!N250="Xem xét","Cảnh báo",""))))</f>
        <v/>
      </c>
      <c r="R253" s="49" t="str">
        <f t="shared" si="30"/>
        <v/>
      </c>
      <c r="S253" s="31" t="str">
        <f t="shared" si="31"/>
        <v/>
      </c>
    </row>
    <row r="254" spans="1:19" x14ac:dyDescent="0.25">
      <c r="A254" s="36" t="str">
        <f>IF(B254="","",247)</f>
        <v/>
      </c>
      <c r="B254" s="36" t="str">
        <f>'Mau15'!B257&amp;""</f>
        <v/>
      </c>
      <c r="C254" s="47" t="str">
        <f>IF(B254="","",'Mau15'!C257)</f>
        <v/>
      </c>
      <c r="D254" s="36" t="str">
        <f>IF(B254="","",'Mau15'!D257)</f>
        <v/>
      </c>
      <c r="E254" s="48" t="str">
        <f>IF($B254="","",'Mau15'!P257)</f>
        <v/>
      </c>
      <c r="F254" s="48" t="str">
        <f>IF($B254="","",'Mau15'!F257)</f>
        <v/>
      </c>
      <c r="G254" s="48" t="str">
        <f t="shared" si="24"/>
        <v/>
      </c>
      <c r="H254" s="49" t="str">
        <f t="shared" si="25"/>
        <v/>
      </c>
      <c r="I254" s="48" t="str">
        <f>IF($B254="","",'Mau15'!K257)</f>
        <v/>
      </c>
      <c r="J254" s="48" t="str">
        <f>IF($B254="","",'Mau15'!M257)</f>
        <v/>
      </c>
      <c r="K254" s="48" t="str">
        <f t="shared" si="26"/>
        <v/>
      </c>
      <c r="L254" s="49" t="str">
        <f t="shared" si="27"/>
        <v/>
      </c>
      <c r="M254" s="48" t="str">
        <f>IF($B254="","",KT_nguoc_theo_NL!J251)</f>
        <v/>
      </c>
      <c r="N254" s="48" t="str">
        <f>IF($B254="","",KT_nguoc_theo_NL!K251)</f>
        <v/>
      </c>
      <c r="O254" s="48" t="str">
        <f t="shared" si="28"/>
        <v/>
      </c>
      <c r="P254" s="50" t="str">
        <f t="shared" si="29"/>
        <v/>
      </c>
      <c r="Q254" s="49" t="str">
        <f>IF($B254="","",IF(KT_nguoc_theo_NL!N251="Pass","Khớp",IF(KT_nguoc_theo_NL!N251="KXDDM","KXĐM",IF(KT_nguoc_theo_NL!N251="Xem xét","Cảnh báo",""))))</f>
        <v/>
      </c>
      <c r="R254" s="49" t="str">
        <f t="shared" si="30"/>
        <v/>
      </c>
      <c r="S254" s="31" t="str">
        <f t="shared" si="31"/>
        <v/>
      </c>
    </row>
    <row r="255" spans="1:19" x14ac:dyDescent="0.25">
      <c r="A255" s="36" t="str">
        <f>IF(B255="","",248)</f>
        <v/>
      </c>
      <c r="B255" s="36" t="str">
        <f>'Mau15'!B258&amp;""</f>
        <v/>
      </c>
      <c r="C255" s="47" t="str">
        <f>IF(B255="","",'Mau15'!C258)</f>
        <v/>
      </c>
      <c r="D255" s="36" t="str">
        <f>IF(B255="","",'Mau15'!D258)</f>
        <v/>
      </c>
      <c r="E255" s="48" t="str">
        <f>IF($B255="","",'Mau15'!P258)</f>
        <v/>
      </c>
      <c r="F255" s="48" t="str">
        <f>IF($B255="","",'Mau15'!F258)</f>
        <v/>
      </c>
      <c r="G255" s="48" t="str">
        <f t="shared" si="24"/>
        <v/>
      </c>
      <c r="H255" s="49" t="str">
        <f t="shared" si="25"/>
        <v/>
      </c>
      <c r="I255" s="48" t="str">
        <f>IF($B255="","",'Mau15'!K258)</f>
        <v/>
      </c>
      <c r="J255" s="48" t="str">
        <f>IF($B255="","",'Mau15'!M258)</f>
        <v/>
      </c>
      <c r="K255" s="48" t="str">
        <f t="shared" si="26"/>
        <v/>
      </c>
      <c r="L255" s="49" t="str">
        <f t="shared" si="27"/>
        <v/>
      </c>
      <c r="M255" s="48" t="str">
        <f>IF($B255="","",KT_nguoc_theo_NL!J252)</f>
        <v/>
      </c>
      <c r="N255" s="48" t="str">
        <f>IF($B255="","",KT_nguoc_theo_NL!K252)</f>
        <v/>
      </c>
      <c r="O255" s="48" t="str">
        <f t="shared" si="28"/>
        <v/>
      </c>
      <c r="P255" s="50" t="str">
        <f t="shared" si="29"/>
        <v/>
      </c>
      <c r="Q255" s="49" t="str">
        <f>IF($B255="","",IF(KT_nguoc_theo_NL!N252="Pass","Khớp",IF(KT_nguoc_theo_NL!N252="KXDDM","KXĐM",IF(KT_nguoc_theo_NL!N252="Xem xét","Cảnh báo",""))))</f>
        <v/>
      </c>
      <c r="R255" s="49" t="str">
        <f t="shared" si="30"/>
        <v/>
      </c>
      <c r="S255" s="31" t="str">
        <f t="shared" si="31"/>
        <v/>
      </c>
    </row>
    <row r="256" spans="1:19" x14ac:dyDescent="0.25">
      <c r="A256" s="36" t="str">
        <f>IF(B256="","",249)</f>
        <v/>
      </c>
      <c r="B256" s="36" t="str">
        <f>'Mau15'!B259&amp;""</f>
        <v/>
      </c>
      <c r="C256" s="47" t="str">
        <f>IF(B256="","",'Mau15'!C259)</f>
        <v/>
      </c>
      <c r="D256" s="36" t="str">
        <f>IF(B256="","",'Mau15'!D259)</f>
        <v/>
      </c>
      <c r="E256" s="48" t="str">
        <f>IF($B256="","",'Mau15'!P259)</f>
        <v/>
      </c>
      <c r="F256" s="48" t="str">
        <f>IF($B256="","",'Mau15'!F259)</f>
        <v/>
      </c>
      <c r="G256" s="48" t="str">
        <f t="shared" si="24"/>
        <v/>
      </c>
      <c r="H256" s="49" t="str">
        <f t="shared" si="25"/>
        <v/>
      </c>
      <c r="I256" s="48" t="str">
        <f>IF($B256="","",'Mau15'!K259)</f>
        <v/>
      </c>
      <c r="J256" s="48" t="str">
        <f>IF($B256="","",'Mau15'!M259)</f>
        <v/>
      </c>
      <c r="K256" s="48" t="str">
        <f t="shared" si="26"/>
        <v/>
      </c>
      <c r="L256" s="49" t="str">
        <f t="shared" si="27"/>
        <v/>
      </c>
      <c r="M256" s="48" t="str">
        <f>IF($B256="","",KT_nguoc_theo_NL!J253)</f>
        <v/>
      </c>
      <c r="N256" s="48" t="str">
        <f>IF($B256="","",KT_nguoc_theo_NL!K253)</f>
        <v/>
      </c>
      <c r="O256" s="48" t="str">
        <f t="shared" si="28"/>
        <v/>
      </c>
      <c r="P256" s="50" t="str">
        <f t="shared" si="29"/>
        <v/>
      </c>
      <c r="Q256" s="49" t="str">
        <f>IF($B256="","",IF(KT_nguoc_theo_NL!N253="Pass","Khớp",IF(KT_nguoc_theo_NL!N253="KXDDM","KXĐM",IF(KT_nguoc_theo_NL!N253="Xem xét","Cảnh báo",""))))</f>
        <v/>
      </c>
      <c r="R256" s="49" t="str">
        <f t="shared" si="30"/>
        <v/>
      </c>
      <c r="S256" s="31" t="str">
        <f t="shared" si="31"/>
        <v/>
      </c>
    </row>
    <row r="257" spans="1:19" x14ac:dyDescent="0.25">
      <c r="A257" s="36" t="str">
        <f>IF(B257="","",250)</f>
        <v/>
      </c>
      <c r="B257" s="36" t="str">
        <f>'Mau15'!B260&amp;""</f>
        <v/>
      </c>
      <c r="C257" s="47" t="str">
        <f>IF(B257="","",'Mau15'!C260)</f>
        <v/>
      </c>
      <c r="D257" s="36" t="str">
        <f>IF(B257="","",'Mau15'!D260)</f>
        <v/>
      </c>
      <c r="E257" s="48" t="str">
        <f>IF($B257="","",'Mau15'!P260)</f>
        <v/>
      </c>
      <c r="F257" s="48" t="str">
        <f>IF($B257="","",'Mau15'!F260)</f>
        <v/>
      </c>
      <c r="G257" s="48" t="str">
        <f t="shared" si="24"/>
        <v/>
      </c>
      <c r="H257" s="49" t="str">
        <f t="shared" si="25"/>
        <v/>
      </c>
      <c r="I257" s="48" t="str">
        <f>IF($B257="","",'Mau15'!K260)</f>
        <v/>
      </c>
      <c r="J257" s="48" t="str">
        <f>IF($B257="","",'Mau15'!M260)</f>
        <v/>
      </c>
      <c r="K257" s="48" t="str">
        <f t="shared" si="26"/>
        <v/>
      </c>
      <c r="L257" s="49" t="str">
        <f t="shared" si="27"/>
        <v/>
      </c>
      <c r="M257" s="48" t="str">
        <f>IF($B257="","",KT_nguoc_theo_NL!J254)</f>
        <v/>
      </c>
      <c r="N257" s="48" t="str">
        <f>IF($B257="","",KT_nguoc_theo_NL!K254)</f>
        <v/>
      </c>
      <c r="O257" s="48" t="str">
        <f t="shared" si="28"/>
        <v/>
      </c>
      <c r="P257" s="50" t="str">
        <f t="shared" si="29"/>
        <v/>
      </c>
      <c r="Q257" s="49" t="str">
        <f>IF($B257="","",IF(KT_nguoc_theo_NL!N254="Pass","Khớp",IF(KT_nguoc_theo_NL!N254="KXDDM","KXĐM",IF(KT_nguoc_theo_NL!N254="Xem xét","Cảnh báo",""))))</f>
        <v/>
      </c>
      <c r="R257" s="49" t="str">
        <f t="shared" si="30"/>
        <v/>
      </c>
      <c r="S257" s="31" t="str">
        <f t="shared" si="31"/>
        <v/>
      </c>
    </row>
    <row r="258" spans="1:19" x14ac:dyDescent="0.25">
      <c r="A258" s="36" t="str">
        <f>IF(B258="","",251)</f>
        <v/>
      </c>
      <c r="B258" s="36" t="str">
        <f>'Mau15'!B261&amp;""</f>
        <v/>
      </c>
      <c r="C258" s="47" t="str">
        <f>IF(B258="","",'Mau15'!C261)</f>
        <v/>
      </c>
      <c r="D258" s="36" t="str">
        <f>IF(B258="","",'Mau15'!D261)</f>
        <v/>
      </c>
      <c r="E258" s="48" t="str">
        <f>IF($B258="","",'Mau15'!P261)</f>
        <v/>
      </c>
      <c r="F258" s="48" t="str">
        <f>IF($B258="","",'Mau15'!F261)</f>
        <v/>
      </c>
      <c r="G258" s="48" t="str">
        <f t="shared" si="24"/>
        <v/>
      </c>
      <c r="H258" s="49" t="str">
        <f t="shared" si="25"/>
        <v/>
      </c>
      <c r="I258" s="48" t="str">
        <f>IF($B258="","",'Mau15'!K261)</f>
        <v/>
      </c>
      <c r="J258" s="48" t="str">
        <f>IF($B258="","",'Mau15'!M261)</f>
        <v/>
      </c>
      <c r="K258" s="48" t="str">
        <f t="shared" si="26"/>
        <v/>
      </c>
      <c r="L258" s="49" t="str">
        <f t="shared" si="27"/>
        <v/>
      </c>
      <c r="M258" s="48" t="str">
        <f>IF($B258="","",KT_nguoc_theo_NL!J255)</f>
        <v/>
      </c>
      <c r="N258" s="48" t="str">
        <f>IF($B258="","",KT_nguoc_theo_NL!K255)</f>
        <v/>
      </c>
      <c r="O258" s="48" t="str">
        <f t="shared" si="28"/>
        <v/>
      </c>
      <c r="P258" s="50" t="str">
        <f t="shared" si="29"/>
        <v/>
      </c>
      <c r="Q258" s="49" t="str">
        <f>IF($B258="","",IF(KT_nguoc_theo_NL!N255="Pass","Khớp",IF(KT_nguoc_theo_NL!N255="KXDDM","KXĐM",IF(KT_nguoc_theo_NL!N255="Xem xét","Cảnh báo",""))))</f>
        <v/>
      </c>
      <c r="R258" s="49" t="str">
        <f t="shared" si="30"/>
        <v/>
      </c>
      <c r="S258" s="31" t="str">
        <f t="shared" si="31"/>
        <v/>
      </c>
    </row>
    <row r="259" spans="1:19" x14ac:dyDescent="0.25">
      <c r="A259" s="36" t="str">
        <f>IF(B259="","",252)</f>
        <v/>
      </c>
      <c r="B259" s="36" t="str">
        <f>'Mau15'!B262&amp;""</f>
        <v/>
      </c>
      <c r="C259" s="47" t="str">
        <f>IF(B259="","",'Mau15'!C262)</f>
        <v/>
      </c>
      <c r="D259" s="36" t="str">
        <f>IF(B259="","",'Mau15'!D262)</f>
        <v/>
      </c>
      <c r="E259" s="48" t="str">
        <f>IF($B259="","",'Mau15'!P262)</f>
        <v/>
      </c>
      <c r="F259" s="48" t="str">
        <f>IF($B259="","",'Mau15'!F262)</f>
        <v/>
      </c>
      <c r="G259" s="48" t="str">
        <f t="shared" si="24"/>
        <v/>
      </c>
      <c r="H259" s="49" t="str">
        <f t="shared" si="25"/>
        <v/>
      </c>
      <c r="I259" s="48" t="str">
        <f>IF($B259="","",'Mau15'!K262)</f>
        <v/>
      </c>
      <c r="J259" s="48" t="str">
        <f>IF($B259="","",'Mau15'!M262)</f>
        <v/>
      </c>
      <c r="K259" s="48" t="str">
        <f t="shared" si="26"/>
        <v/>
      </c>
      <c r="L259" s="49" t="str">
        <f t="shared" si="27"/>
        <v/>
      </c>
      <c r="M259" s="48" t="str">
        <f>IF($B259="","",KT_nguoc_theo_NL!J256)</f>
        <v/>
      </c>
      <c r="N259" s="48" t="str">
        <f>IF($B259="","",KT_nguoc_theo_NL!K256)</f>
        <v/>
      </c>
      <c r="O259" s="48" t="str">
        <f t="shared" si="28"/>
        <v/>
      </c>
      <c r="P259" s="50" t="str">
        <f t="shared" si="29"/>
        <v/>
      </c>
      <c r="Q259" s="49" t="str">
        <f>IF($B259="","",IF(KT_nguoc_theo_NL!N256="Pass","Khớp",IF(KT_nguoc_theo_NL!N256="KXDDM","KXĐM",IF(KT_nguoc_theo_NL!N256="Xem xét","Cảnh báo",""))))</f>
        <v/>
      </c>
      <c r="R259" s="49" t="str">
        <f t="shared" si="30"/>
        <v/>
      </c>
      <c r="S259" s="31" t="str">
        <f t="shared" si="31"/>
        <v/>
      </c>
    </row>
    <row r="260" spans="1:19" x14ac:dyDescent="0.25">
      <c r="A260" s="36" t="str">
        <f>IF(B260="","",253)</f>
        <v/>
      </c>
      <c r="B260" s="36" t="str">
        <f>'Mau15'!B263&amp;""</f>
        <v/>
      </c>
      <c r="C260" s="47" t="str">
        <f>IF(B260="","",'Mau15'!C263)</f>
        <v/>
      </c>
      <c r="D260" s="36" t="str">
        <f>IF(B260="","",'Mau15'!D263)</f>
        <v/>
      </c>
      <c r="E260" s="48" t="str">
        <f>IF($B260="","",'Mau15'!P263)</f>
        <v/>
      </c>
      <c r="F260" s="48" t="str">
        <f>IF($B260="","",'Mau15'!F263)</f>
        <v/>
      </c>
      <c r="G260" s="48" t="str">
        <f t="shared" si="24"/>
        <v/>
      </c>
      <c r="H260" s="49" t="str">
        <f t="shared" si="25"/>
        <v/>
      </c>
      <c r="I260" s="48" t="str">
        <f>IF($B260="","",'Mau15'!K263)</f>
        <v/>
      </c>
      <c r="J260" s="48" t="str">
        <f>IF($B260="","",'Mau15'!M263)</f>
        <v/>
      </c>
      <c r="K260" s="48" t="str">
        <f t="shared" si="26"/>
        <v/>
      </c>
      <c r="L260" s="49" t="str">
        <f t="shared" si="27"/>
        <v/>
      </c>
      <c r="M260" s="48" t="str">
        <f>IF($B260="","",KT_nguoc_theo_NL!J257)</f>
        <v/>
      </c>
      <c r="N260" s="48" t="str">
        <f>IF($B260="","",KT_nguoc_theo_NL!K257)</f>
        <v/>
      </c>
      <c r="O260" s="48" t="str">
        <f t="shared" si="28"/>
        <v/>
      </c>
      <c r="P260" s="50" t="str">
        <f t="shared" si="29"/>
        <v/>
      </c>
      <c r="Q260" s="49" t="str">
        <f>IF($B260="","",IF(KT_nguoc_theo_NL!N257="Pass","Khớp",IF(KT_nguoc_theo_NL!N257="KXDDM","KXĐM",IF(KT_nguoc_theo_NL!N257="Xem xét","Cảnh báo",""))))</f>
        <v/>
      </c>
      <c r="R260" s="49" t="str">
        <f t="shared" si="30"/>
        <v/>
      </c>
      <c r="S260" s="31" t="str">
        <f t="shared" si="31"/>
        <v/>
      </c>
    </row>
    <row r="261" spans="1:19" x14ac:dyDescent="0.25">
      <c r="A261" s="36" t="str">
        <f>IF(B261="","",254)</f>
        <v/>
      </c>
      <c r="B261" s="36" t="str">
        <f>'Mau15'!B264&amp;""</f>
        <v/>
      </c>
      <c r="C261" s="47" t="str">
        <f>IF(B261="","",'Mau15'!C264)</f>
        <v/>
      </c>
      <c r="D261" s="36" t="str">
        <f>IF(B261="","",'Mau15'!D264)</f>
        <v/>
      </c>
      <c r="E261" s="48" t="str">
        <f>IF($B261="","",'Mau15'!P264)</f>
        <v/>
      </c>
      <c r="F261" s="48" t="str">
        <f>IF($B261="","",'Mau15'!F264)</f>
        <v/>
      </c>
      <c r="G261" s="48" t="str">
        <f t="shared" si="24"/>
        <v/>
      </c>
      <c r="H261" s="49" t="str">
        <f t="shared" si="25"/>
        <v/>
      </c>
      <c r="I261" s="48" t="str">
        <f>IF($B261="","",'Mau15'!K264)</f>
        <v/>
      </c>
      <c r="J261" s="48" t="str">
        <f>IF($B261="","",'Mau15'!M264)</f>
        <v/>
      </c>
      <c r="K261" s="48" t="str">
        <f t="shared" si="26"/>
        <v/>
      </c>
      <c r="L261" s="49" t="str">
        <f t="shared" si="27"/>
        <v/>
      </c>
      <c r="M261" s="48" t="str">
        <f>IF($B261="","",KT_nguoc_theo_NL!J258)</f>
        <v/>
      </c>
      <c r="N261" s="48" t="str">
        <f>IF($B261="","",KT_nguoc_theo_NL!K258)</f>
        <v/>
      </c>
      <c r="O261" s="48" t="str">
        <f t="shared" si="28"/>
        <v/>
      </c>
      <c r="P261" s="50" t="str">
        <f t="shared" si="29"/>
        <v/>
      </c>
      <c r="Q261" s="49" t="str">
        <f>IF($B261="","",IF(KT_nguoc_theo_NL!N258="Pass","Khớp",IF(KT_nguoc_theo_NL!N258="KXDDM","KXĐM",IF(KT_nguoc_theo_NL!N258="Xem xét","Cảnh báo",""))))</f>
        <v/>
      </c>
      <c r="R261" s="49" t="str">
        <f t="shared" si="30"/>
        <v/>
      </c>
      <c r="S261" s="31" t="str">
        <f t="shared" si="31"/>
        <v/>
      </c>
    </row>
    <row r="262" spans="1:19" x14ac:dyDescent="0.25">
      <c r="A262" s="36" t="str">
        <f>IF(B262="","",255)</f>
        <v/>
      </c>
      <c r="B262" s="36" t="str">
        <f>'Mau15'!B265&amp;""</f>
        <v/>
      </c>
      <c r="C262" s="47" t="str">
        <f>IF(B262="","",'Mau15'!C265)</f>
        <v/>
      </c>
      <c r="D262" s="36" t="str">
        <f>IF(B262="","",'Mau15'!D265)</f>
        <v/>
      </c>
      <c r="E262" s="48" t="str">
        <f>IF($B262="","",'Mau15'!P265)</f>
        <v/>
      </c>
      <c r="F262" s="48" t="str">
        <f>IF($B262="","",'Mau15'!F265)</f>
        <v/>
      </c>
      <c r="G262" s="48" t="str">
        <f t="shared" si="24"/>
        <v/>
      </c>
      <c r="H262" s="49" t="str">
        <f t="shared" si="25"/>
        <v/>
      </c>
      <c r="I262" s="48" t="str">
        <f>IF($B262="","",'Mau15'!K265)</f>
        <v/>
      </c>
      <c r="J262" s="48" t="str">
        <f>IF($B262="","",'Mau15'!M265)</f>
        <v/>
      </c>
      <c r="K262" s="48" t="str">
        <f t="shared" si="26"/>
        <v/>
      </c>
      <c r="L262" s="49" t="str">
        <f t="shared" si="27"/>
        <v/>
      </c>
      <c r="M262" s="48" t="str">
        <f>IF($B262="","",KT_nguoc_theo_NL!J259)</f>
        <v/>
      </c>
      <c r="N262" s="48" t="str">
        <f>IF($B262="","",KT_nguoc_theo_NL!K259)</f>
        <v/>
      </c>
      <c r="O262" s="48" t="str">
        <f t="shared" si="28"/>
        <v/>
      </c>
      <c r="P262" s="50" t="str">
        <f t="shared" si="29"/>
        <v/>
      </c>
      <c r="Q262" s="49" t="str">
        <f>IF($B262="","",IF(KT_nguoc_theo_NL!N259="Pass","Khớp",IF(KT_nguoc_theo_NL!N259="KXDDM","KXĐM",IF(KT_nguoc_theo_NL!N259="Xem xét","Cảnh báo",""))))</f>
        <v/>
      </c>
      <c r="R262" s="49" t="str">
        <f t="shared" si="30"/>
        <v/>
      </c>
      <c r="S262" s="31" t="str">
        <f t="shared" si="31"/>
        <v/>
      </c>
    </row>
    <row r="263" spans="1:19" x14ac:dyDescent="0.25">
      <c r="A263" s="36" t="str">
        <f>IF(B263="","",256)</f>
        <v/>
      </c>
      <c r="B263" s="36" t="str">
        <f>'Mau15'!B266&amp;""</f>
        <v/>
      </c>
      <c r="C263" s="47" t="str">
        <f>IF(B263="","",'Mau15'!C266)</f>
        <v/>
      </c>
      <c r="D263" s="36" t="str">
        <f>IF(B263="","",'Mau15'!D266)</f>
        <v/>
      </c>
      <c r="E263" s="48" t="str">
        <f>IF($B263="","",'Mau15'!P266)</f>
        <v/>
      </c>
      <c r="F263" s="48" t="str">
        <f>IF($B263="","",'Mau15'!F266)</f>
        <v/>
      </c>
      <c r="G263" s="48" t="str">
        <f t="shared" si="24"/>
        <v/>
      </c>
      <c r="H263" s="49" t="str">
        <f t="shared" si="25"/>
        <v/>
      </c>
      <c r="I263" s="48" t="str">
        <f>IF($B263="","",'Mau15'!K266)</f>
        <v/>
      </c>
      <c r="J263" s="48" t="str">
        <f>IF($B263="","",'Mau15'!M266)</f>
        <v/>
      </c>
      <c r="K263" s="48" t="str">
        <f t="shared" si="26"/>
        <v/>
      </c>
      <c r="L263" s="49" t="str">
        <f t="shared" si="27"/>
        <v/>
      </c>
      <c r="M263" s="48" t="str">
        <f>IF($B263="","",KT_nguoc_theo_NL!J260)</f>
        <v/>
      </c>
      <c r="N263" s="48" t="str">
        <f>IF($B263="","",KT_nguoc_theo_NL!K260)</f>
        <v/>
      </c>
      <c r="O263" s="48" t="str">
        <f t="shared" si="28"/>
        <v/>
      </c>
      <c r="P263" s="50" t="str">
        <f t="shared" si="29"/>
        <v/>
      </c>
      <c r="Q263" s="49" t="str">
        <f>IF($B263="","",IF(KT_nguoc_theo_NL!N260="Pass","Khớp",IF(KT_nguoc_theo_NL!N260="KXDDM","KXĐM",IF(KT_nguoc_theo_NL!N260="Xem xét","Cảnh báo",""))))</f>
        <v/>
      </c>
      <c r="R263" s="49" t="str">
        <f t="shared" si="30"/>
        <v/>
      </c>
      <c r="S263" s="31" t="str">
        <f t="shared" si="31"/>
        <v/>
      </c>
    </row>
    <row r="264" spans="1:19" x14ac:dyDescent="0.25">
      <c r="A264" s="36" t="str">
        <f>IF(B264="","",257)</f>
        <v/>
      </c>
      <c r="B264" s="36" t="str">
        <f>'Mau15'!B267&amp;""</f>
        <v/>
      </c>
      <c r="C264" s="47" t="str">
        <f>IF(B264="","",'Mau15'!C267)</f>
        <v/>
      </c>
      <c r="D264" s="36" t="str">
        <f>IF(B264="","",'Mau15'!D267)</f>
        <v/>
      </c>
      <c r="E264" s="48" t="str">
        <f>IF($B264="","",'Mau15'!P267)</f>
        <v/>
      </c>
      <c r="F264" s="48" t="str">
        <f>IF($B264="","",'Mau15'!F267)</f>
        <v/>
      </c>
      <c r="G264" s="48" t="str">
        <f t="shared" ref="G264:G327" si="32">IF($B264="","",N(E264)-N(F264))</f>
        <v/>
      </c>
      <c r="H264" s="49" t="str">
        <f t="shared" ref="H264:H327" si="33">IF($B264="","",IF(ABS(G264)&lt;0.000001,"Khớp","Giải trình"))</f>
        <v/>
      </c>
      <c r="I264" s="48" t="str">
        <f>IF($B264="","",'Mau15'!K267)</f>
        <v/>
      </c>
      <c r="J264" s="48" t="str">
        <f>IF($B264="","",'Mau15'!M267)</f>
        <v/>
      </c>
      <c r="K264" s="48" t="str">
        <f t="shared" ref="K264:K327" si="34">IF($B264="","",N(I264)-N(J264))</f>
        <v/>
      </c>
      <c r="L264" s="49" t="str">
        <f t="shared" ref="L264:L327" si="35">IF($B264="","",IF(ABS(K264)&lt;0.000001,"Khớp","Lỗi"))</f>
        <v/>
      </c>
      <c r="M264" s="48" t="str">
        <f>IF($B264="","",KT_nguoc_theo_NL!J261)</f>
        <v/>
      </c>
      <c r="N264" s="48" t="str">
        <f>IF($B264="","",KT_nguoc_theo_NL!K261)</f>
        <v/>
      </c>
      <c r="O264" s="48" t="str">
        <f t="shared" ref="O264:O327" si="36">IF($B264="","",N(M264)-N(N264))</f>
        <v/>
      </c>
      <c r="P264" s="50" t="str">
        <f t="shared" ref="P264:P327" si="37">IF($B264="","",IF(N(N264)=0,"",O264/N264))</f>
        <v/>
      </c>
      <c r="Q264" s="49" t="str">
        <f>IF($B264="","",IF(KT_nguoc_theo_NL!N261="Pass","Khớp",IF(KT_nguoc_theo_NL!N261="KXDDM","KXĐM",IF(KT_nguoc_theo_NL!N261="Xem xét","Cảnh báo",""))))</f>
        <v/>
      </c>
      <c r="R264" s="49" t="str">
        <f t="shared" ref="R264:R327" si="38">IF(B264="","",IF(COUNTIF(H264:Q264,"Lỗi")&gt;0,"Lỗi",IF(COUNTIF(H264:Q264,"Cảnh báo")&gt;0,"Cảnh báo",IF(COUNTIF(H264:Q264,"Giải trình")&gt;0,"Giải trình","Khớp"))))</f>
        <v/>
      </c>
      <c r="S264" s="31" t="str">
        <f t="shared" ref="S264:S307" si="39">IF(B264="","",IF(G264&gt;0,"Nhập: tờ khai nhiều hơn nhập kho "&amp;TEXT(G264,IF(MOD(G264,1)=0,"#,##0","#,##0.######"))&amp;" – hàng đã thông quan chưa nhập kho (đi đường), ghi cột (12) Mẫu 15; ","")&amp;IF(G264&lt;0,"Nhập: nhập kho nhiều hơn tờ khai "&amp;TEXT(ABS(G264),IF(MOD(ABS(G264),1)=0,"#,##0","#,##0.######"))&amp;" – NL từ HĐ gia công khác chuyển sang, nhập lại sau gia công lại, DNCX mua nội địa không làm thủ tục, hoặc tờ khai kỳ trước – rà soát và ghi chú; ","")&amp;IF(N(K264)&lt;&gt;0,"Tồn cuối lệch sổ kho/kiểm kê "&amp;TEXT(K264,IF(MOD(K264,1)=0,"#,##0","#,##0.######"))&amp;" – rà soát cột (5)–(10) hoặc số kiểm kê; ","")&amp;IF(Q264="Cảnh báo","Định mức: NL thực tế dùng lệch "&amp;TEXT(P264,"0.0%")&amp;" so với Σ SX × ĐMTT – rà ĐMTT Mẫu 16, dở dang/tồn chuyền, NL nguồn khác (sheet Cau_noi); ","")&amp;IF(Q264="KXĐM","Vật tư không xây dựng được định mức – chỉ theo dõi nhập - xuất - tồn; ",""))</f>
        <v/>
      </c>
    </row>
    <row r="265" spans="1:19" x14ac:dyDescent="0.25">
      <c r="A265" s="36" t="str">
        <f>IF(B265="","",258)</f>
        <v/>
      </c>
      <c r="B265" s="36" t="str">
        <f>'Mau15'!B268&amp;""</f>
        <v/>
      </c>
      <c r="C265" s="47" t="str">
        <f>IF(B265="","",'Mau15'!C268)</f>
        <v/>
      </c>
      <c r="D265" s="36" t="str">
        <f>IF(B265="","",'Mau15'!D268)</f>
        <v/>
      </c>
      <c r="E265" s="48" t="str">
        <f>IF($B265="","",'Mau15'!P268)</f>
        <v/>
      </c>
      <c r="F265" s="48" t="str">
        <f>IF($B265="","",'Mau15'!F268)</f>
        <v/>
      </c>
      <c r="G265" s="48" t="str">
        <f t="shared" si="32"/>
        <v/>
      </c>
      <c r="H265" s="49" t="str">
        <f t="shared" si="33"/>
        <v/>
      </c>
      <c r="I265" s="48" t="str">
        <f>IF($B265="","",'Mau15'!K268)</f>
        <v/>
      </c>
      <c r="J265" s="48" t="str">
        <f>IF($B265="","",'Mau15'!M268)</f>
        <v/>
      </c>
      <c r="K265" s="48" t="str">
        <f t="shared" si="34"/>
        <v/>
      </c>
      <c r="L265" s="49" t="str">
        <f t="shared" si="35"/>
        <v/>
      </c>
      <c r="M265" s="48" t="str">
        <f>IF($B265="","",KT_nguoc_theo_NL!J262)</f>
        <v/>
      </c>
      <c r="N265" s="48" t="str">
        <f>IF($B265="","",KT_nguoc_theo_NL!K262)</f>
        <v/>
      </c>
      <c r="O265" s="48" t="str">
        <f t="shared" si="36"/>
        <v/>
      </c>
      <c r="P265" s="50" t="str">
        <f t="shared" si="37"/>
        <v/>
      </c>
      <c r="Q265" s="49" t="str">
        <f>IF($B265="","",IF(KT_nguoc_theo_NL!N262="Pass","Khớp",IF(KT_nguoc_theo_NL!N262="KXDDM","KXĐM",IF(KT_nguoc_theo_NL!N262="Xem xét","Cảnh báo",""))))</f>
        <v/>
      </c>
      <c r="R265" s="49" t="str">
        <f t="shared" si="38"/>
        <v/>
      </c>
      <c r="S265" s="31" t="str">
        <f t="shared" si="39"/>
        <v/>
      </c>
    </row>
    <row r="266" spans="1:19" x14ac:dyDescent="0.25">
      <c r="A266" s="36" t="str">
        <f>IF(B266="","",259)</f>
        <v/>
      </c>
      <c r="B266" s="36" t="str">
        <f>'Mau15'!B269&amp;""</f>
        <v/>
      </c>
      <c r="C266" s="47" t="str">
        <f>IF(B266="","",'Mau15'!C269)</f>
        <v/>
      </c>
      <c r="D266" s="36" t="str">
        <f>IF(B266="","",'Mau15'!D269)</f>
        <v/>
      </c>
      <c r="E266" s="48" t="str">
        <f>IF($B266="","",'Mau15'!P269)</f>
        <v/>
      </c>
      <c r="F266" s="48" t="str">
        <f>IF($B266="","",'Mau15'!F269)</f>
        <v/>
      </c>
      <c r="G266" s="48" t="str">
        <f t="shared" si="32"/>
        <v/>
      </c>
      <c r="H266" s="49" t="str">
        <f t="shared" si="33"/>
        <v/>
      </c>
      <c r="I266" s="48" t="str">
        <f>IF($B266="","",'Mau15'!K269)</f>
        <v/>
      </c>
      <c r="J266" s="48" t="str">
        <f>IF($B266="","",'Mau15'!M269)</f>
        <v/>
      </c>
      <c r="K266" s="48" t="str">
        <f t="shared" si="34"/>
        <v/>
      </c>
      <c r="L266" s="49" t="str">
        <f t="shared" si="35"/>
        <v/>
      </c>
      <c r="M266" s="48" t="str">
        <f>IF($B266="","",KT_nguoc_theo_NL!J263)</f>
        <v/>
      </c>
      <c r="N266" s="48" t="str">
        <f>IF($B266="","",KT_nguoc_theo_NL!K263)</f>
        <v/>
      </c>
      <c r="O266" s="48" t="str">
        <f t="shared" si="36"/>
        <v/>
      </c>
      <c r="P266" s="50" t="str">
        <f t="shared" si="37"/>
        <v/>
      </c>
      <c r="Q266" s="49" t="str">
        <f>IF($B266="","",IF(KT_nguoc_theo_NL!N263="Pass","Khớp",IF(KT_nguoc_theo_NL!N263="KXDDM","KXĐM",IF(KT_nguoc_theo_NL!N263="Xem xét","Cảnh báo",""))))</f>
        <v/>
      </c>
      <c r="R266" s="49" t="str">
        <f t="shared" si="38"/>
        <v/>
      </c>
      <c r="S266" s="31" t="str">
        <f t="shared" si="39"/>
        <v/>
      </c>
    </row>
    <row r="267" spans="1:19" x14ac:dyDescent="0.25">
      <c r="A267" s="36" t="str">
        <f>IF(B267="","",260)</f>
        <v/>
      </c>
      <c r="B267" s="36" t="str">
        <f>'Mau15'!B270&amp;""</f>
        <v/>
      </c>
      <c r="C267" s="47" t="str">
        <f>IF(B267="","",'Mau15'!C270)</f>
        <v/>
      </c>
      <c r="D267" s="36" t="str">
        <f>IF(B267="","",'Mau15'!D270)</f>
        <v/>
      </c>
      <c r="E267" s="48" t="str">
        <f>IF($B267="","",'Mau15'!P270)</f>
        <v/>
      </c>
      <c r="F267" s="48" t="str">
        <f>IF($B267="","",'Mau15'!F270)</f>
        <v/>
      </c>
      <c r="G267" s="48" t="str">
        <f t="shared" si="32"/>
        <v/>
      </c>
      <c r="H267" s="49" t="str">
        <f t="shared" si="33"/>
        <v/>
      </c>
      <c r="I267" s="48" t="str">
        <f>IF($B267="","",'Mau15'!K270)</f>
        <v/>
      </c>
      <c r="J267" s="48" t="str">
        <f>IF($B267="","",'Mau15'!M270)</f>
        <v/>
      </c>
      <c r="K267" s="48" t="str">
        <f t="shared" si="34"/>
        <v/>
      </c>
      <c r="L267" s="49" t="str">
        <f t="shared" si="35"/>
        <v/>
      </c>
      <c r="M267" s="48" t="str">
        <f>IF($B267="","",KT_nguoc_theo_NL!J264)</f>
        <v/>
      </c>
      <c r="N267" s="48" t="str">
        <f>IF($B267="","",KT_nguoc_theo_NL!K264)</f>
        <v/>
      </c>
      <c r="O267" s="48" t="str">
        <f t="shared" si="36"/>
        <v/>
      </c>
      <c r="P267" s="50" t="str">
        <f t="shared" si="37"/>
        <v/>
      </c>
      <c r="Q267" s="49" t="str">
        <f>IF($B267="","",IF(KT_nguoc_theo_NL!N264="Pass","Khớp",IF(KT_nguoc_theo_NL!N264="KXDDM","KXĐM",IF(KT_nguoc_theo_NL!N264="Xem xét","Cảnh báo",""))))</f>
        <v/>
      </c>
      <c r="R267" s="49" t="str">
        <f t="shared" si="38"/>
        <v/>
      </c>
      <c r="S267" s="31" t="str">
        <f t="shared" si="39"/>
        <v/>
      </c>
    </row>
    <row r="268" spans="1:19" x14ac:dyDescent="0.25">
      <c r="A268" s="36" t="str">
        <f>IF(B268="","",261)</f>
        <v/>
      </c>
      <c r="B268" s="36" t="str">
        <f>'Mau15'!B271&amp;""</f>
        <v/>
      </c>
      <c r="C268" s="47" t="str">
        <f>IF(B268="","",'Mau15'!C271)</f>
        <v/>
      </c>
      <c r="D268" s="36" t="str">
        <f>IF(B268="","",'Mau15'!D271)</f>
        <v/>
      </c>
      <c r="E268" s="48" t="str">
        <f>IF($B268="","",'Mau15'!P271)</f>
        <v/>
      </c>
      <c r="F268" s="48" t="str">
        <f>IF($B268="","",'Mau15'!F271)</f>
        <v/>
      </c>
      <c r="G268" s="48" t="str">
        <f t="shared" si="32"/>
        <v/>
      </c>
      <c r="H268" s="49" t="str">
        <f t="shared" si="33"/>
        <v/>
      </c>
      <c r="I268" s="48" t="str">
        <f>IF($B268="","",'Mau15'!K271)</f>
        <v/>
      </c>
      <c r="J268" s="48" t="str">
        <f>IF($B268="","",'Mau15'!M271)</f>
        <v/>
      </c>
      <c r="K268" s="48" t="str">
        <f t="shared" si="34"/>
        <v/>
      </c>
      <c r="L268" s="49" t="str">
        <f t="shared" si="35"/>
        <v/>
      </c>
      <c r="M268" s="48" t="str">
        <f>IF($B268="","",KT_nguoc_theo_NL!J265)</f>
        <v/>
      </c>
      <c r="N268" s="48" t="str">
        <f>IF($B268="","",KT_nguoc_theo_NL!K265)</f>
        <v/>
      </c>
      <c r="O268" s="48" t="str">
        <f t="shared" si="36"/>
        <v/>
      </c>
      <c r="P268" s="50" t="str">
        <f t="shared" si="37"/>
        <v/>
      </c>
      <c r="Q268" s="49" t="str">
        <f>IF($B268="","",IF(KT_nguoc_theo_NL!N265="Pass","Khớp",IF(KT_nguoc_theo_NL!N265="KXDDM","KXĐM",IF(KT_nguoc_theo_NL!N265="Xem xét","Cảnh báo",""))))</f>
        <v/>
      </c>
      <c r="R268" s="49" t="str">
        <f t="shared" si="38"/>
        <v/>
      </c>
      <c r="S268" s="31" t="str">
        <f t="shared" si="39"/>
        <v/>
      </c>
    </row>
    <row r="269" spans="1:19" x14ac:dyDescent="0.25">
      <c r="A269" s="36" t="str">
        <f>IF(B269="","",262)</f>
        <v/>
      </c>
      <c r="B269" s="36" t="str">
        <f>'Mau15'!B272&amp;""</f>
        <v/>
      </c>
      <c r="C269" s="47" t="str">
        <f>IF(B269="","",'Mau15'!C272)</f>
        <v/>
      </c>
      <c r="D269" s="36" t="str">
        <f>IF(B269="","",'Mau15'!D272)</f>
        <v/>
      </c>
      <c r="E269" s="48" t="str">
        <f>IF($B269="","",'Mau15'!P272)</f>
        <v/>
      </c>
      <c r="F269" s="48" t="str">
        <f>IF($B269="","",'Mau15'!F272)</f>
        <v/>
      </c>
      <c r="G269" s="48" t="str">
        <f t="shared" si="32"/>
        <v/>
      </c>
      <c r="H269" s="49" t="str">
        <f t="shared" si="33"/>
        <v/>
      </c>
      <c r="I269" s="48" t="str">
        <f>IF($B269="","",'Mau15'!K272)</f>
        <v/>
      </c>
      <c r="J269" s="48" t="str">
        <f>IF($B269="","",'Mau15'!M272)</f>
        <v/>
      </c>
      <c r="K269" s="48" t="str">
        <f t="shared" si="34"/>
        <v/>
      </c>
      <c r="L269" s="49" t="str">
        <f t="shared" si="35"/>
        <v/>
      </c>
      <c r="M269" s="48" t="str">
        <f>IF($B269="","",KT_nguoc_theo_NL!J266)</f>
        <v/>
      </c>
      <c r="N269" s="48" t="str">
        <f>IF($B269="","",KT_nguoc_theo_NL!K266)</f>
        <v/>
      </c>
      <c r="O269" s="48" t="str">
        <f t="shared" si="36"/>
        <v/>
      </c>
      <c r="P269" s="50" t="str">
        <f t="shared" si="37"/>
        <v/>
      </c>
      <c r="Q269" s="49" t="str">
        <f>IF($B269="","",IF(KT_nguoc_theo_NL!N266="Pass","Khớp",IF(KT_nguoc_theo_NL!N266="KXDDM","KXĐM",IF(KT_nguoc_theo_NL!N266="Xem xét","Cảnh báo",""))))</f>
        <v/>
      </c>
      <c r="R269" s="49" t="str">
        <f t="shared" si="38"/>
        <v/>
      </c>
      <c r="S269" s="31" t="str">
        <f t="shared" si="39"/>
        <v/>
      </c>
    </row>
    <row r="270" spans="1:19" x14ac:dyDescent="0.25">
      <c r="A270" s="36" t="str">
        <f>IF(B270="","",263)</f>
        <v/>
      </c>
      <c r="B270" s="36" t="str">
        <f>'Mau15'!B273&amp;""</f>
        <v/>
      </c>
      <c r="C270" s="47" t="str">
        <f>IF(B270="","",'Mau15'!C273)</f>
        <v/>
      </c>
      <c r="D270" s="36" t="str">
        <f>IF(B270="","",'Mau15'!D273)</f>
        <v/>
      </c>
      <c r="E270" s="48" t="str">
        <f>IF($B270="","",'Mau15'!P273)</f>
        <v/>
      </c>
      <c r="F270" s="48" t="str">
        <f>IF($B270="","",'Mau15'!F273)</f>
        <v/>
      </c>
      <c r="G270" s="48" t="str">
        <f t="shared" si="32"/>
        <v/>
      </c>
      <c r="H270" s="49" t="str">
        <f t="shared" si="33"/>
        <v/>
      </c>
      <c r="I270" s="48" t="str">
        <f>IF($B270="","",'Mau15'!K273)</f>
        <v/>
      </c>
      <c r="J270" s="48" t="str">
        <f>IF($B270="","",'Mau15'!M273)</f>
        <v/>
      </c>
      <c r="K270" s="48" t="str">
        <f t="shared" si="34"/>
        <v/>
      </c>
      <c r="L270" s="49" t="str">
        <f t="shared" si="35"/>
        <v/>
      </c>
      <c r="M270" s="48" t="str">
        <f>IF($B270="","",KT_nguoc_theo_NL!J267)</f>
        <v/>
      </c>
      <c r="N270" s="48" t="str">
        <f>IF($B270="","",KT_nguoc_theo_NL!K267)</f>
        <v/>
      </c>
      <c r="O270" s="48" t="str">
        <f t="shared" si="36"/>
        <v/>
      </c>
      <c r="P270" s="50" t="str">
        <f t="shared" si="37"/>
        <v/>
      </c>
      <c r="Q270" s="49" t="str">
        <f>IF($B270="","",IF(KT_nguoc_theo_NL!N267="Pass","Khớp",IF(KT_nguoc_theo_NL!N267="KXDDM","KXĐM",IF(KT_nguoc_theo_NL!N267="Xem xét","Cảnh báo",""))))</f>
        <v/>
      </c>
      <c r="R270" s="49" t="str">
        <f t="shared" si="38"/>
        <v/>
      </c>
      <c r="S270" s="31" t="str">
        <f t="shared" si="39"/>
        <v/>
      </c>
    </row>
    <row r="271" spans="1:19" x14ac:dyDescent="0.25">
      <c r="A271" s="36" t="str">
        <f>IF(B271="","",264)</f>
        <v/>
      </c>
      <c r="B271" s="36" t="str">
        <f>'Mau15'!B274&amp;""</f>
        <v/>
      </c>
      <c r="C271" s="47" t="str">
        <f>IF(B271="","",'Mau15'!C274)</f>
        <v/>
      </c>
      <c r="D271" s="36" t="str">
        <f>IF(B271="","",'Mau15'!D274)</f>
        <v/>
      </c>
      <c r="E271" s="48" t="str">
        <f>IF($B271="","",'Mau15'!P274)</f>
        <v/>
      </c>
      <c r="F271" s="48" t="str">
        <f>IF($B271="","",'Mau15'!F274)</f>
        <v/>
      </c>
      <c r="G271" s="48" t="str">
        <f t="shared" si="32"/>
        <v/>
      </c>
      <c r="H271" s="49" t="str">
        <f t="shared" si="33"/>
        <v/>
      </c>
      <c r="I271" s="48" t="str">
        <f>IF($B271="","",'Mau15'!K274)</f>
        <v/>
      </c>
      <c r="J271" s="48" t="str">
        <f>IF($B271="","",'Mau15'!M274)</f>
        <v/>
      </c>
      <c r="K271" s="48" t="str">
        <f t="shared" si="34"/>
        <v/>
      </c>
      <c r="L271" s="49" t="str">
        <f t="shared" si="35"/>
        <v/>
      </c>
      <c r="M271" s="48" t="str">
        <f>IF($B271="","",KT_nguoc_theo_NL!J268)</f>
        <v/>
      </c>
      <c r="N271" s="48" t="str">
        <f>IF($B271="","",KT_nguoc_theo_NL!K268)</f>
        <v/>
      </c>
      <c r="O271" s="48" t="str">
        <f t="shared" si="36"/>
        <v/>
      </c>
      <c r="P271" s="50" t="str">
        <f t="shared" si="37"/>
        <v/>
      </c>
      <c r="Q271" s="49" t="str">
        <f>IF($B271="","",IF(KT_nguoc_theo_NL!N268="Pass","Khớp",IF(KT_nguoc_theo_NL!N268="KXDDM","KXĐM",IF(KT_nguoc_theo_NL!N268="Xem xét","Cảnh báo",""))))</f>
        <v/>
      </c>
      <c r="R271" s="49" t="str">
        <f t="shared" si="38"/>
        <v/>
      </c>
      <c r="S271" s="31" t="str">
        <f t="shared" si="39"/>
        <v/>
      </c>
    </row>
    <row r="272" spans="1:19" x14ac:dyDescent="0.25">
      <c r="A272" s="36" t="str">
        <f>IF(B272="","",265)</f>
        <v/>
      </c>
      <c r="B272" s="36" t="str">
        <f>'Mau15'!B275&amp;""</f>
        <v/>
      </c>
      <c r="C272" s="47" t="str">
        <f>IF(B272="","",'Mau15'!C275)</f>
        <v/>
      </c>
      <c r="D272" s="36" t="str">
        <f>IF(B272="","",'Mau15'!D275)</f>
        <v/>
      </c>
      <c r="E272" s="48" t="str">
        <f>IF($B272="","",'Mau15'!P275)</f>
        <v/>
      </c>
      <c r="F272" s="48" t="str">
        <f>IF($B272="","",'Mau15'!F275)</f>
        <v/>
      </c>
      <c r="G272" s="48" t="str">
        <f t="shared" si="32"/>
        <v/>
      </c>
      <c r="H272" s="49" t="str">
        <f t="shared" si="33"/>
        <v/>
      </c>
      <c r="I272" s="48" t="str">
        <f>IF($B272="","",'Mau15'!K275)</f>
        <v/>
      </c>
      <c r="J272" s="48" t="str">
        <f>IF($B272="","",'Mau15'!M275)</f>
        <v/>
      </c>
      <c r="K272" s="48" t="str">
        <f t="shared" si="34"/>
        <v/>
      </c>
      <c r="L272" s="49" t="str">
        <f t="shared" si="35"/>
        <v/>
      </c>
      <c r="M272" s="48" t="str">
        <f>IF($B272="","",KT_nguoc_theo_NL!J269)</f>
        <v/>
      </c>
      <c r="N272" s="48" t="str">
        <f>IF($B272="","",KT_nguoc_theo_NL!K269)</f>
        <v/>
      </c>
      <c r="O272" s="48" t="str">
        <f t="shared" si="36"/>
        <v/>
      </c>
      <c r="P272" s="50" t="str">
        <f t="shared" si="37"/>
        <v/>
      </c>
      <c r="Q272" s="49" t="str">
        <f>IF($B272="","",IF(KT_nguoc_theo_NL!N269="Pass","Khớp",IF(KT_nguoc_theo_NL!N269="KXDDM","KXĐM",IF(KT_nguoc_theo_NL!N269="Xem xét","Cảnh báo",""))))</f>
        <v/>
      </c>
      <c r="R272" s="49" t="str">
        <f t="shared" si="38"/>
        <v/>
      </c>
      <c r="S272" s="31" t="str">
        <f t="shared" si="39"/>
        <v/>
      </c>
    </row>
    <row r="273" spans="1:19" x14ac:dyDescent="0.25">
      <c r="A273" s="36" t="str">
        <f>IF(B273="","",266)</f>
        <v/>
      </c>
      <c r="B273" s="36" t="str">
        <f>'Mau15'!B276&amp;""</f>
        <v/>
      </c>
      <c r="C273" s="47" t="str">
        <f>IF(B273="","",'Mau15'!C276)</f>
        <v/>
      </c>
      <c r="D273" s="36" t="str">
        <f>IF(B273="","",'Mau15'!D276)</f>
        <v/>
      </c>
      <c r="E273" s="48" t="str">
        <f>IF($B273="","",'Mau15'!P276)</f>
        <v/>
      </c>
      <c r="F273" s="48" t="str">
        <f>IF($B273="","",'Mau15'!F276)</f>
        <v/>
      </c>
      <c r="G273" s="48" t="str">
        <f t="shared" si="32"/>
        <v/>
      </c>
      <c r="H273" s="49" t="str">
        <f t="shared" si="33"/>
        <v/>
      </c>
      <c r="I273" s="48" t="str">
        <f>IF($B273="","",'Mau15'!K276)</f>
        <v/>
      </c>
      <c r="J273" s="48" t="str">
        <f>IF($B273="","",'Mau15'!M276)</f>
        <v/>
      </c>
      <c r="K273" s="48" t="str">
        <f t="shared" si="34"/>
        <v/>
      </c>
      <c r="L273" s="49" t="str">
        <f t="shared" si="35"/>
        <v/>
      </c>
      <c r="M273" s="48" t="str">
        <f>IF($B273="","",KT_nguoc_theo_NL!J270)</f>
        <v/>
      </c>
      <c r="N273" s="48" t="str">
        <f>IF($B273="","",KT_nguoc_theo_NL!K270)</f>
        <v/>
      </c>
      <c r="O273" s="48" t="str">
        <f t="shared" si="36"/>
        <v/>
      </c>
      <c r="P273" s="50" t="str">
        <f t="shared" si="37"/>
        <v/>
      </c>
      <c r="Q273" s="49" t="str">
        <f>IF($B273="","",IF(KT_nguoc_theo_NL!N270="Pass","Khớp",IF(KT_nguoc_theo_NL!N270="KXDDM","KXĐM",IF(KT_nguoc_theo_NL!N270="Xem xét","Cảnh báo",""))))</f>
        <v/>
      </c>
      <c r="R273" s="49" t="str">
        <f t="shared" si="38"/>
        <v/>
      </c>
      <c r="S273" s="31" t="str">
        <f t="shared" si="39"/>
        <v/>
      </c>
    </row>
    <row r="274" spans="1:19" x14ac:dyDescent="0.25">
      <c r="A274" s="36" t="str">
        <f>IF(B274="","",267)</f>
        <v/>
      </c>
      <c r="B274" s="36" t="str">
        <f>'Mau15'!B277&amp;""</f>
        <v/>
      </c>
      <c r="C274" s="47" t="str">
        <f>IF(B274="","",'Mau15'!C277)</f>
        <v/>
      </c>
      <c r="D274" s="36" t="str">
        <f>IF(B274="","",'Mau15'!D277)</f>
        <v/>
      </c>
      <c r="E274" s="48" t="str">
        <f>IF($B274="","",'Mau15'!P277)</f>
        <v/>
      </c>
      <c r="F274" s="48" t="str">
        <f>IF($B274="","",'Mau15'!F277)</f>
        <v/>
      </c>
      <c r="G274" s="48" t="str">
        <f t="shared" si="32"/>
        <v/>
      </c>
      <c r="H274" s="49" t="str">
        <f t="shared" si="33"/>
        <v/>
      </c>
      <c r="I274" s="48" t="str">
        <f>IF($B274="","",'Mau15'!K277)</f>
        <v/>
      </c>
      <c r="J274" s="48" t="str">
        <f>IF($B274="","",'Mau15'!M277)</f>
        <v/>
      </c>
      <c r="K274" s="48" t="str">
        <f t="shared" si="34"/>
        <v/>
      </c>
      <c r="L274" s="49" t="str">
        <f t="shared" si="35"/>
        <v/>
      </c>
      <c r="M274" s="48" t="str">
        <f>IF($B274="","",KT_nguoc_theo_NL!J271)</f>
        <v/>
      </c>
      <c r="N274" s="48" t="str">
        <f>IF($B274="","",KT_nguoc_theo_NL!K271)</f>
        <v/>
      </c>
      <c r="O274" s="48" t="str">
        <f t="shared" si="36"/>
        <v/>
      </c>
      <c r="P274" s="50" t="str">
        <f t="shared" si="37"/>
        <v/>
      </c>
      <c r="Q274" s="49" t="str">
        <f>IF($B274="","",IF(KT_nguoc_theo_NL!N271="Pass","Khớp",IF(KT_nguoc_theo_NL!N271="KXDDM","KXĐM",IF(KT_nguoc_theo_NL!N271="Xem xét","Cảnh báo",""))))</f>
        <v/>
      </c>
      <c r="R274" s="49" t="str">
        <f t="shared" si="38"/>
        <v/>
      </c>
      <c r="S274" s="31" t="str">
        <f t="shared" si="39"/>
        <v/>
      </c>
    </row>
    <row r="275" spans="1:19" x14ac:dyDescent="0.25">
      <c r="A275" s="36" t="str">
        <f>IF(B275="","",268)</f>
        <v/>
      </c>
      <c r="B275" s="36" t="str">
        <f>'Mau15'!B278&amp;""</f>
        <v/>
      </c>
      <c r="C275" s="47" t="str">
        <f>IF(B275="","",'Mau15'!C278)</f>
        <v/>
      </c>
      <c r="D275" s="36" t="str">
        <f>IF(B275="","",'Mau15'!D278)</f>
        <v/>
      </c>
      <c r="E275" s="48" t="str">
        <f>IF($B275="","",'Mau15'!P278)</f>
        <v/>
      </c>
      <c r="F275" s="48" t="str">
        <f>IF($B275="","",'Mau15'!F278)</f>
        <v/>
      </c>
      <c r="G275" s="48" t="str">
        <f t="shared" si="32"/>
        <v/>
      </c>
      <c r="H275" s="49" t="str">
        <f t="shared" si="33"/>
        <v/>
      </c>
      <c r="I275" s="48" t="str">
        <f>IF($B275="","",'Mau15'!K278)</f>
        <v/>
      </c>
      <c r="J275" s="48" t="str">
        <f>IF($B275="","",'Mau15'!M278)</f>
        <v/>
      </c>
      <c r="K275" s="48" t="str">
        <f t="shared" si="34"/>
        <v/>
      </c>
      <c r="L275" s="49" t="str">
        <f t="shared" si="35"/>
        <v/>
      </c>
      <c r="M275" s="48" t="str">
        <f>IF($B275="","",KT_nguoc_theo_NL!J272)</f>
        <v/>
      </c>
      <c r="N275" s="48" t="str">
        <f>IF($B275="","",KT_nguoc_theo_NL!K272)</f>
        <v/>
      </c>
      <c r="O275" s="48" t="str">
        <f t="shared" si="36"/>
        <v/>
      </c>
      <c r="P275" s="50" t="str">
        <f t="shared" si="37"/>
        <v/>
      </c>
      <c r="Q275" s="49" t="str">
        <f>IF($B275="","",IF(KT_nguoc_theo_NL!N272="Pass","Khớp",IF(KT_nguoc_theo_NL!N272="KXDDM","KXĐM",IF(KT_nguoc_theo_NL!N272="Xem xét","Cảnh báo",""))))</f>
        <v/>
      </c>
      <c r="R275" s="49" t="str">
        <f t="shared" si="38"/>
        <v/>
      </c>
      <c r="S275" s="31" t="str">
        <f t="shared" si="39"/>
        <v/>
      </c>
    </row>
    <row r="276" spans="1:19" x14ac:dyDescent="0.25">
      <c r="A276" s="36" t="str">
        <f>IF(B276="","",269)</f>
        <v/>
      </c>
      <c r="B276" s="36" t="str">
        <f>'Mau15'!B279&amp;""</f>
        <v/>
      </c>
      <c r="C276" s="47" t="str">
        <f>IF(B276="","",'Mau15'!C279)</f>
        <v/>
      </c>
      <c r="D276" s="36" t="str">
        <f>IF(B276="","",'Mau15'!D279)</f>
        <v/>
      </c>
      <c r="E276" s="48" t="str">
        <f>IF($B276="","",'Mau15'!P279)</f>
        <v/>
      </c>
      <c r="F276" s="48" t="str">
        <f>IF($B276="","",'Mau15'!F279)</f>
        <v/>
      </c>
      <c r="G276" s="48" t="str">
        <f t="shared" si="32"/>
        <v/>
      </c>
      <c r="H276" s="49" t="str">
        <f t="shared" si="33"/>
        <v/>
      </c>
      <c r="I276" s="48" t="str">
        <f>IF($B276="","",'Mau15'!K279)</f>
        <v/>
      </c>
      <c r="J276" s="48" t="str">
        <f>IF($B276="","",'Mau15'!M279)</f>
        <v/>
      </c>
      <c r="K276" s="48" t="str">
        <f t="shared" si="34"/>
        <v/>
      </c>
      <c r="L276" s="49" t="str">
        <f t="shared" si="35"/>
        <v/>
      </c>
      <c r="M276" s="48" t="str">
        <f>IF($B276="","",KT_nguoc_theo_NL!J273)</f>
        <v/>
      </c>
      <c r="N276" s="48" t="str">
        <f>IF($B276="","",KT_nguoc_theo_NL!K273)</f>
        <v/>
      </c>
      <c r="O276" s="48" t="str">
        <f t="shared" si="36"/>
        <v/>
      </c>
      <c r="P276" s="50" t="str">
        <f t="shared" si="37"/>
        <v/>
      </c>
      <c r="Q276" s="49" t="str">
        <f>IF($B276="","",IF(KT_nguoc_theo_NL!N273="Pass","Khớp",IF(KT_nguoc_theo_NL!N273="KXDDM","KXĐM",IF(KT_nguoc_theo_NL!N273="Xem xét","Cảnh báo",""))))</f>
        <v/>
      </c>
      <c r="R276" s="49" t="str">
        <f t="shared" si="38"/>
        <v/>
      </c>
      <c r="S276" s="31" t="str">
        <f t="shared" si="39"/>
        <v/>
      </c>
    </row>
    <row r="277" spans="1:19" x14ac:dyDescent="0.25">
      <c r="A277" s="36" t="str">
        <f>IF(B277="","",270)</f>
        <v/>
      </c>
      <c r="B277" s="36" t="str">
        <f>'Mau15'!B280&amp;""</f>
        <v/>
      </c>
      <c r="C277" s="47" t="str">
        <f>IF(B277="","",'Mau15'!C280)</f>
        <v/>
      </c>
      <c r="D277" s="36" t="str">
        <f>IF(B277="","",'Mau15'!D280)</f>
        <v/>
      </c>
      <c r="E277" s="48" t="str">
        <f>IF($B277="","",'Mau15'!P280)</f>
        <v/>
      </c>
      <c r="F277" s="48" t="str">
        <f>IF($B277="","",'Mau15'!F280)</f>
        <v/>
      </c>
      <c r="G277" s="48" t="str">
        <f t="shared" si="32"/>
        <v/>
      </c>
      <c r="H277" s="49" t="str">
        <f t="shared" si="33"/>
        <v/>
      </c>
      <c r="I277" s="48" t="str">
        <f>IF($B277="","",'Mau15'!K280)</f>
        <v/>
      </c>
      <c r="J277" s="48" t="str">
        <f>IF($B277="","",'Mau15'!M280)</f>
        <v/>
      </c>
      <c r="K277" s="48" t="str">
        <f t="shared" si="34"/>
        <v/>
      </c>
      <c r="L277" s="49" t="str">
        <f t="shared" si="35"/>
        <v/>
      </c>
      <c r="M277" s="48" t="str">
        <f>IF($B277="","",KT_nguoc_theo_NL!J274)</f>
        <v/>
      </c>
      <c r="N277" s="48" t="str">
        <f>IF($B277="","",KT_nguoc_theo_NL!K274)</f>
        <v/>
      </c>
      <c r="O277" s="48" t="str">
        <f t="shared" si="36"/>
        <v/>
      </c>
      <c r="P277" s="50" t="str">
        <f t="shared" si="37"/>
        <v/>
      </c>
      <c r="Q277" s="49" t="str">
        <f>IF($B277="","",IF(KT_nguoc_theo_NL!N274="Pass","Khớp",IF(KT_nguoc_theo_NL!N274="KXDDM","KXĐM",IF(KT_nguoc_theo_NL!N274="Xem xét","Cảnh báo",""))))</f>
        <v/>
      </c>
      <c r="R277" s="49" t="str">
        <f t="shared" si="38"/>
        <v/>
      </c>
      <c r="S277" s="31" t="str">
        <f t="shared" si="39"/>
        <v/>
      </c>
    </row>
    <row r="278" spans="1:19" x14ac:dyDescent="0.25">
      <c r="A278" s="36" t="str">
        <f>IF(B278="","",271)</f>
        <v/>
      </c>
      <c r="B278" s="36" t="str">
        <f>'Mau15'!B281&amp;""</f>
        <v/>
      </c>
      <c r="C278" s="47" t="str">
        <f>IF(B278="","",'Mau15'!C281)</f>
        <v/>
      </c>
      <c r="D278" s="36" t="str">
        <f>IF(B278="","",'Mau15'!D281)</f>
        <v/>
      </c>
      <c r="E278" s="48" t="str">
        <f>IF($B278="","",'Mau15'!P281)</f>
        <v/>
      </c>
      <c r="F278" s="48" t="str">
        <f>IF($B278="","",'Mau15'!F281)</f>
        <v/>
      </c>
      <c r="G278" s="48" t="str">
        <f t="shared" si="32"/>
        <v/>
      </c>
      <c r="H278" s="49" t="str">
        <f t="shared" si="33"/>
        <v/>
      </c>
      <c r="I278" s="48" t="str">
        <f>IF($B278="","",'Mau15'!K281)</f>
        <v/>
      </c>
      <c r="J278" s="48" t="str">
        <f>IF($B278="","",'Mau15'!M281)</f>
        <v/>
      </c>
      <c r="K278" s="48" t="str">
        <f t="shared" si="34"/>
        <v/>
      </c>
      <c r="L278" s="49" t="str">
        <f t="shared" si="35"/>
        <v/>
      </c>
      <c r="M278" s="48" t="str">
        <f>IF($B278="","",KT_nguoc_theo_NL!J275)</f>
        <v/>
      </c>
      <c r="N278" s="48" t="str">
        <f>IF($B278="","",KT_nguoc_theo_NL!K275)</f>
        <v/>
      </c>
      <c r="O278" s="48" t="str">
        <f t="shared" si="36"/>
        <v/>
      </c>
      <c r="P278" s="50" t="str">
        <f t="shared" si="37"/>
        <v/>
      </c>
      <c r="Q278" s="49" t="str">
        <f>IF($B278="","",IF(KT_nguoc_theo_NL!N275="Pass","Khớp",IF(KT_nguoc_theo_NL!N275="KXDDM","KXĐM",IF(KT_nguoc_theo_NL!N275="Xem xét","Cảnh báo",""))))</f>
        <v/>
      </c>
      <c r="R278" s="49" t="str">
        <f t="shared" si="38"/>
        <v/>
      </c>
      <c r="S278" s="31" t="str">
        <f t="shared" si="39"/>
        <v/>
      </c>
    </row>
    <row r="279" spans="1:19" x14ac:dyDescent="0.25">
      <c r="A279" s="36" t="str">
        <f>IF(B279="","",272)</f>
        <v/>
      </c>
      <c r="B279" s="36" t="str">
        <f>'Mau15'!B282&amp;""</f>
        <v/>
      </c>
      <c r="C279" s="47" t="str">
        <f>IF(B279="","",'Mau15'!C282)</f>
        <v/>
      </c>
      <c r="D279" s="36" t="str">
        <f>IF(B279="","",'Mau15'!D282)</f>
        <v/>
      </c>
      <c r="E279" s="48" t="str">
        <f>IF($B279="","",'Mau15'!P282)</f>
        <v/>
      </c>
      <c r="F279" s="48" t="str">
        <f>IF($B279="","",'Mau15'!F282)</f>
        <v/>
      </c>
      <c r="G279" s="48" t="str">
        <f t="shared" si="32"/>
        <v/>
      </c>
      <c r="H279" s="49" t="str">
        <f t="shared" si="33"/>
        <v/>
      </c>
      <c r="I279" s="48" t="str">
        <f>IF($B279="","",'Mau15'!K282)</f>
        <v/>
      </c>
      <c r="J279" s="48" t="str">
        <f>IF($B279="","",'Mau15'!M282)</f>
        <v/>
      </c>
      <c r="K279" s="48" t="str">
        <f t="shared" si="34"/>
        <v/>
      </c>
      <c r="L279" s="49" t="str">
        <f t="shared" si="35"/>
        <v/>
      </c>
      <c r="M279" s="48" t="str">
        <f>IF($B279="","",KT_nguoc_theo_NL!J276)</f>
        <v/>
      </c>
      <c r="N279" s="48" t="str">
        <f>IF($B279="","",KT_nguoc_theo_NL!K276)</f>
        <v/>
      </c>
      <c r="O279" s="48" t="str">
        <f t="shared" si="36"/>
        <v/>
      </c>
      <c r="P279" s="50" t="str">
        <f t="shared" si="37"/>
        <v/>
      </c>
      <c r="Q279" s="49" t="str">
        <f>IF($B279="","",IF(KT_nguoc_theo_NL!N276="Pass","Khớp",IF(KT_nguoc_theo_NL!N276="KXDDM","KXĐM",IF(KT_nguoc_theo_NL!N276="Xem xét","Cảnh báo",""))))</f>
        <v/>
      </c>
      <c r="R279" s="49" t="str">
        <f t="shared" si="38"/>
        <v/>
      </c>
      <c r="S279" s="31" t="str">
        <f t="shared" si="39"/>
        <v/>
      </c>
    </row>
    <row r="280" spans="1:19" x14ac:dyDescent="0.25">
      <c r="A280" s="36" t="str">
        <f>IF(B280="","",273)</f>
        <v/>
      </c>
      <c r="B280" s="36" t="str">
        <f>'Mau15'!B283&amp;""</f>
        <v/>
      </c>
      <c r="C280" s="47" t="str">
        <f>IF(B280="","",'Mau15'!C283)</f>
        <v/>
      </c>
      <c r="D280" s="36" t="str">
        <f>IF(B280="","",'Mau15'!D283)</f>
        <v/>
      </c>
      <c r="E280" s="48" t="str">
        <f>IF($B280="","",'Mau15'!P283)</f>
        <v/>
      </c>
      <c r="F280" s="48" t="str">
        <f>IF($B280="","",'Mau15'!F283)</f>
        <v/>
      </c>
      <c r="G280" s="48" t="str">
        <f t="shared" si="32"/>
        <v/>
      </c>
      <c r="H280" s="49" t="str">
        <f t="shared" si="33"/>
        <v/>
      </c>
      <c r="I280" s="48" t="str">
        <f>IF($B280="","",'Mau15'!K283)</f>
        <v/>
      </c>
      <c r="J280" s="48" t="str">
        <f>IF($B280="","",'Mau15'!M283)</f>
        <v/>
      </c>
      <c r="K280" s="48" t="str">
        <f t="shared" si="34"/>
        <v/>
      </c>
      <c r="L280" s="49" t="str">
        <f t="shared" si="35"/>
        <v/>
      </c>
      <c r="M280" s="48" t="str">
        <f>IF($B280="","",KT_nguoc_theo_NL!J277)</f>
        <v/>
      </c>
      <c r="N280" s="48" t="str">
        <f>IF($B280="","",KT_nguoc_theo_NL!K277)</f>
        <v/>
      </c>
      <c r="O280" s="48" t="str">
        <f t="shared" si="36"/>
        <v/>
      </c>
      <c r="P280" s="50" t="str">
        <f t="shared" si="37"/>
        <v/>
      </c>
      <c r="Q280" s="49" t="str">
        <f>IF($B280="","",IF(KT_nguoc_theo_NL!N277="Pass","Khớp",IF(KT_nguoc_theo_NL!N277="KXDDM","KXĐM",IF(KT_nguoc_theo_NL!N277="Xem xét","Cảnh báo",""))))</f>
        <v/>
      </c>
      <c r="R280" s="49" t="str">
        <f t="shared" si="38"/>
        <v/>
      </c>
      <c r="S280" s="31" t="str">
        <f t="shared" si="39"/>
        <v/>
      </c>
    </row>
    <row r="281" spans="1:19" x14ac:dyDescent="0.25">
      <c r="A281" s="36" t="str">
        <f>IF(B281="","",274)</f>
        <v/>
      </c>
      <c r="B281" s="36" t="str">
        <f>'Mau15'!B284&amp;""</f>
        <v/>
      </c>
      <c r="C281" s="47" t="str">
        <f>IF(B281="","",'Mau15'!C284)</f>
        <v/>
      </c>
      <c r="D281" s="36" t="str">
        <f>IF(B281="","",'Mau15'!D284)</f>
        <v/>
      </c>
      <c r="E281" s="48" t="str">
        <f>IF($B281="","",'Mau15'!P284)</f>
        <v/>
      </c>
      <c r="F281" s="48" t="str">
        <f>IF($B281="","",'Mau15'!F284)</f>
        <v/>
      </c>
      <c r="G281" s="48" t="str">
        <f t="shared" si="32"/>
        <v/>
      </c>
      <c r="H281" s="49" t="str">
        <f t="shared" si="33"/>
        <v/>
      </c>
      <c r="I281" s="48" t="str">
        <f>IF($B281="","",'Mau15'!K284)</f>
        <v/>
      </c>
      <c r="J281" s="48" t="str">
        <f>IF($B281="","",'Mau15'!M284)</f>
        <v/>
      </c>
      <c r="K281" s="48" t="str">
        <f t="shared" si="34"/>
        <v/>
      </c>
      <c r="L281" s="49" t="str">
        <f t="shared" si="35"/>
        <v/>
      </c>
      <c r="M281" s="48" t="str">
        <f>IF($B281="","",KT_nguoc_theo_NL!J278)</f>
        <v/>
      </c>
      <c r="N281" s="48" t="str">
        <f>IF($B281="","",KT_nguoc_theo_NL!K278)</f>
        <v/>
      </c>
      <c r="O281" s="48" t="str">
        <f t="shared" si="36"/>
        <v/>
      </c>
      <c r="P281" s="50" t="str">
        <f t="shared" si="37"/>
        <v/>
      </c>
      <c r="Q281" s="49" t="str">
        <f>IF($B281="","",IF(KT_nguoc_theo_NL!N278="Pass","Khớp",IF(KT_nguoc_theo_NL!N278="KXDDM","KXĐM",IF(KT_nguoc_theo_NL!N278="Xem xét","Cảnh báo",""))))</f>
        <v/>
      </c>
      <c r="R281" s="49" t="str">
        <f t="shared" si="38"/>
        <v/>
      </c>
      <c r="S281" s="31" t="str">
        <f t="shared" si="39"/>
        <v/>
      </c>
    </row>
    <row r="282" spans="1:19" x14ac:dyDescent="0.25">
      <c r="A282" s="36" t="str">
        <f>IF(B282="","",275)</f>
        <v/>
      </c>
      <c r="B282" s="36" t="str">
        <f>'Mau15'!B285&amp;""</f>
        <v/>
      </c>
      <c r="C282" s="47" t="str">
        <f>IF(B282="","",'Mau15'!C285)</f>
        <v/>
      </c>
      <c r="D282" s="36" t="str">
        <f>IF(B282="","",'Mau15'!D285)</f>
        <v/>
      </c>
      <c r="E282" s="48" t="str">
        <f>IF($B282="","",'Mau15'!P285)</f>
        <v/>
      </c>
      <c r="F282" s="48" t="str">
        <f>IF($B282="","",'Mau15'!F285)</f>
        <v/>
      </c>
      <c r="G282" s="48" t="str">
        <f t="shared" si="32"/>
        <v/>
      </c>
      <c r="H282" s="49" t="str">
        <f t="shared" si="33"/>
        <v/>
      </c>
      <c r="I282" s="48" t="str">
        <f>IF($B282="","",'Mau15'!K285)</f>
        <v/>
      </c>
      <c r="J282" s="48" t="str">
        <f>IF($B282="","",'Mau15'!M285)</f>
        <v/>
      </c>
      <c r="K282" s="48" t="str">
        <f t="shared" si="34"/>
        <v/>
      </c>
      <c r="L282" s="49" t="str">
        <f t="shared" si="35"/>
        <v/>
      </c>
      <c r="M282" s="48" t="str">
        <f>IF($B282="","",KT_nguoc_theo_NL!J279)</f>
        <v/>
      </c>
      <c r="N282" s="48" t="str">
        <f>IF($B282="","",KT_nguoc_theo_NL!K279)</f>
        <v/>
      </c>
      <c r="O282" s="48" t="str">
        <f t="shared" si="36"/>
        <v/>
      </c>
      <c r="P282" s="50" t="str">
        <f t="shared" si="37"/>
        <v/>
      </c>
      <c r="Q282" s="49" t="str">
        <f>IF($B282="","",IF(KT_nguoc_theo_NL!N279="Pass","Khớp",IF(KT_nguoc_theo_NL!N279="KXDDM","KXĐM",IF(KT_nguoc_theo_NL!N279="Xem xét","Cảnh báo",""))))</f>
        <v/>
      </c>
      <c r="R282" s="49" t="str">
        <f t="shared" si="38"/>
        <v/>
      </c>
      <c r="S282" s="31" t="str">
        <f t="shared" si="39"/>
        <v/>
      </c>
    </row>
    <row r="283" spans="1:19" x14ac:dyDescent="0.25">
      <c r="A283" s="36" t="str">
        <f>IF(B283="","",276)</f>
        <v/>
      </c>
      <c r="B283" s="36" t="str">
        <f>'Mau15'!B286&amp;""</f>
        <v/>
      </c>
      <c r="C283" s="47" t="str">
        <f>IF(B283="","",'Mau15'!C286)</f>
        <v/>
      </c>
      <c r="D283" s="36" t="str">
        <f>IF(B283="","",'Mau15'!D286)</f>
        <v/>
      </c>
      <c r="E283" s="48" t="str">
        <f>IF($B283="","",'Mau15'!P286)</f>
        <v/>
      </c>
      <c r="F283" s="48" t="str">
        <f>IF($B283="","",'Mau15'!F286)</f>
        <v/>
      </c>
      <c r="G283" s="48" t="str">
        <f t="shared" si="32"/>
        <v/>
      </c>
      <c r="H283" s="49" t="str">
        <f t="shared" si="33"/>
        <v/>
      </c>
      <c r="I283" s="48" t="str">
        <f>IF($B283="","",'Mau15'!K286)</f>
        <v/>
      </c>
      <c r="J283" s="48" t="str">
        <f>IF($B283="","",'Mau15'!M286)</f>
        <v/>
      </c>
      <c r="K283" s="48" t="str">
        <f t="shared" si="34"/>
        <v/>
      </c>
      <c r="L283" s="49" t="str">
        <f t="shared" si="35"/>
        <v/>
      </c>
      <c r="M283" s="48" t="str">
        <f>IF($B283="","",KT_nguoc_theo_NL!J280)</f>
        <v/>
      </c>
      <c r="N283" s="48" t="str">
        <f>IF($B283="","",KT_nguoc_theo_NL!K280)</f>
        <v/>
      </c>
      <c r="O283" s="48" t="str">
        <f t="shared" si="36"/>
        <v/>
      </c>
      <c r="P283" s="50" t="str">
        <f t="shared" si="37"/>
        <v/>
      </c>
      <c r="Q283" s="49" t="str">
        <f>IF($B283="","",IF(KT_nguoc_theo_NL!N280="Pass","Khớp",IF(KT_nguoc_theo_NL!N280="KXDDM","KXĐM",IF(KT_nguoc_theo_NL!N280="Xem xét","Cảnh báo",""))))</f>
        <v/>
      </c>
      <c r="R283" s="49" t="str">
        <f t="shared" si="38"/>
        <v/>
      </c>
      <c r="S283" s="31" t="str">
        <f t="shared" si="39"/>
        <v/>
      </c>
    </row>
    <row r="284" spans="1:19" x14ac:dyDescent="0.25">
      <c r="A284" s="36" t="str">
        <f>IF(B284="","",277)</f>
        <v/>
      </c>
      <c r="B284" s="36" t="str">
        <f>'Mau15'!B287&amp;""</f>
        <v/>
      </c>
      <c r="C284" s="47" t="str">
        <f>IF(B284="","",'Mau15'!C287)</f>
        <v/>
      </c>
      <c r="D284" s="36" t="str">
        <f>IF(B284="","",'Mau15'!D287)</f>
        <v/>
      </c>
      <c r="E284" s="48" t="str">
        <f>IF($B284="","",'Mau15'!P287)</f>
        <v/>
      </c>
      <c r="F284" s="48" t="str">
        <f>IF($B284="","",'Mau15'!F287)</f>
        <v/>
      </c>
      <c r="G284" s="48" t="str">
        <f t="shared" si="32"/>
        <v/>
      </c>
      <c r="H284" s="49" t="str">
        <f t="shared" si="33"/>
        <v/>
      </c>
      <c r="I284" s="48" t="str">
        <f>IF($B284="","",'Mau15'!K287)</f>
        <v/>
      </c>
      <c r="J284" s="48" t="str">
        <f>IF($B284="","",'Mau15'!M287)</f>
        <v/>
      </c>
      <c r="K284" s="48" t="str">
        <f t="shared" si="34"/>
        <v/>
      </c>
      <c r="L284" s="49" t="str">
        <f t="shared" si="35"/>
        <v/>
      </c>
      <c r="M284" s="48" t="str">
        <f>IF($B284="","",KT_nguoc_theo_NL!J281)</f>
        <v/>
      </c>
      <c r="N284" s="48" t="str">
        <f>IF($B284="","",KT_nguoc_theo_NL!K281)</f>
        <v/>
      </c>
      <c r="O284" s="48" t="str">
        <f t="shared" si="36"/>
        <v/>
      </c>
      <c r="P284" s="50" t="str">
        <f t="shared" si="37"/>
        <v/>
      </c>
      <c r="Q284" s="49" t="str">
        <f>IF($B284="","",IF(KT_nguoc_theo_NL!N281="Pass","Khớp",IF(KT_nguoc_theo_NL!N281="KXDDM","KXĐM",IF(KT_nguoc_theo_NL!N281="Xem xét","Cảnh báo",""))))</f>
        <v/>
      </c>
      <c r="R284" s="49" t="str">
        <f t="shared" si="38"/>
        <v/>
      </c>
      <c r="S284" s="31" t="str">
        <f t="shared" si="39"/>
        <v/>
      </c>
    </row>
    <row r="285" spans="1:19" x14ac:dyDescent="0.25">
      <c r="A285" s="36" t="str">
        <f>IF(B285="","",278)</f>
        <v/>
      </c>
      <c r="B285" s="36" t="str">
        <f>'Mau15'!B288&amp;""</f>
        <v/>
      </c>
      <c r="C285" s="47" t="str">
        <f>IF(B285="","",'Mau15'!C288)</f>
        <v/>
      </c>
      <c r="D285" s="36" t="str">
        <f>IF(B285="","",'Mau15'!D288)</f>
        <v/>
      </c>
      <c r="E285" s="48" t="str">
        <f>IF($B285="","",'Mau15'!P288)</f>
        <v/>
      </c>
      <c r="F285" s="48" t="str">
        <f>IF($B285="","",'Mau15'!F288)</f>
        <v/>
      </c>
      <c r="G285" s="48" t="str">
        <f t="shared" si="32"/>
        <v/>
      </c>
      <c r="H285" s="49" t="str">
        <f t="shared" si="33"/>
        <v/>
      </c>
      <c r="I285" s="48" t="str">
        <f>IF($B285="","",'Mau15'!K288)</f>
        <v/>
      </c>
      <c r="J285" s="48" t="str">
        <f>IF($B285="","",'Mau15'!M288)</f>
        <v/>
      </c>
      <c r="K285" s="48" t="str">
        <f t="shared" si="34"/>
        <v/>
      </c>
      <c r="L285" s="49" t="str">
        <f t="shared" si="35"/>
        <v/>
      </c>
      <c r="M285" s="48" t="str">
        <f>IF($B285="","",KT_nguoc_theo_NL!J282)</f>
        <v/>
      </c>
      <c r="N285" s="48" t="str">
        <f>IF($B285="","",KT_nguoc_theo_NL!K282)</f>
        <v/>
      </c>
      <c r="O285" s="48" t="str">
        <f t="shared" si="36"/>
        <v/>
      </c>
      <c r="P285" s="50" t="str">
        <f t="shared" si="37"/>
        <v/>
      </c>
      <c r="Q285" s="49" t="str">
        <f>IF($B285="","",IF(KT_nguoc_theo_NL!N282="Pass","Khớp",IF(KT_nguoc_theo_NL!N282="KXDDM","KXĐM",IF(KT_nguoc_theo_NL!N282="Xem xét","Cảnh báo",""))))</f>
        <v/>
      </c>
      <c r="R285" s="49" t="str">
        <f t="shared" si="38"/>
        <v/>
      </c>
      <c r="S285" s="31" t="str">
        <f t="shared" si="39"/>
        <v/>
      </c>
    </row>
    <row r="286" spans="1:19" x14ac:dyDescent="0.25">
      <c r="A286" s="36" t="str">
        <f>IF(B286="","",279)</f>
        <v/>
      </c>
      <c r="B286" s="36" t="str">
        <f>'Mau15'!B289&amp;""</f>
        <v/>
      </c>
      <c r="C286" s="47" t="str">
        <f>IF(B286="","",'Mau15'!C289)</f>
        <v/>
      </c>
      <c r="D286" s="36" t="str">
        <f>IF(B286="","",'Mau15'!D289)</f>
        <v/>
      </c>
      <c r="E286" s="48" t="str">
        <f>IF($B286="","",'Mau15'!P289)</f>
        <v/>
      </c>
      <c r="F286" s="48" t="str">
        <f>IF($B286="","",'Mau15'!F289)</f>
        <v/>
      </c>
      <c r="G286" s="48" t="str">
        <f t="shared" si="32"/>
        <v/>
      </c>
      <c r="H286" s="49" t="str">
        <f t="shared" si="33"/>
        <v/>
      </c>
      <c r="I286" s="48" t="str">
        <f>IF($B286="","",'Mau15'!K289)</f>
        <v/>
      </c>
      <c r="J286" s="48" t="str">
        <f>IF($B286="","",'Mau15'!M289)</f>
        <v/>
      </c>
      <c r="K286" s="48" t="str">
        <f t="shared" si="34"/>
        <v/>
      </c>
      <c r="L286" s="49" t="str">
        <f t="shared" si="35"/>
        <v/>
      </c>
      <c r="M286" s="48" t="str">
        <f>IF($B286="","",KT_nguoc_theo_NL!J283)</f>
        <v/>
      </c>
      <c r="N286" s="48" t="str">
        <f>IF($B286="","",KT_nguoc_theo_NL!K283)</f>
        <v/>
      </c>
      <c r="O286" s="48" t="str">
        <f t="shared" si="36"/>
        <v/>
      </c>
      <c r="P286" s="50" t="str">
        <f t="shared" si="37"/>
        <v/>
      </c>
      <c r="Q286" s="49" t="str">
        <f>IF($B286="","",IF(KT_nguoc_theo_NL!N283="Pass","Khớp",IF(KT_nguoc_theo_NL!N283="KXDDM","KXĐM",IF(KT_nguoc_theo_NL!N283="Xem xét","Cảnh báo",""))))</f>
        <v/>
      </c>
      <c r="R286" s="49" t="str">
        <f t="shared" si="38"/>
        <v/>
      </c>
      <c r="S286" s="31" t="str">
        <f t="shared" si="39"/>
        <v/>
      </c>
    </row>
    <row r="287" spans="1:19" x14ac:dyDescent="0.25">
      <c r="A287" s="36" t="str">
        <f>IF(B287="","",280)</f>
        <v/>
      </c>
      <c r="B287" s="36" t="str">
        <f>'Mau15'!B290&amp;""</f>
        <v/>
      </c>
      <c r="C287" s="47" t="str">
        <f>IF(B287="","",'Mau15'!C290)</f>
        <v/>
      </c>
      <c r="D287" s="36" t="str">
        <f>IF(B287="","",'Mau15'!D290)</f>
        <v/>
      </c>
      <c r="E287" s="48" t="str">
        <f>IF($B287="","",'Mau15'!P290)</f>
        <v/>
      </c>
      <c r="F287" s="48" t="str">
        <f>IF($B287="","",'Mau15'!F290)</f>
        <v/>
      </c>
      <c r="G287" s="48" t="str">
        <f t="shared" si="32"/>
        <v/>
      </c>
      <c r="H287" s="49" t="str">
        <f t="shared" si="33"/>
        <v/>
      </c>
      <c r="I287" s="48" t="str">
        <f>IF($B287="","",'Mau15'!K290)</f>
        <v/>
      </c>
      <c r="J287" s="48" t="str">
        <f>IF($B287="","",'Mau15'!M290)</f>
        <v/>
      </c>
      <c r="K287" s="48" t="str">
        <f t="shared" si="34"/>
        <v/>
      </c>
      <c r="L287" s="49" t="str">
        <f t="shared" si="35"/>
        <v/>
      </c>
      <c r="M287" s="48" t="str">
        <f>IF($B287="","",KT_nguoc_theo_NL!J284)</f>
        <v/>
      </c>
      <c r="N287" s="48" t="str">
        <f>IF($B287="","",KT_nguoc_theo_NL!K284)</f>
        <v/>
      </c>
      <c r="O287" s="48" t="str">
        <f t="shared" si="36"/>
        <v/>
      </c>
      <c r="P287" s="50" t="str">
        <f t="shared" si="37"/>
        <v/>
      </c>
      <c r="Q287" s="49" t="str">
        <f>IF($B287="","",IF(KT_nguoc_theo_NL!N284="Pass","Khớp",IF(KT_nguoc_theo_NL!N284="KXDDM","KXĐM",IF(KT_nguoc_theo_NL!N284="Xem xét","Cảnh báo",""))))</f>
        <v/>
      </c>
      <c r="R287" s="49" t="str">
        <f t="shared" si="38"/>
        <v/>
      </c>
      <c r="S287" s="31" t="str">
        <f t="shared" si="39"/>
        <v/>
      </c>
    </row>
    <row r="288" spans="1:19" x14ac:dyDescent="0.25">
      <c r="A288" s="36" t="str">
        <f>IF(B288="","",281)</f>
        <v/>
      </c>
      <c r="B288" s="36" t="str">
        <f>'Mau15'!B291&amp;""</f>
        <v/>
      </c>
      <c r="C288" s="47" t="str">
        <f>IF(B288="","",'Mau15'!C291)</f>
        <v/>
      </c>
      <c r="D288" s="36" t="str">
        <f>IF(B288="","",'Mau15'!D291)</f>
        <v/>
      </c>
      <c r="E288" s="48" t="str">
        <f>IF($B288="","",'Mau15'!P291)</f>
        <v/>
      </c>
      <c r="F288" s="48" t="str">
        <f>IF($B288="","",'Mau15'!F291)</f>
        <v/>
      </c>
      <c r="G288" s="48" t="str">
        <f t="shared" si="32"/>
        <v/>
      </c>
      <c r="H288" s="49" t="str">
        <f t="shared" si="33"/>
        <v/>
      </c>
      <c r="I288" s="48" t="str">
        <f>IF($B288="","",'Mau15'!K291)</f>
        <v/>
      </c>
      <c r="J288" s="48" t="str">
        <f>IF($B288="","",'Mau15'!M291)</f>
        <v/>
      </c>
      <c r="K288" s="48" t="str">
        <f t="shared" si="34"/>
        <v/>
      </c>
      <c r="L288" s="49" t="str">
        <f t="shared" si="35"/>
        <v/>
      </c>
      <c r="M288" s="48" t="str">
        <f>IF($B288="","",KT_nguoc_theo_NL!J285)</f>
        <v/>
      </c>
      <c r="N288" s="48" t="str">
        <f>IF($B288="","",KT_nguoc_theo_NL!K285)</f>
        <v/>
      </c>
      <c r="O288" s="48" t="str">
        <f t="shared" si="36"/>
        <v/>
      </c>
      <c r="P288" s="50" t="str">
        <f t="shared" si="37"/>
        <v/>
      </c>
      <c r="Q288" s="49" t="str">
        <f>IF($B288="","",IF(KT_nguoc_theo_NL!N285="Pass","Khớp",IF(KT_nguoc_theo_NL!N285="KXDDM","KXĐM",IF(KT_nguoc_theo_NL!N285="Xem xét","Cảnh báo",""))))</f>
        <v/>
      </c>
      <c r="R288" s="49" t="str">
        <f t="shared" si="38"/>
        <v/>
      </c>
      <c r="S288" s="31" t="str">
        <f t="shared" si="39"/>
        <v/>
      </c>
    </row>
    <row r="289" spans="1:19" x14ac:dyDescent="0.25">
      <c r="A289" s="36" t="str">
        <f>IF(B289="","",282)</f>
        <v/>
      </c>
      <c r="B289" s="36" t="str">
        <f>'Mau15'!B292&amp;""</f>
        <v/>
      </c>
      <c r="C289" s="47" t="str">
        <f>IF(B289="","",'Mau15'!C292)</f>
        <v/>
      </c>
      <c r="D289" s="36" t="str">
        <f>IF(B289="","",'Mau15'!D292)</f>
        <v/>
      </c>
      <c r="E289" s="48" t="str">
        <f>IF($B289="","",'Mau15'!P292)</f>
        <v/>
      </c>
      <c r="F289" s="48" t="str">
        <f>IF($B289="","",'Mau15'!F292)</f>
        <v/>
      </c>
      <c r="G289" s="48" t="str">
        <f t="shared" si="32"/>
        <v/>
      </c>
      <c r="H289" s="49" t="str">
        <f t="shared" si="33"/>
        <v/>
      </c>
      <c r="I289" s="48" t="str">
        <f>IF($B289="","",'Mau15'!K292)</f>
        <v/>
      </c>
      <c r="J289" s="48" t="str">
        <f>IF($B289="","",'Mau15'!M292)</f>
        <v/>
      </c>
      <c r="K289" s="48" t="str">
        <f t="shared" si="34"/>
        <v/>
      </c>
      <c r="L289" s="49" t="str">
        <f t="shared" si="35"/>
        <v/>
      </c>
      <c r="M289" s="48" t="str">
        <f>IF($B289="","",KT_nguoc_theo_NL!J286)</f>
        <v/>
      </c>
      <c r="N289" s="48" t="str">
        <f>IF($B289="","",KT_nguoc_theo_NL!K286)</f>
        <v/>
      </c>
      <c r="O289" s="48" t="str">
        <f t="shared" si="36"/>
        <v/>
      </c>
      <c r="P289" s="50" t="str">
        <f t="shared" si="37"/>
        <v/>
      </c>
      <c r="Q289" s="49" t="str">
        <f>IF($B289="","",IF(KT_nguoc_theo_NL!N286="Pass","Khớp",IF(KT_nguoc_theo_NL!N286="KXDDM","KXĐM",IF(KT_nguoc_theo_NL!N286="Xem xét","Cảnh báo",""))))</f>
        <v/>
      </c>
      <c r="R289" s="49" t="str">
        <f t="shared" si="38"/>
        <v/>
      </c>
      <c r="S289" s="31" t="str">
        <f t="shared" si="39"/>
        <v/>
      </c>
    </row>
    <row r="290" spans="1:19" x14ac:dyDescent="0.25">
      <c r="A290" s="36" t="str">
        <f>IF(B290="","",283)</f>
        <v/>
      </c>
      <c r="B290" s="36" t="str">
        <f>'Mau15'!B293&amp;""</f>
        <v/>
      </c>
      <c r="C290" s="47" t="str">
        <f>IF(B290="","",'Mau15'!C293)</f>
        <v/>
      </c>
      <c r="D290" s="36" t="str">
        <f>IF(B290="","",'Mau15'!D293)</f>
        <v/>
      </c>
      <c r="E290" s="48" t="str">
        <f>IF($B290="","",'Mau15'!P293)</f>
        <v/>
      </c>
      <c r="F290" s="48" t="str">
        <f>IF($B290="","",'Mau15'!F293)</f>
        <v/>
      </c>
      <c r="G290" s="48" t="str">
        <f t="shared" si="32"/>
        <v/>
      </c>
      <c r="H290" s="49" t="str">
        <f t="shared" si="33"/>
        <v/>
      </c>
      <c r="I290" s="48" t="str">
        <f>IF($B290="","",'Mau15'!K293)</f>
        <v/>
      </c>
      <c r="J290" s="48" t="str">
        <f>IF($B290="","",'Mau15'!M293)</f>
        <v/>
      </c>
      <c r="K290" s="48" t="str">
        <f t="shared" si="34"/>
        <v/>
      </c>
      <c r="L290" s="49" t="str">
        <f t="shared" si="35"/>
        <v/>
      </c>
      <c r="M290" s="48" t="str">
        <f>IF($B290="","",KT_nguoc_theo_NL!J287)</f>
        <v/>
      </c>
      <c r="N290" s="48" t="str">
        <f>IF($B290="","",KT_nguoc_theo_NL!K287)</f>
        <v/>
      </c>
      <c r="O290" s="48" t="str">
        <f t="shared" si="36"/>
        <v/>
      </c>
      <c r="P290" s="50" t="str">
        <f t="shared" si="37"/>
        <v/>
      </c>
      <c r="Q290" s="49" t="str">
        <f>IF($B290="","",IF(KT_nguoc_theo_NL!N287="Pass","Khớp",IF(KT_nguoc_theo_NL!N287="KXDDM","KXĐM",IF(KT_nguoc_theo_NL!N287="Xem xét","Cảnh báo",""))))</f>
        <v/>
      </c>
      <c r="R290" s="49" t="str">
        <f t="shared" si="38"/>
        <v/>
      </c>
      <c r="S290" s="31" t="str">
        <f t="shared" si="39"/>
        <v/>
      </c>
    </row>
    <row r="291" spans="1:19" x14ac:dyDescent="0.25">
      <c r="A291" s="36" t="str">
        <f>IF(B291="","",284)</f>
        <v/>
      </c>
      <c r="B291" s="36" t="str">
        <f>'Mau15'!B294&amp;""</f>
        <v/>
      </c>
      <c r="C291" s="47" t="str">
        <f>IF(B291="","",'Mau15'!C294)</f>
        <v/>
      </c>
      <c r="D291" s="36" t="str">
        <f>IF(B291="","",'Mau15'!D294)</f>
        <v/>
      </c>
      <c r="E291" s="48" t="str">
        <f>IF($B291="","",'Mau15'!P294)</f>
        <v/>
      </c>
      <c r="F291" s="48" t="str">
        <f>IF($B291="","",'Mau15'!F294)</f>
        <v/>
      </c>
      <c r="G291" s="48" t="str">
        <f t="shared" si="32"/>
        <v/>
      </c>
      <c r="H291" s="49" t="str">
        <f t="shared" si="33"/>
        <v/>
      </c>
      <c r="I291" s="48" t="str">
        <f>IF($B291="","",'Mau15'!K294)</f>
        <v/>
      </c>
      <c r="J291" s="48" t="str">
        <f>IF($B291="","",'Mau15'!M294)</f>
        <v/>
      </c>
      <c r="K291" s="48" t="str">
        <f t="shared" si="34"/>
        <v/>
      </c>
      <c r="L291" s="49" t="str">
        <f t="shared" si="35"/>
        <v/>
      </c>
      <c r="M291" s="48" t="str">
        <f>IF($B291="","",KT_nguoc_theo_NL!J288)</f>
        <v/>
      </c>
      <c r="N291" s="48" t="str">
        <f>IF($B291="","",KT_nguoc_theo_NL!K288)</f>
        <v/>
      </c>
      <c r="O291" s="48" t="str">
        <f t="shared" si="36"/>
        <v/>
      </c>
      <c r="P291" s="50" t="str">
        <f t="shared" si="37"/>
        <v/>
      </c>
      <c r="Q291" s="49" t="str">
        <f>IF($B291="","",IF(KT_nguoc_theo_NL!N288="Pass","Khớp",IF(KT_nguoc_theo_NL!N288="KXDDM","KXĐM",IF(KT_nguoc_theo_NL!N288="Xem xét","Cảnh báo",""))))</f>
        <v/>
      </c>
      <c r="R291" s="49" t="str">
        <f t="shared" si="38"/>
        <v/>
      </c>
      <c r="S291" s="31" t="str">
        <f t="shared" si="39"/>
        <v/>
      </c>
    </row>
    <row r="292" spans="1:19" x14ac:dyDescent="0.25">
      <c r="A292" s="36" t="str">
        <f>IF(B292="","",285)</f>
        <v/>
      </c>
      <c r="B292" s="36" t="str">
        <f>'Mau15'!B295&amp;""</f>
        <v/>
      </c>
      <c r="C292" s="47" t="str">
        <f>IF(B292="","",'Mau15'!C295)</f>
        <v/>
      </c>
      <c r="D292" s="36" t="str">
        <f>IF(B292="","",'Mau15'!D295)</f>
        <v/>
      </c>
      <c r="E292" s="48" t="str">
        <f>IF($B292="","",'Mau15'!P295)</f>
        <v/>
      </c>
      <c r="F292" s="48" t="str">
        <f>IF($B292="","",'Mau15'!F295)</f>
        <v/>
      </c>
      <c r="G292" s="48" t="str">
        <f t="shared" si="32"/>
        <v/>
      </c>
      <c r="H292" s="49" t="str">
        <f t="shared" si="33"/>
        <v/>
      </c>
      <c r="I292" s="48" t="str">
        <f>IF($B292="","",'Mau15'!K295)</f>
        <v/>
      </c>
      <c r="J292" s="48" t="str">
        <f>IF($B292="","",'Mau15'!M295)</f>
        <v/>
      </c>
      <c r="K292" s="48" t="str">
        <f t="shared" si="34"/>
        <v/>
      </c>
      <c r="L292" s="49" t="str">
        <f t="shared" si="35"/>
        <v/>
      </c>
      <c r="M292" s="48" t="str">
        <f>IF($B292="","",KT_nguoc_theo_NL!J289)</f>
        <v/>
      </c>
      <c r="N292" s="48" t="str">
        <f>IF($B292="","",KT_nguoc_theo_NL!K289)</f>
        <v/>
      </c>
      <c r="O292" s="48" t="str">
        <f t="shared" si="36"/>
        <v/>
      </c>
      <c r="P292" s="50" t="str">
        <f t="shared" si="37"/>
        <v/>
      </c>
      <c r="Q292" s="49" t="str">
        <f>IF($B292="","",IF(KT_nguoc_theo_NL!N289="Pass","Khớp",IF(KT_nguoc_theo_NL!N289="KXDDM","KXĐM",IF(KT_nguoc_theo_NL!N289="Xem xét","Cảnh báo",""))))</f>
        <v/>
      </c>
      <c r="R292" s="49" t="str">
        <f t="shared" si="38"/>
        <v/>
      </c>
      <c r="S292" s="31" t="str">
        <f t="shared" si="39"/>
        <v/>
      </c>
    </row>
    <row r="293" spans="1:19" x14ac:dyDescent="0.25">
      <c r="A293" s="36" t="str">
        <f>IF(B293="","",286)</f>
        <v/>
      </c>
      <c r="B293" s="36" t="str">
        <f>'Mau15'!B296&amp;""</f>
        <v/>
      </c>
      <c r="C293" s="47" t="str">
        <f>IF(B293="","",'Mau15'!C296)</f>
        <v/>
      </c>
      <c r="D293" s="36" t="str">
        <f>IF(B293="","",'Mau15'!D296)</f>
        <v/>
      </c>
      <c r="E293" s="48" t="str">
        <f>IF($B293="","",'Mau15'!P296)</f>
        <v/>
      </c>
      <c r="F293" s="48" t="str">
        <f>IF($B293="","",'Mau15'!F296)</f>
        <v/>
      </c>
      <c r="G293" s="48" t="str">
        <f t="shared" si="32"/>
        <v/>
      </c>
      <c r="H293" s="49" t="str">
        <f t="shared" si="33"/>
        <v/>
      </c>
      <c r="I293" s="48" t="str">
        <f>IF($B293="","",'Mau15'!K296)</f>
        <v/>
      </c>
      <c r="J293" s="48" t="str">
        <f>IF($B293="","",'Mau15'!M296)</f>
        <v/>
      </c>
      <c r="K293" s="48" t="str">
        <f t="shared" si="34"/>
        <v/>
      </c>
      <c r="L293" s="49" t="str">
        <f t="shared" si="35"/>
        <v/>
      </c>
      <c r="M293" s="48" t="str">
        <f>IF($B293="","",KT_nguoc_theo_NL!J290)</f>
        <v/>
      </c>
      <c r="N293" s="48" t="str">
        <f>IF($B293="","",KT_nguoc_theo_NL!K290)</f>
        <v/>
      </c>
      <c r="O293" s="48" t="str">
        <f t="shared" si="36"/>
        <v/>
      </c>
      <c r="P293" s="50" t="str">
        <f t="shared" si="37"/>
        <v/>
      </c>
      <c r="Q293" s="49" t="str">
        <f>IF($B293="","",IF(KT_nguoc_theo_NL!N290="Pass","Khớp",IF(KT_nguoc_theo_NL!N290="KXDDM","KXĐM",IF(KT_nguoc_theo_NL!N290="Xem xét","Cảnh báo",""))))</f>
        <v/>
      </c>
      <c r="R293" s="49" t="str">
        <f t="shared" si="38"/>
        <v/>
      </c>
      <c r="S293" s="31" t="str">
        <f t="shared" si="39"/>
        <v/>
      </c>
    </row>
    <row r="294" spans="1:19" x14ac:dyDescent="0.25">
      <c r="A294" s="36" t="str">
        <f>IF(B294="","",287)</f>
        <v/>
      </c>
      <c r="B294" s="36" t="str">
        <f>'Mau15'!B297&amp;""</f>
        <v/>
      </c>
      <c r="C294" s="47" t="str">
        <f>IF(B294="","",'Mau15'!C297)</f>
        <v/>
      </c>
      <c r="D294" s="36" t="str">
        <f>IF(B294="","",'Mau15'!D297)</f>
        <v/>
      </c>
      <c r="E294" s="48" t="str">
        <f>IF($B294="","",'Mau15'!P297)</f>
        <v/>
      </c>
      <c r="F294" s="48" t="str">
        <f>IF($B294="","",'Mau15'!F297)</f>
        <v/>
      </c>
      <c r="G294" s="48" t="str">
        <f t="shared" si="32"/>
        <v/>
      </c>
      <c r="H294" s="49" t="str">
        <f t="shared" si="33"/>
        <v/>
      </c>
      <c r="I294" s="48" t="str">
        <f>IF($B294="","",'Mau15'!K297)</f>
        <v/>
      </c>
      <c r="J294" s="48" t="str">
        <f>IF($B294="","",'Mau15'!M297)</f>
        <v/>
      </c>
      <c r="K294" s="48" t="str">
        <f t="shared" si="34"/>
        <v/>
      </c>
      <c r="L294" s="49" t="str">
        <f t="shared" si="35"/>
        <v/>
      </c>
      <c r="M294" s="48" t="str">
        <f>IF($B294="","",KT_nguoc_theo_NL!J291)</f>
        <v/>
      </c>
      <c r="N294" s="48" t="str">
        <f>IF($B294="","",KT_nguoc_theo_NL!K291)</f>
        <v/>
      </c>
      <c r="O294" s="48" t="str">
        <f t="shared" si="36"/>
        <v/>
      </c>
      <c r="P294" s="50" t="str">
        <f t="shared" si="37"/>
        <v/>
      </c>
      <c r="Q294" s="49" t="str">
        <f>IF($B294="","",IF(KT_nguoc_theo_NL!N291="Pass","Khớp",IF(KT_nguoc_theo_NL!N291="KXDDM","KXĐM",IF(KT_nguoc_theo_NL!N291="Xem xét","Cảnh báo",""))))</f>
        <v/>
      </c>
      <c r="R294" s="49" t="str">
        <f t="shared" si="38"/>
        <v/>
      </c>
      <c r="S294" s="31" t="str">
        <f t="shared" si="39"/>
        <v/>
      </c>
    </row>
    <row r="295" spans="1:19" x14ac:dyDescent="0.25">
      <c r="A295" s="36" t="str">
        <f>IF(B295="","",288)</f>
        <v/>
      </c>
      <c r="B295" s="36" t="str">
        <f>'Mau15'!B298&amp;""</f>
        <v/>
      </c>
      <c r="C295" s="47" t="str">
        <f>IF(B295="","",'Mau15'!C298)</f>
        <v/>
      </c>
      <c r="D295" s="36" t="str">
        <f>IF(B295="","",'Mau15'!D298)</f>
        <v/>
      </c>
      <c r="E295" s="48" t="str">
        <f>IF($B295="","",'Mau15'!P298)</f>
        <v/>
      </c>
      <c r="F295" s="48" t="str">
        <f>IF($B295="","",'Mau15'!F298)</f>
        <v/>
      </c>
      <c r="G295" s="48" t="str">
        <f t="shared" si="32"/>
        <v/>
      </c>
      <c r="H295" s="49" t="str">
        <f t="shared" si="33"/>
        <v/>
      </c>
      <c r="I295" s="48" t="str">
        <f>IF($B295="","",'Mau15'!K298)</f>
        <v/>
      </c>
      <c r="J295" s="48" t="str">
        <f>IF($B295="","",'Mau15'!M298)</f>
        <v/>
      </c>
      <c r="K295" s="48" t="str">
        <f t="shared" si="34"/>
        <v/>
      </c>
      <c r="L295" s="49" t="str">
        <f t="shared" si="35"/>
        <v/>
      </c>
      <c r="M295" s="48" t="str">
        <f>IF($B295="","",KT_nguoc_theo_NL!J292)</f>
        <v/>
      </c>
      <c r="N295" s="48" t="str">
        <f>IF($B295="","",KT_nguoc_theo_NL!K292)</f>
        <v/>
      </c>
      <c r="O295" s="48" t="str">
        <f t="shared" si="36"/>
        <v/>
      </c>
      <c r="P295" s="50" t="str">
        <f t="shared" si="37"/>
        <v/>
      </c>
      <c r="Q295" s="49" t="str">
        <f>IF($B295="","",IF(KT_nguoc_theo_NL!N292="Pass","Khớp",IF(KT_nguoc_theo_NL!N292="KXDDM","KXĐM",IF(KT_nguoc_theo_NL!N292="Xem xét","Cảnh báo",""))))</f>
        <v/>
      </c>
      <c r="R295" s="49" t="str">
        <f t="shared" si="38"/>
        <v/>
      </c>
      <c r="S295" s="31" t="str">
        <f t="shared" si="39"/>
        <v/>
      </c>
    </row>
    <row r="296" spans="1:19" x14ac:dyDescent="0.25">
      <c r="A296" s="36" t="str">
        <f>IF(B296="","",289)</f>
        <v/>
      </c>
      <c r="B296" s="36" t="str">
        <f>'Mau15'!B299&amp;""</f>
        <v/>
      </c>
      <c r="C296" s="47" t="str">
        <f>IF(B296="","",'Mau15'!C299)</f>
        <v/>
      </c>
      <c r="D296" s="36" t="str">
        <f>IF(B296="","",'Mau15'!D299)</f>
        <v/>
      </c>
      <c r="E296" s="48" t="str">
        <f>IF($B296="","",'Mau15'!P299)</f>
        <v/>
      </c>
      <c r="F296" s="48" t="str">
        <f>IF($B296="","",'Mau15'!F299)</f>
        <v/>
      </c>
      <c r="G296" s="48" t="str">
        <f t="shared" si="32"/>
        <v/>
      </c>
      <c r="H296" s="49" t="str">
        <f t="shared" si="33"/>
        <v/>
      </c>
      <c r="I296" s="48" t="str">
        <f>IF($B296="","",'Mau15'!K299)</f>
        <v/>
      </c>
      <c r="J296" s="48" t="str">
        <f>IF($B296="","",'Mau15'!M299)</f>
        <v/>
      </c>
      <c r="K296" s="48" t="str">
        <f t="shared" si="34"/>
        <v/>
      </c>
      <c r="L296" s="49" t="str">
        <f t="shared" si="35"/>
        <v/>
      </c>
      <c r="M296" s="48" t="str">
        <f>IF($B296="","",KT_nguoc_theo_NL!J293)</f>
        <v/>
      </c>
      <c r="N296" s="48" t="str">
        <f>IF($B296="","",KT_nguoc_theo_NL!K293)</f>
        <v/>
      </c>
      <c r="O296" s="48" t="str">
        <f t="shared" si="36"/>
        <v/>
      </c>
      <c r="P296" s="50" t="str">
        <f t="shared" si="37"/>
        <v/>
      </c>
      <c r="Q296" s="49" t="str">
        <f>IF($B296="","",IF(KT_nguoc_theo_NL!N293="Pass","Khớp",IF(KT_nguoc_theo_NL!N293="KXDDM","KXĐM",IF(KT_nguoc_theo_NL!N293="Xem xét","Cảnh báo",""))))</f>
        <v/>
      </c>
      <c r="R296" s="49" t="str">
        <f t="shared" si="38"/>
        <v/>
      </c>
      <c r="S296" s="31" t="str">
        <f t="shared" si="39"/>
        <v/>
      </c>
    </row>
    <row r="297" spans="1:19" x14ac:dyDescent="0.25">
      <c r="A297" s="36" t="str">
        <f>IF(B297="","",290)</f>
        <v/>
      </c>
      <c r="B297" s="36" t="str">
        <f>'Mau15'!B300&amp;""</f>
        <v/>
      </c>
      <c r="C297" s="47" t="str">
        <f>IF(B297="","",'Mau15'!C300)</f>
        <v/>
      </c>
      <c r="D297" s="36" t="str">
        <f>IF(B297="","",'Mau15'!D300)</f>
        <v/>
      </c>
      <c r="E297" s="48" t="str">
        <f>IF($B297="","",'Mau15'!P300)</f>
        <v/>
      </c>
      <c r="F297" s="48" t="str">
        <f>IF($B297="","",'Mau15'!F300)</f>
        <v/>
      </c>
      <c r="G297" s="48" t="str">
        <f t="shared" si="32"/>
        <v/>
      </c>
      <c r="H297" s="49" t="str">
        <f t="shared" si="33"/>
        <v/>
      </c>
      <c r="I297" s="48" t="str">
        <f>IF($B297="","",'Mau15'!K300)</f>
        <v/>
      </c>
      <c r="J297" s="48" t="str">
        <f>IF($B297="","",'Mau15'!M300)</f>
        <v/>
      </c>
      <c r="K297" s="48" t="str">
        <f t="shared" si="34"/>
        <v/>
      </c>
      <c r="L297" s="49" t="str">
        <f t="shared" si="35"/>
        <v/>
      </c>
      <c r="M297" s="48" t="str">
        <f>IF($B297="","",KT_nguoc_theo_NL!J294)</f>
        <v/>
      </c>
      <c r="N297" s="48" t="str">
        <f>IF($B297="","",KT_nguoc_theo_NL!K294)</f>
        <v/>
      </c>
      <c r="O297" s="48" t="str">
        <f t="shared" si="36"/>
        <v/>
      </c>
      <c r="P297" s="50" t="str">
        <f t="shared" si="37"/>
        <v/>
      </c>
      <c r="Q297" s="49" t="str">
        <f>IF($B297="","",IF(KT_nguoc_theo_NL!N294="Pass","Khớp",IF(KT_nguoc_theo_NL!N294="KXDDM","KXĐM",IF(KT_nguoc_theo_NL!N294="Xem xét","Cảnh báo",""))))</f>
        <v/>
      </c>
      <c r="R297" s="49" t="str">
        <f t="shared" si="38"/>
        <v/>
      </c>
      <c r="S297" s="31" t="str">
        <f t="shared" si="39"/>
        <v/>
      </c>
    </row>
    <row r="298" spans="1:19" x14ac:dyDescent="0.25">
      <c r="A298" s="36" t="str">
        <f>IF(B298="","",291)</f>
        <v/>
      </c>
      <c r="B298" s="36" t="str">
        <f>'Mau15'!B301&amp;""</f>
        <v/>
      </c>
      <c r="C298" s="47" t="str">
        <f>IF(B298="","",'Mau15'!C301)</f>
        <v/>
      </c>
      <c r="D298" s="36" t="str">
        <f>IF(B298="","",'Mau15'!D301)</f>
        <v/>
      </c>
      <c r="E298" s="48" t="str">
        <f>IF($B298="","",'Mau15'!P301)</f>
        <v/>
      </c>
      <c r="F298" s="48" t="str">
        <f>IF($B298="","",'Mau15'!F301)</f>
        <v/>
      </c>
      <c r="G298" s="48" t="str">
        <f t="shared" si="32"/>
        <v/>
      </c>
      <c r="H298" s="49" t="str">
        <f t="shared" si="33"/>
        <v/>
      </c>
      <c r="I298" s="48" t="str">
        <f>IF($B298="","",'Mau15'!K301)</f>
        <v/>
      </c>
      <c r="J298" s="48" t="str">
        <f>IF($B298="","",'Mau15'!M301)</f>
        <v/>
      </c>
      <c r="K298" s="48" t="str">
        <f t="shared" si="34"/>
        <v/>
      </c>
      <c r="L298" s="49" t="str">
        <f t="shared" si="35"/>
        <v/>
      </c>
      <c r="M298" s="48" t="str">
        <f>IF($B298="","",KT_nguoc_theo_NL!J295)</f>
        <v/>
      </c>
      <c r="N298" s="48" t="str">
        <f>IF($B298="","",KT_nguoc_theo_NL!K295)</f>
        <v/>
      </c>
      <c r="O298" s="48" t="str">
        <f t="shared" si="36"/>
        <v/>
      </c>
      <c r="P298" s="50" t="str">
        <f t="shared" si="37"/>
        <v/>
      </c>
      <c r="Q298" s="49" t="str">
        <f>IF($B298="","",IF(KT_nguoc_theo_NL!N295="Pass","Khớp",IF(KT_nguoc_theo_NL!N295="KXDDM","KXĐM",IF(KT_nguoc_theo_NL!N295="Xem xét","Cảnh báo",""))))</f>
        <v/>
      </c>
      <c r="R298" s="49" t="str">
        <f t="shared" si="38"/>
        <v/>
      </c>
      <c r="S298" s="31" t="str">
        <f t="shared" si="39"/>
        <v/>
      </c>
    </row>
    <row r="299" spans="1:19" x14ac:dyDescent="0.25">
      <c r="A299" s="36" t="str">
        <f>IF(B299="","",292)</f>
        <v/>
      </c>
      <c r="B299" s="36" t="str">
        <f>'Mau15'!B302&amp;""</f>
        <v/>
      </c>
      <c r="C299" s="47" t="str">
        <f>IF(B299="","",'Mau15'!C302)</f>
        <v/>
      </c>
      <c r="D299" s="36" t="str">
        <f>IF(B299="","",'Mau15'!D302)</f>
        <v/>
      </c>
      <c r="E299" s="48" t="str">
        <f>IF($B299="","",'Mau15'!P302)</f>
        <v/>
      </c>
      <c r="F299" s="48" t="str">
        <f>IF($B299="","",'Mau15'!F302)</f>
        <v/>
      </c>
      <c r="G299" s="48" t="str">
        <f t="shared" si="32"/>
        <v/>
      </c>
      <c r="H299" s="49" t="str">
        <f t="shared" si="33"/>
        <v/>
      </c>
      <c r="I299" s="48" t="str">
        <f>IF($B299="","",'Mau15'!K302)</f>
        <v/>
      </c>
      <c r="J299" s="48" t="str">
        <f>IF($B299="","",'Mau15'!M302)</f>
        <v/>
      </c>
      <c r="K299" s="48" t="str">
        <f t="shared" si="34"/>
        <v/>
      </c>
      <c r="L299" s="49" t="str">
        <f t="shared" si="35"/>
        <v/>
      </c>
      <c r="M299" s="48" t="str">
        <f>IF($B299="","",KT_nguoc_theo_NL!J296)</f>
        <v/>
      </c>
      <c r="N299" s="48" t="str">
        <f>IF($B299="","",KT_nguoc_theo_NL!K296)</f>
        <v/>
      </c>
      <c r="O299" s="48" t="str">
        <f t="shared" si="36"/>
        <v/>
      </c>
      <c r="P299" s="50" t="str">
        <f t="shared" si="37"/>
        <v/>
      </c>
      <c r="Q299" s="49" t="str">
        <f>IF($B299="","",IF(KT_nguoc_theo_NL!N296="Pass","Khớp",IF(KT_nguoc_theo_NL!N296="KXDDM","KXĐM",IF(KT_nguoc_theo_NL!N296="Xem xét","Cảnh báo",""))))</f>
        <v/>
      </c>
      <c r="R299" s="49" t="str">
        <f t="shared" si="38"/>
        <v/>
      </c>
      <c r="S299" s="31" t="str">
        <f t="shared" si="39"/>
        <v/>
      </c>
    </row>
    <row r="300" spans="1:19" x14ac:dyDescent="0.25">
      <c r="A300" s="36" t="str">
        <f>IF(B300="","",293)</f>
        <v/>
      </c>
      <c r="B300" s="36" t="str">
        <f>'Mau15'!B303&amp;""</f>
        <v/>
      </c>
      <c r="C300" s="47" t="str">
        <f>IF(B300="","",'Mau15'!C303)</f>
        <v/>
      </c>
      <c r="D300" s="36" t="str">
        <f>IF(B300="","",'Mau15'!D303)</f>
        <v/>
      </c>
      <c r="E300" s="48" t="str">
        <f>IF($B300="","",'Mau15'!P303)</f>
        <v/>
      </c>
      <c r="F300" s="48" t="str">
        <f>IF($B300="","",'Mau15'!F303)</f>
        <v/>
      </c>
      <c r="G300" s="48" t="str">
        <f t="shared" si="32"/>
        <v/>
      </c>
      <c r="H300" s="49" t="str">
        <f t="shared" si="33"/>
        <v/>
      </c>
      <c r="I300" s="48" t="str">
        <f>IF($B300="","",'Mau15'!K303)</f>
        <v/>
      </c>
      <c r="J300" s="48" t="str">
        <f>IF($B300="","",'Mau15'!M303)</f>
        <v/>
      </c>
      <c r="K300" s="48" t="str">
        <f t="shared" si="34"/>
        <v/>
      </c>
      <c r="L300" s="49" t="str">
        <f t="shared" si="35"/>
        <v/>
      </c>
      <c r="M300" s="48" t="str">
        <f>IF($B300="","",KT_nguoc_theo_NL!J297)</f>
        <v/>
      </c>
      <c r="N300" s="48" t="str">
        <f>IF($B300="","",KT_nguoc_theo_NL!K297)</f>
        <v/>
      </c>
      <c r="O300" s="48" t="str">
        <f t="shared" si="36"/>
        <v/>
      </c>
      <c r="P300" s="50" t="str">
        <f t="shared" si="37"/>
        <v/>
      </c>
      <c r="Q300" s="49" t="str">
        <f>IF($B300="","",IF(KT_nguoc_theo_NL!N297="Pass","Khớp",IF(KT_nguoc_theo_NL!N297="KXDDM","KXĐM",IF(KT_nguoc_theo_NL!N297="Xem xét","Cảnh báo",""))))</f>
        <v/>
      </c>
      <c r="R300" s="49" t="str">
        <f t="shared" si="38"/>
        <v/>
      </c>
      <c r="S300" s="31" t="str">
        <f t="shared" si="39"/>
        <v/>
      </c>
    </row>
    <row r="301" spans="1:19" x14ac:dyDescent="0.25">
      <c r="A301" s="36" t="str">
        <f>IF(B301="","",294)</f>
        <v/>
      </c>
      <c r="B301" s="36" t="str">
        <f>'Mau15'!B304&amp;""</f>
        <v/>
      </c>
      <c r="C301" s="47" t="str">
        <f>IF(B301="","",'Mau15'!C304)</f>
        <v/>
      </c>
      <c r="D301" s="36" t="str">
        <f>IF(B301="","",'Mau15'!D304)</f>
        <v/>
      </c>
      <c r="E301" s="48" t="str">
        <f>IF($B301="","",'Mau15'!P304)</f>
        <v/>
      </c>
      <c r="F301" s="48" t="str">
        <f>IF($B301="","",'Mau15'!F304)</f>
        <v/>
      </c>
      <c r="G301" s="48" t="str">
        <f t="shared" si="32"/>
        <v/>
      </c>
      <c r="H301" s="49" t="str">
        <f t="shared" si="33"/>
        <v/>
      </c>
      <c r="I301" s="48" t="str">
        <f>IF($B301="","",'Mau15'!K304)</f>
        <v/>
      </c>
      <c r="J301" s="48" t="str">
        <f>IF($B301="","",'Mau15'!M304)</f>
        <v/>
      </c>
      <c r="K301" s="48" t="str">
        <f t="shared" si="34"/>
        <v/>
      </c>
      <c r="L301" s="49" t="str">
        <f t="shared" si="35"/>
        <v/>
      </c>
      <c r="M301" s="48" t="str">
        <f>IF($B301="","",KT_nguoc_theo_NL!J298)</f>
        <v/>
      </c>
      <c r="N301" s="48" t="str">
        <f>IF($B301="","",KT_nguoc_theo_NL!K298)</f>
        <v/>
      </c>
      <c r="O301" s="48" t="str">
        <f t="shared" si="36"/>
        <v/>
      </c>
      <c r="P301" s="50" t="str">
        <f t="shared" si="37"/>
        <v/>
      </c>
      <c r="Q301" s="49" t="str">
        <f>IF($B301="","",IF(KT_nguoc_theo_NL!N298="Pass","Khớp",IF(KT_nguoc_theo_NL!N298="KXDDM","KXĐM",IF(KT_nguoc_theo_NL!N298="Xem xét","Cảnh báo",""))))</f>
        <v/>
      </c>
      <c r="R301" s="49" t="str">
        <f t="shared" si="38"/>
        <v/>
      </c>
      <c r="S301" s="31" t="str">
        <f t="shared" si="39"/>
        <v/>
      </c>
    </row>
    <row r="302" spans="1:19" x14ac:dyDescent="0.25">
      <c r="A302" s="36" t="str">
        <f>IF(B302="","",295)</f>
        <v/>
      </c>
      <c r="B302" s="36" t="str">
        <f>'Mau15'!B305&amp;""</f>
        <v/>
      </c>
      <c r="C302" s="47" t="str">
        <f>IF(B302="","",'Mau15'!C305)</f>
        <v/>
      </c>
      <c r="D302" s="36" t="str">
        <f>IF(B302="","",'Mau15'!D305)</f>
        <v/>
      </c>
      <c r="E302" s="48" t="str">
        <f>IF($B302="","",'Mau15'!P305)</f>
        <v/>
      </c>
      <c r="F302" s="48" t="str">
        <f>IF($B302="","",'Mau15'!F305)</f>
        <v/>
      </c>
      <c r="G302" s="48" t="str">
        <f t="shared" si="32"/>
        <v/>
      </c>
      <c r="H302" s="49" t="str">
        <f t="shared" si="33"/>
        <v/>
      </c>
      <c r="I302" s="48" t="str">
        <f>IF($B302="","",'Mau15'!K305)</f>
        <v/>
      </c>
      <c r="J302" s="48" t="str">
        <f>IF($B302="","",'Mau15'!M305)</f>
        <v/>
      </c>
      <c r="K302" s="48" t="str">
        <f t="shared" si="34"/>
        <v/>
      </c>
      <c r="L302" s="49" t="str">
        <f t="shared" si="35"/>
        <v/>
      </c>
      <c r="M302" s="48" t="str">
        <f>IF($B302="","",KT_nguoc_theo_NL!J299)</f>
        <v/>
      </c>
      <c r="N302" s="48" t="str">
        <f>IF($B302="","",KT_nguoc_theo_NL!K299)</f>
        <v/>
      </c>
      <c r="O302" s="48" t="str">
        <f t="shared" si="36"/>
        <v/>
      </c>
      <c r="P302" s="50" t="str">
        <f t="shared" si="37"/>
        <v/>
      </c>
      <c r="Q302" s="49" t="str">
        <f>IF($B302="","",IF(KT_nguoc_theo_NL!N299="Pass","Khớp",IF(KT_nguoc_theo_NL!N299="KXDDM","KXĐM",IF(KT_nguoc_theo_NL!N299="Xem xét","Cảnh báo",""))))</f>
        <v/>
      </c>
      <c r="R302" s="49" t="str">
        <f t="shared" si="38"/>
        <v/>
      </c>
      <c r="S302" s="31" t="str">
        <f t="shared" si="39"/>
        <v/>
      </c>
    </row>
    <row r="303" spans="1:19" x14ac:dyDescent="0.25">
      <c r="A303" s="36" t="str">
        <f>IF(B303="","",296)</f>
        <v/>
      </c>
      <c r="B303" s="36" t="str">
        <f>'Mau15'!B306&amp;""</f>
        <v/>
      </c>
      <c r="C303" s="47" t="str">
        <f>IF(B303="","",'Mau15'!C306)</f>
        <v/>
      </c>
      <c r="D303" s="36" t="str">
        <f>IF(B303="","",'Mau15'!D306)</f>
        <v/>
      </c>
      <c r="E303" s="48" t="str">
        <f>IF($B303="","",'Mau15'!P306)</f>
        <v/>
      </c>
      <c r="F303" s="48" t="str">
        <f>IF($B303="","",'Mau15'!F306)</f>
        <v/>
      </c>
      <c r="G303" s="48" t="str">
        <f t="shared" si="32"/>
        <v/>
      </c>
      <c r="H303" s="49" t="str">
        <f t="shared" si="33"/>
        <v/>
      </c>
      <c r="I303" s="48" t="str">
        <f>IF($B303="","",'Mau15'!K306)</f>
        <v/>
      </c>
      <c r="J303" s="48" t="str">
        <f>IF($B303="","",'Mau15'!M306)</f>
        <v/>
      </c>
      <c r="K303" s="48" t="str">
        <f t="shared" si="34"/>
        <v/>
      </c>
      <c r="L303" s="49" t="str">
        <f t="shared" si="35"/>
        <v/>
      </c>
      <c r="M303" s="48" t="str">
        <f>IF($B303="","",KT_nguoc_theo_NL!J300)</f>
        <v/>
      </c>
      <c r="N303" s="48" t="str">
        <f>IF($B303="","",KT_nguoc_theo_NL!K300)</f>
        <v/>
      </c>
      <c r="O303" s="48" t="str">
        <f t="shared" si="36"/>
        <v/>
      </c>
      <c r="P303" s="50" t="str">
        <f t="shared" si="37"/>
        <v/>
      </c>
      <c r="Q303" s="49" t="str">
        <f>IF($B303="","",IF(KT_nguoc_theo_NL!N300="Pass","Khớp",IF(KT_nguoc_theo_NL!N300="KXDDM","KXĐM",IF(KT_nguoc_theo_NL!N300="Xem xét","Cảnh báo",""))))</f>
        <v/>
      </c>
      <c r="R303" s="49" t="str">
        <f t="shared" si="38"/>
        <v/>
      </c>
      <c r="S303" s="31" t="str">
        <f t="shared" si="39"/>
        <v/>
      </c>
    </row>
    <row r="304" spans="1:19" x14ac:dyDescent="0.25">
      <c r="A304" s="36" t="str">
        <f>IF(B304="","",297)</f>
        <v/>
      </c>
      <c r="B304" s="36" t="str">
        <f>'Mau15'!B307&amp;""</f>
        <v/>
      </c>
      <c r="C304" s="47" t="str">
        <f>IF(B304="","",'Mau15'!C307)</f>
        <v/>
      </c>
      <c r="D304" s="36" t="str">
        <f>IF(B304="","",'Mau15'!D307)</f>
        <v/>
      </c>
      <c r="E304" s="48" t="str">
        <f>IF($B304="","",'Mau15'!P307)</f>
        <v/>
      </c>
      <c r="F304" s="48" t="str">
        <f>IF($B304="","",'Mau15'!F307)</f>
        <v/>
      </c>
      <c r="G304" s="48" t="str">
        <f t="shared" si="32"/>
        <v/>
      </c>
      <c r="H304" s="49" t="str">
        <f t="shared" si="33"/>
        <v/>
      </c>
      <c r="I304" s="48" t="str">
        <f>IF($B304="","",'Mau15'!K307)</f>
        <v/>
      </c>
      <c r="J304" s="48" t="str">
        <f>IF($B304="","",'Mau15'!M307)</f>
        <v/>
      </c>
      <c r="K304" s="48" t="str">
        <f t="shared" si="34"/>
        <v/>
      </c>
      <c r="L304" s="49" t="str">
        <f t="shared" si="35"/>
        <v/>
      </c>
      <c r="M304" s="48" t="str">
        <f>IF($B304="","",KT_nguoc_theo_NL!J301)</f>
        <v/>
      </c>
      <c r="N304" s="48" t="str">
        <f>IF($B304="","",KT_nguoc_theo_NL!K301)</f>
        <v/>
      </c>
      <c r="O304" s="48" t="str">
        <f t="shared" si="36"/>
        <v/>
      </c>
      <c r="P304" s="50" t="str">
        <f t="shared" si="37"/>
        <v/>
      </c>
      <c r="Q304" s="49" t="str">
        <f>IF($B304="","",IF(KT_nguoc_theo_NL!N301="Pass","Khớp",IF(KT_nguoc_theo_NL!N301="KXDDM","KXĐM",IF(KT_nguoc_theo_NL!N301="Xem xét","Cảnh báo",""))))</f>
        <v/>
      </c>
      <c r="R304" s="49" t="str">
        <f t="shared" si="38"/>
        <v/>
      </c>
      <c r="S304" s="31" t="str">
        <f t="shared" si="39"/>
        <v/>
      </c>
    </row>
    <row r="305" spans="1:19" x14ac:dyDescent="0.25">
      <c r="A305" s="36" t="str">
        <f>IF(B305="","",298)</f>
        <v/>
      </c>
      <c r="B305" s="36" t="str">
        <f>'Mau15'!B308&amp;""</f>
        <v/>
      </c>
      <c r="C305" s="47" t="str">
        <f>IF(B305="","",'Mau15'!C308)</f>
        <v/>
      </c>
      <c r="D305" s="36" t="str">
        <f>IF(B305="","",'Mau15'!D308)</f>
        <v/>
      </c>
      <c r="E305" s="48" t="str">
        <f>IF($B305="","",'Mau15'!P308)</f>
        <v/>
      </c>
      <c r="F305" s="48" t="str">
        <f>IF($B305="","",'Mau15'!F308)</f>
        <v/>
      </c>
      <c r="G305" s="48" t="str">
        <f t="shared" si="32"/>
        <v/>
      </c>
      <c r="H305" s="49" t="str">
        <f t="shared" si="33"/>
        <v/>
      </c>
      <c r="I305" s="48" t="str">
        <f>IF($B305="","",'Mau15'!K308)</f>
        <v/>
      </c>
      <c r="J305" s="48" t="str">
        <f>IF($B305="","",'Mau15'!M308)</f>
        <v/>
      </c>
      <c r="K305" s="48" t="str">
        <f t="shared" si="34"/>
        <v/>
      </c>
      <c r="L305" s="49" t="str">
        <f t="shared" si="35"/>
        <v/>
      </c>
      <c r="M305" s="48" t="str">
        <f>IF($B305="","",KT_nguoc_theo_NL!J302)</f>
        <v/>
      </c>
      <c r="N305" s="48" t="str">
        <f>IF($B305="","",KT_nguoc_theo_NL!K302)</f>
        <v/>
      </c>
      <c r="O305" s="48" t="str">
        <f t="shared" si="36"/>
        <v/>
      </c>
      <c r="P305" s="50" t="str">
        <f t="shared" si="37"/>
        <v/>
      </c>
      <c r="Q305" s="49" t="str">
        <f>IF($B305="","",IF(KT_nguoc_theo_NL!N302="Pass","Khớp",IF(KT_nguoc_theo_NL!N302="KXDDM","KXĐM",IF(KT_nguoc_theo_NL!N302="Xem xét","Cảnh báo",""))))</f>
        <v/>
      </c>
      <c r="R305" s="49" t="str">
        <f t="shared" si="38"/>
        <v/>
      </c>
      <c r="S305" s="31" t="str">
        <f t="shared" si="39"/>
        <v/>
      </c>
    </row>
    <row r="306" spans="1:19" x14ac:dyDescent="0.25">
      <c r="A306" s="36" t="str">
        <f>IF(B306="","",299)</f>
        <v/>
      </c>
      <c r="B306" s="36" t="str">
        <f>'Mau15'!B309&amp;""</f>
        <v/>
      </c>
      <c r="C306" s="47" t="str">
        <f>IF(B306="","",'Mau15'!C309)</f>
        <v/>
      </c>
      <c r="D306" s="36" t="str">
        <f>IF(B306="","",'Mau15'!D309)</f>
        <v/>
      </c>
      <c r="E306" s="48" t="str">
        <f>IF($B306="","",'Mau15'!P309)</f>
        <v/>
      </c>
      <c r="F306" s="48" t="str">
        <f>IF($B306="","",'Mau15'!F309)</f>
        <v/>
      </c>
      <c r="G306" s="48" t="str">
        <f t="shared" si="32"/>
        <v/>
      </c>
      <c r="H306" s="49" t="str">
        <f t="shared" si="33"/>
        <v/>
      </c>
      <c r="I306" s="48" t="str">
        <f>IF($B306="","",'Mau15'!K309)</f>
        <v/>
      </c>
      <c r="J306" s="48" t="str">
        <f>IF($B306="","",'Mau15'!M309)</f>
        <v/>
      </c>
      <c r="K306" s="48" t="str">
        <f t="shared" si="34"/>
        <v/>
      </c>
      <c r="L306" s="49" t="str">
        <f t="shared" si="35"/>
        <v/>
      </c>
      <c r="M306" s="48" t="str">
        <f>IF($B306="","",KT_nguoc_theo_NL!J303)</f>
        <v/>
      </c>
      <c r="N306" s="48" t="str">
        <f>IF($B306="","",KT_nguoc_theo_NL!K303)</f>
        <v/>
      </c>
      <c r="O306" s="48" t="str">
        <f t="shared" si="36"/>
        <v/>
      </c>
      <c r="P306" s="50" t="str">
        <f t="shared" si="37"/>
        <v/>
      </c>
      <c r="Q306" s="49" t="str">
        <f>IF($B306="","",IF(KT_nguoc_theo_NL!N303="Pass","Khớp",IF(KT_nguoc_theo_NL!N303="KXDDM","KXĐM",IF(KT_nguoc_theo_NL!N303="Xem xét","Cảnh báo",""))))</f>
        <v/>
      </c>
      <c r="R306" s="49" t="str">
        <f t="shared" si="38"/>
        <v/>
      </c>
      <c r="S306" s="31" t="str">
        <f t="shared" si="39"/>
        <v/>
      </c>
    </row>
    <row r="307" spans="1:19" x14ac:dyDescent="0.25">
      <c r="A307" s="36" t="str">
        <f>IF(B307="","",300)</f>
        <v/>
      </c>
      <c r="B307" s="36" t="str">
        <f>'Mau15'!B310&amp;""</f>
        <v/>
      </c>
      <c r="C307" s="47" t="str">
        <f>IF(B307="","",'Mau15'!C310)</f>
        <v/>
      </c>
      <c r="D307" s="36" t="str">
        <f>IF(B307="","",'Mau15'!D310)</f>
        <v/>
      </c>
      <c r="E307" s="48" t="str">
        <f>IF($B307="","",'Mau15'!P310)</f>
        <v/>
      </c>
      <c r="F307" s="48" t="str">
        <f>IF($B307="","",'Mau15'!F310)</f>
        <v/>
      </c>
      <c r="G307" s="48" t="str">
        <f t="shared" si="32"/>
        <v/>
      </c>
      <c r="H307" s="49" t="str">
        <f t="shared" si="33"/>
        <v/>
      </c>
      <c r="I307" s="48" t="str">
        <f>IF($B307="","",'Mau15'!K310)</f>
        <v/>
      </c>
      <c r="J307" s="48" t="str">
        <f>IF($B307="","",'Mau15'!M310)</f>
        <v/>
      </c>
      <c r="K307" s="48" t="str">
        <f t="shared" si="34"/>
        <v/>
      </c>
      <c r="L307" s="49" t="str">
        <f t="shared" si="35"/>
        <v/>
      </c>
      <c r="M307" s="48" t="str">
        <f>IF($B307="","",KT_nguoc_theo_NL!J304)</f>
        <v/>
      </c>
      <c r="N307" s="48" t="str">
        <f>IF($B307="","",KT_nguoc_theo_NL!K304)</f>
        <v/>
      </c>
      <c r="O307" s="48" t="str">
        <f t="shared" si="36"/>
        <v/>
      </c>
      <c r="P307" s="50" t="str">
        <f t="shared" si="37"/>
        <v/>
      </c>
      <c r="Q307" s="49" t="str">
        <f>IF($B307="","",IF(KT_nguoc_theo_NL!N304="Pass","Khớp",IF(KT_nguoc_theo_NL!N304="KXDDM","KXĐM",IF(KT_nguoc_theo_NL!N304="Xem xét","Cảnh báo",""))))</f>
        <v/>
      </c>
      <c r="R307" s="49" t="str">
        <f t="shared" si="38"/>
        <v/>
      </c>
      <c r="S307" s="31" t="str">
        <f t="shared" si="39"/>
        <v/>
      </c>
    </row>
  </sheetData>
  <sheetProtection password="D0B3" sheet="1" objects="1" scenarios="1" formatColumns="0" formatRows="0" autoFilter="0"/>
  <autoFilter ref="A7:S307" xr:uid="{00000000-0009-0000-0000-000012000000}"/>
  <mergeCells count="9">
    <mergeCell ref="B6:B7"/>
    <mergeCell ref="A6:A7"/>
    <mergeCell ref="S6:S7"/>
    <mergeCell ref="M6:Q6"/>
    <mergeCell ref="E6:H6"/>
    <mergeCell ref="I6:L6"/>
    <mergeCell ref="C6:C7"/>
    <mergeCell ref="R6:R7"/>
    <mergeCell ref="D6:D7"/>
  </mergeCells>
  <conditionalFormatting sqref="E8:G307">
    <cfRule type="expression" dxfId="40" priority="1">
      <formula>AND(ISNUMBER(E8),MOD(E8,1)=0)</formula>
    </cfRule>
  </conditionalFormatting>
  <conditionalFormatting sqref="H8:H307">
    <cfRule type="cellIs" dxfId="39" priority="10" operator="equal">
      <formula>"Khớp"</formula>
    </cfRule>
    <cfRule type="cellIs" dxfId="38" priority="11" operator="equal">
      <formula>"Giải trình"</formula>
    </cfRule>
    <cfRule type="cellIs" dxfId="37" priority="12" operator="equal">
      <formula>"Cảnh báo"</formula>
    </cfRule>
    <cfRule type="cellIs" dxfId="36" priority="13" operator="equal">
      <formula>"Lỗi"</formula>
    </cfRule>
    <cfRule type="cellIs" dxfId="35" priority="14" operator="equal">
      <formula>"KXĐM"</formula>
    </cfRule>
  </conditionalFormatting>
  <conditionalFormatting sqref="I8:K307">
    <cfRule type="expression" dxfId="34" priority="4">
      <formula>AND(ISNUMBER(I8),MOD(I8,1)=0)</formula>
    </cfRule>
  </conditionalFormatting>
  <conditionalFormatting sqref="L8:L307">
    <cfRule type="cellIs" dxfId="33" priority="15" operator="equal">
      <formula>"Khớp"</formula>
    </cfRule>
    <cfRule type="cellIs" dxfId="32" priority="16" operator="equal">
      <formula>"Giải trình"</formula>
    </cfRule>
    <cfRule type="cellIs" dxfId="31" priority="17" operator="equal">
      <formula>"Cảnh báo"</formula>
    </cfRule>
    <cfRule type="cellIs" dxfId="30" priority="18" operator="equal">
      <formula>"Lỗi"</formula>
    </cfRule>
    <cfRule type="cellIs" dxfId="29" priority="19" operator="equal">
      <formula>"KXĐM"</formula>
    </cfRule>
  </conditionalFormatting>
  <conditionalFormatting sqref="M8:O307">
    <cfRule type="expression" dxfId="28" priority="7">
      <formula>AND(ISNUMBER(M8),MOD(M8,1)=0)</formula>
    </cfRule>
  </conditionalFormatting>
  <conditionalFormatting sqref="Q8:R307">
    <cfRule type="cellIs" dxfId="27" priority="20" operator="equal">
      <formula>"Khớp"</formula>
    </cfRule>
    <cfRule type="cellIs" dxfId="26" priority="21" operator="equal">
      <formula>"Giải trình"</formula>
    </cfRule>
    <cfRule type="cellIs" dxfId="25" priority="22" operator="equal">
      <formula>"Cảnh báo"</formula>
    </cfRule>
    <cfRule type="cellIs" dxfId="24" priority="23" operator="equal">
      <formula>"Lỗi"</formula>
    </cfRule>
    <cfRule type="cellIs" dxfId="23" priority="24" operator="equal">
      <formula>"KXĐM"</formula>
    </cfRule>
  </conditionalFormatting>
  <hyperlinks>
    <hyperlink ref="A3" r:id="rId1" xr:uid="{00000000-0004-0000-12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0AD47"/>
  </sheetPr>
  <dimension ref="A1:S307"/>
  <sheetViews>
    <sheetView showGridLines="0" workbookViewId="0">
      <pane xSplit="4" ySplit="7" topLeftCell="E8" activePane="bottomRight" state="frozen"/>
      <selection pane="topRight"/>
      <selection pane="bottomLeft"/>
      <selection pane="bottomRight"/>
    </sheetView>
  </sheetViews>
  <sheetFormatPr defaultRowHeight="14.4" x14ac:dyDescent="0.25"/>
  <cols>
    <col min="1" max="1" width="5" customWidth="1"/>
    <col min="2" max="2" width="11" customWidth="1"/>
    <col min="3" max="3" width="28" customWidth="1"/>
    <col min="4" max="4" width="8" customWidth="1"/>
    <col min="5" max="7" width="13" customWidth="1"/>
    <col min="8" max="8" width="11" customWidth="1"/>
    <col min="9" max="11" width="13" customWidth="1"/>
    <col min="12" max="12" width="11" customWidth="1"/>
    <col min="13" max="14" width="13" customWidth="1"/>
    <col min="15" max="15" width="11" customWidth="1"/>
    <col min="16" max="16" width="13" customWidth="1"/>
    <col min="17" max="17" width="11" customWidth="1"/>
    <col min="18" max="18" width="12" customWidth="1"/>
    <col min="19" max="19" width="75" customWidth="1"/>
  </cols>
  <sheetData>
    <row r="1" spans="1:19" ht="17.55" x14ac:dyDescent="0.3">
      <c r="A1" s="1" t="s">
        <v>411</v>
      </c>
    </row>
    <row r="2" spans="1:19" ht="30.05" customHeight="1" x14ac:dyDescent="0.25">
      <c r="A2" s="17" t="s">
        <v>394</v>
      </c>
    </row>
    <row r="3" spans="1:19" x14ac:dyDescent="0.25">
      <c r="A3" s="28" t="s">
        <v>4</v>
      </c>
    </row>
    <row r="4" spans="1:19" x14ac:dyDescent="0.25">
      <c r="A4" s="9" t="s">
        <v>395</v>
      </c>
      <c r="B4" s="43" t="str">
        <f>"Khớp: "&amp;COUNTIF(R8:R307,"Khớp")&amp;"   |   Giải trình: "&amp;COUNTIF(R8:R307,"Giải trình")&amp;"   |   Cảnh báo: "&amp;COUNTIF(R8:R307,"Cảnh báo")&amp;"   |   Lỗi: "&amp;COUNTIF(R8:R307,"Lỗi")&amp;"   (trên "&amp;COUNT(A8:A307)&amp;" mã)"</f>
        <v>Khớp: 3   |   Giải trình: 0   |   Cảnh báo: 0   |   Lỗi: 0   (trên 3 mã)</v>
      </c>
    </row>
    <row r="6" spans="1:19" ht="34" customHeight="1" x14ac:dyDescent="0.25">
      <c r="A6" s="67" t="s">
        <v>298</v>
      </c>
      <c r="B6" s="67" t="s">
        <v>396</v>
      </c>
      <c r="C6" s="67" t="s">
        <v>397</v>
      </c>
      <c r="D6" s="67" t="s">
        <v>377</v>
      </c>
      <c r="E6" s="67" t="s">
        <v>412</v>
      </c>
      <c r="F6" s="61"/>
      <c r="G6" s="61"/>
      <c r="H6" s="62"/>
      <c r="I6" s="67" t="s">
        <v>413</v>
      </c>
      <c r="J6" s="61"/>
      <c r="K6" s="61"/>
      <c r="L6" s="62"/>
      <c r="M6" s="67" t="s">
        <v>414</v>
      </c>
      <c r="N6" s="61"/>
      <c r="O6" s="62"/>
      <c r="P6" s="67" t="s">
        <v>415</v>
      </c>
      <c r="Q6" s="62"/>
      <c r="R6" s="67" t="s">
        <v>401</v>
      </c>
      <c r="S6" s="67" t="s">
        <v>402</v>
      </c>
    </row>
    <row r="7" spans="1:19" ht="58.1" customHeight="1" x14ac:dyDescent="0.25">
      <c r="A7" s="55"/>
      <c r="B7" s="55"/>
      <c r="C7" s="55"/>
      <c r="D7" s="55"/>
      <c r="E7" s="18" t="s">
        <v>403</v>
      </c>
      <c r="F7" s="18" t="s">
        <v>416</v>
      </c>
      <c r="G7" s="18" t="s">
        <v>405</v>
      </c>
      <c r="H7" s="18" t="s">
        <v>311</v>
      </c>
      <c r="I7" s="18" t="s">
        <v>417</v>
      </c>
      <c r="J7" s="18" t="s">
        <v>418</v>
      </c>
      <c r="K7" s="18" t="s">
        <v>405</v>
      </c>
      <c r="L7" s="18" t="s">
        <v>311</v>
      </c>
      <c r="M7" s="18" t="s">
        <v>419</v>
      </c>
      <c r="N7" s="18" t="s">
        <v>420</v>
      </c>
      <c r="O7" s="18" t="s">
        <v>311</v>
      </c>
      <c r="P7" s="18" t="s">
        <v>421</v>
      </c>
      <c r="Q7" s="18" t="s">
        <v>311</v>
      </c>
      <c r="R7" s="55"/>
      <c r="S7" s="55"/>
    </row>
    <row r="8" spans="1:19" x14ac:dyDescent="0.25">
      <c r="A8" s="36">
        <f>IF(B8="","",1)</f>
        <v>1</v>
      </c>
      <c r="B8" s="36" t="str">
        <f>Mau15a!B11&amp;""</f>
        <v>AO01</v>
      </c>
      <c r="C8" s="47" t="str">
        <f>IF(B8="","",Mau15a!C11)</f>
        <v>Áo jacket nam</v>
      </c>
      <c r="D8" s="36" t="str">
        <f>IF(B8="","",Mau15a!D11)</f>
        <v>PCE</v>
      </c>
      <c r="E8" s="48">
        <f>IF($B8="","",Mau15a!P11)</f>
        <v>9800</v>
      </c>
      <c r="F8" s="48">
        <f>IF($B8="","",Mau15a!I11)</f>
        <v>9800</v>
      </c>
      <c r="G8" s="48">
        <f t="shared" ref="G8:G71" si="0">IF($B8="","",N(E8)-N(F8))</f>
        <v>0</v>
      </c>
      <c r="H8" s="49" t="str">
        <f t="shared" ref="H8:H71" si="1">IF($B8="","",IF(ABS(G8)&lt;0.000001,"Khớp","Giải trình"))</f>
        <v>Khớp</v>
      </c>
      <c r="I8" s="48">
        <f>IF($B8="","",Mau15a!K11)</f>
        <v>680</v>
      </c>
      <c r="J8" s="48">
        <f>IF($B8="","",Mau15a!M11)</f>
        <v>680</v>
      </c>
      <c r="K8" s="48">
        <f t="shared" ref="K8:K71" si="2">IF($B8="","",N(I8)-N(J8))</f>
        <v>0</v>
      </c>
      <c r="L8" s="49" t="str">
        <f t="shared" ref="L8:L71" si="3">IF($B8="","",IF(ABS(K8)&lt;0.000001,"Khớp","Lỗi"))</f>
        <v>Khớp</v>
      </c>
      <c r="M8" s="48">
        <f>IF($B8="","",Mau15a!F11)</f>
        <v>10000</v>
      </c>
      <c r="N8" s="51">
        <f>IF($B8="","",COUNTIF(BOM!$A$5:$A$1004,B8))</f>
        <v>7</v>
      </c>
      <c r="O8" s="49" t="str">
        <f t="shared" ref="O8:O71" si="4">IF($B8="","",IF(AND(N(M8)&gt;0,N8=0),"Lỗi","Khớp"))</f>
        <v>Khớp</v>
      </c>
      <c r="P8" s="51">
        <f>IF($B8="","",COUNTIFS(KT_nguoc_theo_SP!$B$5:$B$1004,B8,KT_nguoc_theo_SP!$M$5:$M$1004,"Xem xét"))</f>
        <v>0</v>
      </c>
      <c r="Q8" s="49" t="str">
        <f t="shared" ref="Q8:Q71" si="5">IF($B8="","",IF(P8&gt;0,"Cảnh báo","Khớp"))</f>
        <v>Khớp</v>
      </c>
      <c r="R8" s="49" t="str">
        <f t="shared" ref="R8:R71" si="6">IF(B8="","",IF(COUNTIF(H8:Q8,"Lỗi")&gt;0,"Lỗi",IF(COUNTIF(H8:Q8,"Cảnh báo")&gt;0,"Cảnh báo",IF(COUNTIF(H8:Q8,"Giải trình")&gt;0,"Giải trình","Khớp"))))</f>
        <v>Khớp</v>
      </c>
      <c r="S8" s="31" t="str">
        <f t="shared" ref="S8:S71" si="7">IF(B8="","",IF(G8&gt;0,"Xuất khẩu: tờ khai nhiều hơn xuất kho "&amp;TEXT(G8,IF(MOD(G8,1)=0,"#,##0","#,##0.######"))&amp;" – hàng đã thông quan chưa xuất kho, ghi số tờ khai tại Ghi chú khác Mẫu 15a; ","")&amp;IF(G8&lt;0,"Xuất khẩu: xuất kho nhiều hơn tờ khai "&amp;TEXT(ABS(G8),IF(MOD(ABS(G8),1)=0,"#,##0","#,##0.######"))&amp;" – xuất kho chưa đăng ký tờ khai (ghi cột 10) hoặc tờ khai kỳ trước – rà soát; ","")&amp;IF(N(K8)&lt;&gt;0,"Tồn cuối lệch kiểm kê "&amp;TEXT(K8,IF(MOD(K8,1)=0,"#,##0","#,##0.######"))&amp;" – rà soát cột (5)–(10) hoặc số kiểm kê; ","")&amp;IF(O8="Lỗi","Có thành phẩm nhập kho nhưng chưa khai định mức trên Mẫu 16 (sheet BOM); ","")&amp;IF(Q8="Cảnh báo",P8&amp;" dòng định mức lệch BOM/kiểm tra ngược quá ngưỡng – xem sheet KT_nguoc_theo_SP; ",""))</f>
        <v/>
      </c>
    </row>
    <row r="9" spans="1:19" x14ac:dyDescent="0.25">
      <c r="A9" s="36">
        <f>IF(B9="","",2)</f>
        <v>2</v>
      </c>
      <c r="B9" s="36" t="str">
        <f>Mau15a!B12&amp;""</f>
        <v>QUAN01</v>
      </c>
      <c r="C9" s="47" t="str">
        <f>IF(B9="","",Mau15a!C12)</f>
        <v>Quần dài nam</v>
      </c>
      <c r="D9" s="36" t="str">
        <f>IF(B9="","",Mau15a!D12)</f>
        <v>PCE</v>
      </c>
      <c r="E9" s="48">
        <f>IF($B9="","",Mau15a!P12)</f>
        <v>7900</v>
      </c>
      <c r="F9" s="48">
        <f>IF($B9="","",Mau15a!I12)</f>
        <v>7900</v>
      </c>
      <c r="G9" s="48">
        <f t="shared" si="0"/>
        <v>0</v>
      </c>
      <c r="H9" s="49" t="str">
        <f t="shared" si="1"/>
        <v>Khớp</v>
      </c>
      <c r="I9" s="48">
        <f>IF($B9="","",Mau15a!K12)</f>
        <v>400</v>
      </c>
      <c r="J9" s="48">
        <f>IF($B9="","",Mau15a!M12)</f>
        <v>400</v>
      </c>
      <c r="K9" s="48">
        <f t="shared" si="2"/>
        <v>0</v>
      </c>
      <c r="L9" s="49" t="str">
        <f t="shared" si="3"/>
        <v>Khớp</v>
      </c>
      <c r="M9" s="48">
        <f>IF($B9="","",Mau15a!F12)</f>
        <v>8000</v>
      </c>
      <c r="N9" s="51">
        <f>IF($B9="","",COUNTIF(BOM!$A$5:$A$1004,B9))</f>
        <v>7</v>
      </c>
      <c r="O9" s="49" t="str">
        <f t="shared" si="4"/>
        <v>Khớp</v>
      </c>
      <c r="P9" s="51">
        <f>IF($B9="","",COUNTIFS(KT_nguoc_theo_SP!$B$5:$B$1004,B9,KT_nguoc_theo_SP!$M$5:$M$1004,"Xem xét"))</f>
        <v>0</v>
      </c>
      <c r="Q9" s="49" t="str">
        <f t="shared" si="5"/>
        <v>Khớp</v>
      </c>
      <c r="R9" s="49" t="str">
        <f t="shared" si="6"/>
        <v>Khớp</v>
      </c>
      <c r="S9" s="31" t="str">
        <f t="shared" si="7"/>
        <v/>
      </c>
    </row>
    <row r="10" spans="1:19" x14ac:dyDescent="0.25">
      <c r="A10" s="36">
        <f>IF(B10="","",3)</f>
        <v>3</v>
      </c>
      <c r="B10" s="36" t="str">
        <f>Mau15a!B13&amp;""</f>
        <v>VAY01</v>
      </c>
      <c r="C10" s="47" t="str">
        <f>IF(B10="","",Mau15a!C13)</f>
        <v>Váy nữ</v>
      </c>
      <c r="D10" s="36" t="str">
        <f>IF(B10="","",Mau15a!D13)</f>
        <v>PCE</v>
      </c>
      <c r="E10" s="48">
        <f>IF($B10="","",Mau15a!P13)</f>
        <v>4800</v>
      </c>
      <c r="F10" s="48">
        <f>IF($B10="","",Mau15a!I13)</f>
        <v>4800</v>
      </c>
      <c r="G10" s="48">
        <f t="shared" si="0"/>
        <v>0</v>
      </c>
      <c r="H10" s="49" t="str">
        <f t="shared" si="1"/>
        <v>Khớp</v>
      </c>
      <c r="I10" s="48">
        <f>IF($B10="","",Mau15a!K13)</f>
        <v>195</v>
      </c>
      <c r="J10" s="48">
        <f>IF($B10="","",Mau15a!M13)</f>
        <v>195</v>
      </c>
      <c r="K10" s="48">
        <f t="shared" si="2"/>
        <v>0</v>
      </c>
      <c r="L10" s="49" t="str">
        <f t="shared" si="3"/>
        <v>Khớp</v>
      </c>
      <c r="M10" s="48">
        <f>IF($B10="","",Mau15a!F13)</f>
        <v>5000</v>
      </c>
      <c r="N10" s="51">
        <f>IF($B10="","",COUNTIF(BOM!$A$5:$A$1004,B10))</f>
        <v>5</v>
      </c>
      <c r="O10" s="49" t="str">
        <f t="shared" si="4"/>
        <v>Khớp</v>
      </c>
      <c r="P10" s="51">
        <f>IF($B10="","",COUNTIFS(KT_nguoc_theo_SP!$B$5:$B$1004,B10,KT_nguoc_theo_SP!$M$5:$M$1004,"Xem xét"))</f>
        <v>0</v>
      </c>
      <c r="Q10" s="49" t="str">
        <f t="shared" si="5"/>
        <v>Khớp</v>
      </c>
      <c r="R10" s="49" t="str">
        <f t="shared" si="6"/>
        <v>Khớp</v>
      </c>
      <c r="S10" s="31" t="str">
        <f t="shared" si="7"/>
        <v/>
      </c>
    </row>
    <row r="11" spans="1:19" x14ac:dyDescent="0.25">
      <c r="A11" s="36" t="str">
        <f>IF(B11="","",4)</f>
        <v/>
      </c>
      <c r="B11" s="36" t="str">
        <f>Mau15a!B14&amp;""</f>
        <v/>
      </c>
      <c r="C11" s="47" t="str">
        <f>IF(B11="","",Mau15a!C14)</f>
        <v/>
      </c>
      <c r="D11" s="36" t="str">
        <f>IF(B11="","",Mau15a!D14)</f>
        <v/>
      </c>
      <c r="E11" s="48" t="str">
        <f>IF($B11="","",Mau15a!P14)</f>
        <v/>
      </c>
      <c r="F11" s="48" t="str">
        <f>IF($B11="","",Mau15a!I14)</f>
        <v/>
      </c>
      <c r="G11" s="48" t="str">
        <f t="shared" si="0"/>
        <v/>
      </c>
      <c r="H11" s="49" t="str">
        <f t="shared" si="1"/>
        <v/>
      </c>
      <c r="I11" s="48" t="str">
        <f>IF($B11="","",Mau15a!K14)</f>
        <v/>
      </c>
      <c r="J11" s="48" t="str">
        <f>IF($B11="","",Mau15a!M14)</f>
        <v/>
      </c>
      <c r="K11" s="48" t="str">
        <f t="shared" si="2"/>
        <v/>
      </c>
      <c r="L11" s="49" t="str">
        <f t="shared" si="3"/>
        <v/>
      </c>
      <c r="M11" s="48" t="str">
        <f>IF($B11="","",Mau15a!F14)</f>
        <v/>
      </c>
      <c r="N11" s="51" t="str">
        <f>IF($B11="","",COUNTIF(BOM!$A$5:$A$1004,B11))</f>
        <v/>
      </c>
      <c r="O11" s="49" t="str">
        <f t="shared" si="4"/>
        <v/>
      </c>
      <c r="P11" s="51" t="str">
        <f>IF($B11="","",COUNTIFS(KT_nguoc_theo_SP!$B$5:$B$1004,B11,KT_nguoc_theo_SP!$M$5:$M$1004,"Xem xét"))</f>
        <v/>
      </c>
      <c r="Q11" s="49" t="str">
        <f t="shared" si="5"/>
        <v/>
      </c>
      <c r="R11" s="49" t="str">
        <f t="shared" si="6"/>
        <v/>
      </c>
      <c r="S11" s="31" t="str">
        <f t="shared" si="7"/>
        <v/>
      </c>
    </row>
    <row r="12" spans="1:19" x14ac:dyDescent="0.25">
      <c r="A12" s="36" t="str">
        <f>IF(B12="","",5)</f>
        <v/>
      </c>
      <c r="B12" s="36" t="str">
        <f>Mau15a!B15&amp;""</f>
        <v/>
      </c>
      <c r="C12" s="47" t="str">
        <f>IF(B12="","",Mau15a!C15)</f>
        <v/>
      </c>
      <c r="D12" s="36" t="str">
        <f>IF(B12="","",Mau15a!D15)</f>
        <v/>
      </c>
      <c r="E12" s="48" t="str">
        <f>IF($B12="","",Mau15a!P15)</f>
        <v/>
      </c>
      <c r="F12" s="48" t="str">
        <f>IF($B12="","",Mau15a!I15)</f>
        <v/>
      </c>
      <c r="G12" s="48" t="str">
        <f t="shared" si="0"/>
        <v/>
      </c>
      <c r="H12" s="49" t="str">
        <f t="shared" si="1"/>
        <v/>
      </c>
      <c r="I12" s="48" t="str">
        <f>IF($B12="","",Mau15a!K15)</f>
        <v/>
      </c>
      <c r="J12" s="48" t="str">
        <f>IF($B12="","",Mau15a!M15)</f>
        <v/>
      </c>
      <c r="K12" s="48" t="str">
        <f t="shared" si="2"/>
        <v/>
      </c>
      <c r="L12" s="49" t="str">
        <f t="shared" si="3"/>
        <v/>
      </c>
      <c r="M12" s="48" t="str">
        <f>IF($B12="","",Mau15a!F15)</f>
        <v/>
      </c>
      <c r="N12" s="51" t="str">
        <f>IF($B12="","",COUNTIF(BOM!$A$5:$A$1004,B12))</f>
        <v/>
      </c>
      <c r="O12" s="49" t="str">
        <f t="shared" si="4"/>
        <v/>
      </c>
      <c r="P12" s="51" t="str">
        <f>IF($B12="","",COUNTIFS(KT_nguoc_theo_SP!$B$5:$B$1004,B12,KT_nguoc_theo_SP!$M$5:$M$1004,"Xem xét"))</f>
        <v/>
      </c>
      <c r="Q12" s="49" t="str">
        <f t="shared" si="5"/>
        <v/>
      </c>
      <c r="R12" s="49" t="str">
        <f t="shared" si="6"/>
        <v/>
      </c>
      <c r="S12" s="31" t="str">
        <f t="shared" si="7"/>
        <v/>
      </c>
    </row>
    <row r="13" spans="1:19" x14ac:dyDescent="0.25">
      <c r="A13" s="36" t="str">
        <f>IF(B13="","",6)</f>
        <v/>
      </c>
      <c r="B13" s="36" t="str">
        <f>Mau15a!B16&amp;""</f>
        <v/>
      </c>
      <c r="C13" s="47" t="str">
        <f>IF(B13="","",Mau15a!C16)</f>
        <v/>
      </c>
      <c r="D13" s="36" t="str">
        <f>IF(B13="","",Mau15a!D16)</f>
        <v/>
      </c>
      <c r="E13" s="48" t="str">
        <f>IF($B13="","",Mau15a!P16)</f>
        <v/>
      </c>
      <c r="F13" s="48" t="str">
        <f>IF($B13="","",Mau15a!I16)</f>
        <v/>
      </c>
      <c r="G13" s="48" t="str">
        <f t="shared" si="0"/>
        <v/>
      </c>
      <c r="H13" s="49" t="str">
        <f t="shared" si="1"/>
        <v/>
      </c>
      <c r="I13" s="48" t="str">
        <f>IF($B13="","",Mau15a!K16)</f>
        <v/>
      </c>
      <c r="J13" s="48" t="str">
        <f>IF($B13="","",Mau15a!M16)</f>
        <v/>
      </c>
      <c r="K13" s="48" t="str">
        <f t="shared" si="2"/>
        <v/>
      </c>
      <c r="L13" s="49" t="str">
        <f t="shared" si="3"/>
        <v/>
      </c>
      <c r="M13" s="48" t="str">
        <f>IF($B13="","",Mau15a!F16)</f>
        <v/>
      </c>
      <c r="N13" s="51" t="str">
        <f>IF($B13="","",COUNTIF(BOM!$A$5:$A$1004,B13))</f>
        <v/>
      </c>
      <c r="O13" s="49" t="str">
        <f t="shared" si="4"/>
        <v/>
      </c>
      <c r="P13" s="51" t="str">
        <f>IF($B13="","",COUNTIFS(KT_nguoc_theo_SP!$B$5:$B$1004,B13,KT_nguoc_theo_SP!$M$5:$M$1004,"Xem xét"))</f>
        <v/>
      </c>
      <c r="Q13" s="49" t="str">
        <f t="shared" si="5"/>
        <v/>
      </c>
      <c r="R13" s="49" t="str">
        <f t="shared" si="6"/>
        <v/>
      </c>
      <c r="S13" s="31" t="str">
        <f t="shared" si="7"/>
        <v/>
      </c>
    </row>
    <row r="14" spans="1:19" x14ac:dyDescent="0.25">
      <c r="A14" s="36" t="str">
        <f>IF(B14="","",7)</f>
        <v/>
      </c>
      <c r="B14" s="36" t="str">
        <f>Mau15a!B17&amp;""</f>
        <v/>
      </c>
      <c r="C14" s="47" t="str">
        <f>IF(B14="","",Mau15a!C17)</f>
        <v/>
      </c>
      <c r="D14" s="36" t="str">
        <f>IF(B14="","",Mau15a!D17)</f>
        <v/>
      </c>
      <c r="E14" s="48" t="str">
        <f>IF($B14="","",Mau15a!P17)</f>
        <v/>
      </c>
      <c r="F14" s="48" t="str">
        <f>IF($B14="","",Mau15a!I17)</f>
        <v/>
      </c>
      <c r="G14" s="48" t="str">
        <f t="shared" si="0"/>
        <v/>
      </c>
      <c r="H14" s="49" t="str">
        <f t="shared" si="1"/>
        <v/>
      </c>
      <c r="I14" s="48" t="str">
        <f>IF($B14="","",Mau15a!K17)</f>
        <v/>
      </c>
      <c r="J14" s="48" t="str">
        <f>IF($B14="","",Mau15a!M17)</f>
        <v/>
      </c>
      <c r="K14" s="48" t="str">
        <f t="shared" si="2"/>
        <v/>
      </c>
      <c r="L14" s="49" t="str">
        <f t="shared" si="3"/>
        <v/>
      </c>
      <c r="M14" s="48" t="str">
        <f>IF($B14="","",Mau15a!F17)</f>
        <v/>
      </c>
      <c r="N14" s="51" t="str">
        <f>IF($B14="","",COUNTIF(BOM!$A$5:$A$1004,B14))</f>
        <v/>
      </c>
      <c r="O14" s="49" t="str">
        <f t="shared" si="4"/>
        <v/>
      </c>
      <c r="P14" s="51" t="str">
        <f>IF($B14="","",COUNTIFS(KT_nguoc_theo_SP!$B$5:$B$1004,B14,KT_nguoc_theo_SP!$M$5:$M$1004,"Xem xét"))</f>
        <v/>
      </c>
      <c r="Q14" s="49" t="str">
        <f t="shared" si="5"/>
        <v/>
      </c>
      <c r="R14" s="49" t="str">
        <f t="shared" si="6"/>
        <v/>
      </c>
      <c r="S14" s="31" t="str">
        <f t="shared" si="7"/>
        <v/>
      </c>
    </row>
    <row r="15" spans="1:19" x14ac:dyDescent="0.25">
      <c r="A15" s="36" t="str">
        <f>IF(B15="","",8)</f>
        <v/>
      </c>
      <c r="B15" s="36" t="str">
        <f>Mau15a!B18&amp;""</f>
        <v/>
      </c>
      <c r="C15" s="47" t="str">
        <f>IF(B15="","",Mau15a!C18)</f>
        <v/>
      </c>
      <c r="D15" s="36" t="str">
        <f>IF(B15="","",Mau15a!D18)</f>
        <v/>
      </c>
      <c r="E15" s="48" t="str">
        <f>IF($B15="","",Mau15a!P18)</f>
        <v/>
      </c>
      <c r="F15" s="48" t="str">
        <f>IF($B15="","",Mau15a!I18)</f>
        <v/>
      </c>
      <c r="G15" s="48" t="str">
        <f t="shared" si="0"/>
        <v/>
      </c>
      <c r="H15" s="49" t="str">
        <f t="shared" si="1"/>
        <v/>
      </c>
      <c r="I15" s="48" t="str">
        <f>IF($B15="","",Mau15a!K18)</f>
        <v/>
      </c>
      <c r="J15" s="48" t="str">
        <f>IF($B15="","",Mau15a!M18)</f>
        <v/>
      </c>
      <c r="K15" s="48" t="str">
        <f t="shared" si="2"/>
        <v/>
      </c>
      <c r="L15" s="49" t="str">
        <f t="shared" si="3"/>
        <v/>
      </c>
      <c r="M15" s="48" t="str">
        <f>IF($B15="","",Mau15a!F18)</f>
        <v/>
      </c>
      <c r="N15" s="51" t="str">
        <f>IF($B15="","",COUNTIF(BOM!$A$5:$A$1004,B15))</f>
        <v/>
      </c>
      <c r="O15" s="49" t="str">
        <f t="shared" si="4"/>
        <v/>
      </c>
      <c r="P15" s="51" t="str">
        <f>IF($B15="","",COUNTIFS(KT_nguoc_theo_SP!$B$5:$B$1004,B15,KT_nguoc_theo_SP!$M$5:$M$1004,"Xem xét"))</f>
        <v/>
      </c>
      <c r="Q15" s="49" t="str">
        <f t="shared" si="5"/>
        <v/>
      </c>
      <c r="R15" s="49" t="str">
        <f t="shared" si="6"/>
        <v/>
      </c>
      <c r="S15" s="31" t="str">
        <f t="shared" si="7"/>
        <v/>
      </c>
    </row>
    <row r="16" spans="1:19" x14ac:dyDescent="0.25">
      <c r="A16" s="36" t="str">
        <f>IF(B16="","",9)</f>
        <v/>
      </c>
      <c r="B16" s="36" t="str">
        <f>Mau15a!B19&amp;""</f>
        <v/>
      </c>
      <c r="C16" s="47" t="str">
        <f>IF(B16="","",Mau15a!C19)</f>
        <v/>
      </c>
      <c r="D16" s="36" t="str">
        <f>IF(B16="","",Mau15a!D19)</f>
        <v/>
      </c>
      <c r="E16" s="48" t="str">
        <f>IF($B16="","",Mau15a!P19)</f>
        <v/>
      </c>
      <c r="F16" s="48" t="str">
        <f>IF($B16="","",Mau15a!I19)</f>
        <v/>
      </c>
      <c r="G16" s="48" t="str">
        <f t="shared" si="0"/>
        <v/>
      </c>
      <c r="H16" s="49" t="str">
        <f t="shared" si="1"/>
        <v/>
      </c>
      <c r="I16" s="48" t="str">
        <f>IF($B16="","",Mau15a!K19)</f>
        <v/>
      </c>
      <c r="J16" s="48" t="str">
        <f>IF($B16="","",Mau15a!M19)</f>
        <v/>
      </c>
      <c r="K16" s="48" t="str">
        <f t="shared" si="2"/>
        <v/>
      </c>
      <c r="L16" s="49" t="str">
        <f t="shared" si="3"/>
        <v/>
      </c>
      <c r="M16" s="48" t="str">
        <f>IF($B16="","",Mau15a!F19)</f>
        <v/>
      </c>
      <c r="N16" s="51" t="str">
        <f>IF($B16="","",COUNTIF(BOM!$A$5:$A$1004,B16))</f>
        <v/>
      </c>
      <c r="O16" s="49" t="str">
        <f t="shared" si="4"/>
        <v/>
      </c>
      <c r="P16" s="51" t="str">
        <f>IF($B16="","",COUNTIFS(KT_nguoc_theo_SP!$B$5:$B$1004,B16,KT_nguoc_theo_SP!$M$5:$M$1004,"Xem xét"))</f>
        <v/>
      </c>
      <c r="Q16" s="49" t="str">
        <f t="shared" si="5"/>
        <v/>
      </c>
      <c r="R16" s="49" t="str">
        <f t="shared" si="6"/>
        <v/>
      </c>
      <c r="S16" s="31" t="str">
        <f t="shared" si="7"/>
        <v/>
      </c>
    </row>
    <row r="17" spans="1:19" x14ac:dyDescent="0.25">
      <c r="A17" s="36" t="str">
        <f>IF(B17="","",10)</f>
        <v/>
      </c>
      <c r="B17" s="36" t="str">
        <f>Mau15a!B20&amp;""</f>
        <v/>
      </c>
      <c r="C17" s="47" t="str">
        <f>IF(B17="","",Mau15a!C20)</f>
        <v/>
      </c>
      <c r="D17" s="36" t="str">
        <f>IF(B17="","",Mau15a!D20)</f>
        <v/>
      </c>
      <c r="E17" s="48" t="str">
        <f>IF($B17="","",Mau15a!P20)</f>
        <v/>
      </c>
      <c r="F17" s="48" t="str">
        <f>IF($B17="","",Mau15a!I20)</f>
        <v/>
      </c>
      <c r="G17" s="48" t="str">
        <f t="shared" si="0"/>
        <v/>
      </c>
      <c r="H17" s="49" t="str">
        <f t="shared" si="1"/>
        <v/>
      </c>
      <c r="I17" s="48" t="str">
        <f>IF($B17="","",Mau15a!K20)</f>
        <v/>
      </c>
      <c r="J17" s="48" t="str">
        <f>IF($B17="","",Mau15a!M20)</f>
        <v/>
      </c>
      <c r="K17" s="48" t="str">
        <f t="shared" si="2"/>
        <v/>
      </c>
      <c r="L17" s="49" t="str">
        <f t="shared" si="3"/>
        <v/>
      </c>
      <c r="M17" s="48" t="str">
        <f>IF($B17="","",Mau15a!F20)</f>
        <v/>
      </c>
      <c r="N17" s="51" t="str">
        <f>IF($B17="","",COUNTIF(BOM!$A$5:$A$1004,B17))</f>
        <v/>
      </c>
      <c r="O17" s="49" t="str">
        <f t="shared" si="4"/>
        <v/>
      </c>
      <c r="P17" s="51" t="str">
        <f>IF($B17="","",COUNTIFS(KT_nguoc_theo_SP!$B$5:$B$1004,B17,KT_nguoc_theo_SP!$M$5:$M$1004,"Xem xét"))</f>
        <v/>
      </c>
      <c r="Q17" s="49" t="str">
        <f t="shared" si="5"/>
        <v/>
      </c>
      <c r="R17" s="49" t="str">
        <f t="shared" si="6"/>
        <v/>
      </c>
      <c r="S17" s="31" t="str">
        <f t="shared" si="7"/>
        <v/>
      </c>
    </row>
    <row r="18" spans="1:19" x14ac:dyDescent="0.25">
      <c r="A18" s="36" t="str">
        <f>IF(B18="","",11)</f>
        <v/>
      </c>
      <c r="B18" s="36" t="str">
        <f>Mau15a!B21&amp;""</f>
        <v/>
      </c>
      <c r="C18" s="47" t="str">
        <f>IF(B18="","",Mau15a!C21)</f>
        <v/>
      </c>
      <c r="D18" s="36" t="str">
        <f>IF(B18="","",Mau15a!D21)</f>
        <v/>
      </c>
      <c r="E18" s="48" t="str">
        <f>IF($B18="","",Mau15a!P21)</f>
        <v/>
      </c>
      <c r="F18" s="48" t="str">
        <f>IF($B18="","",Mau15a!I21)</f>
        <v/>
      </c>
      <c r="G18" s="48" t="str">
        <f t="shared" si="0"/>
        <v/>
      </c>
      <c r="H18" s="49" t="str">
        <f t="shared" si="1"/>
        <v/>
      </c>
      <c r="I18" s="48" t="str">
        <f>IF($B18="","",Mau15a!K21)</f>
        <v/>
      </c>
      <c r="J18" s="48" t="str">
        <f>IF($B18="","",Mau15a!M21)</f>
        <v/>
      </c>
      <c r="K18" s="48" t="str">
        <f t="shared" si="2"/>
        <v/>
      </c>
      <c r="L18" s="49" t="str">
        <f t="shared" si="3"/>
        <v/>
      </c>
      <c r="M18" s="48" t="str">
        <f>IF($B18="","",Mau15a!F21)</f>
        <v/>
      </c>
      <c r="N18" s="51" t="str">
        <f>IF($B18="","",COUNTIF(BOM!$A$5:$A$1004,B18))</f>
        <v/>
      </c>
      <c r="O18" s="49" t="str">
        <f t="shared" si="4"/>
        <v/>
      </c>
      <c r="P18" s="51" t="str">
        <f>IF($B18="","",COUNTIFS(KT_nguoc_theo_SP!$B$5:$B$1004,B18,KT_nguoc_theo_SP!$M$5:$M$1004,"Xem xét"))</f>
        <v/>
      </c>
      <c r="Q18" s="49" t="str">
        <f t="shared" si="5"/>
        <v/>
      </c>
      <c r="R18" s="49" t="str">
        <f t="shared" si="6"/>
        <v/>
      </c>
      <c r="S18" s="31" t="str">
        <f t="shared" si="7"/>
        <v/>
      </c>
    </row>
    <row r="19" spans="1:19" x14ac:dyDescent="0.25">
      <c r="A19" s="36" t="str">
        <f>IF(B19="","",12)</f>
        <v/>
      </c>
      <c r="B19" s="36" t="str">
        <f>Mau15a!B22&amp;""</f>
        <v/>
      </c>
      <c r="C19" s="47" t="str">
        <f>IF(B19="","",Mau15a!C22)</f>
        <v/>
      </c>
      <c r="D19" s="36" t="str">
        <f>IF(B19="","",Mau15a!D22)</f>
        <v/>
      </c>
      <c r="E19" s="48" t="str">
        <f>IF($B19="","",Mau15a!P22)</f>
        <v/>
      </c>
      <c r="F19" s="48" t="str">
        <f>IF($B19="","",Mau15a!I22)</f>
        <v/>
      </c>
      <c r="G19" s="48" t="str">
        <f t="shared" si="0"/>
        <v/>
      </c>
      <c r="H19" s="49" t="str">
        <f t="shared" si="1"/>
        <v/>
      </c>
      <c r="I19" s="48" t="str">
        <f>IF($B19="","",Mau15a!K22)</f>
        <v/>
      </c>
      <c r="J19" s="48" t="str">
        <f>IF($B19="","",Mau15a!M22)</f>
        <v/>
      </c>
      <c r="K19" s="48" t="str">
        <f t="shared" si="2"/>
        <v/>
      </c>
      <c r="L19" s="49" t="str">
        <f t="shared" si="3"/>
        <v/>
      </c>
      <c r="M19" s="48" t="str">
        <f>IF($B19="","",Mau15a!F22)</f>
        <v/>
      </c>
      <c r="N19" s="51" t="str">
        <f>IF($B19="","",COUNTIF(BOM!$A$5:$A$1004,B19))</f>
        <v/>
      </c>
      <c r="O19" s="49" t="str">
        <f t="shared" si="4"/>
        <v/>
      </c>
      <c r="P19" s="51" t="str">
        <f>IF($B19="","",COUNTIFS(KT_nguoc_theo_SP!$B$5:$B$1004,B19,KT_nguoc_theo_SP!$M$5:$M$1004,"Xem xét"))</f>
        <v/>
      </c>
      <c r="Q19" s="49" t="str">
        <f t="shared" si="5"/>
        <v/>
      </c>
      <c r="R19" s="49" t="str">
        <f t="shared" si="6"/>
        <v/>
      </c>
      <c r="S19" s="31" t="str">
        <f t="shared" si="7"/>
        <v/>
      </c>
    </row>
    <row r="20" spans="1:19" x14ac:dyDescent="0.25">
      <c r="A20" s="36" t="str">
        <f>IF(B20="","",13)</f>
        <v/>
      </c>
      <c r="B20" s="36" t="str">
        <f>Mau15a!B23&amp;""</f>
        <v/>
      </c>
      <c r="C20" s="47" t="str">
        <f>IF(B20="","",Mau15a!C23)</f>
        <v/>
      </c>
      <c r="D20" s="36" t="str">
        <f>IF(B20="","",Mau15a!D23)</f>
        <v/>
      </c>
      <c r="E20" s="48" t="str">
        <f>IF($B20="","",Mau15a!P23)</f>
        <v/>
      </c>
      <c r="F20" s="48" t="str">
        <f>IF($B20="","",Mau15a!I23)</f>
        <v/>
      </c>
      <c r="G20" s="48" t="str">
        <f t="shared" si="0"/>
        <v/>
      </c>
      <c r="H20" s="49" t="str">
        <f t="shared" si="1"/>
        <v/>
      </c>
      <c r="I20" s="48" t="str">
        <f>IF($B20="","",Mau15a!K23)</f>
        <v/>
      </c>
      <c r="J20" s="48" t="str">
        <f>IF($B20="","",Mau15a!M23)</f>
        <v/>
      </c>
      <c r="K20" s="48" t="str">
        <f t="shared" si="2"/>
        <v/>
      </c>
      <c r="L20" s="49" t="str">
        <f t="shared" si="3"/>
        <v/>
      </c>
      <c r="M20" s="48" t="str">
        <f>IF($B20="","",Mau15a!F23)</f>
        <v/>
      </c>
      <c r="N20" s="51" t="str">
        <f>IF($B20="","",COUNTIF(BOM!$A$5:$A$1004,B20))</f>
        <v/>
      </c>
      <c r="O20" s="49" t="str">
        <f t="shared" si="4"/>
        <v/>
      </c>
      <c r="P20" s="51" t="str">
        <f>IF($B20="","",COUNTIFS(KT_nguoc_theo_SP!$B$5:$B$1004,B20,KT_nguoc_theo_SP!$M$5:$M$1004,"Xem xét"))</f>
        <v/>
      </c>
      <c r="Q20" s="49" t="str">
        <f t="shared" si="5"/>
        <v/>
      </c>
      <c r="R20" s="49" t="str">
        <f t="shared" si="6"/>
        <v/>
      </c>
      <c r="S20" s="31" t="str">
        <f t="shared" si="7"/>
        <v/>
      </c>
    </row>
    <row r="21" spans="1:19" x14ac:dyDescent="0.25">
      <c r="A21" s="36" t="str">
        <f>IF(B21="","",14)</f>
        <v/>
      </c>
      <c r="B21" s="36" t="str">
        <f>Mau15a!B24&amp;""</f>
        <v/>
      </c>
      <c r="C21" s="47" t="str">
        <f>IF(B21="","",Mau15a!C24)</f>
        <v/>
      </c>
      <c r="D21" s="36" t="str">
        <f>IF(B21="","",Mau15a!D24)</f>
        <v/>
      </c>
      <c r="E21" s="48" t="str">
        <f>IF($B21="","",Mau15a!P24)</f>
        <v/>
      </c>
      <c r="F21" s="48" t="str">
        <f>IF($B21="","",Mau15a!I24)</f>
        <v/>
      </c>
      <c r="G21" s="48" t="str">
        <f t="shared" si="0"/>
        <v/>
      </c>
      <c r="H21" s="49" t="str">
        <f t="shared" si="1"/>
        <v/>
      </c>
      <c r="I21" s="48" t="str">
        <f>IF($B21="","",Mau15a!K24)</f>
        <v/>
      </c>
      <c r="J21" s="48" t="str">
        <f>IF($B21="","",Mau15a!M24)</f>
        <v/>
      </c>
      <c r="K21" s="48" t="str">
        <f t="shared" si="2"/>
        <v/>
      </c>
      <c r="L21" s="49" t="str">
        <f t="shared" si="3"/>
        <v/>
      </c>
      <c r="M21" s="48" t="str">
        <f>IF($B21="","",Mau15a!F24)</f>
        <v/>
      </c>
      <c r="N21" s="51" t="str">
        <f>IF($B21="","",COUNTIF(BOM!$A$5:$A$1004,B21))</f>
        <v/>
      </c>
      <c r="O21" s="49" t="str">
        <f t="shared" si="4"/>
        <v/>
      </c>
      <c r="P21" s="51" t="str">
        <f>IF($B21="","",COUNTIFS(KT_nguoc_theo_SP!$B$5:$B$1004,B21,KT_nguoc_theo_SP!$M$5:$M$1004,"Xem xét"))</f>
        <v/>
      </c>
      <c r="Q21" s="49" t="str">
        <f t="shared" si="5"/>
        <v/>
      </c>
      <c r="R21" s="49" t="str">
        <f t="shared" si="6"/>
        <v/>
      </c>
      <c r="S21" s="31" t="str">
        <f t="shared" si="7"/>
        <v/>
      </c>
    </row>
    <row r="22" spans="1:19" x14ac:dyDescent="0.25">
      <c r="A22" s="36" t="str">
        <f>IF(B22="","",15)</f>
        <v/>
      </c>
      <c r="B22" s="36" t="str">
        <f>Mau15a!B25&amp;""</f>
        <v/>
      </c>
      <c r="C22" s="47" t="str">
        <f>IF(B22="","",Mau15a!C25)</f>
        <v/>
      </c>
      <c r="D22" s="36" t="str">
        <f>IF(B22="","",Mau15a!D25)</f>
        <v/>
      </c>
      <c r="E22" s="48" t="str">
        <f>IF($B22="","",Mau15a!P25)</f>
        <v/>
      </c>
      <c r="F22" s="48" t="str">
        <f>IF($B22="","",Mau15a!I25)</f>
        <v/>
      </c>
      <c r="G22" s="48" t="str">
        <f t="shared" si="0"/>
        <v/>
      </c>
      <c r="H22" s="49" t="str">
        <f t="shared" si="1"/>
        <v/>
      </c>
      <c r="I22" s="48" t="str">
        <f>IF($B22="","",Mau15a!K25)</f>
        <v/>
      </c>
      <c r="J22" s="48" t="str">
        <f>IF($B22="","",Mau15a!M25)</f>
        <v/>
      </c>
      <c r="K22" s="48" t="str">
        <f t="shared" si="2"/>
        <v/>
      </c>
      <c r="L22" s="49" t="str">
        <f t="shared" si="3"/>
        <v/>
      </c>
      <c r="M22" s="48" t="str">
        <f>IF($B22="","",Mau15a!F25)</f>
        <v/>
      </c>
      <c r="N22" s="51" t="str">
        <f>IF($B22="","",COUNTIF(BOM!$A$5:$A$1004,B22))</f>
        <v/>
      </c>
      <c r="O22" s="49" t="str">
        <f t="shared" si="4"/>
        <v/>
      </c>
      <c r="P22" s="51" t="str">
        <f>IF($B22="","",COUNTIFS(KT_nguoc_theo_SP!$B$5:$B$1004,B22,KT_nguoc_theo_SP!$M$5:$M$1004,"Xem xét"))</f>
        <v/>
      </c>
      <c r="Q22" s="49" t="str">
        <f t="shared" si="5"/>
        <v/>
      </c>
      <c r="R22" s="49" t="str">
        <f t="shared" si="6"/>
        <v/>
      </c>
      <c r="S22" s="31" t="str">
        <f t="shared" si="7"/>
        <v/>
      </c>
    </row>
    <row r="23" spans="1:19" x14ac:dyDescent="0.25">
      <c r="A23" s="36" t="str">
        <f>IF(B23="","",16)</f>
        <v/>
      </c>
      <c r="B23" s="36" t="str">
        <f>Mau15a!B26&amp;""</f>
        <v/>
      </c>
      <c r="C23" s="47" t="str">
        <f>IF(B23="","",Mau15a!C26)</f>
        <v/>
      </c>
      <c r="D23" s="36" t="str">
        <f>IF(B23="","",Mau15a!D26)</f>
        <v/>
      </c>
      <c r="E23" s="48" t="str">
        <f>IF($B23="","",Mau15a!P26)</f>
        <v/>
      </c>
      <c r="F23" s="48" t="str">
        <f>IF($B23="","",Mau15a!I26)</f>
        <v/>
      </c>
      <c r="G23" s="48" t="str">
        <f t="shared" si="0"/>
        <v/>
      </c>
      <c r="H23" s="49" t="str">
        <f t="shared" si="1"/>
        <v/>
      </c>
      <c r="I23" s="48" t="str">
        <f>IF($B23="","",Mau15a!K26)</f>
        <v/>
      </c>
      <c r="J23" s="48" t="str">
        <f>IF($B23="","",Mau15a!M26)</f>
        <v/>
      </c>
      <c r="K23" s="48" t="str">
        <f t="shared" si="2"/>
        <v/>
      </c>
      <c r="L23" s="49" t="str">
        <f t="shared" si="3"/>
        <v/>
      </c>
      <c r="M23" s="48" t="str">
        <f>IF($B23="","",Mau15a!F26)</f>
        <v/>
      </c>
      <c r="N23" s="51" t="str">
        <f>IF($B23="","",COUNTIF(BOM!$A$5:$A$1004,B23))</f>
        <v/>
      </c>
      <c r="O23" s="49" t="str">
        <f t="shared" si="4"/>
        <v/>
      </c>
      <c r="P23" s="51" t="str">
        <f>IF($B23="","",COUNTIFS(KT_nguoc_theo_SP!$B$5:$B$1004,B23,KT_nguoc_theo_SP!$M$5:$M$1004,"Xem xét"))</f>
        <v/>
      </c>
      <c r="Q23" s="49" t="str">
        <f t="shared" si="5"/>
        <v/>
      </c>
      <c r="R23" s="49" t="str">
        <f t="shared" si="6"/>
        <v/>
      </c>
      <c r="S23" s="31" t="str">
        <f t="shared" si="7"/>
        <v/>
      </c>
    </row>
    <row r="24" spans="1:19" x14ac:dyDescent="0.25">
      <c r="A24" s="36" t="str">
        <f>IF(B24="","",17)</f>
        <v/>
      </c>
      <c r="B24" s="36" t="str">
        <f>Mau15a!B27&amp;""</f>
        <v/>
      </c>
      <c r="C24" s="47" t="str">
        <f>IF(B24="","",Mau15a!C27)</f>
        <v/>
      </c>
      <c r="D24" s="36" t="str">
        <f>IF(B24="","",Mau15a!D27)</f>
        <v/>
      </c>
      <c r="E24" s="48" t="str">
        <f>IF($B24="","",Mau15a!P27)</f>
        <v/>
      </c>
      <c r="F24" s="48" t="str">
        <f>IF($B24="","",Mau15a!I27)</f>
        <v/>
      </c>
      <c r="G24" s="48" t="str">
        <f t="shared" si="0"/>
        <v/>
      </c>
      <c r="H24" s="49" t="str">
        <f t="shared" si="1"/>
        <v/>
      </c>
      <c r="I24" s="48" t="str">
        <f>IF($B24="","",Mau15a!K27)</f>
        <v/>
      </c>
      <c r="J24" s="48" t="str">
        <f>IF($B24="","",Mau15a!M27)</f>
        <v/>
      </c>
      <c r="K24" s="48" t="str">
        <f t="shared" si="2"/>
        <v/>
      </c>
      <c r="L24" s="49" t="str">
        <f t="shared" si="3"/>
        <v/>
      </c>
      <c r="M24" s="48" t="str">
        <f>IF($B24="","",Mau15a!F27)</f>
        <v/>
      </c>
      <c r="N24" s="51" t="str">
        <f>IF($B24="","",COUNTIF(BOM!$A$5:$A$1004,B24))</f>
        <v/>
      </c>
      <c r="O24" s="49" t="str">
        <f t="shared" si="4"/>
        <v/>
      </c>
      <c r="P24" s="51" t="str">
        <f>IF($B24="","",COUNTIFS(KT_nguoc_theo_SP!$B$5:$B$1004,B24,KT_nguoc_theo_SP!$M$5:$M$1004,"Xem xét"))</f>
        <v/>
      </c>
      <c r="Q24" s="49" t="str">
        <f t="shared" si="5"/>
        <v/>
      </c>
      <c r="R24" s="49" t="str">
        <f t="shared" si="6"/>
        <v/>
      </c>
      <c r="S24" s="31" t="str">
        <f t="shared" si="7"/>
        <v/>
      </c>
    </row>
    <row r="25" spans="1:19" x14ac:dyDescent="0.25">
      <c r="A25" s="36" t="str">
        <f>IF(B25="","",18)</f>
        <v/>
      </c>
      <c r="B25" s="36" t="str">
        <f>Mau15a!B28&amp;""</f>
        <v/>
      </c>
      <c r="C25" s="47" t="str">
        <f>IF(B25="","",Mau15a!C28)</f>
        <v/>
      </c>
      <c r="D25" s="36" t="str">
        <f>IF(B25="","",Mau15a!D28)</f>
        <v/>
      </c>
      <c r="E25" s="48" t="str">
        <f>IF($B25="","",Mau15a!P28)</f>
        <v/>
      </c>
      <c r="F25" s="48" t="str">
        <f>IF($B25="","",Mau15a!I28)</f>
        <v/>
      </c>
      <c r="G25" s="48" t="str">
        <f t="shared" si="0"/>
        <v/>
      </c>
      <c r="H25" s="49" t="str">
        <f t="shared" si="1"/>
        <v/>
      </c>
      <c r="I25" s="48" t="str">
        <f>IF($B25="","",Mau15a!K28)</f>
        <v/>
      </c>
      <c r="J25" s="48" t="str">
        <f>IF($B25="","",Mau15a!M28)</f>
        <v/>
      </c>
      <c r="K25" s="48" t="str">
        <f t="shared" si="2"/>
        <v/>
      </c>
      <c r="L25" s="49" t="str">
        <f t="shared" si="3"/>
        <v/>
      </c>
      <c r="M25" s="48" t="str">
        <f>IF($B25="","",Mau15a!F28)</f>
        <v/>
      </c>
      <c r="N25" s="51" t="str">
        <f>IF($B25="","",COUNTIF(BOM!$A$5:$A$1004,B25))</f>
        <v/>
      </c>
      <c r="O25" s="49" t="str">
        <f t="shared" si="4"/>
        <v/>
      </c>
      <c r="P25" s="51" t="str">
        <f>IF($B25="","",COUNTIFS(KT_nguoc_theo_SP!$B$5:$B$1004,B25,KT_nguoc_theo_SP!$M$5:$M$1004,"Xem xét"))</f>
        <v/>
      </c>
      <c r="Q25" s="49" t="str">
        <f t="shared" si="5"/>
        <v/>
      </c>
      <c r="R25" s="49" t="str">
        <f t="shared" si="6"/>
        <v/>
      </c>
      <c r="S25" s="31" t="str">
        <f t="shared" si="7"/>
        <v/>
      </c>
    </row>
    <row r="26" spans="1:19" x14ac:dyDescent="0.25">
      <c r="A26" s="36" t="str">
        <f>IF(B26="","",19)</f>
        <v/>
      </c>
      <c r="B26" s="36" t="str">
        <f>Mau15a!B29&amp;""</f>
        <v/>
      </c>
      <c r="C26" s="47" t="str">
        <f>IF(B26="","",Mau15a!C29)</f>
        <v/>
      </c>
      <c r="D26" s="36" t="str">
        <f>IF(B26="","",Mau15a!D29)</f>
        <v/>
      </c>
      <c r="E26" s="48" t="str">
        <f>IF($B26="","",Mau15a!P29)</f>
        <v/>
      </c>
      <c r="F26" s="48" t="str">
        <f>IF($B26="","",Mau15a!I29)</f>
        <v/>
      </c>
      <c r="G26" s="48" t="str">
        <f t="shared" si="0"/>
        <v/>
      </c>
      <c r="H26" s="49" t="str">
        <f t="shared" si="1"/>
        <v/>
      </c>
      <c r="I26" s="48" t="str">
        <f>IF($B26="","",Mau15a!K29)</f>
        <v/>
      </c>
      <c r="J26" s="48" t="str">
        <f>IF($B26="","",Mau15a!M29)</f>
        <v/>
      </c>
      <c r="K26" s="48" t="str">
        <f t="shared" si="2"/>
        <v/>
      </c>
      <c r="L26" s="49" t="str">
        <f t="shared" si="3"/>
        <v/>
      </c>
      <c r="M26" s="48" t="str">
        <f>IF($B26="","",Mau15a!F29)</f>
        <v/>
      </c>
      <c r="N26" s="51" t="str">
        <f>IF($B26="","",COUNTIF(BOM!$A$5:$A$1004,B26))</f>
        <v/>
      </c>
      <c r="O26" s="49" t="str">
        <f t="shared" si="4"/>
        <v/>
      </c>
      <c r="P26" s="51" t="str">
        <f>IF($B26="","",COUNTIFS(KT_nguoc_theo_SP!$B$5:$B$1004,B26,KT_nguoc_theo_SP!$M$5:$M$1004,"Xem xét"))</f>
        <v/>
      </c>
      <c r="Q26" s="49" t="str">
        <f t="shared" si="5"/>
        <v/>
      </c>
      <c r="R26" s="49" t="str">
        <f t="shared" si="6"/>
        <v/>
      </c>
      <c r="S26" s="31" t="str">
        <f t="shared" si="7"/>
        <v/>
      </c>
    </row>
    <row r="27" spans="1:19" x14ac:dyDescent="0.25">
      <c r="A27" s="36" t="str">
        <f>IF(B27="","",20)</f>
        <v/>
      </c>
      <c r="B27" s="36" t="str">
        <f>Mau15a!B30&amp;""</f>
        <v/>
      </c>
      <c r="C27" s="47" t="str">
        <f>IF(B27="","",Mau15a!C30)</f>
        <v/>
      </c>
      <c r="D27" s="36" t="str">
        <f>IF(B27="","",Mau15a!D30)</f>
        <v/>
      </c>
      <c r="E27" s="48" t="str">
        <f>IF($B27="","",Mau15a!P30)</f>
        <v/>
      </c>
      <c r="F27" s="48" t="str">
        <f>IF($B27="","",Mau15a!I30)</f>
        <v/>
      </c>
      <c r="G27" s="48" t="str">
        <f t="shared" si="0"/>
        <v/>
      </c>
      <c r="H27" s="49" t="str">
        <f t="shared" si="1"/>
        <v/>
      </c>
      <c r="I27" s="48" t="str">
        <f>IF($B27="","",Mau15a!K30)</f>
        <v/>
      </c>
      <c r="J27" s="48" t="str">
        <f>IF($B27="","",Mau15a!M30)</f>
        <v/>
      </c>
      <c r="K27" s="48" t="str">
        <f t="shared" si="2"/>
        <v/>
      </c>
      <c r="L27" s="49" t="str">
        <f t="shared" si="3"/>
        <v/>
      </c>
      <c r="M27" s="48" t="str">
        <f>IF($B27="","",Mau15a!F30)</f>
        <v/>
      </c>
      <c r="N27" s="51" t="str">
        <f>IF($B27="","",COUNTIF(BOM!$A$5:$A$1004,B27))</f>
        <v/>
      </c>
      <c r="O27" s="49" t="str">
        <f t="shared" si="4"/>
        <v/>
      </c>
      <c r="P27" s="51" t="str">
        <f>IF($B27="","",COUNTIFS(KT_nguoc_theo_SP!$B$5:$B$1004,B27,KT_nguoc_theo_SP!$M$5:$M$1004,"Xem xét"))</f>
        <v/>
      </c>
      <c r="Q27" s="49" t="str">
        <f t="shared" si="5"/>
        <v/>
      </c>
      <c r="R27" s="49" t="str">
        <f t="shared" si="6"/>
        <v/>
      </c>
      <c r="S27" s="31" t="str">
        <f t="shared" si="7"/>
        <v/>
      </c>
    </row>
    <row r="28" spans="1:19" x14ac:dyDescent="0.25">
      <c r="A28" s="36" t="str">
        <f>IF(B28="","",21)</f>
        <v/>
      </c>
      <c r="B28" s="36" t="str">
        <f>Mau15a!B31&amp;""</f>
        <v/>
      </c>
      <c r="C28" s="47" t="str">
        <f>IF(B28="","",Mau15a!C31)</f>
        <v/>
      </c>
      <c r="D28" s="36" t="str">
        <f>IF(B28="","",Mau15a!D31)</f>
        <v/>
      </c>
      <c r="E28" s="48" t="str">
        <f>IF($B28="","",Mau15a!P31)</f>
        <v/>
      </c>
      <c r="F28" s="48" t="str">
        <f>IF($B28="","",Mau15a!I31)</f>
        <v/>
      </c>
      <c r="G28" s="48" t="str">
        <f t="shared" si="0"/>
        <v/>
      </c>
      <c r="H28" s="49" t="str">
        <f t="shared" si="1"/>
        <v/>
      </c>
      <c r="I28" s="48" t="str">
        <f>IF($B28="","",Mau15a!K31)</f>
        <v/>
      </c>
      <c r="J28" s="48" t="str">
        <f>IF($B28="","",Mau15a!M31)</f>
        <v/>
      </c>
      <c r="K28" s="48" t="str">
        <f t="shared" si="2"/>
        <v/>
      </c>
      <c r="L28" s="49" t="str">
        <f t="shared" si="3"/>
        <v/>
      </c>
      <c r="M28" s="48" t="str">
        <f>IF($B28="","",Mau15a!F31)</f>
        <v/>
      </c>
      <c r="N28" s="51" t="str">
        <f>IF($B28="","",COUNTIF(BOM!$A$5:$A$1004,B28))</f>
        <v/>
      </c>
      <c r="O28" s="49" t="str">
        <f t="shared" si="4"/>
        <v/>
      </c>
      <c r="P28" s="51" t="str">
        <f>IF($B28="","",COUNTIFS(KT_nguoc_theo_SP!$B$5:$B$1004,B28,KT_nguoc_theo_SP!$M$5:$M$1004,"Xem xét"))</f>
        <v/>
      </c>
      <c r="Q28" s="49" t="str">
        <f t="shared" si="5"/>
        <v/>
      </c>
      <c r="R28" s="49" t="str">
        <f t="shared" si="6"/>
        <v/>
      </c>
      <c r="S28" s="31" t="str">
        <f t="shared" si="7"/>
        <v/>
      </c>
    </row>
    <row r="29" spans="1:19" x14ac:dyDescent="0.25">
      <c r="A29" s="36" t="str">
        <f>IF(B29="","",22)</f>
        <v/>
      </c>
      <c r="B29" s="36" t="str">
        <f>Mau15a!B32&amp;""</f>
        <v/>
      </c>
      <c r="C29" s="47" t="str">
        <f>IF(B29="","",Mau15a!C32)</f>
        <v/>
      </c>
      <c r="D29" s="36" t="str">
        <f>IF(B29="","",Mau15a!D32)</f>
        <v/>
      </c>
      <c r="E29" s="48" t="str">
        <f>IF($B29="","",Mau15a!P32)</f>
        <v/>
      </c>
      <c r="F29" s="48" t="str">
        <f>IF($B29="","",Mau15a!I32)</f>
        <v/>
      </c>
      <c r="G29" s="48" t="str">
        <f t="shared" si="0"/>
        <v/>
      </c>
      <c r="H29" s="49" t="str">
        <f t="shared" si="1"/>
        <v/>
      </c>
      <c r="I29" s="48" t="str">
        <f>IF($B29="","",Mau15a!K32)</f>
        <v/>
      </c>
      <c r="J29" s="48" t="str">
        <f>IF($B29="","",Mau15a!M32)</f>
        <v/>
      </c>
      <c r="K29" s="48" t="str">
        <f t="shared" si="2"/>
        <v/>
      </c>
      <c r="L29" s="49" t="str">
        <f t="shared" si="3"/>
        <v/>
      </c>
      <c r="M29" s="48" t="str">
        <f>IF($B29="","",Mau15a!F32)</f>
        <v/>
      </c>
      <c r="N29" s="51" t="str">
        <f>IF($B29="","",COUNTIF(BOM!$A$5:$A$1004,B29))</f>
        <v/>
      </c>
      <c r="O29" s="49" t="str">
        <f t="shared" si="4"/>
        <v/>
      </c>
      <c r="P29" s="51" t="str">
        <f>IF($B29="","",COUNTIFS(KT_nguoc_theo_SP!$B$5:$B$1004,B29,KT_nguoc_theo_SP!$M$5:$M$1004,"Xem xét"))</f>
        <v/>
      </c>
      <c r="Q29" s="49" t="str">
        <f t="shared" si="5"/>
        <v/>
      </c>
      <c r="R29" s="49" t="str">
        <f t="shared" si="6"/>
        <v/>
      </c>
      <c r="S29" s="31" t="str">
        <f t="shared" si="7"/>
        <v/>
      </c>
    </row>
    <row r="30" spans="1:19" x14ac:dyDescent="0.25">
      <c r="A30" s="36" t="str">
        <f>IF(B30="","",23)</f>
        <v/>
      </c>
      <c r="B30" s="36" t="str">
        <f>Mau15a!B33&amp;""</f>
        <v/>
      </c>
      <c r="C30" s="47" t="str">
        <f>IF(B30="","",Mau15a!C33)</f>
        <v/>
      </c>
      <c r="D30" s="36" t="str">
        <f>IF(B30="","",Mau15a!D33)</f>
        <v/>
      </c>
      <c r="E30" s="48" t="str">
        <f>IF($B30="","",Mau15a!P33)</f>
        <v/>
      </c>
      <c r="F30" s="48" t="str">
        <f>IF($B30="","",Mau15a!I33)</f>
        <v/>
      </c>
      <c r="G30" s="48" t="str">
        <f t="shared" si="0"/>
        <v/>
      </c>
      <c r="H30" s="49" t="str">
        <f t="shared" si="1"/>
        <v/>
      </c>
      <c r="I30" s="48" t="str">
        <f>IF($B30="","",Mau15a!K33)</f>
        <v/>
      </c>
      <c r="J30" s="48" t="str">
        <f>IF($B30="","",Mau15a!M33)</f>
        <v/>
      </c>
      <c r="K30" s="48" t="str">
        <f t="shared" si="2"/>
        <v/>
      </c>
      <c r="L30" s="49" t="str">
        <f t="shared" si="3"/>
        <v/>
      </c>
      <c r="M30" s="48" t="str">
        <f>IF($B30="","",Mau15a!F33)</f>
        <v/>
      </c>
      <c r="N30" s="51" t="str">
        <f>IF($B30="","",COUNTIF(BOM!$A$5:$A$1004,B30))</f>
        <v/>
      </c>
      <c r="O30" s="49" t="str">
        <f t="shared" si="4"/>
        <v/>
      </c>
      <c r="P30" s="51" t="str">
        <f>IF($B30="","",COUNTIFS(KT_nguoc_theo_SP!$B$5:$B$1004,B30,KT_nguoc_theo_SP!$M$5:$M$1004,"Xem xét"))</f>
        <v/>
      </c>
      <c r="Q30" s="49" t="str">
        <f t="shared" si="5"/>
        <v/>
      </c>
      <c r="R30" s="49" t="str">
        <f t="shared" si="6"/>
        <v/>
      </c>
      <c r="S30" s="31" t="str">
        <f t="shared" si="7"/>
        <v/>
      </c>
    </row>
    <row r="31" spans="1:19" x14ac:dyDescent="0.25">
      <c r="A31" s="36" t="str">
        <f>IF(B31="","",24)</f>
        <v/>
      </c>
      <c r="B31" s="36" t="str">
        <f>Mau15a!B34&amp;""</f>
        <v/>
      </c>
      <c r="C31" s="47" t="str">
        <f>IF(B31="","",Mau15a!C34)</f>
        <v/>
      </c>
      <c r="D31" s="36" t="str">
        <f>IF(B31="","",Mau15a!D34)</f>
        <v/>
      </c>
      <c r="E31" s="48" t="str">
        <f>IF($B31="","",Mau15a!P34)</f>
        <v/>
      </c>
      <c r="F31" s="48" t="str">
        <f>IF($B31="","",Mau15a!I34)</f>
        <v/>
      </c>
      <c r="G31" s="48" t="str">
        <f t="shared" si="0"/>
        <v/>
      </c>
      <c r="H31" s="49" t="str">
        <f t="shared" si="1"/>
        <v/>
      </c>
      <c r="I31" s="48" t="str">
        <f>IF($B31="","",Mau15a!K34)</f>
        <v/>
      </c>
      <c r="J31" s="48" t="str">
        <f>IF($B31="","",Mau15a!M34)</f>
        <v/>
      </c>
      <c r="K31" s="48" t="str">
        <f t="shared" si="2"/>
        <v/>
      </c>
      <c r="L31" s="49" t="str">
        <f t="shared" si="3"/>
        <v/>
      </c>
      <c r="M31" s="48" t="str">
        <f>IF($B31="","",Mau15a!F34)</f>
        <v/>
      </c>
      <c r="N31" s="51" t="str">
        <f>IF($B31="","",COUNTIF(BOM!$A$5:$A$1004,B31))</f>
        <v/>
      </c>
      <c r="O31" s="49" t="str">
        <f t="shared" si="4"/>
        <v/>
      </c>
      <c r="P31" s="51" t="str">
        <f>IF($B31="","",COUNTIFS(KT_nguoc_theo_SP!$B$5:$B$1004,B31,KT_nguoc_theo_SP!$M$5:$M$1004,"Xem xét"))</f>
        <v/>
      </c>
      <c r="Q31" s="49" t="str">
        <f t="shared" si="5"/>
        <v/>
      </c>
      <c r="R31" s="49" t="str">
        <f t="shared" si="6"/>
        <v/>
      </c>
      <c r="S31" s="31" t="str">
        <f t="shared" si="7"/>
        <v/>
      </c>
    </row>
    <row r="32" spans="1:19" x14ac:dyDescent="0.25">
      <c r="A32" s="36" t="str">
        <f>IF(B32="","",25)</f>
        <v/>
      </c>
      <c r="B32" s="36" t="str">
        <f>Mau15a!B35&amp;""</f>
        <v/>
      </c>
      <c r="C32" s="47" t="str">
        <f>IF(B32="","",Mau15a!C35)</f>
        <v/>
      </c>
      <c r="D32" s="36" t="str">
        <f>IF(B32="","",Mau15a!D35)</f>
        <v/>
      </c>
      <c r="E32" s="48" t="str">
        <f>IF($B32="","",Mau15a!P35)</f>
        <v/>
      </c>
      <c r="F32" s="48" t="str">
        <f>IF($B32="","",Mau15a!I35)</f>
        <v/>
      </c>
      <c r="G32" s="48" t="str">
        <f t="shared" si="0"/>
        <v/>
      </c>
      <c r="H32" s="49" t="str">
        <f t="shared" si="1"/>
        <v/>
      </c>
      <c r="I32" s="48" t="str">
        <f>IF($B32="","",Mau15a!K35)</f>
        <v/>
      </c>
      <c r="J32" s="48" t="str">
        <f>IF($B32="","",Mau15a!M35)</f>
        <v/>
      </c>
      <c r="K32" s="48" t="str">
        <f t="shared" si="2"/>
        <v/>
      </c>
      <c r="L32" s="49" t="str">
        <f t="shared" si="3"/>
        <v/>
      </c>
      <c r="M32" s="48" t="str">
        <f>IF($B32="","",Mau15a!F35)</f>
        <v/>
      </c>
      <c r="N32" s="51" t="str">
        <f>IF($B32="","",COUNTIF(BOM!$A$5:$A$1004,B32))</f>
        <v/>
      </c>
      <c r="O32" s="49" t="str">
        <f t="shared" si="4"/>
        <v/>
      </c>
      <c r="P32" s="51" t="str">
        <f>IF($B32="","",COUNTIFS(KT_nguoc_theo_SP!$B$5:$B$1004,B32,KT_nguoc_theo_SP!$M$5:$M$1004,"Xem xét"))</f>
        <v/>
      </c>
      <c r="Q32" s="49" t="str">
        <f t="shared" si="5"/>
        <v/>
      </c>
      <c r="R32" s="49" t="str">
        <f t="shared" si="6"/>
        <v/>
      </c>
      <c r="S32" s="31" t="str">
        <f t="shared" si="7"/>
        <v/>
      </c>
    </row>
    <row r="33" spans="1:19" x14ac:dyDescent="0.25">
      <c r="A33" s="36" t="str">
        <f>IF(B33="","",26)</f>
        <v/>
      </c>
      <c r="B33" s="36" t="str">
        <f>Mau15a!B36&amp;""</f>
        <v/>
      </c>
      <c r="C33" s="47" t="str">
        <f>IF(B33="","",Mau15a!C36)</f>
        <v/>
      </c>
      <c r="D33" s="36" t="str">
        <f>IF(B33="","",Mau15a!D36)</f>
        <v/>
      </c>
      <c r="E33" s="48" t="str">
        <f>IF($B33="","",Mau15a!P36)</f>
        <v/>
      </c>
      <c r="F33" s="48" t="str">
        <f>IF($B33="","",Mau15a!I36)</f>
        <v/>
      </c>
      <c r="G33" s="48" t="str">
        <f t="shared" si="0"/>
        <v/>
      </c>
      <c r="H33" s="49" t="str">
        <f t="shared" si="1"/>
        <v/>
      </c>
      <c r="I33" s="48" t="str">
        <f>IF($B33="","",Mau15a!K36)</f>
        <v/>
      </c>
      <c r="J33" s="48" t="str">
        <f>IF($B33="","",Mau15a!M36)</f>
        <v/>
      </c>
      <c r="K33" s="48" t="str">
        <f t="shared" si="2"/>
        <v/>
      </c>
      <c r="L33" s="49" t="str">
        <f t="shared" si="3"/>
        <v/>
      </c>
      <c r="M33" s="48" t="str">
        <f>IF($B33="","",Mau15a!F36)</f>
        <v/>
      </c>
      <c r="N33" s="51" t="str">
        <f>IF($B33="","",COUNTIF(BOM!$A$5:$A$1004,B33))</f>
        <v/>
      </c>
      <c r="O33" s="49" t="str">
        <f t="shared" si="4"/>
        <v/>
      </c>
      <c r="P33" s="51" t="str">
        <f>IF($B33="","",COUNTIFS(KT_nguoc_theo_SP!$B$5:$B$1004,B33,KT_nguoc_theo_SP!$M$5:$M$1004,"Xem xét"))</f>
        <v/>
      </c>
      <c r="Q33" s="49" t="str">
        <f t="shared" si="5"/>
        <v/>
      </c>
      <c r="R33" s="49" t="str">
        <f t="shared" si="6"/>
        <v/>
      </c>
      <c r="S33" s="31" t="str">
        <f t="shared" si="7"/>
        <v/>
      </c>
    </row>
    <row r="34" spans="1:19" x14ac:dyDescent="0.25">
      <c r="A34" s="36" t="str">
        <f>IF(B34="","",27)</f>
        <v/>
      </c>
      <c r="B34" s="36" t="str">
        <f>Mau15a!B37&amp;""</f>
        <v/>
      </c>
      <c r="C34" s="47" t="str">
        <f>IF(B34="","",Mau15a!C37)</f>
        <v/>
      </c>
      <c r="D34" s="36" t="str">
        <f>IF(B34="","",Mau15a!D37)</f>
        <v/>
      </c>
      <c r="E34" s="48" t="str">
        <f>IF($B34="","",Mau15a!P37)</f>
        <v/>
      </c>
      <c r="F34" s="48" t="str">
        <f>IF($B34="","",Mau15a!I37)</f>
        <v/>
      </c>
      <c r="G34" s="48" t="str">
        <f t="shared" si="0"/>
        <v/>
      </c>
      <c r="H34" s="49" t="str">
        <f t="shared" si="1"/>
        <v/>
      </c>
      <c r="I34" s="48" t="str">
        <f>IF($B34="","",Mau15a!K37)</f>
        <v/>
      </c>
      <c r="J34" s="48" t="str">
        <f>IF($B34="","",Mau15a!M37)</f>
        <v/>
      </c>
      <c r="K34" s="48" t="str">
        <f t="shared" si="2"/>
        <v/>
      </c>
      <c r="L34" s="49" t="str">
        <f t="shared" si="3"/>
        <v/>
      </c>
      <c r="M34" s="48" t="str">
        <f>IF($B34="","",Mau15a!F37)</f>
        <v/>
      </c>
      <c r="N34" s="51" t="str">
        <f>IF($B34="","",COUNTIF(BOM!$A$5:$A$1004,B34))</f>
        <v/>
      </c>
      <c r="O34" s="49" t="str">
        <f t="shared" si="4"/>
        <v/>
      </c>
      <c r="P34" s="51" t="str">
        <f>IF($B34="","",COUNTIFS(KT_nguoc_theo_SP!$B$5:$B$1004,B34,KT_nguoc_theo_SP!$M$5:$M$1004,"Xem xét"))</f>
        <v/>
      </c>
      <c r="Q34" s="49" t="str">
        <f t="shared" si="5"/>
        <v/>
      </c>
      <c r="R34" s="49" t="str">
        <f t="shared" si="6"/>
        <v/>
      </c>
      <c r="S34" s="31" t="str">
        <f t="shared" si="7"/>
        <v/>
      </c>
    </row>
    <row r="35" spans="1:19" x14ac:dyDescent="0.25">
      <c r="A35" s="36" t="str">
        <f>IF(B35="","",28)</f>
        <v/>
      </c>
      <c r="B35" s="36" t="str">
        <f>Mau15a!B38&amp;""</f>
        <v/>
      </c>
      <c r="C35" s="47" t="str">
        <f>IF(B35="","",Mau15a!C38)</f>
        <v/>
      </c>
      <c r="D35" s="36" t="str">
        <f>IF(B35="","",Mau15a!D38)</f>
        <v/>
      </c>
      <c r="E35" s="48" t="str">
        <f>IF($B35="","",Mau15a!P38)</f>
        <v/>
      </c>
      <c r="F35" s="48" t="str">
        <f>IF($B35="","",Mau15a!I38)</f>
        <v/>
      </c>
      <c r="G35" s="48" t="str">
        <f t="shared" si="0"/>
        <v/>
      </c>
      <c r="H35" s="49" t="str">
        <f t="shared" si="1"/>
        <v/>
      </c>
      <c r="I35" s="48" t="str">
        <f>IF($B35="","",Mau15a!K38)</f>
        <v/>
      </c>
      <c r="J35" s="48" t="str">
        <f>IF($B35="","",Mau15a!M38)</f>
        <v/>
      </c>
      <c r="K35" s="48" t="str">
        <f t="shared" si="2"/>
        <v/>
      </c>
      <c r="L35" s="49" t="str">
        <f t="shared" si="3"/>
        <v/>
      </c>
      <c r="M35" s="48" t="str">
        <f>IF($B35="","",Mau15a!F38)</f>
        <v/>
      </c>
      <c r="N35" s="51" t="str">
        <f>IF($B35="","",COUNTIF(BOM!$A$5:$A$1004,B35))</f>
        <v/>
      </c>
      <c r="O35" s="49" t="str">
        <f t="shared" si="4"/>
        <v/>
      </c>
      <c r="P35" s="51" t="str">
        <f>IF($B35="","",COUNTIFS(KT_nguoc_theo_SP!$B$5:$B$1004,B35,KT_nguoc_theo_SP!$M$5:$M$1004,"Xem xét"))</f>
        <v/>
      </c>
      <c r="Q35" s="49" t="str">
        <f t="shared" si="5"/>
        <v/>
      </c>
      <c r="R35" s="49" t="str">
        <f t="shared" si="6"/>
        <v/>
      </c>
      <c r="S35" s="31" t="str">
        <f t="shared" si="7"/>
        <v/>
      </c>
    </row>
    <row r="36" spans="1:19" x14ac:dyDescent="0.25">
      <c r="A36" s="36" t="str">
        <f>IF(B36="","",29)</f>
        <v/>
      </c>
      <c r="B36" s="36" t="str">
        <f>Mau15a!B39&amp;""</f>
        <v/>
      </c>
      <c r="C36" s="47" t="str">
        <f>IF(B36="","",Mau15a!C39)</f>
        <v/>
      </c>
      <c r="D36" s="36" t="str">
        <f>IF(B36="","",Mau15a!D39)</f>
        <v/>
      </c>
      <c r="E36" s="48" t="str">
        <f>IF($B36="","",Mau15a!P39)</f>
        <v/>
      </c>
      <c r="F36" s="48" t="str">
        <f>IF($B36="","",Mau15a!I39)</f>
        <v/>
      </c>
      <c r="G36" s="48" t="str">
        <f t="shared" si="0"/>
        <v/>
      </c>
      <c r="H36" s="49" t="str">
        <f t="shared" si="1"/>
        <v/>
      </c>
      <c r="I36" s="48" t="str">
        <f>IF($B36="","",Mau15a!K39)</f>
        <v/>
      </c>
      <c r="J36" s="48" t="str">
        <f>IF($B36="","",Mau15a!M39)</f>
        <v/>
      </c>
      <c r="K36" s="48" t="str">
        <f t="shared" si="2"/>
        <v/>
      </c>
      <c r="L36" s="49" t="str">
        <f t="shared" si="3"/>
        <v/>
      </c>
      <c r="M36" s="48" t="str">
        <f>IF($B36="","",Mau15a!F39)</f>
        <v/>
      </c>
      <c r="N36" s="51" t="str">
        <f>IF($B36="","",COUNTIF(BOM!$A$5:$A$1004,B36))</f>
        <v/>
      </c>
      <c r="O36" s="49" t="str">
        <f t="shared" si="4"/>
        <v/>
      </c>
      <c r="P36" s="51" t="str">
        <f>IF($B36="","",COUNTIFS(KT_nguoc_theo_SP!$B$5:$B$1004,B36,KT_nguoc_theo_SP!$M$5:$M$1004,"Xem xét"))</f>
        <v/>
      </c>
      <c r="Q36" s="49" t="str">
        <f t="shared" si="5"/>
        <v/>
      </c>
      <c r="R36" s="49" t="str">
        <f t="shared" si="6"/>
        <v/>
      </c>
      <c r="S36" s="31" t="str">
        <f t="shared" si="7"/>
        <v/>
      </c>
    </row>
    <row r="37" spans="1:19" x14ac:dyDescent="0.25">
      <c r="A37" s="36" t="str">
        <f>IF(B37="","",30)</f>
        <v/>
      </c>
      <c r="B37" s="36" t="str">
        <f>Mau15a!B40&amp;""</f>
        <v/>
      </c>
      <c r="C37" s="47" t="str">
        <f>IF(B37="","",Mau15a!C40)</f>
        <v/>
      </c>
      <c r="D37" s="36" t="str">
        <f>IF(B37="","",Mau15a!D40)</f>
        <v/>
      </c>
      <c r="E37" s="48" t="str">
        <f>IF($B37="","",Mau15a!P40)</f>
        <v/>
      </c>
      <c r="F37" s="48" t="str">
        <f>IF($B37="","",Mau15a!I40)</f>
        <v/>
      </c>
      <c r="G37" s="48" t="str">
        <f t="shared" si="0"/>
        <v/>
      </c>
      <c r="H37" s="49" t="str">
        <f t="shared" si="1"/>
        <v/>
      </c>
      <c r="I37" s="48" t="str">
        <f>IF($B37="","",Mau15a!K40)</f>
        <v/>
      </c>
      <c r="J37" s="48" t="str">
        <f>IF($B37="","",Mau15a!M40)</f>
        <v/>
      </c>
      <c r="K37" s="48" t="str">
        <f t="shared" si="2"/>
        <v/>
      </c>
      <c r="L37" s="49" t="str">
        <f t="shared" si="3"/>
        <v/>
      </c>
      <c r="M37" s="48" t="str">
        <f>IF($B37="","",Mau15a!F40)</f>
        <v/>
      </c>
      <c r="N37" s="51" t="str">
        <f>IF($B37="","",COUNTIF(BOM!$A$5:$A$1004,B37))</f>
        <v/>
      </c>
      <c r="O37" s="49" t="str">
        <f t="shared" si="4"/>
        <v/>
      </c>
      <c r="P37" s="51" t="str">
        <f>IF($B37="","",COUNTIFS(KT_nguoc_theo_SP!$B$5:$B$1004,B37,KT_nguoc_theo_SP!$M$5:$M$1004,"Xem xét"))</f>
        <v/>
      </c>
      <c r="Q37" s="49" t="str">
        <f t="shared" si="5"/>
        <v/>
      </c>
      <c r="R37" s="49" t="str">
        <f t="shared" si="6"/>
        <v/>
      </c>
      <c r="S37" s="31" t="str">
        <f t="shared" si="7"/>
        <v/>
      </c>
    </row>
    <row r="38" spans="1:19" x14ac:dyDescent="0.25">
      <c r="A38" s="36" t="str">
        <f>IF(B38="","",31)</f>
        <v/>
      </c>
      <c r="B38" s="36" t="str">
        <f>Mau15a!B41&amp;""</f>
        <v/>
      </c>
      <c r="C38" s="47" t="str">
        <f>IF(B38="","",Mau15a!C41)</f>
        <v/>
      </c>
      <c r="D38" s="36" t="str">
        <f>IF(B38="","",Mau15a!D41)</f>
        <v/>
      </c>
      <c r="E38" s="48" t="str">
        <f>IF($B38="","",Mau15a!P41)</f>
        <v/>
      </c>
      <c r="F38" s="48" t="str">
        <f>IF($B38="","",Mau15a!I41)</f>
        <v/>
      </c>
      <c r="G38" s="48" t="str">
        <f t="shared" si="0"/>
        <v/>
      </c>
      <c r="H38" s="49" t="str">
        <f t="shared" si="1"/>
        <v/>
      </c>
      <c r="I38" s="48" t="str">
        <f>IF($B38="","",Mau15a!K41)</f>
        <v/>
      </c>
      <c r="J38" s="48" t="str">
        <f>IF($B38="","",Mau15a!M41)</f>
        <v/>
      </c>
      <c r="K38" s="48" t="str">
        <f t="shared" si="2"/>
        <v/>
      </c>
      <c r="L38" s="49" t="str">
        <f t="shared" si="3"/>
        <v/>
      </c>
      <c r="M38" s="48" t="str">
        <f>IF($B38="","",Mau15a!F41)</f>
        <v/>
      </c>
      <c r="N38" s="51" t="str">
        <f>IF($B38="","",COUNTIF(BOM!$A$5:$A$1004,B38))</f>
        <v/>
      </c>
      <c r="O38" s="49" t="str">
        <f t="shared" si="4"/>
        <v/>
      </c>
      <c r="P38" s="51" t="str">
        <f>IF($B38="","",COUNTIFS(KT_nguoc_theo_SP!$B$5:$B$1004,B38,KT_nguoc_theo_SP!$M$5:$M$1004,"Xem xét"))</f>
        <v/>
      </c>
      <c r="Q38" s="49" t="str">
        <f t="shared" si="5"/>
        <v/>
      </c>
      <c r="R38" s="49" t="str">
        <f t="shared" si="6"/>
        <v/>
      </c>
      <c r="S38" s="31" t="str">
        <f t="shared" si="7"/>
        <v/>
      </c>
    </row>
    <row r="39" spans="1:19" x14ac:dyDescent="0.25">
      <c r="A39" s="36" t="str">
        <f>IF(B39="","",32)</f>
        <v/>
      </c>
      <c r="B39" s="36" t="str">
        <f>Mau15a!B42&amp;""</f>
        <v/>
      </c>
      <c r="C39" s="47" t="str">
        <f>IF(B39="","",Mau15a!C42)</f>
        <v/>
      </c>
      <c r="D39" s="36" t="str">
        <f>IF(B39="","",Mau15a!D42)</f>
        <v/>
      </c>
      <c r="E39" s="48" t="str">
        <f>IF($B39="","",Mau15a!P42)</f>
        <v/>
      </c>
      <c r="F39" s="48" t="str">
        <f>IF($B39="","",Mau15a!I42)</f>
        <v/>
      </c>
      <c r="G39" s="48" t="str">
        <f t="shared" si="0"/>
        <v/>
      </c>
      <c r="H39" s="49" t="str">
        <f t="shared" si="1"/>
        <v/>
      </c>
      <c r="I39" s="48" t="str">
        <f>IF($B39="","",Mau15a!K42)</f>
        <v/>
      </c>
      <c r="J39" s="48" t="str">
        <f>IF($B39="","",Mau15a!M42)</f>
        <v/>
      </c>
      <c r="K39" s="48" t="str">
        <f t="shared" si="2"/>
        <v/>
      </c>
      <c r="L39" s="49" t="str">
        <f t="shared" si="3"/>
        <v/>
      </c>
      <c r="M39" s="48" t="str">
        <f>IF($B39="","",Mau15a!F42)</f>
        <v/>
      </c>
      <c r="N39" s="51" t="str">
        <f>IF($B39="","",COUNTIF(BOM!$A$5:$A$1004,B39))</f>
        <v/>
      </c>
      <c r="O39" s="49" t="str">
        <f t="shared" si="4"/>
        <v/>
      </c>
      <c r="P39" s="51" t="str">
        <f>IF($B39="","",COUNTIFS(KT_nguoc_theo_SP!$B$5:$B$1004,B39,KT_nguoc_theo_SP!$M$5:$M$1004,"Xem xét"))</f>
        <v/>
      </c>
      <c r="Q39" s="49" t="str">
        <f t="shared" si="5"/>
        <v/>
      </c>
      <c r="R39" s="49" t="str">
        <f t="shared" si="6"/>
        <v/>
      </c>
      <c r="S39" s="31" t="str">
        <f t="shared" si="7"/>
        <v/>
      </c>
    </row>
    <row r="40" spans="1:19" x14ac:dyDescent="0.25">
      <c r="A40" s="36" t="str">
        <f>IF(B40="","",33)</f>
        <v/>
      </c>
      <c r="B40" s="36" t="str">
        <f>Mau15a!B43&amp;""</f>
        <v/>
      </c>
      <c r="C40" s="47" t="str">
        <f>IF(B40="","",Mau15a!C43)</f>
        <v/>
      </c>
      <c r="D40" s="36" t="str">
        <f>IF(B40="","",Mau15a!D43)</f>
        <v/>
      </c>
      <c r="E40" s="48" t="str">
        <f>IF($B40="","",Mau15a!P43)</f>
        <v/>
      </c>
      <c r="F40" s="48" t="str">
        <f>IF($B40="","",Mau15a!I43)</f>
        <v/>
      </c>
      <c r="G40" s="48" t="str">
        <f t="shared" si="0"/>
        <v/>
      </c>
      <c r="H40" s="49" t="str">
        <f t="shared" si="1"/>
        <v/>
      </c>
      <c r="I40" s="48" t="str">
        <f>IF($B40="","",Mau15a!K43)</f>
        <v/>
      </c>
      <c r="J40" s="48" t="str">
        <f>IF($B40="","",Mau15a!M43)</f>
        <v/>
      </c>
      <c r="K40" s="48" t="str">
        <f t="shared" si="2"/>
        <v/>
      </c>
      <c r="L40" s="49" t="str">
        <f t="shared" si="3"/>
        <v/>
      </c>
      <c r="M40" s="48" t="str">
        <f>IF($B40="","",Mau15a!F43)</f>
        <v/>
      </c>
      <c r="N40" s="51" t="str">
        <f>IF($B40="","",COUNTIF(BOM!$A$5:$A$1004,B40))</f>
        <v/>
      </c>
      <c r="O40" s="49" t="str">
        <f t="shared" si="4"/>
        <v/>
      </c>
      <c r="P40" s="51" t="str">
        <f>IF($B40="","",COUNTIFS(KT_nguoc_theo_SP!$B$5:$B$1004,B40,KT_nguoc_theo_SP!$M$5:$M$1004,"Xem xét"))</f>
        <v/>
      </c>
      <c r="Q40" s="49" t="str">
        <f t="shared" si="5"/>
        <v/>
      </c>
      <c r="R40" s="49" t="str">
        <f t="shared" si="6"/>
        <v/>
      </c>
      <c r="S40" s="31" t="str">
        <f t="shared" si="7"/>
        <v/>
      </c>
    </row>
    <row r="41" spans="1:19" x14ac:dyDescent="0.25">
      <c r="A41" s="36" t="str">
        <f>IF(B41="","",34)</f>
        <v/>
      </c>
      <c r="B41" s="36" t="str">
        <f>Mau15a!B44&amp;""</f>
        <v/>
      </c>
      <c r="C41" s="47" t="str">
        <f>IF(B41="","",Mau15a!C44)</f>
        <v/>
      </c>
      <c r="D41" s="36" t="str">
        <f>IF(B41="","",Mau15a!D44)</f>
        <v/>
      </c>
      <c r="E41" s="48" t="str">
        <f>IF($B41="","",Mau15a!P44)</f>
        <v/>
      </c>
      <c r="F41" s="48" t="str">
        <f>IF($B41="","",Mau15a!I44)</f>
        <v/>
      </c>
      <c r="G41" s="48" t="str">
        <f t="shared" si="0"/>
        <v/>
      </c>
      <c r="H41" s="49" t="str">
        <f t="shared" si="1"/>
        <v/>
      </c>
      <c r="I41" s="48" t="str">
        <f>IF($B41="","",Mau15a!K44)</f>
        <v/>
      </c>
      <c r="J41" s="48" t="str">
        <f>IF($B41="","",Mau15a!M44)</f>
        <v/>
      </c>
      <c r="K41" s="48" t="str">
        <f t="shared" si="2"/>
        <v/>
      </c>
      <c r="L41" s="49" t="str">
        <f t="shared" si="3"/>
        <v/>
      </c>
      <c r="M41" s="48" t="str">
        <f>IF($B41="","",Mau15a!F44)</f>
        <v/>
      </c>
      <c r="N41" s="51" t="str">
        <f>IF($B41="","",COUNTIF(BOM!$A$5:$A$1004,B41))</f>
        <v/>
      </c>
      <c r="O41" s="49" t="str">
        <f t="shared" si="4"/>
        <v/>
      </c>
      <c r="P41" s="51" t="str">
        <f>IF($B41="","",COUNTIFS(KT_nguoc_theo_SP!$B$5:$B$1004,B41,KT_nguoc_theo_SP!$M$5:$M$1004,"Xem xét"))</f>
        <v/>
      </c>
      <c r="Q41" s="49" t="str">
        <f t="shared" si="5"/>
        <v/>
      </c>
      <c r="R41" s="49" t="str">
        <f t="shared" si="6"/>
        <v/>
      </c>
      <c r="S41" s="31" t="str">
        <f t="shared" si="7"/>
        <v/>
      </c>
    </row>
    <row r="42" spans="1:19" x14ac:dyDescent="0.25">
      <c r="A42" s="36" t="str">
        <f>IF(B42="","",35)</f>
        <v/>
      </c>
      <c r="B42" s="36" t="str">
        <f>Mau15a!B45&amp;""</f>
        <v/>
      </c>
      <c r="C42" s="47" t="str">
        <f>IF(B42="","",Mau15a!C45)</f>
        <v/>
      </c>
      <c r="D42" s="36" t="str">
        <f>IF(B42="","",Mau15a!D45)</f>
        <v/>
      </c>
      <c r="E42" s="48" t="str">
        <f>IF($B42="","",Mau15a!P45)</f>
        <v/>
      </c>
      <c r="F42" s="48" t="str">
        <f>IF($B42="","",Mau15a!I45)</f>
        <v/>
      </c>
      <c r="G42" s="48" t="str">
        <f t="shared" si="0"/>
        <v/>
      </c>
      <c r="H42" s="49" t="str">
        <f t="shared" si="1"/>
        <v/>
      </c>
      <c r="I42" s="48" t="str">
        <f>IF($B42="","",Mau15a!K45)</f>
        <v/>
      </c>
      <c r="J42" s="48" t="str">
        <f>IF($B42="","",Mau15a!M45)</f>
        <v/>
      </c>
      <c r="K42" s="48" t="str">
        <f t="shared" si="2"/>
        <v/>
      </c>
      <c r="L42" s="49" t="str">
        <f t="shared" si="3"/>
        <v/>
      </c>
      <c r="M42" s="48" t="str">
        <f>IF($B42="","",Mau15a!F45)</f>
        <v/>
      </c>
      <c r="N42" s="51" t="str">
        <f>IF($B42="","",COUNTIF(BOM!$A$5:$A$1004,B42))</f>
        <v/>
      </c>
      <c r="O42" s="49" t="str">
        <f t="shared" si="4"/>
        <v/>
      </c>
      <c r="P42" s="51" t="str">
        <f>IF($B42="","",COUNTIFS(KT_nguoc_theo_SP!$B$5:$B$1004,B42,KT_nguoc_theo_SP!$M$5:$M$1004,"Xem xét"))</f>
        <v/>
      </c>
      <c r="Q42" s="49" t="str">
        <f t="shared" si="5"/>
        <v/>
      </c>
      <c r="R42" s="49" t="str">
        <f t="shared" si="6"/>
        <v/>
      </c>
      <c r="S42" s="31" t="str">
        <f t="shared" si="7"/>
        <v/>
      </c>
    </row>
    <row r="43" spans="1:19" x14ac:dyDescent="0.25">
      <c r="A43" s="36" t="str">
        <f>IF(B43="","",36)</f>
        <v/>
      </c>
      <c r="B43" s="36" t="str">
        <f>Mau15a!B46&amp;""</f>
        <v/>
      </c>
      <c r="C43" s="47" t="str">
        <f>IF(B43="","",Mau15a!C46)</f>
        <v/>
      </c>
      <c r="D43" s="36" t="str">
        <f>IF(B43="","",Mau15a!D46)</f>
        <v/>
      </c>
      <c r="E43" s="48" t="str">
        <f>IF($B43="","",Mau15a!P46)</f>
        <v/>
      </c>
      <c r="F43" s="48" t="str">
        <f>IF($B43="","",Mau15a!I46)</f>
        <v/>
      </c>
      <c r="G43" s="48" t="str">
        <f t="shared" si="0"/>
        <v/>
      </c>
      <c r="H43" s="49" t="str">
        <f t="shared" si="1"/>
        <v/>
      </c>
      <c r="I43" s="48" t="str">
        <f>IF($B43="","",Mau15a!K46)</f>
        <v/>
      </c>
      <c r="J43" s="48" t="str">
        <f>IF($B43="","",Mau15a!M46)</f>
        <v/>
      </c>
      <c r="K43" s="48" t="str">
        <f t="shared" si="2"/>
        <v/>
      </c>
      <c r="L43" s="49" t="str">
        <f t="shared" si="3"/>
        <v/>
      </c>
      <c r="M43" s="48" t="str">
        <f>IF($B43="","",Mau15a!F46)</f>
        <v/>
      </c>
      <c r="N43" s="51" t="str">
        <f>IF($B43="","",COUNTIF(BOM!$A$5:$A$1004,B43))</f>
        <v/>
      </c>
      <c r="O43" s="49" t="str">
        <f t="shared" si="4"/>
        <v/>
      </c>
      <c r="P43" s="51" t="str">
        <f>IF($B43="","",COUNTIFS(KT_nguoc_theo_SP!$B$5:$B$1004,B43,KT_nguoc_theo_SP!$M$5:$M$1004,"Xem xét"))</f>
        <v/>
      </c>
      <c r="Q43" s="49" t="str">
        <f t="shared" si="5"/>
        <v/>
      </c>
      <c r="R43" s="49" t="str">
        <f t="shared" si="6"/>
        <v/>
      </c>
      <c r="S43" s="31" t="str">
        <f t="shared" si="7"/>
        <v/>
      </c>
    </row>
    <row r="44" spans="1:19" x14ac:dyDescent="0.25">
      <c r="A44" s="36" t="str">
        <f>IF(B44="","",37)</f>
        <v/>
      </c>
      <c r="B44" s="36" t="str">
        <f>Mau15a!B47&amp;""</f>
        <v/>
      </c>
      <c r="C44" s="47" t="str">
        <f>IF(B44="","",Mau15a!C47)</f>
        <v/>
      </c>
      <c r="D44" s="36" t="str">
        <f>IF(B44="","",Mau15a!D47)</f>
        <v/>
      </c>
      <c r="E44" s="48" t="str">
        <f>IF($B44="","",Mau15a!P47)</f>
        <v/>
      </c>
      <c r="F44" s="48" t="str">
        <f>IF($B44="","",Mau15a!I47)</f>
        <v/>
      </c>
      <c r="G44" s="48" t="str">
        <f t="shared" si="0"/>
        <v/>
      </c>
      <c r="H44" s="49" t="str">
        <f t="shared" si="1"/>
        <v/>
      </c>
      <c r="I44" s="48" t="str">
        <f>IF($B44="","",Mau15a!K47)</f>
        <v/>
      </c>
      <c r="J44" s="48" t="str">
        <f>IF($B44="","",Mau15a!M47)</f>
        <v/>
      </c>
      <c r="K44" s="48" t="str">
        <f t="shared" si="2"/>
        <v/>
      </c>
      <c r="L44" s="49" t="str">
        <f t="shared" si="3"/>
        <v/>
      </c>
      <c r="M44" s="48" t="str">
        <f>IF($B44="","",Mau15a!F47)</f>
        <v/>
      </c>
      <c r="N44" s="51" t="str">
        <f>IF($B44="","",COUNTIF(BOM!$A$5:$A$1004,B44))</f>
        <v/>
      </c>
      <c r="O44" s="49" t="str">
        <f t="shared" si="4"/>
        <v/>
      </c>
      <c r="P44" s="51" t="str">
        <f>IF($B44="","",COUNTIFS(KT_nguoc_theo_SP!$B$5:$B$1004,B44,KT_nguoc_theo_SP!$M$5:$M$1004,"Xem xét"))</f>
        <v/>
      </c>
      <c r="Q44" s="49" t="str">
        <f t="shared" si="5"/>
        <v/>
      </c>
      <c r="R44" s="49" t="str">
        <f t="shared" si="6"/>
        <v/>
      </c>
      <c r="S44" s="31" t="str">
        <f t="shared" si="7"/>
        <v/>
      </c>
    </row>
    <row r="45" spans="1:19" x14ac:dyDescent="0.25">
      <c r="A45" s="36" t="str">
        <f>IF(B45="","",38)</f>
        <v/>
      </c>
      <c r="B45" s="36" t="str">
        <f>Mau15a!B48&amp;""</f>
        <v/>
      </c>
      <c r="C45" s="47" t="str">
        <f>IF(B45="","",Mau15a!C48)</f>
        <v/>
      </c>
      <c r="D45" s="36" t="str">
        <f>IF(B45="","",Mau15a!D48)</f>
        <v/>
      </c>
      <c r="E45" s="48" t="str">
        <f>IF($B45="","",Mau15a!P48)</f>
        <v/>
      </c>
      <c r="F45" s="48" t="str">
        <f>IF($B45="","",Mau15a!I48)</f>
        <v/>
      </c>
      <c r="G45" s="48" t="str">
        <f t="shared" si="0"/>
        <v/>
      </c>
      <c r="H45" s="49" t="str">
        <f t="shared" si="1"/>
        <v/>
      </c>
      <c r="I45" s="48" t="str">
        <f>IF($B45="","",Mau15a!K48)</f>
        <v/>
      </c>
      <c r="J45" s="48" t="str">
        <f>IF($B45="","",Mau15a!M48)</f>
        <v/>
      </c>
      <c r="K45" s="48" t="str">
        <f t="shared" si="2"/>
        <v/>
      </c>
      <c r="L45" s="49" t="str">
        <f t="shared" si="3"/>
        <v/>
      </c>
      <c r="M45" s="48" t="str">
        <f>IF($B45="","",Mau15a!F48)</f>
        <v/>
      </c>
      <c r="N45" s="51" t="str">
        <f>IF($B45="","",COUNTIF(BOM!$A$5:$A$1004,B45))</f>
        <v/>
      </c>
      <c r="O45" s="49" t="str">
        <f t="shared" si="4"/>
        <v/>
      </c>
      <c r="P45" s="51" t="str">
        <f>IF($B45="","",COUNTIFS(KT_nguoc_theo_SP!$B$5:$B$1004,B45,KT_nguoc_theo_SP!$M$5:$M$1004,"Xem xét"))</f>
        <v/>
      </c>
      <c r="Q45" s="49" t="str">
        <f t="shared" si="5"/>
        <v/>
      </c>
      <c r="R45" s="49" t="str">
        <f t="shared" si="6"/>
        <v/>
      </c>
      <c r="S45" s="31" t="str">
        <f t="shared" si="7"/>
        <v/>
      </c>
    </row>
    <row r="46" spans="1:19" x14ac:dyDescent="0.25">
      <c r="A46" s="36" t="str">
        <f>IF(B46="","",39)</f>
        <v/>
      </c>
      <c r="B46" s="36" t="str">
        <f>Mau15a!B49&amp;""</f>
        <v/>
      </c>
      <c r="C46" s="47" t="str">
        <f>IF(B46="","",Mau15a!C49)</f>
        <v/>
      </c>
      <c r="D46" s="36" t="str">
        <f>IF(B46="","",Mau15a!D49)</f>
        <v/>
      </c>
      <c r="E46" s="48" t="str">
        <f>IF($B46="","",Mau15a!P49)</f>
        <v/>
      </c>
      <c r="F46" s="48" t="str">
        <f>IF($B46="","",Mau15a!I49)</f>
        <v/>
      </c>
      <c r="G46" s="48" t="str">
        <f t="shared" si="0"/>
        <v/>
      </c>
      <c r="H46" s="49" t="str">
        <f t="shared" si="1"/>
        <v/>
      </c>
      <c r="I46" s="48" t="str">
        <f>IF($B46="","",Mau15a!K49)</f>
        <v/>
      </c>
      <c r="J46" s="48" t="str">
        <f>IF($B46="","",Mau15a!M49)</f>
        <v/>
      </c>
      <c r="K46" s="48" t="str">
        <f t="shared" si="2"/>
        <v/>
      </c>
      <c r="L46" s="49" t="str">
        <f t="shared" si="3"/>
        <v/>
      </c>
      <c r="M46" s="48" t="str">
        <f>IF($B46="","",Mau15a!F49)</f>
        <v/>
      </c>
      <c r="N46" s="51" t="str">
        <f>IF($B46="","",COUNTIF(BOM!$A$5:$A$1004,B46))</f>
        <v/>
      </c>
      <c r="O46" s="49" t="str">
        <f t="shared" si="4"/>
        <v/>
      </c>
      <c r="P46" s="51" t="str">
        <f>IF($B46="","",COUNTIFS(KT_nguoc_theo_SP!$B$5:$B$1004,B46,KT_nguoc_theo_SP!$M$5:$M$1004,"Xem xét"))</f>
        <v/>
      </c>
      <c r="Q46" s="49" t="str">
        <f t="shared" si="5"/>
        <v/>
      </c>
      <c r="R46" s="49" t="str">
        <f t="shared" si="6"/>
        <v/>
      </c>
      <c r="S46" s="31" t="str">
        <f t="shared" si="7"/>
        <v/>
      </c>
    </row>
    <row r="47" spans="1:19" x14ac:dyDescent="0.25">
      <c r="A47" s="36" t="str">
        <f>IF(B47="","",40)</f>
        <v/>
      </c>
      <c r="B47" s="36" t="str">
        <f>Mau15a!B50&amp;""</f>
        <v/>
      </c>
      <c r="C47" s="47" t="str">
        <f>IF(B47="","",Mau15a!C50)</f>
        <v/>
      </c>
      <c r="D47" s="36" t="str">
        <f>IF(B47="","",Mau15a!D50)</f>
        <v/>
      </c>
      <c r="E47" s="48" t="str">
        <f>IF($B47="","",Mau15a!P50)</f>
        <v/>
      </c>
      <c r="F47" s="48" t="str">
        <f>IF($B47="","",Mau15a!I50)</f>
        <v/>
      </c>
      <c r="G47" s="48" t="str">
        <f t="shared" si="0"/>
        <v/>
      </c>
      <c r="H47" s="49" t="str">
        <f t="shared" si="1"/>
        <v/>
      </c>
      <c r="I47" s="48" t="str">
        <f>IF($B47="","",Mau15a!K50)</f>
        <v/>
      </c>
      <c r="J47" s="48" t="str">
        <f>IF($B47="","",Mau15a!M50)</f>
        <v/>
      </c>
      <c r="K47" s="48" t="str">
        <f t="shared" si="2"/>
        <v/>
      </c>
      <c r="L47" s="49" t="str">
        <f t="shared" si="3"/>
        <v/>
      </c>
      <c r="M47" s="48" t="str">
        <f>IF($B47="","",Mau15a!F50)</f>
        <v/>
      </c>
      <c r="N47" s="51" t="str">
        <f>IF($B47="","",COUNTIF(BOM!$A$5:$A$1004,B47))</f>
        <v/>
      </c>
      <c r="O47" s="49" t="str">
        <f t="shared" si="4"/>
        <v/>
      </c>
      <c r="P47" s="51" t="str">
        <f>IF($B47="","",COUNTIFS(KT_nguoc_theo_SP!$B$5:$B$1004,B47,KT_nguoc_theo_SP!$M$5:$M$1004,"Xem xét"))</f>
        <v/>
      </c>
      <c r="Q47" s="49" t="str">
        <f t="shared" si="5"/>
        <v/>
      </c>
      <c r="R47" s="49" t="str">
        <f t="shared" si="6"/>
        <v/>
      </c>
      <c r="S47" s="31" t="str">
        <f t="shared" si="7"/>
        <v/>
      </c>
    </row>
    <row r="48" spans="1:19" x14ac:dyDescent="0.25">
      <c r="A48" s="36" t="str">
        <f>IF(B48="","",41)</f>
        <v/>
      </c>
      <c r="B48" s="36" t="str">
        <f>Mau15a!B51&amp;""</f>
        <v/>
      </c>
      <c r="C48" s="47" t="str">
        <f>IF(B48="","",Mau15a!C51)</f>
        <v/>
      </c>
      <c r="D48" s="36" t="str">
        <f>IF(B48="","",Mau15a!D51)</f>
        <v/>
      </c>
      <c r="E48" s="48" t="str">
        <f>IF($B48="","",Mau15a!P51)</f>
        <v/>
      </c>
      <c r="F48" s="48" t="str">
        <f>IF($B48="","",Mau15a!I51)</f>
        <v/>
      </c>
      <c r="G48" s="48" t="str">
        <f t="shared" si="0"/>
        <v/>
      </c>
      <c r="H48" s="49" t="str">
        <f t="shared" si="1"/>
        <v/>
      </c>
      <c r="I48" s="48" t="str">
        <f>IF($B48="","",Mau15a!K51)</f>
        <v/>
      </c>
      <c r="J48" s="48" t="str">
        <f>IF($B48="","",Mau15a!M51)</f>
        <v/>
      </c>
      <c r="K48" s="48" t="str">
        <f t="shared" si="2"/>
        <v/>
      </c>
      <c r="L48" s="49" t="str">
        <f t="shared" si="3"/>
        <v/>
      </c>
      <c r="M48" s="48" t="str">
        <f>IF($B48="","",Mau15a!F51)</f>
        <v/>
      </c>
      <c r="N48" s="51" t="str">
        <f>IF($B48="","",COUNTIF(BOM!$A$5:$A$1004,B48))</f>
        <v/>
      </c>
      <c r="O48" s="49" t="str">
        <f t="shared" si="4"/>
        <v/>
      </c>
      <c r="P48" s="51" t="str">
        <f>IF($B48="","",COUNTIFS(KT_nguoc_theo_SP!$B$5:$B$1004,B48,KT_nguoc_theo_SP!$M$5:$M$1004,"Xem xét"))</f>
        <v/>
      </c>
      <c r="Q48" s="49" t="str">
        <f t="shared" si="5"/>
        <v/>
      </c>
      <c r="R48" s="49" t="str">
        <f t="shared" si="6"/>
        <v/>
      </c>
      <c r="S48" s="31" t="str">
        <f t="shared" si="7"/>
        <v/>
      </c>
    </row>
    <row r="49" spans="1:19" x14ac:dyDescent="0.25">
      <c r="A49" s="36" t="str">
        <f>IF(B49="","",42)</f>
        <v/>
      </c>
      <c r="B49" s="36" t="str">
        <f>Mau15a!B52&amp;""</f>
        <v/>
      </c>
      <c r="C49" s="47" t="str">
        <f>IF(B49="","",Mau15a!C52)</f>
        <v/>
      </c>
      <c r="D49" s="36" t="str">
        <f>IF(B49="","",Mau15a!D52)</f>
        <v/>
      </c>
      <c r="E49" s="48" t="str">
        <f>IF($B49="","",Mau15a!P52)</f>
        <v/>
      </c>
      <c r="F49" s="48" t="str">
        <f>IF($B49="","",Mau15a!I52)</f>
        <v/>
      </c>
      <c r="G49" s="48" t="str">
        <f t="shared" si="0"/>
        <v/>
      </c>
      <c r="H49" s="49" t="str">
        <f t="shared" si="1"/>
        <v/>
      </c>
      <c r="I49" s="48" t="str">
        <f>IF($B49="","",Mau15a!K52)</f>
        <v/>
      </c>
      <c r="J49" s="48" t="str">
        <f>IF($B49="","",Mau15a!M52)</f>
        <v/>
      </c>
      <c r="K49" s="48" t="str">
        <f t="shared" si="2"/>
        <v/>
      </c>
      <c r="L49" s="49" t="str">
        <f t="shared" si="3"/>
        <v/>
      </c>
      <c r="M49" s="48" t="str">
        <f>IF($B49="","",Mau15a!F52)</f>
        <v/>
      </c>
      <c r="N49" s="51" t="str">
        <f>IF($B49="","",COUNTIF(BOM!$A$5:$A$1004,B49))</f>
        <v/>
      </c>
      <c r="O49" s="49" t="str">
        <f t="shared" si="4"/>
        <v/>
      </c>
      <c r="P49" s="51" t="str">
        <f>IF($B49="","",COUNTIFS(KT_nguoc_theo_SP!$B$5:$B$1004,B49,KT_nguoc_theo_SP!$M$5:$M$1004,"Xem xét"))</f>
        <v/>
      </c>
      <c r="Q49" s="49" t="str">
        <f t="shared" si="5"/>
        <v/>
      </c>
      <c r="R49" s="49" t="str">
        <f t="shared" si="6"/>
        <v/>
      </c>
      <c r="S49" s="31" t="str">
        <f t="shared" si="7"/>
        <v/>
      </c>
    </row>
    <row r="50" spans="1:19" x14ac:dyDescent="0.25">
      <c r="A50" s="36" t="str">
        <f>IF(B50="","",43)</f>
        <v/>
      </c>
      <c r="B50" s="36" t="str">
        <f>Mau15a!B53&amp;""</f>
        <v/>
      </c>
      <c r="C50" s="47" t="str">
        <f>IF(B50="","",Mau15a!C53)</f>
        <v/>
      </c>
      <c r="D50" s="36" t="str">
        <f>IF(B50="","",Mau15a!D53)</f>
        <v/>
      </c>
      <c r="E50" s="48" t="str">
        <f>IF($B50="","",Mau15a!P53)</f>
        <v/>
      </c>
      <c r="F50" s="48" t="str">
        <f>IF($B50="","",Mau15a!I53)</f>
        <v/>
      </c>
      <c r="G50" s="48" t="str">
        <f t="shared" si="0"/>
        <v/>
      </c>
      <c r="H50" s="49" t="str">
        <f t="shared" si="1"/>
        <v/>
      </c>
      <c r="I50" s="48" t="str">
        <f>IF($B50="","",Mau15a!K53)</f>
        <v/>
      </c>
      <c r="J50" s="48" t="str">
        <f>IF($B50="","",Mau15a!M53)</f>
        <v/>
      </c>
      <c r="K50" s="48" t="str">
        <f t="shared" si="2"/>
        <v/>
      </c>
      <c r="L50" s="49" t="str">
        <f t="shared" si="3"/>
        <v/>
      </c>
      <c r="M50" s="48" t="str">
        <f>IF($B50="","",Mau15a!F53)</f>
        <v/>
      </c>
      <c r="N50" s="51" t="str">
        <f>IF($B50="","",COUNTIF(BOM!$A$5:$A$1004,B50))</f>
        <v/>
      </c>
      <c r="O50" s="49" t="str">
        <f t="shared" si="4"/>
        <v/>
      </c>
      <c r="P50" s="51" t="str">
        <f>IF($B50="","",COUNTIFS(KT_nguoc_theo_SP!$B$5:$B$1004,B50,KT_nguoc_theo_SP!$M$5:$M$1004,"Xem xét"))</f>
        <v/>
      </c>
      <c r="Q50" s="49" t="str">
        <f t="shared" si="5"/>
        <v/>
      </c>
      <c r="R50" s="49" t="str">
        <f t="shared" si="6"/>
        <v/>
      </c>
      <c r="S50" s="31" t="str">
        <f t="shared" si="7"/>
        <v/>
      </c>
    </row>
    <row r="51" spans="1:19" x14ac:dyDescent="0.25">
      <c r="A51" s="36" t="str">
        <f>IF(B51="","",44)</f>
        <v/>
      </c>
      <c r="B51" s="36" t="str">
        <f>Mau15a!B54&amp;""</f>
        <v/>
      </c>
      <c r="C51" s="47" t="str">
        <f>IF(B51="","",Mau15a!C54)</f>
        <v/>
      </c>
      <c r="D51" s="36" t="str">
        <f>IF(B51="","",Mau15a!D54)</f>
        <v/>
      </c>
      <c r="E51" s="48" t="str">
        <f>IF($B51="","",Mau15a!P54)</f>
        <v/>
      </c>
      <c r="F51" s="48" t="str">
        <f>IF($B51="","",Mau15a!I54)</f>
        <v/>
      </c>
      <c r="G51" s="48" t="str">
        <f t="shared" si="0"/>
        <v/>
      </c>
      <c r="H51" s="49" t="str">
        <f t="shared" si="1"/>
        <v/>
      </c>
      <c r="I51" s="48" t="str">
        <f>IF($B51="","",Mau15a!K54)</f>
        <v/>
      </c>
      <c r="J51" s="48" t="str">
        <f>IF($B51="","",Mau15a!M54)</f>
        <v/>
      </c>
      <c r="K51" s="48" t="str">
        <f t="shared" si="2"/>
        <v/>
      </c>
      <c r="L51" s="49" t="str">
        <f t="shared" si="3"/>
        <v/>
      </c>
      <c r="M51" s="48" t="str">
        <f>IF($B51="","",Mau15a!F54)</f>
        <v/>
      </c>
      <c r="N51" s="51" t="str">
        <f>IF($B51="","",COUNTIF(BOM!$A$5:$A$1004,B51))</f>
        <v/>
      </c>
      <c r="O51" s="49" t="str">
        <f t="shared" si="4"/>
        <v/>
      </c>
      <c r="P51" s="51" t="str">
        <f>IF($B51="","",COUNTIFS(KT_nguoc_theo_SP!$B$5:$B$1004,B51,KT_nguoc_theo_SP!$M$5:$M$1004,"Xem xét"))</f>
        <v/>
      </c>
      <c r="Q51" s="49" t="str">
        <f t="shared" si="5"/>
        <v/>
      </c>
      <c r="R51" s="49" t="str">
        <f t="shared" si="6"/>
        <v/>
      </c>
      <c r="S51" s="31" t="str">
        <f t="shared" si="7"/>
        <v/>
      </c>
    </row>
    <row r="52" spans="1:19" x14ac:dyDescent="0.25">
      <c r="A52" s="36" t="str">
        <f>IF(B52="","",45)</f>
        <v/>
      </c>
      <c r="B52" s="36" t="str">
        <f>Mau15a!B55&amp;""</f>
        <v/>
      </c>
      <c r="C52" s="47" t="str">
        <f>IF(B52="","",Mau15a!C55)</f>
        <v/>
      </c>
      <c r="D52" s="36" t="str">
        <f>IF(B52="","",Mau15a!D55)</f>
        <v/>
      </c>
      <c r="E52" s="48" t="str">
        <f>IF($B52="","",Mau15a!P55)</f>
        <v/>
      </c>
      <c r="F52" s="48" t="str">
        <f>IF($B52="","",Mau15a!I55)</f>
        <v/>
      </c>
      <c r="G52" s="48" t="str">
        <f t="shared" si="0"/>
        <v/>
      </c>
      <c r="H52" s="49" t="str">
        <f t="shared" si="1"/>
        <v/>
      </c>
      <c r="I52" s="48" t="str">
        <f>IF($B52="","",Mau15a!K55)</f>
        <v/>
      </c>
      <c r="J52" s="48" t="str">
        <f>IF($B52="","",Mau15a!M55)</f>
        <v/>
      </c>
      <c r="K52" s="48" t="str">
        <f t="shared" si="2"/>
        <v/>
      </c>
      <c r="L52" s="49" t="str">
        <f t="shared" si="3"/>
        <v/>
      </c>
      <c r="M52" s="48" t="str">
        <f>IF($B52="","",Mau15a!F55)</f>
        <v/>
      </c>
      <c r="N52" s="51" t="str">
        <f>IF($B52="","",COUNTIF(BOM!$A$5:$A$1004,B52))</f>
        <v/>
      </c>
      <c r="O52" s="49" t="str">
        <f t="shared" si="4"/>
        <v/>
      </c>
      <c r="P52" s="51" t="str">
        <f>IF($B52="","",COUNTIFS(KT_nguoc_theo_SP!$B$5:$B$1004,B52,KT_nguoc_theo_SP!$M$5:$M$1004,"Xem xét"))</f>
        <v/>
      </c>
      <c r="Q52" s="49" t="str">
        <f t="shared" si="5"/>
        <v/>
      </c>
      <c r="R52" s="49" t="str">
        <f t="shared" si="6"/>
        <v/>
      </c>
      <c r="S52" s="31" t="str">
        <f t="shared" si="7"/>
        <v/>
      </c>
    </row>
    <row r="53" spans="1:19" x14ac:dyDescent="0.25">
      <c r="A53" s="36" t="str">
        <f>IF(B53="","",46)</f>
        <v/>
      </c>
      <c r="B53" s="36" t="str">
        <f>Mau15a!B56&amp;""</f>
        <v/>
      </c>
      <c r="C53" s="47" t="str">
        <f>IF(B53="","",Mau15a!C56)</f>
        <v/>
      </c>
      <c r="D53" s="36" t="str">
        <f>IF(B53="","",Mau15a!D56)</f>
        <v/>
      </c>
      <c r="E53" s="48" t="str">
        <f>IF($B53="","",Mau15a!P56)</f>
        <v/>
      </c>
      <c r="F53" s="48" t="str">
        <f>IF($B53="","",Mau15a!I56)</f>
        <v/>
      </c>
      <c r="G53" s="48" t="str">
        <f t="shared" si="0"/>
        <v/>
      </c>
      <c r="H53" s="49" t="str">
        <f t="shared" si="1"/>
        <v/>
      </c>
      <c r="I53" s="48" t="str">
        <f>IF($B53="","",Mau15a!K56)</f>
        <v/>
      </c>
      <c r="J53" s="48" t="str">
        <f>IF($B53="","",Mau15a!M56)</f>
        <v/>
      </c>
      <c r="K53" s="48" t="str">
        <f t="shared" si="2"/>
        <v/>
      </c>
      <c r="L53" s="49" t="str">
        <f t="shared" si="3"/>
        <v/>
      </c>
      <c r="M53" s="48" t="str">
        <f>IF($B53="","",Mau15a!F56)</f>
        <v/>
      </c>
      <c r="N53" s="51" t="str">
        <f>IF($B53="","",COUNTIF(BOM!$A$5:$A$1004,B53))</f>
        <v/>
      </c>
      <c r="O53" s="49" t="str">
        <f t="shared" si="4"/>
        <v/>
      </c>
      <c r="P53" s="51" t="str">
        <f>IF($B53="","",COUNTIFS(KT_nguoc_theo_SP!$B$5:$B$1004,B53,KT_nguoc_theo_SP!$M$5:$M$1004,"Xem xét"))</f>
        <v/>
      </c>
      <c r="Q53" s="49" t="str">
        <f t="shared" si="5"/>
        <v/>
      </c>
      <c r="R53" s="49" t="str">
        <f t="shared" si="6"/>
        <v/>
      </c>
      <c r="S53" s="31" t="str">
        <f t="shared" si="7"/>
        <v/>
      </c>
    </row>
    <row r="54" spans="1:19" x14ac:dyDescent="0.25">
      <c r="A54" s="36" t="str">
        <f>IF(B54="","",47)</f>
        <v/>
      </c>
      <c r="B54" s="36" t="str">
        <f>Mau15a!B57&amp;""</f>
        <v/>
      </c>
      <c r="C54" s="47" t="str">
        <f>IF(B54="","",Mau15a!C57)</f>
        <v/>
      </c>
      <c r="D54" s="36" t="str">
        <f>IF(B54="","",Mau15a!D57)</f>
        <v/>
      </c>
      <c r="E54" s="48" t="str">
        <f>IF($B54="","",Mau15a!P57)</f>
        <v/>
      </c>
      <c r="F54" s="48" t="str">
        <f>IF($B54="","",Mau15a!I57)</f>
        <v/>
      </c>
      <c r="G54" s="48" t="str">
        <f t="shared" si="0"/>
        <v/>
      </c>
      <c r="H54" s="49" t="str">
        <f t="shared" si="1"/>
        <v/>
      </c>
      <c r="I54" s="48" t="str">
        <f>IF($B54="","",Mau15a!K57)</f>
        <v/>
      </c>
      <c r="J54" s="48" t="str">
        <f>IF($B54="","",Mau15a!M57)</f>
        <v/>
      </c>
      <c r="K54" s="48" t="str">
        <f t="shared" si="2"/>
        <v/>
      </c>
      <c r="L54" s="49" t="str">
        <f t="shared" si="3"/>
        <v/>
      </c>
      <c r="M54" s="48" t="str">
        <f>IF($B54="","",Mau15a!F57)</f>
        <v/>
      </c>
      <c r="N54" s="51" t="str">
        <f>IF($B54="","",COUNTIF(BOM!$A$5:$A$1004,B54))</f>
        <v/>
      </c>
      <c r="O54" s="49" t="str">
        <f t="shared" si="4"/>
        <v/>
      </c>
      <c r="P54" s="51" t="str">
        <f>IF($B54="","",COUNTIFS(KT_nguoc_theo_SP!$B$5:$B$1004,B54,KT_nguoc_theo_SP!$M$5:$M$1004,"Xem xét"))</f>
        <v/>
      </c>
      <c r="Q54" s="49" t="str">
        <f t="shared" si="5"/>
        <v/>
      </c>
      <c r="R54" s="49" t="str">
        <f t="shared" si="6"/>
        <v/>
      </c>
      <c r="S54" s="31" t="str">
        <f t="shared" si="7"/>
        <v/>
      </c>
    </row>
    <row r="55" spans="1:19" x14ac:dyDescent="0.25">
      <c r="A55" s="36" t="str">
        <f>IF(B55="","",48)</f>
        <v/>
      </c>
      <c r="B55" s="36" t="str">
        <f>Mau15a!B58&amp;""</f>
        <v/>
      </c>
      <c r="C55" s="47" t="str">
        <f>IF(B55="","",Mau15a!C58)</f>
        <v/>
      </c>
      <c r="D55" s="36" t="str">
        <f>IF(B55="","",Mau15a!D58)</f>
        <v/>
      </c>
      <c r="E55" s="48" t="str">
        <f>IF($B55="","",Mau15a!P58)</f>
        <v/>
      </c>
      <c r="F55" s="48" t="str">
        <f>IF($B55="","",Mau15a!I58)</f>
        <v/>
      </c>
      <c r="G55" s="48" t="str">
        <f t="shared" si="0"/>
        <v/>
      </c>
      <c r="H55" s="49" t="str">
        <f t="shared" si="1"/>
        <v/>
      </c>
      <c r="I55" s="48" t="str">
        <f>IF($B55="","",Mau15a!K58)</f>
        <v/>
      </c>
      <c r="J55" s="48" t="str">
        <f>IF($B55="","",Mau15a!M58)</f>
        <v/>
      </c>
      <c r="K55" s="48" t="str">
        <f t="shared" si="2"/>
        <v/>
      </c>
      <c r="L55" s="49" t="str">
        <f t="shared" si="3"/>
        <v/>
      </c>
      <c r="M55" s="48" t="str">
        <f>IF($B55="","",Mau15a!F58)</f>
        <v/>
      </c>
      <c r="N55" s="51" t="str">
        <f>IF($B55="","",COUNTIF(BOM!$A$5:$A$1004,B55))</f>
        <v/>
      </c>
      <c r="O55" s="49" t="str">
        <f t="shared" si="4"/>
        <v/>
      </c>
      <c r="P55" s="51" t="str">
        <f>IF($B55="","",COUNTIFS(KT_nguoc_theo_SP!$B$5:$B$1004,B55,KT_nguoc_theo_SP!$M$5:$M$1004,"Xem xét"))</f>
        <v/>
      </c>
      <c r="Q55" s="49" t="str">
        <f t="shared" si="5"/>
        <v/>
      </c>
      <c r="R55" s="49" t="str">
        <f t="shared" si="6"/>
        <v/>
      </c>
      <c r="S55" s="31" t="str">
        <f t="shared" si="7"/>
        <v/>
      </c>
    </row>
    <row r="56" spans="1:19" x14ac:dyDescent="0.25">
      <c r="A56" s="36" t="str">
        <f>IF(B56="","",49)</f>
        <v/>
      </c>
      <c r="B56" s="36" t="str">
        <f>Mau15a!B59&amp;""</f>
        <v/>
      </c>
      <c r="C56" s="47" t="str">
        <f>IF(B56="","",Mau15a!C59)</f>
        <v/>
      </c>
      <c r="D56" s="36" t="str">
        <f>IF(B56="","",Mau15a!D59)</f>
        <v/>
      </c>
      <c r="E56" s="48" t="str">
        <f>IF($B56="","",Mau15a!P59)</f>
        <v/>
      </c>
      <c r="F56" s="48" t="str">
        <f>IF($B56="","",Mau15a!I59)</f>
        <v/>
      </c>
      <c r="G56" s="48" t="str">
        <f t="shared" si="0"/>
        <v/>
      </c>
      <c r="H56" s="49" t="str">
        <f t="shared" si="1"/>
        <v/>
      </c>
      <c r="I56" s="48" t="str">
        <f>IF($B56="","",Mau15a!K59)</f>
        <v/>
      </c>
      <c r="J56" s="48" t="str">
        <f>IF($B56="","",Mau15a!M59)</f>
        <v/>
      </c>
      <c r="K56" s="48" t="str">
        <f t="shared" si="2"/>
        <v/>
      </c>
      <c r="L56" s="49" t="str">
        <f t="shared" si="3"/>
        <v/>
      </c>
      <c r="M56" s="48" t="str">
        <f>IF($B56="","",Mau15a!F59)</f>
        <v/>
      </c>
      <c r="N56" s="51" t="str">
        <f>IF($B56="","",COUNTIF(BOM!$A$5:$A$1004,B56))</f>
        <v/>
      </c>
      <c r="O56" s="49" t="str">
        <f t="shared" si="4"/>
        <v/>
      </c>
      <c r="P56" s="51" t="str">
        <f>IF($B56="","",COUNTIFS(KT_nguoc_theo_SP!$B$5:$B$1004,B56,KT_nguoc_theo_SP!$M$5:$M$1004,"Xem xét"))</f>
        <v/>
      </c>
      <c r="Q56" s="49" t="str">
        <f t="shared" si="5"/>
        <v/>
      </c>
      <c r="R56" s="49" t="str">
        <f t="shared" si="6"/>
        <v/>
      </c>
      <c r="S56" s="31" t="str">
        <f t="shared" si="7"/>
        <v/>
      </c>
    </row>
    <row r="57" spans="1:19" x14ac:dyDescent="0.25">
      <c r="A57" s="36" t="str">
        <f>IF(B57="","",50)</f>
        <v/>
      </c>
      <c r="B57" s="36" t="str">
        <f>Mau15a!B60&amp;""</f>
        <v/>
      </c>
      <c r="C57" s="47" t="str">
        <f>IF(B57="","",Mau15a!C60)</f>
        <v/>
      </c>
      <c r="D57" s="36" t="str">
        <f>IF(B57="","",Mau15a!D60)</f>
        <v/>
      </c>
      <c r="E57" s="48" t="str">
        <f>IF($B57="","",Mau15a!P60)</f>
        <v/>
      </c>
      <c r="F57" s="48" t="str">
        <f>IF($B57="","",Mau15a!I60)</f>
        <v/>
      </c>
      <c r="G57" s="48" t="str">
        <f t="shared" si="0"/>
        <v/>
      </c>
      <c r="H57" s="49" t="str">
        <f t="shared" si="1"/>
        <v/>
      </c>
      <c r="I57" s="48" t="str">
        <f>IF($B57="","",Mau15a!K60)</f>
        <v/>
      </c>
      <c r="J57" s="48" t="str">
        <f>IF($B57="","",Mau15a!M60)</f>
        <v/>
      </c>
      <c r="K57" s="48" t="str">
        <f t="shared" si="2"/>
        <v/>
      </c>
      <c r="L57" s="49" t="str">
        <f t="shared" si="3"/>
        <v/>
      </c>
      <c r="M57" s="48" t="str">
        <f>IF($B57="","",Mau15a!F60)</f>
        <v/>
      </c>
      <c r="N57" s="51" t="str">
        <f>IF($B57="","",COUNTIF(BOM!$A$5:$A$1004,B57))</f>
        <v/>
      </c>
      <c r="O57" s="49" t="str">
        <f t="shared" si="4"/>
        <v/>
      </c>
      <c r="P57" s="51" t="str">
        <f>IF($B57="","",COUNTIFS(KT_nguoc_theo_SP!$B$5:$B$1004,B57,KT_nguoc_theo_SP!$M$5:$M$1004,"Xem xét"))</f>
        <v/>
      </c>
      <c r="Q57" s="49" t="str">
        <f t="shared" si="5"/>
        <v/>
      </c>
      <c r="R57" s="49" t="str">
        <f t="shared" si="6"/>
        <v/>
      </c>
      <c r="S57" s="31" t="str">
        <f t="shared" si="7"/>
        <v/>
      </c>
    </row>
    <row r="58" spans="1:19" x14ac:dyDescent="0.25">
      <c r="A58" s="36" t="str">
        <f>IF(B58="","",51)</f>
        <v/>
      </c>
      <c r="B58" s="36" t="str">
        <f>Mau15a!B61&amp;""</f>
        <v/>
      </c>
      <c r="C58" s="47" t="str">
        <f>IF(B58="","",Mau15a!C61)</f>
        <v/>
      </c>
      <c r="D58" s="36" t="str">
        <f>IF(B58="","",Mau15a!D61)</f>
        <v/>
      </c>
      <c r="E58" s="48" t="str">
        <f>IF($B58="","",Mau15a!P61)</f>
        <v/>
      </c>
      <c r="F58" s="48" t="str">
        <f>IF($B58="","",Mau15a!I61)</f>
        <v/>
      </c>
      <c r="G58" s="48" t="str">
        <f t="shared" si="0"/>
        <v/>
      </c>
      <c r="H58" s="49" t="str">
        <f t="shared" si="1"/>
        <v/>
      </c>
      <c r="I58" s="48" t="str">
        <f>IF($B58="","",Mau15a!K61)</f>
        <v/>
      </c>
      <c r="J58" s="48" t="str">
        <f>IF($B58="","",Mau15a!M61)</f>
        <v/>
      </c>
      <c r="K58" s="48" t="str">
        <f t="shared" si="2"/>
        <v/>
      </c>
      <c r="L58" s="49" t="str">
        <f t="shared" si="3"/>
        <v/>
      </c>
      <c r="M58" s="48" t="str">
        <f>IF($B58="","",Mau15a!F61)</f>
        <v/>
      </c>
      <c r="N58" s="51" t="str">
        <f>IF($B58="","",COUNTIF(BOM!$A$5:$A$1004,B58))</f>
        <v/>
      </c>
      <c r="O58" s="49" t="str">
        <f t="shared" si="4"/>
        <v/>
      </c>
      <c r="P58" s="51" t="str">
        <f>IF($B58="","",COUNTIFS(KT_nguoc_theo_SP!$B$5:$B$1004,B58,KT_nguoc_theo_SP!$M$5:$M$1004,"Xem xét"))</f>
        <v/>
      </c>
      <c r="Q58" s="49" t="str">
        <f t="shared" si="5"/>
        <v/>
      </c>
      <c r="R58" s="49" t="str">
        <f t="shared" si="6"/>
        <v/>
      </c>
      <c r="S58" s="31" t="str">
        <f t="shared" si="7"/>
        <v/>
      </c>
    </row>
    <row r="59" spans="1:19" x14ac:dyDescent="0.25">
      <c r="A59" s="36" t="str">
        <f>IF(B59="","",52)</f>
        <v/>
      </c>
      <c r="B59" s="36" t="str">
        <f>Mau15a!B62&amp;""</f>
        <v/>
      </c>
      <c r="C59" s="47" t="str">
        <f>IF(B59="","",Mau15a!C62)</f>
        <v/>
      </c>
      <c r="D59" s="36" t="str">
        <f>IF(B59="","",Mau15a!D62)</f>
        <v/>
      </c>
      <c r="E59" s="48" t="str">
        <f>IF($B59="","",Mau15a!P62)</f>
        <v/>
      </c>
      <c r="F59" s="48" t="str">
        <f>IF($B59="","",Mau15a!I62)</f>
        <v/>
      </c>
      <c r="G59" s="48" t="str">
        <f t="shared" si="0"/>
        <v/>
      </c>
      <c r="H59" s="49" t="str">
        <f t="shared" si="1"/>
        <v/>
      </c>
      <c r="I59" s="48" t="str">
        <f>IF($B59="","",Mau15a!K62)</f>
        <v/>
      </c>
      <c r="J59" s="48" t="str">
        <f>IF($B59="","",Mau15a!M62)</f>
        <v/>
      </c>
      <c r="K59" s="48" t="str">
        <f t="shared" si="2"/>
        <v/>
      </c>
      <c r="L59" s="49" t="str">
        <f t="shared" si="3"/>
        <v/>
      </c>
      <c r="M59" s="48" t="str">
        <f>IF($B59="","",Mau15a!F62)</f>
        <v/>
      </c>
      <c r="N59" s="51" t="str">
        <f>IF($B59="","",COUNTIF(BOM!$A$5:$A$1004,B59))</f>
        <v/>
      </c>
      <c r="O59" s="49" t="str">
        <f t="shared" si="4"/>
        <v/>
      </c>
      <c r="P59" s="51" t="str">
        <f>IF($B59="","",COUNTIFS(KT_nguoc_theo_SP!$B$5:$B$1004,B59,KT_nguoc_theo_SP!$M$5:$M$1004,"Xem xét"))</f>
        <v/>
      </c>
      <c r="Q59" s="49" t="str">
        <f t="shared" si="5"/>
        <v/>
      </c>
      <c r="R59" s="49" t="str">
        <f t="shared" si="6"/>
        <v/>
      </c>
      <c r="S59" s="31" t="str">
        <f t="shared" si="7"/>
        <v/>
      </c>
    </row>
    <row r="60" spans="1:19" x14ac:dyDescent="0.25">
      <c r="A60" s="36" t="str">
        <f>IF(B60="","",53)</f>
        <v/>
      </c>
      <c r="B60" s="36" t="str">
        <f>Mau15a!B63&amp;""</f>
        <v/>
      </c>
      <c r="C60" s="47" t="str">
        <f>IF(B60="","",Mau15a!C63)</f>
        <v/>
      </c>
      <c r="D60" s="36" t="str">
        <f>IF(B60="","",Mau15a!D63)</f>
        <v/>
      </c>
      <c r="E60" s="48" t="str">
        <f>IF($B60="","",Mau15a!P63)</f>
        <v/>
      </c>
      <c r="F60" s="48" t="str">
        <f>IF($B60="","",Mau15a!I63)</f>
        <v/>
      </c>
      <c r="G60" s="48" t="str">
        <f t="shared" si="0"/>
        <v/>
      </c>
      <c r="H60" s="49" t="str">
        <f t="shared" si="1"/>
        <v/>
      </c>
      <c r="I60" s="48" t="str">
        <f>IF($B60="","",Mau15a!K63)</f>
        <v/>
      </c>
      <c r="J60" s="48" t="str">
        <f>IF($B60="","",Mau15a!M63)</f>
        <v/>
      </c>
      <c r="K60" s="48" t="str">
        <f t="shared" si="2"/>
        <v/>
      </c>
      <c r="L60" s="49" t="str">
        <f t="shared" si="3"/>
        <v/>
      </c>
      <c r="M60" s="48" t="str">
        <f>IF($B60="","",Mau15a!F63)</f>
        <v/>
      </c>
      <c r="N60" s="51" t="str">
        <f>IF($B60="","",COUNTIF(BOM!$A$5:$A$1004,B60))</f>
        <v/>
      </c>
      <c r="O60" s="49" t="str">
        <f t="shared" si="4"/>
        <v/>
      </c>
      <c r="P60" s="51" t="str">
        <f>IF($B60="","",COUNTIFS(KT_nguoc_theo_SP!$B$5:$B$1004,B60,KT_nguoc_theo_SP!$M$5:$M$1004,"Xem xét"))</f>
        <v/>
      </c>
      <c r="Q60" s="49" t="str">
        <f t="shared" si="5"/>
        <v/>
      </c>
      <c r="R60" s="49" t="str">
        <f t="shared" si="6"/>
        <v/>
      </c>
      <c r="S60" s="31" t="str">
        <f t="shared" si="7"/>
        <v/>
      </c>
    </row>
    <row r="61" spans="1:19" x14ac:dyDescent="0.25">
      <c r="A61" s="36" t="str">
        <f>IF(B61="","",54)</f>
        <v/>
      </c>
      <c r="B61" s="36" t="str">
        <f>Mau15a!B64&amp;""</f>
        <v/>
      </c>
      <c r="C61" s="47" t="str">
        <f>IF(B61="","",Mau15a!C64)</f>
        <v/>
      </c>
      <c r="D61" s="36" t="str">
        <f>IF(B61="","",Mau15a!D64)</f>
        <v/>
      </c>
      <c r="E61" s="48" t="str">
        <f>IF($B61="","",Mau15a!P64)</f>
        <v/>
      </c>
      <c r="F61" s="48" t="str">
        <f>IF($B61="","",Mau15a!I64)</f>
        <v/>
      </c>
      <c r="G61" s="48" t="str">
        <f t="shared" si="0"/>
        <v/>
      </c>
      <c r="H61" s="49" t="str">
        <f t="shared" si="1"/>
        <v/>
      </c>
      <c r="I61" s="48" t="str">
        <f>IF($B61="","",Mau15a!K64)</f>
        <v/>
      </c>
      <c r="J61" s="48" t="str">
        <f>IF($B61="","",Mau15a!M64)</f>
        <v/>
      </c>
      <c r="K61" s="48" t="str">
        <f t="shared" si="2"/>
        <v/>
      </c>
      <c r="L61" s="49" t="str">
        <f t="shared" si="3"/>
        <v/>
      </c>
      <c r="M61" s="48" t="str">
        <f>IF($B61="","",Mau15a!F64)</f>
        <v/>
      </c>
      <c r="N61" s="51" t="str">
        <f>IF($B61="","",COUNTIF(BOM!$A$5:$A$1004,B61))</f>
        <v/>
      </c>
      <c r="O61" s="49" t="str">
        <f t="shared" si="4"/>
        <v/>
      </c>
      <c r="P61" s="51" t="str">
        <f>IF($B61="","",COUNTIFS(KT_nguoc_theo_SP!$B$5:$B$1004,B61,KT_nguoc_theo_SP!$M$5:$M$1004,"Xem xét"))</f>
        <v/>
      </c>
      <c r="Q61" s="49" t="str">
        <f t="shared" si="5"/>
        <v/>
      </c>
      <c r="R61" s="49" t="str">
        <f t="shared" si="6"/>
        <v/>
      </c>
      <c r="S61" s="31" t="str">
        <f t="shared" si="7"/>
        <v/>
      </c>
    </row>
    <row r="62" spans="1:19" x14ac:dyDescent="0.25">
      <c r="A62" s="36" t="str">
        <f>IF(B62="","",55)</f>
        <v/>
      </c>
      <c r="B62" s="36" t="str">
        <f>Mau15a!B65&amp;""</f>
        <v/>
      </c>
      <c r="C62" s="47" t="str">
        <f>IF(B62="","",Mau15a!C65)</f>
        <v/>
      </c>
      <c r="D62" s="36" t="str">
        <f>IF(B62="","",Mau15a!D65)</f>
        <v/>
      </c>
      <c r="E62" s="48" t="str">
        <f>IF($B62="","",Mau15a!P65)</f>
        <v/>
      </c>
      <c r="F62" s="48" t="str">
        <f>IF($B62="","",Mau15a!I65)</f>
        <v/>
      </c>
      <c r="G62" s="48" t="str">
        <f t="shared" si="0"/>
        <v/>
      </c>
      <c r="H62" s="49" t="str">
        <f t="shared" si="1"/>
        <v/>
      </c>
      <c r="I62" s="48" t="str">
        <f>IF($B62="","",Mau15a!K65)</f>
        <v/>
      </c>
      <c r="J62" s="48" t="str">
        <f>IF($B62="","",Mau15a!M65)</f>
        <v/>
      </c>
      <c r="K62" s="48" t="str">
        <f t="shared" si="2"/>
        <v/>
      </c>
      <c r="L62" s="49" t="str">
        <f t="shared" si="3"/>
        <v/>
      </c>
      <c r="M62" s="48" t="str">
        <f>IF($B62="","",Mau15a!F65)</f>
        <v/>
      </c>
      <c r="N62" s="51" t="str">
        <f>IF($B62="","",COUNTIF(BOM!$A$5:$A$1004,B62))</f>
        <v/>
      </c>
      <c r="O62" s="49" t="str">
        <f t="shared" si="4"/>
        <v/>
      </c>
      <c r="P62" s="51" t="str">
        <f>IF($B62="","",COUNTIFS(KT_nguoc_theo_SP!$B$5:$B$1004,B62,KT_nguoc_theo_SP!$M$5:$M$1004,"Xem xét"))</f>
        <v/>
      </c>
      <c r="Q62" s="49" t="str">
        <f t="shared" si="5"/>
        <v/>
      </c>
      <c r="R62" s="49" t="str">
        <f t="shared" si="6"/>
        <v/>
      </c>
      <c r="S62" s="31" t="str">
        <f t="shared" si="7"/>
        <v/>
      </c>
    </row>
    <row r="63" spans="1:19" x14ac:dyDescent="0.25">
      <c r="A63" s="36" t="str">
        <f>IF(B63="","",56)</f>
        <v/>
      </c>
      <c r="B63" s="36" t="str">
        <f>Mau15a!B66&amp;""</f>
        <v/>
      </c>
      <c r="C63" s="47" t="str">
        <f>IF(B63="","",Mau15a!C66)</f>
        <v/>
      </c>
      <c r="D63" s="36" t="str">
        <f>IF(B63="","",Mau15a!D66)</f>
        <v/>
      </c>
      <c r="E63" s="48" t="str">
        <f>IF($B63="","",Mau15a!P66)</f>
        <v/>
      </c>
      <c r="F63" s="48" t="str">
        <f>IF($B63="","",Mau15a!I66)</f>
        <v/>
      </c>
      <c r="G63" s="48" t="str">
        <f t="shared" si="0"/>
        <v/>
      </c>
      <c r="H63" s="49" t="str">
        <f t="shared" si="1"/>
        <v/>
      </c>
      <c r="I63" s="48" t="str">
        <f>IF($B63="","",Mau15a!K66)</f>
        <v/>
      </c>
      <c r="J63" s="48" t="str">
        <f>IF($B63="","",Mau15a!M66)</f>
        <v/>
      </c>
      <c r="K63" s="48" t="str">
        <f t="shared" si="2"/>
        <v/>
      </c>
      <c r="L63" s="49" t="str">
        <f t="shared" si="3"/>
        <v/>
      </c>
      <c r="M63" s="48" t="str">
        <f>IF($B63="","",Mau15a!F66)</f>
        <v/>
      </c>
      <c r="N63" s="51" t="str">
        <f>IF($B63="","",COUNTIF(BOM!$A$5:$A$1004,B63))</f>
        <v/>
      </c>
      <c r="O63" s="49" t="str">
        <f t="shared" si="4"/>
        <v/>
      </c>
      <c r="P63" s="51" t="str">
        <f>IF($B63="","",COUNTIFS(KT_nguoc_theo_SP!$B$5:$B$1004,B63,KT_nguoc_theo_SP!$M$5:$M$1004,"Xem xét"))</f>
        <v/>
      </c>
      <c r="Q63" s="49" t="str">
        <f t="shared" si="5"/>
        <v/>
      </c>
      <c r="R63" s="49" t="str">
        <f t="shared" si="6"/>
        <v/>
      </c>
      <c r="S63" s="31" t="str">
        <f t="shared" si="7"/>
        <v/>
      </c>
    </row>
    <row r="64" spans="1:19" x14ac:dyDescent="0.25">
      <c r="A64" s="36" t="str">
        <f>IF(B64="","",57)</f>
        <v/>
      </c>
      <c r="B64" s="36" t="str">
        <f>Mau15a!B67&amp;""</f>
        <v/>
      </c>
      <c r="C64" s="47" t="str">
        <f>IF(B64="","",Mau15a!C67)</f>
        <v/>
      </c>
      <c r="D64" s="36" t="str">
        <f>IF(B64="","",Mau15a!D67)</f>
        <v/>
      </c>
      <c r="E64" s="48" t="str">
        <f>IF($B64="","",Mau15a!P67)</f>
        <v/>
      </c>
      <c r="F64" s="48" t="str">
        <f>IF($B64="","",Mau15a!I67)</f>
        <v/>
      </c>
      <c r="G64" s="48" t="str">
        <f t="shared" si="0"/>
        <v/>
      </c>
      <c r="H64" s="49" t="str">
        <f t="shared" si="1"/>
        <v/>
      </c>
      <c r="I64" s="48" t="str">
        <f>IF($B64="","",Mau15a!K67)</f>
        <v/>
      </c>
      <c r="J64" s="48" t="str">
        <f>IF($B64="","",Mau15a!M67)</f>
        <v/>
      </c>
      <c r="K64" s="48" t="str">
        <f t="shared" si="2"/>
        <v/>
      </c>
      <c r="L64" s="49" t="str">
        <f t="shared" si="3"/>
        <v/>
      </c>
      <c r="M64" s="48" t="str">
        <f>IF($B64="","",Mau15a!F67)</f>
        <v/>
      </c>
      <c r="N64" s="51" t="str">
        <f>IF($B64="","",COUNTIF(BOM!$A$5:$A$1004,B64))</f>
        <v/>
      </c>
      <c r="O64" s="49" t="str">
        <f t="shared" si="4"/>
        <v/>
      </c>
      <c r="P64" s="51" t="str">
        <f>IF($B64="","",COUNTIFS(KT_nguoc_theo_SP!$B$5:$B$1004,B64,KT_nguoc_theo_SP!$M$5:$M$1004,"Xem xét"))</f>
        <v/>
      </c>
      <c r="Q64" s="49" t="str">
        <f t="shared" si="5"/>
        <v/>
      </c>
      <c r="R64" s="49" t="str">
        <f t="shared" si="6"/>
        <v/>
      </c>
      <c r="S64" s="31" t="str">
        <f t="shared" si="7"/>
        <v/>
      </c>
    </row>
    <row r="65" spans="1:19" x14ac:dyDescent="0.25">
      <c r="A65" s="36" t="str">
        <f>IF(B65="","",58)</f>
        <v/>
      </c>
      <c r="B65" s="36" t="str">
        <f>Mau15a!B68&amp;""</f>
        <v/>
      </c>
      <c r="C65" s="47" t="str">
        <f>IF(B65="","",Mau15a!C68)</f>
        <v/>
      </c>
      <c r="D65" s="36" t="str">
        <f>IF(B65="","",Mau15a!D68)</f>
        <v/>
      </c>
      <c r="E65" s="48" t="str">
        <f>IF($B65="","",Mau15a!P68)</f>
        <v/>
      </c>
      <c r="F65" s="48" t="str">
        <f>IF($B65="","",Mau15a!I68)</f>
        <v/>
      </c>
      <c r="G65" s="48" t="str">
        <f t="shared" si="0"/>
        <v/>
      </c>
      <c r="H65" s="49" t="str">
        <f t="shared" si="1"/>
        <v/>
      </c>
      <c r="I65" s="48" t="str">
        <f>IF($B65="","",Mau15a!K68)</f>
        <v/>
      </c>
      <c r="J65" s="48" t="str">
        <f>IF($B65="","",Mau15a!M68)</f>
        <v/>
      </c>
      <c r="K65" s="48" t="str">
        <f t="shared" si="2"/>
        <v/>
      </c>
      <c r="L65" s="49" t="str">
        <f t="shared" si="3"/>
        <v/>
      </c>
      <c r="M65" s="48" t="str">
        <f>IF($B65="","",Mau15a!F68)</f>
        <v/>
      </c>
      <c r="N65" s="51" t="str">
        <f>IF($B65="","",COUNTIF(BOM!$A$5:$A$1004,B65))</f>
        <v/>
      </c>
      <c r="O65" s="49" t="str">
        <f t="shared" si="4"/>
        <v/>
      </c>
      <c r="P65" s="51" t="str">
        <f>IF($B65="","",COUNTIFS(KT_nguoc_theo_SP!$B$5:$B$1004,B65,KT_nguoc_theo_SP!$M$5:$M$1004,"Xem xét"))</f>
        <v/>
      </c>
      <c r="Q65" s="49" t="str">
        <f t="shared" si="5"/>
        <v/>
      </c>
      <c r="R65" s="49" t="str">
        <f t="shared" si="6"/>
        <v/>
      </c>
      <c r="S65" s="31" t="str">
        <f t="shared" si="7"/>
        <v/>
      </c>
    </row>
    <row r="66" spans="1:19" x14ac:dyDescent="0.25">
      <c r="A66" s="36" t="str">
        <f>IF(B66="","",59)</f>
        <v/>
      </c>
      <c r="B66" s="36" t="str">
        <f>Mau15a!B69&amp;""</f>
        <v/>
      </c>
      <c r="C66" s="47" t="str">
        <f>IF(B66="","",Mau15a!C69)</f>
        <v/>
      </c>
      <c r="D66" s="36" t="str">
        <f>IF(B66="","",Mau15a!D69)</f>
        <v/>
      </c>
      <c r="E66" s="48" t="str">
        <f>IF($B66="","",Mau15a!P69)</f>
        <v/>
      </c>
      <c r="F66" s="48" t="str">
        <f>IF($B66="","",Mau15a!I69)</f>
        <v/>
      </c>
      <c r="G66" s="48" t="str">
        <f t="shared" si="0"/>
        <v/>
      </c>
      <c r="H66" s="49" t="str">
        <f t="shared" si="1"/>
        <v/>
      </c>
      <c r="I66" s="48" t="str">
        <f>IF($B66="","",Mau15a!K69)</f>
        <v/>
      </c>
      <c r="J66" s="48" t="str">
        <f>IF($B66="","",Mau15a!M69)</f>
        <v/>
      </c>
      <c r="K66" s="48" t="str">
        <f t="shared" si="2"/>
        <v/>
      </c>
      <c r="L66" s="49" t="str">
        <f t="shared" si="3"/>
        <v/>
      </c>
      <c r="M66" s="48" t="str">
        <f>IF($B66="","",Mau15a!F69)</f>
        <v/>
      </c>
      <c r="N66" s="51" t="str">
        <f>IF($B66="","",COUNTIF(BOM!$A$5:$A$1004,B66))</f>
        <v/>
      </c>
      <c r="O66" s="49" t="str">
        <f t="shared" si="4"/>
        <v/>
      </c>
      <c r="P66" s="51" t="str">
        <f>IF($B66="","",COUNTIFS(KT_nguoc_theo_SP!$B$5:$B$1004,B66,KT_nguoc_theo_SP!$M$5:$M$1004,"Xem xét"))</f>
        <v/>
      </c>
      <c r="Q66" s="49" t="str">
        <f t="shared" si="5"/>
        <v/>
      </c>
      <c r="R66" s="49" t="str">
        <f t="shared" si="6"/>
        <v/>
      </c>
      <c r="S66" s="31" t="str">
        <f t="shared" si="7"/>
        <v/>
      </c>
    </row>
    <row r="67" spans="1:19" x14ac:dyDescent="0.25">
      <c r="A67" s="36" t="str">
        <f>IF(B67="","",60)</f>
        <v/>
      </c>
      <c r="B67" s="36" t="str">
        <f>Mau15a!B70&amp;""</f>
        <v/>
      </c>
      <c r="C67" s="47" t="str">
        <f>IF(B67="","",Mau15a!C70)</f>
        <v/>
      </c>
      <c r="D67" s="36" t="str">
        <f>IF(B67="","",Mau15a!D70)</f>
        <v/>
      </c>
      <c r="E67" s="48" t="str">
        <f>IF($B67="","",Mau15a!P70)</f>
        <v/>
      </c>
      <c r="F67" s="48" t="str">
        <f>IF($B67="","",Mau15a!I70)</f>
        <v/>
      </c>
      <c r="G67" s="48" t="str">
        <f t="shared" si="0"/>
        <v/>
      </c>
      <c r="H67" s="49" t="str">
        <f t="shared" si="1"/>
        <v/>
      </c>
      <c r="I67" s="48" t="str">
        <f>IF($B67="","",Mau15a!K70)</f>
        <v/>
      </c>
      <c r="J67" s="48" t="str">
        <f>IF($B67="","",Mau15a!M70)</f>
        <v/>
      </c>
      <c r="K67" s="48" t="str">
        <f t="shared" si="2"/>
        <v/>
      </c>
      <c r="L67" s="49" t="str">
        <f t="shared" si="3"/>
        <v/>
      </c>
      <c r="M67" s="48" t="str">
        <f>IF($B67="","",Mau15a!F70)</f>
        <v/>
      </c>
      <c r="N67" s="51" t="str">
        <f>IF($B67="","",COUNTIF(BOM!$A$5:$A$1004,B67))</f>
        <v/>
      </c>
      <c r="O67" s="49" t="str">
        <f t="shared" si="4"/>
        <v/>
      </c>
      <c r="P67" s="51" t="str">
        <f>IF($B67="","",COUNTIFS(KT_nguoc_theo_SP!$B$5:$B$1004,B67,KT_nguoc_theo_SP!$M$5:$M$1004,"Xem xét"))</f>
        <v/>
      </c>
      <c r="Q67" s="49" t="str">
        <f t="shared" si="5"/>
        <v/>
      </c>
      <c r="R67" s="49" t="str">
        <f t="shared" si="6"/>
        <v/>
      </c>
      <c r="S67" s="31" t="str">
        <f t="shared" si="7"/>
        <v/>
      </c>
    </row>
    <row r="68" spans="1:19" x14ac:dyDescent="0.25">
      <c r="A68" s="36" t="str">
        <f>IF(B68="","",61)</f>
        <v/>
      </c>
      <c r="B68" s="36" t="str">
        <f>Mau15a!B71&amp;""</f>
        <v/>
      </c>
      <c r="C68" s="47" t="str">
        <f>IF(B68="","",Mau15a!C71)</f>
        <v/>
      </c>
      <c r="D68" s="36" t="str">
        <f>IF(B68="","",Mau15a!D71)</f>
        <v/>
      </c>
      <c r="E68" s="48" t="str">
        <f>IF($B68="","",Mau15a!P71)</f>
        <v/>
      </c>
      <c r="F68" s="48" t="str">
        <f>IF($B68="","",Mau15a!I71)</f>
        <v/>
      </c>
      <c r="G68" s="48" t="str">
        <f t="shared" si="0"/>
        <v/>
      </c>
      <c r="H68" s="49" t="str">
        <f t="shared" si="1"/>
        <v/>
      </c>
      <c r="I68" s="48" t="str">
        <f>IF($B68="","",Mau15a!K71)</f>
        <v/>
      </c>
      <c r="J68" s="48" t="str">
        <f>IF($B68="","",Mau15a!M71)</f>
        <v/>
      </c>
      <c r="K68" s="48" t="str">
        <f t="shared" si="2"/>
        <v/>
      </c>
      <c r="L68" s="49" t="str">
        <f t="shared" si="3"/>
        <v/>
      </c>
      <c r="M68" s="48" t="str">
        <f>IF($B68="","",Mau15a!F71)</f>
        <v/>
      </c>
      <c r="N68" s="51" t="str">
        <f>IF($B68="","",COUNTIF(BOM!$A$5:$A$1004,B68))</f>
        <v/>
      </c>
      <c r="O68" s="49" t="str">
        <f t="shared" si="4"/>
        <v/>
      </c>
      <c r="P68" s="51" t="str">
        <f>IF($B68="","",COUNTIFS(KT_nguoc_theo_SP!$B$5:$B$1004,B68,KT_nguoc_theo_SP!$M$5:$M$1004,"Xem xét"))</f>
        <v/>
      </c>
      <c r="Q68" s="49" t="str">
        <f t="shared" si="5"/>
        <v/>
      </c>
      <c r="R68" s="49" t="str">
        <f t="shared" si="6"/>
        <v/>
      </c>
      <c r="S68" s="31" t="str">
        <f t="shared" si="7"/>
        <v/>
      </c>
    </row>
    <row r="69" spans="1:19" x14ac:dyDescent="0.25">
      <c r="A69" s="36" t="str">
        <f>IF(B69="","",62)</f>
        <v/>
      </c>
      <c r="B69" s="36" t="str">
        <f>Mau15a!B72&amp;""</f>
        <v/>
      </c>
      <c r="C69" s="47" t="str">
        <f>IF(B69="","",Mau15a!C72)</f>
        <v/>
      </c>
      <c r="D69" s="36" t="str">
        <f>IF(B69="","",Mau15a!D72)</f>
        <v/>
      </c>
      <c r="E69" s="48" t="str">
        <f>IF($B69="","",Mau15a!P72)</f>
        <v/>
      </c>
      <c r="F69" s="48" t="str">
        <f>IF($B69="","",Mau15a!I72)</f>
        <v/>
      </c>
      <c r="G69" s="48" t="str">
        <f t="shared" si="0"/>
        <v/>
      </c>
      <c r="H69" s="49" t="str">
        <f t="shared" si="1"/>
        <v/>
      </c>
      <c r="I69" s="48" t="str">
        <f>IF($B69="","",Mau15a!K72)</f>
        <v/>
      </c>
      <c r="J69" s="48" t="str">
        <f>IF($B69="","",Mau15a!M72)</f>
        <v/>
      </c>
      <c r="K69" s="48" t="str">
        <f t="shared" si="2"/>
        <v/>
      </c>
      <c r="L69" s="49" t="str">
        <f t="shared" si="3"/>
        <v/>
      </c>
      <c r="M69" s="48" t="str">
        <f>IF($B69="","",Mau15a!F72)</f>
        <v/>
      </c>
      <c r="N69" s="51" t="str">
        <f>IF($B69="","",COUNTIF(BOM!$A$5:$A$1004,B69))</f>
        <v/>
      </c>
      <c r="O69" s="49" t="str">
        <f t="shared" si="4"/>
        <v/>
      </c>
      <c r="P69" s="51" t="str">
        <f>IF($B69="","",COUNTIFS(KT_nguoc_theo_SP!$B$5:$B$1004,B69,KT_nguoc_theo_SP!$M$5:$M$1004,"Xem xét"))</f>
        <v/>
      </c>
      <c r="Q69" s="49" t="str">
        <f t="shared" si="5"/>
        <v/>
      </c>
      <c r="R69" s="49" t="str">
        <f t="shared" si="6"/>
        <v/>
      </c>
      <c r="S69" s="31" t="str">
        <f t="shared" si="7"/>
        <v/>
      </c>
    </row>
    <row r="70" spans="1:19" x14ac:dyDescent="0.25">
      <c r="A70" s="36" t="str">
        <f>IF(B70="","",63)</f>
        <v/>
      </c>
      <c r="B70" s="36" t="str">
        <f>Mau15a!B73&amp;""</f>
        <v/>
      </c>
      <c r="C70" s="47" t="str">
        <f>IF(B70="","",Mau15a!C73)</f>
        <v/>
      </c>
      <c r="D70" s="36" t="str">
        <f>IF(B70="","",Mau15a!D73)</f>
        <v/>
      </c>
      <c r="E70" s="48" t="str">
        <f>IF($B70="","",Mau15a!P73)</f>
        <v/>
      </c>
      <c r="F70" s="48" t="str">
        <f>IF($B70="","",Mau15a!I73)</f>
        <v/>
      </c>
      <c r="G70" s="48" t="str">
        <f t="shared" si="0"/>
        <v/>
      </c>
      <c r="H70" s="49" t="str">
        <f t="shared" si="1"/>
        <v/>
      </c>
      <c r="I70" s="48" t="str">
        <f>IF($B70="","",Mau15a!K73)</f>
        <v/>
      </c>
      <c r="J70" s="48" t="str">
        <f>IF($B70="","",Mau15a!M73)</f>
        <v/>
      </c>
      <c r="K70" s="48" t="str">
        <f t="shared" si="2"/>
        <v/>
      </c>
      <c r="L70" s="49" t="str">
        <f t="shared" si="3"/>
        <v/>
      </c>
      <c r="M70" s="48" t="str">
        <f>IF($B70="","",Mau15a!F73)</f>
        <v/>
      </c>
      <c r="N70" s="51" t="str">
        <f>IF($B70="","",COUNTIF(BOM!$A$5:$A$1004,B70))</f>
        <v/>
      </c>
      <c r="O70" s="49" t="str">
        <f t="shared" si="4"/>
        <v/>
      </c>
      <c r="P70" s="51" t="str">
        <f>IF($B70="","",COUNTIFS(KT_nguoc_theo_SP!$B$5:$B$1004,B70,KT_nguoc_theo_SP!$M$5:$M$1004,"Xem xét"))</f>
        <v/>
      </c>
      <c r="Q70" s="49" t="str">
        <f t="shared" si="5"/>
        <v/>
      </c>
      <c r="R70" s="49" t="str">
        <f t="shared" si="6"/>
        <v/>
      </c>
      <c r="S70" s="31" t="str">
        <f t="shared" si="7"/>
        <v/>
      </c>
    </row>
    <row r="71" spans="1:19" x14ac:dyDescent="0.25">
      <c r="A71" s="36" t="str">
        <f>IF(B71="","",64)</f>
        <v/>
      </c>
      <c r="B71" s="36" t="str">
        <f>Mau15a!B74&amp;""</f>
        <v/>
      </c>
      <c r="C71" s="47" t="str">
        <f>IF(B71="","",Mau15a!C74)</f>
        <v/>
      </c>
      <c r="D71" s="36" t="str">
        <f>IF(B71="","",Mau15a!D74)</f>
        <v/>
      </c>
      <c r="E71" s="48" t="str">
        <f>IF($B71="","",Mau15a!P74)</f>
        <v/>
      </c>
      <c r="F71" s="48" t="str">
        <f>IF($B71="","",Mau15a!I74)</f>
        <v/>
      </c>
      <c r="G71" s="48" t="str">
        <f t="shared" si="0"/>
        <v/>
      </c>
      <c r="H71" s="49" t="str">
        <f t="shared" si="1"/>
        <v/>
      </c>
      <c r="I71" s="48" t="str">
        <f>IF($B71="","",Mau15a!K74)</f>
        <v/>
      </c>
      <c r="J71" s="48" t="str">
        <f>IF($B71="","",Mau15a!M74)</f>
        <v/>
      </c>
      <c r="K71" s="48" t="str">
        <f t="shared" si="2"/>
        <v/>
      </c>
      <c r="L71" s="49" t="str">
        <f t="shared" si="3"/>
        <v/>
      </c>
      <c r="M71" s="48" t="str">
        <f>IF($B71="","",Mau15a!F74)</f>
        <v/>
      </c>
      <c r="N71" s="51" t="str">
        <f>IF($B71="","",COUNTIF(BOM!$A$5:$A$1004,B71))</f>
        <v/>
      </c>
      <c r="O71" s="49" t="str">
        <f t="shared" si="4"/>
        <v/>
      </c>
      <c r="P71" s="51" t="str">
        <f>IF($B71="","",COUNTIFS(KT_nguoc_theo_SP!$B$5:$B$1004,B71,KT_nguoc_theo_SP!$M$5:$M$1004,"Xem xét"))</f>
        <v/>
      </c>
      <c r="Q71" s="49" t="str">
        <f t="shared" si="5"/>
        <v/>
      </c>
      <c r="R71" s="49" t="str">
        <f t="shared" si="6"/>
        <v/>
      </c>
      <c r="S71" s="31" t="str">
        <f t="shared" si="7"/>
        <v/>
      </c>
    </row>
    <row r="72" spans="1:19" x14ac:dyDescent="0.25">
      <c r="A72" s="36" t="str">
        <f>IF(B72="","",65)</f>
        <v/>
      </c>
      <c r="B72" s="36" t="str">
        <f>Mau15a!B75&amp;""</f>
        <v/>
      </c>
      <c r="C72" s="47" t="str">
        <f>IF(B72="","",Mau15a!C75)</f>
        <v/>
      </c>
      <c r="D72" s="36" t="str">
        <f>IF(B72="","",Mau15a!D75)</f>
        <v/>
      </c>
      <c r="E72" s="48" t="str">
        <f>IF($B72="","",Mau15a!P75)</f>
        <v/>
      </c>
      <c r="F72" s="48" t="str">
        <f>IF($B72="","",Mau15a!I75)</f>
        <v/>
      </c>
      <c r="G72" s="48" t="str">
        <f t="shared" ref="G72:G135" si="8">IF($B72="","",N(E72)-N(F72))</f>
        <v/>
      </c>
      <c r="H72" s="49" t="str">
        <f t="shared" ref="H72:H135" si="9">IF($B72="","",IF(ABS(G72)&lt;0.000001,"Khớp","Giải trình"))</f>
        <v/>
      </c>
      <c r="I72" s="48" t="str">
        <f>IF($B72="","",Mau15a!K75)</f>
        <v/>
      </c>
      <c r="J72" s="48" t="str">
        <f>IF($B72="","",Mau15a!M75)</f>
        <v/>
      </c>
      <c r="K72" s="48" t="str">
        <f t="shared" ref="K72:K135" si="10">IF($B72="","",N(I72)-N(J72))</f>
        <v/>
      </c>
      <c r="L72" s="49" t="str">
        <f t="shared" ref="L72:L135" si="11">IF($B72="","",IF(ABS(K72)&lt;0.000001,"Khớp","Lỗi"))</f>
        <v/>
      </c>
      <c r="M72" s="48" t="str">
        <f>IF($B72="","",Mau15a!F75)</f>
        <v/>
      </c>
      <c r="N72" s="51" t="str">
        <f>IF($B72="","",COUNTIF(BOM!$A$5:$A$1004,B72))</f>
        <v/>
      </c>
      <c r="O72" s="49" t="str">
        <f t="shared" ref="O72:O135" si="12">IF($B72="","",IF(AND(N(M72)&gt;0,N72=0),"Lỗi","Khớp"))</f>
        <v/>
      </c>
      <c r="P72" s="51" t="str">
        <f>IF($B72="","",COUNTIFS(KT_nguoc_theo_SP!$B$5:$B$1004,B72,KT_nguoc_theo_SP!$M$5:$M$1004,"Xem xét"))</f>
        <v/>
      </c>
      <c r="Q72" s="49" t="str">
        <f t="shared" ref="Q72:Q135" si="13">IF($B72="","",IF(P72&gt;0,"Cảnh báo","Khớp"))</f>
        <v/>
      </c>
      <c r="R72" s="49" t="str">
        <f t="shared" ref="R72:R135" si="14">IF(B72="","",IF(COUNTIF(H72:Q72,"Lỗi")&gt;0,"Lỗi",IF(COUNTIF(H72:Q72,"Cảnh báo")&gt;0,"Cảnh báo",IF(COUNTIF(H72:Q72,"Giải trình")&gt;0,"Giải trình","Khớp"))))</f>
        <v/>
      </c>
      <c r="S72" s="31" t="str">
        <f t="shared" ref="S72:S135" si="15">IF(B72="","",IF(G72&gt;0,"Xuất khẩu: tờ khai nhiều hơn xuất kho "&amp;TEXT(G72,IF(MOD(G72,1)=0,"#,##0","#,##0.######"))&amp;" – hàng đã thông quan chưa xuất kho, ghi số tờ khai tại Ghi chú khác Mẫu 15a; ","")&amp;IF(G72&lt;0,"Xuất khẩu: xuất kho nhiều hơn tờ khai "&amp;TEXT(ABS(G72),IF(MOD(ABS(G72),1)=0,"#,##0","#,##0.######"))&amp;" – xuất kho chưa đăng ký tờ khai (ghi cột 10) hoặc tờ khai kỳ trước – rà soát; ","")&amp;IF(N(K72)&lt;&gt;0,"Tồn cuối lệch kiểm kê "&amp;TEXT(K72,IF(MOD(K72,1)=0,"#,##0","#,##0.######"))&amp;" – rà soát cột (5)–(10) hoặc số kiểm kê; ","")&amp;IF(O72="Lỗi","Có thành phẩm nhập kho nhưng chưa khai định mức trên Mẫu 16 (sheet BOM); ","")&amp;IF(Q72="Cảnh báo",P72&amp;" dòng định mức lệch BOM/kiểm tra ngược quá ngưỡng – xem sheet KT_nguoc_theo_SP; ",""))</f>
        <v/>
      </c>
    </row>
    <row r="73" spans="1:19" x14ac:dyDescent="0.25">
      <c r="A73" s="36" t="str">
        <f>IF(B73="","",66)</f>
        <v/>
      </c>
      <c r="B73" s="36" t="str">
        <f>Mau15a!B76&amp;""</f>
        <v/>
      </c>
      <c r="C73" s="47" t="str">
        <f>IF(B73="","",Mau15a!C76)</f>
        <v/>
      </c>
      <c r="D73" s="36" t="str">
        <f>IF(B73="","",Mau15a!D76)</f>
        <v/>
      </c>
      <c r="E73" s="48" t="str">
        <f>IF($B73="","",Mau15a!P76)</f>
        <v/>
      </c>
      <c r="F73" s="48" t="str">
        <f>IF($B73="","",Mau15a!I76)</f>
        <v/>
      </c>
      <c r="G73" s="48" t="str">
        <f t="shared" si="8"/>
        <v/>
      </c>
      <c r="H73" s="49" t="str">
        <f t="shared" si="9"/>
        <v/>
      </c>
      <c r="I73" s="48" t="str">
        <f>IF($B73="","",Mau15a!K76)</f>
        <v/>
      </c>
      <c r="J73" s="48" t="str">
        <f>IF($B73="","",Mau15a!M76)</f>
        <v/>
      </c>
      <c r="K73" s="48" t="str">
        <f t="shared" si="10"/>
        <v/>
      </c>
      <c r="L73" s="49" t="str">
        <f t="shared" si="11"/>
        <v/>
      </c>
      <c r="M73" s="48" t="str">
        <f>IF($B73="","",Mau15a!F76)</f>
        <v/>
      </c>
      <c r="N73" s="51" t="str">
        <f>IF($B73="","",COUNTIF(BOM!$A$5:$A$1004,B73))</f>
        <v/>
      </c>
      <c r="O73" s="49" t="str">
        <f t="shared" si="12"/>
        <v/>
      </c>
      <c r="P73" s="51" t="str">
        <f>IF($B73="","",COUNTIFS(KT_nguoc_theo_SP!$B$5:$B$1004,B73,KT_nguoc_theo_SP!$M$5:$M$1004,"Xem xét"))</f>
        <v/>
      </c>
      <c r="Q73" s="49" t="str">
        <f t="shared" si="13"/>
        <v/>
      </c>
      <c r="R73" s="49" t="str">
        <f t="shared" si="14"/>
        <v/>
      </c>
      <c r="S73" s="31" t="str">
        <f t="shared" si="15"/>
        <v/>
      </c>
    </row>
    <row r="74" spans="1:19" x14ac:dyDescent="0.25">
      <c r="A74" s="36" t="str">
        <f>IF(B74="","",67)</f>
        <v/>
      </c>
      <c r="B74" s="36" t="str">
        <f>Mau15a!B77&amp;""</f>
        <v/>
      </c>
      <c r="C74" s="47" t="str">
        <f>IF(B74="","",Mau15a!C77)</f>
        <v/>
      </c>
      <c r="D74" s="36" t="str">
        <f>IF(B74="","",Mau15a!D77)</f>
        <v/>
      </c>
      <c r="E74" s="48" t="str">
        <f>IF($B74="","",Mau15a!P77)</f>
        <v/>
      </c>
      <c r="F74" s="48" t="str">
        <f>IF($B74="","",Mau15a!I77)</f>
        <v/>
      </c>
      <c r="G74" s="48" t="str">
        <f t="shared" si="8"/>
        <v/>
      </c>
      <c r="H74" s="49" t="str">
        <f t="shared" si="9"/>
        <v/>
      </c>
      <c r="I74" s="48" t="str">
        <f>IF($B74="","",Mau15a!K77)</f>
        <v/>
      </c>
      <c r="J74" s="48" t="str">
        <f>IF($B74="","",Mau15a!M77)</f>
        <v/>
      </c>
      <c r="K74" s="48" t="str">
        <f t="shared" si="10"/>
        <v/>
      </c>
      <c r="L74" s="49" t="str">
        <f t="shared" si="11"/>
        <v/>
      </c>
      <c r="M74" s="48" t="str">
        <f>IF($B74="","",Mau15a!F77)</f>
        <v/>
      </c>
      <c r="N74" s="51" t="str">
        <f>IF($B74="","",COUNTIF(BOM!$A$5:$A$1004,B74))</f>
        <v/>
      </c>
      <c r="O74" s="49" t="str">
        <f t="shared" si="12"/>
        <v/>
      </c>
      <c r="P74" s="51" t="str">
        <f>IF($B74="","",COUNTIFS(KT_nguoc_theo_SP!$B$5:$B$1004,B74,KT_nguoc_theo_SP!$M$5:$M$1004,"Xem xét"))</f>
        <v/>
      </c>
      <c r="Q74" s="49" t="str">
        <f t="shared" si="13"/>
        <v/>
      </c>
      <c r="R74" s="49" t="str">
        <f t="shared" si="14"/>
        <v/>
      </c>
      <c r="S74" s="31" t="str">
        <f t="shared" si="15"/>
        <v/>
      </c>
    </row>
    <row r="75" spans="1:19" x14ac:dyDescent="0.25">
      <c r="A75" s="36" t="str">
        <f>IF(B75="","",68)</f>
        <v/>
      </c>
      <c r="B75" s="36" t="str">
        <f>Mau15a!B78&amp;""</f>
        <v/>
      </c>
      <c r="C75" s="47" t="str">
        <f>IF(B75="","",Mau15a!C78)</f>
        <v/>
      </c>
      <c r="D75" s="36" t="str">
        <f>IF(B75="","",Mau15a!D78)</f>
        <v/>
      </c>
      <c r="E75" s="48" t="str">
        <f>IF($B75="","",Mau15a!P78)</f>
        <v/>
      </c>
      <c r="F75" s="48" t="str">
        <f>IF($B75="","",Mau15a!I78)</f>
        <v/>
      </c>
      <c r="G75" s="48" t="str">
        <f t="shared" si="8"/>
        <v/>
      </c>
      <c r="H75" s="49" t="str">
        <f t="shared" si="9"/>
        <v/>
      </c>
      <c r="I75" s="48" t="str">
        <f>IF($B75="","",Mau15a!K78)</f>
        <v/>
      </c>
      <c r="J75" s="48" t="str">
        <f>IF($B75="","",Mau15a!M78)</f>
        <v/>
      </c>
      <c r="K75" s="48" t="str">
        <f t="shared" si="10"/>
        <v/>
      </c>
      <c r="L75" s="49" t="str">
        <f t="shared" si="11"/>
        <v/>
      </c>
      <c r="M75" s="48" t="str">
        <f>IF($B75="","",Mau15a!F78)</f>
        <v/>
      </c>
      <c r="N75" s="51" t="str">
        <f>IF($B75="","",COUNTIF(BOM!$A$5:$A$1004,B75))</f>
        <v/>
      </c>
      <c r="O75" s="49" t="str">
        <f t="shared" si="12"/>
        <v/>
      </c>
      <c r="P75" s="51" t="str">
        <f>IF($B75="","",COUNTIFS(KT_nguoc_theo_SP!$B$5:$B$1004,B75,KT_nguoc_theo_SP!$M$5:$M$1004,"Xem xét"))</f>
        <v/>
      </c>
      <c r="Q75" s="49" t="str">
        <f t="shared" si="13"/>
        <v/>
      </c>
      <c r="R75" s="49" t="str">
        <f t="shared" si="14"/>
        <v/>
      </c>
      <c r="S75" s="31" t="str">
        <f t="shared" si="15"/>
        <v/>
      </c>
    </row>
    <row r="76" spans="1:19" x14ac:dyDescent="0.25">
      <c r="A76" s="36" t="str">
        <f>IF(B76="","",69)</f>
        <v/>
      </c>
      <c r="B76" s="36" t="str">
        <f>Mau15a!B79&amp;""</f>
        <v/>
      </c>
      <c r="C76" s="47" t="str">
        <f>IF(B76="","",Mau15a!C79)</f>
        <v/>
      </c>
      <c r="D76" s="36" t="str">
        <f>IF(B76="","",Mau15a!D79)</f>
        <v/>
      </c>
      <c r="E76" s="48" t="str">
        <f>IF($B76="","",Mau15a!P79)</f>
        <v/>
      </c>
      <c r="F76" s="48" t="str">
        <f>IF($B76="","",Mau15a!I79)</f>
        <v/>
      </c>
      <c r="G76" s="48" t="str">
        <f t="shared" si="8"/>
        <v/>
      </c>
      <c r="H76" s="49" t="str">
        <f t="shared" si="9"/>
        <v/>
      </c>
      <c r="I76" s="48" t="str">
        <f>IF($B76="","",Mau15a!K79)</f>
        <v/>
      </c>
      <c r="J76" s="48" t="str">
        <f>IF($B76="","",Mau15a!M79)</f>
        <v/>
      </c>
      <c r="K76" s="48" t="str">
        <f t="shared" si="10"/>
        <v/>
      </c>
      <c r="L76" s="49" t="str">
        <f t="shared" si="11"/>
        <v/>
      </c>
      <c r="M76" s="48" t="str">
        <f>IF($B76="","",Mau15a!F79)</f>
        <v/>
      </c>
      <c r="N76" s="51" t="str">
        <f>IF($B76="","",COUNTIF(BOM!$A$5:$A$1004,B76))</f>
        <v/>
      </c>
      <c r="O76" s="49" t="str">
        <f t="shared" si="12"/>
        <v/>
      </c>
      <c r="P76" s="51" t="str">
        <f>IF($B76="","",COUNTIFS(KT_nguoc_theo_SP!$B$5:$B$1004,B76,KT_nguoc_theo_SP!$M$5:$M$1004,"Xem xét"))</f>
        <v/>
      </c>
      <c r="Q76" s="49" t="str">
        <f t="shared" si="13"/>
        <v/>
      </c>
      <c r="R76" s="49" t="str">
        <f t="shared" si="14"/>
        <v/>
      </c>
      <c r="S76" s="31" t="str">
        <f t="shared" si="15"/>
        <v/>
      </c>
    </row>
    <row r="77" spans="1:19" x14ac:dyDescent="0.25">
      <c r="A77" s="36" t="str">
        <f>IF(B77="","",70)</f>
        <v/>
      </c>
      <c r="B77" s="36" t="str">
        <f>Mau15a!B80&amp;""</f>
        <v/>
      </c>
      <c r="C77" s="47" t="str">
        <f>IF(B77="","",Mau15a!C80)</f>
        <v/>
      </c>
      <c r="D77" s="36" t="str">
        <f>IF(B77="","",Mau15a!D80)</f>
        <v/>
      </c>
      <c r="E77" s="48" t="str">
        <f>IF($B77="","",Mau15a!P80)</f>
        <v/>
      </c>
      <c r="F77" s="48" t="str">
        <f>IF($B77="","",Mau15a!I80)</f>
        <v/>
      </c>
      <c r="G77" s="48" t="str">
        <f t="shared" si="8"/>
        <v/>
      </c>
      <c r="H77" s="49" t="str">
        <f t="shared" si="9"/>
        <v/>
      </c>
      <c r="I77" s="48" t="str">
        <f>IF($B77="","",Mau15a!K80)</f>
        <v/>
      </c>
      <c r="J77" s="48" t="str">
        <f>IF($B77="","",Mau15a!M80)</f>
        <v/>
      </c>
      <c r="K77" s="48" t="str">
        <f t="shared" si="10"/>
        <v/>
      </c>
      <c r="L77" s="49" t="str">
        <f t="shared" si="11"/>
        <v/>
      </c>
      <c r="M77" s="48" t="str">
        <f>IF($B77="","",Mau15a!F80)</f>
        <v/>
      </c>
      <c r="N77" s="51" t="str">
        <f>IF($B77="","",COUNTIF(BOM!$A$5:$A$1004,B77))</f>
        <v/>
      </c>
      <c r="O77" s="49" t="str">
        <f t="shared" si="12"/>
        <v/>
      </c>
      <c r="P77" s="51" t="str">
        <f>IF($B77="","",COUNTIFS(KT_nguoc_theo_SP!$B$5:$B$1004,B77,KT_nguoc_theo_SP!$M$5:$M$1004,"Xem xét"))</f>
        <v/>
      </c>
      <c r="Q77" s="49" t="str">
        <f t="shared" si="13"/>
        <v/>
      </c>
      <c r="R77" s="49" t="str">
        <f t="shared" si="14"/>
        <v/>
      </c>
      <c r="S77" s="31" t="str">
        <f t="shared" si="15"/>
        <v/>
      </c>
    </row>
    <row r="78" spans="1:19" x14ac:dyDescent="0.25">
      <c r="A78" s="36" t="str">
        <f>IF(B78="","",71)</f>
        <v/>
      </c>
      <c r="B78" s="36" t="str">
        <f>Mau15a!B81&amp;""</f>
        <v/>
      </c>
      <c r="C78" s="47" t="str">
        <f>IF(B78="","",Mau15a!C81)</f>
        <v/>
      </c>
      <c r="D78" s="36" t="str">
        <f>IF(B78="","",Mau15a!D81)</f>
        <v/>
      </c>
      <c r="E78" s="48" t="str">
        <f>IF($B78="","",Mau15a!P81)</f>
        <v/>
      </c>
      <c r="F78" s="48" t="str">
        <f>IF($B78="","",Mau15a!I81)</f>
        <v/>
      </c>
      <c r="G78" s="48" t="str">
        <f t="shared" si="8"/>
        <v/>
      </c>
      <c r="H78" s="49" t="str">
        <f t="shared" si="9"/>
        <v/>
      </c>
      <c r="I78" s="48" t="str">
        <f>IF($B78="","",Mau15a!K81)</f>
        <v/>
      </c>
      <c r="J78" s="48" t="str">
        <f>IF($B78="","",Mau15a!M81)</f>
        <v/>
      </c>
      <c r="K78" s="48" t="str">
        <f t="shared" si="10"/>
        <v/>
      </c>
      <c r="L78" s="49" t="str">
        <f t="shared" si="11"/>
        <v/>
      </c>
      <c r="M78" s="48" t="str">
        <f>IF($B78="","",Mau15a!F81)</f>
        <v/>
      </c>
      <c r="N78" s="51" t="str">
        <f>IF($B78="","",COUNTIF(BOM!$A$5:$A$1004,B78))</f>
        <v/>
      </c>
      <c r="O78" s="49" t="str">
        <f t="shared" si="12"/>
        <v/>
      </c>
      <c r="P78" s="51" t="str">
        <f>IF($B78="","",COUNTIFS(KT_nguoc_theo_SP!$B$5:$B$1004,B78,KT_nguoc_theo_SP!$M$5:$M$1004,"Xem xét"))</f>
        <v/>
      </c>
      <c r="Q78" s="49" t="str">
        <f t="shared" si="13"/>
        <v/>
      </c>
      <c r="R78" s="49" t="str">
        <f t="shared" si="14"/>
        <v/>
      </c>
      <c r="S78" s="31" t="str">
        <f t="shared" si="15"/>
        <v/>
      </c>
    </row>
    <row r="79" spans="1:19" x14ac:dyDescent="0.25">
      <c r="A79" s="36" t="str">
        <f>IF(B79="","",72)</f>
        <v/>
      </c>
      <c r="B79" s="36" t="str">
        <f>Mau15a!B82&amp;""</f>
        <v/>
      </c>
      <c r="C79" s="47" t="str">
        <f>IF(B79="","",Mau15a!C82)</f>
        <v/>
      </c>
      <c r="D79" s="36" t="str">
        <f>IF(B79="","",Mau15a!D82)</f>
        <v/>
      </c>
      <c r="E79" s="48" t="str">
        <f>IF($B79="","",Mau15a!P82)</f>
        <v/>
      </c>
      <c r="F79" s="48" t="str">
        <f>IF($B79="","",Mau15a!I82)</f>
        <v/>
      </c>
      <c r="G79" s="48" t="str">
        <f t="shared" si="8"/>
        <v/>
      </c>
      <c r="H79" s="49" t="str">
        <f t="shared" si="9"/>
        <v/>
      </c>
      <c r="I79" s="48" t="str">
        <f>IF($B79="","",Mau15a!K82)</f>
        <v/>
      </c>
      <c r="J79" s="48" t="str">
        <f>IF($B79="","",Mau15a!M82)</f>
        <v/>
      </c>
      <c r="K79" s="48" t="str">
        <f t="shared" si="10"/>
        <v/>
      </c>
      <c r="L79" s="49" t="str">
        <f t="shared" si="11"/>
        <v/>
      </c>
      <c r="M79" s="48" t="str">
        <f>IF($B79="","",Mau15a!F82)</f>
        <v/>
      </c>
      <c r="N79" s="51" t="str">
        <f>IF($B79="","",COUNTIF(BOM!$A$5:$A$1004,B79))</f>
        <v/>
      </c>
      <c r="O79" s="49" t="str">
        <f t="shared" si="12"/>
        <v/>
      </c>
      <c r="P79" s="51" t="str">
        <f>IF($B79="","",COUNTIFS(KT_nguoc_theo_SP!$B$5:$B$1004,B79,KT_nguoc_theo_SP!$M$5:$M$1004,"Xem xét"))</f>
        <v/>
      </c>
      <c r="Q79" s="49" t="str">
        <f t="shared" si="13"/>
        <v/>
      </c>
      <c r="R79" s="49" t="str">
        <f t="shared" si="14"/>
        <v/>
      </c>
      <c r="S79" s="31" t="str">
        <f t="shared" si="15"/>
        <v/>
      </c>
    </row>
    <row r="80" spans="1:19" x14ac:dyDescent="0.25">
      <c r="A80" s="36" t="str">
        <f>IF(B80="","",73)</f>
        <v/>
      </c>
      <c r="B80" s="36" t="str">
        <f>Mau15a!B83&amp;""</f>
        <v/>
      </c>
      <c r="C80" s="47" t="str">
        <f>IF(B80="","",Mau15a!C83)</f>
        <v/>
      </c>
      <c r="D80" s="36" t="str">
        <f>IF(B80="","",Mau15a!D83)</f>
        <v/>
      </c>
      <c r="E80" s="48" t="str">
        <f>IF($B80="","",Mau15a!P83)</f>
        <v/>
      </c>
      <c r="F80" s="48" t="str">
        <f>IF($B80="","",Mau15a!I83)</f>
        <v/>
      </c>
      <c r="G80" s="48" t="str">
        <f t="shared" si="8"/>
        <v/>
      </c>
      <c r="H80" s="49" t="str">
        <f t="shared" si="9"/>
        <v/>
      </c>
      <c r="I80" s="48" t="str">
        <f>IF($B80="","",Mau15a!K83)</f>
        <v/>
      </c>
      <c r="J80" s="48" t="str">
        <f>IF($B80="","",Mau15a!M83)</f>
        <v/>
      </c>
      <c r="K80" s="48" t="str">
        <f t="shared" si="10"/>
        <v/>
      </c>
      <c r="L80" s="49" t="str">
        <f t="shared" si="11"/>
        <v/>
      </c>
      <c r="M80" s="48" t="str">
        <f>IF($B80="","",Mau15a!F83)</f>
        <v/>
      </c>
      <c r="N80" s="51" t="str">
        <f>IF($B80="","",COUNTIF(BOM!$A$5:$A$1004,B80))</f>
        <v/>
      </c>
      <c r="O80" s="49" t="str">
        <f t="shared" si="12"/>
        <v/>
      </c>
      <c r="P80" s="51" t="str">
        <f>IF($B80="","",COUNTIFS(KT_nguoc_theo_SP!$B$5:$B$1004,B80,KT_nguoc_theo_SP!$M$5:$M$1004,"Xem xét"))</f>
        <v/>
      </c>
      <c r="Q80" s="49" t="str">
        <f t="shared" si="13"/>
        <v/>
      </c>
      <c r="R80" s="49" t="str">
        <f t="shared" si="14"/>
        <v/>
      </c>
      <c r="S80" s="31" t="str">
        <f t="shared" si="15"/>
        <v/>
      </c>
    </row>
    <row r="81" spans="1:19" x14ac:dyDescent="0.25">
      <c r="A81" s="36" t="str">
        <f>IF(B81="","",74)</f>
        <v/>
      </c>
      <c r="B81" s="36" t="str">
        <f>Mau15a!B84&amp;""</f>
        <v/>
      </c>
      <c r="C81" s="47" t="str">
        <f>IF(B81="","",Mau15a!C84)</f>
        <v/>
      </c>
      <c r="D81" s="36" t="str">
        <f>IF(B81="","",Mau15a!D84)</f>
        <v/>
      </c>
      <c r="E81" s="48" t="str">
        <f>IF($B81="","",Mau15a!P84)</f>
        <v/>
      </c>
      <c r="F81" s="48" t="str">
        <f>IF($B81="","",Mau15a!I84)</f>
        <v/>
      </c>
      <c r="G81" s="48" t="str">
        <f t="shared" si="8"/>
        <v/>
      </c>
      <c r="H81" s="49" t="str">
        <f t="shared" si="9"/>
        <v/>
      </c>
      <c r="I81" s="48" t="str">
        <f>IF($B81="","",Mau15a!K84)</f>
        <v/>
      </c>
      <c r="J81" s="48" t="str">
        <f>IF($B81="","",Mau15a!M84)</f>
        <v/>
      </c>
      <c r="K81" s="48" t="str">
        <f t="shared" si="10"/>
        <v/>
      </c>
      <c r="L81" s="49" t="str">
        <f t="shared" si="11"/>
        <v/>
      </c>
      <c r="M81" s="48" t="str">
        <f>IF($B81="","",Mau15a!F84)</f>
        <v/>
      </c>
      <c r="N81" s="51" t="str">
        <f>IF($B81="","",COUNTIF(BOM!$A$5:$A$1004,B81))</f>
        <v/>
      </c>
      <c r="O81" s="49" t="str">
        <f t="shared" si="12"/>
        <v/>
      </c>
      <c r="P81" s="51" t="str">
        <f>IF($B81="","",COUNTIFS(KT_nguoc_theo_SP!$B$5:$B$1004,B81,KT_nguoc_theo_SP!$M$5:$M$1004,"Xem xét"))</f>
        <v/>
      </c>
      <c r="Q81" s="49" t="str">
        <f t="shared" si="13"/>
        <v/>
      </c>
      <c r="R81" s="49" t="str">
        <f t="shared" si="14"/>
        <v/>
      </c>
      <c r="S81" s="31" t="str">
        <f t="shared" si="15"/>
        <v/>
      </c>
    </row>
    <row r="82" spans="1:19" x14ac:dyDescent="0.25">
      <c r="A82" s="36" t="str">
        <f>IF(B82="","",75)</f>
        <v/>
      </c>
      <c r="B82" s="36" t="str">
        <f>Mau15a!B85&amp;""</f>
        <v/>
      </c>
      <c r="C82" s="47" t="str">
        <f>IF(B82="","",Mau15a!C85)</f>
        <v/>
      </c>
      <c r="D82" s="36" t="str">
        <f>IF(B82="","",Mau15a!D85)</f>
        <v/>
      </c>
      <c r="E82" s="48" t="str">
        <f>IF($B82="","",Mau15a!P85)</f>
        <v/>
      </c>
      <c r="F82" s="48" t="str">
        <f>IF($B82="","",Mau15a!I85)</f>
        <v/>
      </c>
      <c r="G82" s="48" t="str">
        <f t="shared" si="8"/>
        <v/>
      </c>
      <c r="H82" s="49" t="str">
        <f t="shared" si="9"/>
        <v/>
      </c>
      <c r="I82" s="48" t="str">
        <f>IF($B82="","",Mau15a!K85)</f>
        <v/>
      </c>
      <c r="J82" s="48" t="str">
        <f>IF($B82="","",Mau15a!M85)</f>
        <v/>
      </c>
      <c r="K82" s="48" t="str">
        <f t="shared" si="10"/>
        <v/>
      </c>
      <c r="L82" s="49" t="str">
        <f t="shared" si="11"/>
        <v/>
      </c>
      <c r="M82" s="48" t="str">
        <f>IF($B82="","",Mau15a!F85)</f>
        <v/>
      </c>
      <c r="N82" s="51" t="str">
        <f>IF($B82="","",COUNTIF(BOM!$A$5:$A$1004,B82))</f>
        <v/>
      </c>
      <c r="O82" s="49" t="str">
        <f t="shared" si="12"/>
        <v/>
      </c>
      <c r="P82" s="51" t="str">
        <f>IF($B82="","",COUNTIFS(KT_nguoc_theo_SP!$B$5:$B$1004,B82,KT_nguoc_theo_SP!$M$5:$M$1004,"Xem xét"))</f>
        <v/>
      </c>
      <c r="Q82" s="49" t="str">
        <f t="shared" si="13"/>
        <v/>
      </c>
      <c r="R82" s="49" t="str">
        <f t="shared" si="14"/>
        <v/>
      </c>
      <c r="S82" s="31" t="str">
        <f t="shared" si="15"/>
        <v/>
      </c>
    </row>
    <row r="83" spans="1:19" x14ac:dyDescent="0.25">
      <c r="A83" s="36" t="str">
        <f>IF(B83="","",76)</f>
        <v/>
      </c>
      <c r="B83" s="36" t="str">
        <f>Mau15a!B86&amp;""</f>
        <v/>
      </c>
      <c r="C83" s="47" t="str">
        <f>IF(B83="","",Mau15a!C86)</f>
        <v/>
      </c>
      <c r="D83" s="36" t="str">
        <f>IF(B83="","",Mau15a!D86)</f>
        <v/>
      </c>
      <c r="E83" s="48" t="str">
        <f>IF($B83="","",Mau15a!P86)</f>
        <v/>
      </c>
      <c r="F83" s="48" t="str">
        <f>IF($B83="","",Mau15a!I86)</f>
        <v/>
      </c>
      <c r="G83" s="48" t="str">
        <f t="shared" si="8"/>
        <v/>
      </c>
      <c r="H83" s="49" t="str">
        <f t="shared" si="9"/>
        <v/>
      </c>
      <c r="I83" s="48" t="str">
        <f>IF($B83="","",Mau15a!K86)</f>
        <v/>
      </c>
      <c r="J83" s="48" t="str">
        <f>IF($B83="","",Mau15a!M86)</f>
        <v/>
      </c>
      <c r="K83" s="48" t="str">
        <f t="shared" si="10"/>
        <v/>
      </c>
      <c r="L83" s="49" t="str">
        <f t="shared" si="11"/>
        <v/>
      </c>
      <c r="M83" s="48" t="str">
        <f>IF($B83="","",Mau15a!F86)</f>
        <v/>
      </c>
      <c r="N83" s="51" t="str">
        <f>IF($B83="","",COUNTIF(BOM!$A$5:$A$1004,B83))</f>
        <v/>
      </c>
      <c r="O83" s="49" t="str">
        <f t="shared" si="12"/>
        <v/>
      </c>
      <c r="P83" s="51" t="str">
        <f>IF($B83="","",COUNTIFS(KT_nguoc_theo_SP!$B$5:$B$1004,B83,KT_nguoc_theo_SP!$M$5:$M$1004,"Xem xét"))</f>
        <v/>
      </c>
      <c r="Q83" s="49" t="str">
        <f t="shared" si="13"/>
        <v/>
      </c>
      <c r="R83" s="49" t="str">
        <f t="shared" si="14"/>
        <v/>
      </c>
      <c r="S83" s="31" t="str">
        <f t="shared" si="15"/>
        <v/>
      </c>
    </row>
    <row r="84" spans="1:19" x14ac:dyDescent="0.25">
      <c r="A84" s="36" t="str">
        <f>IF(B84="","",77)</f>
        <v/>
      </c>
      <c r="B84" s="36" t="str">
        <f>Mau15a!B87&amp;""</f>
        <v/>
      </c>
      <c r="C84" s="47" t="str">
        <f>IF(B84="","",Mau15a!C87)</f>
        <v/>
      </c>
      <c r="D84" s="36" t="str">
        <f>IF(B84="","",Mau15a!D87)</f>
        <v/>
      </c>
      <c r="E84" s="48" t="str">
        <f>IF($B84="","",Mau15a!P87)</f>
        <v/>
      </c>
      <c r="F84" s="48" t="str">
        <f>IF($B84="","",Mau15a!I87)</f>
        <v/>
      </c>
      <c r="G84" s="48" t="str">
        <f t="shared" si="8"/>
        <v/>
      </c>
      <c r="H84" s="49" t="str">
        <f t="shared" si="9"/>
        <v/>
      </c>
      <c r="I84" s="48" t="str">
        <f>IF($B84="","",Mau15a!K87)</f>
        <v/>
      </c>
      <c r="J84" s="48" t="str">
        <f>IF($B84="","",Mau15a!M87)</f>
        <v/>
      </c>
      <c r="K84" s="48" t="str">
        <f t="shared" si="10"/>
        <v/>
      </c>
      <c r="L84" s="49" t="str">
        <f t="shared" si="11"/>
        <v/>
      </c>
      <c r="M84" s="48" t="str">
        <f>IF($B84="","",Mau15a!F87)</f>
        <v/>
      </c>
      <c r="N84" s="51" t="str">
        <f>IF($B84="","",COUNTIF(BOM!$A$5:$A$1004,B84))</f>
        <v/>
      </c>
      <c r="O84" s="49" t="str">
        <f t="shared" si="12"/>
        <v/>
      </c>
      <c r="P84" s="51" t="str">
        <f>IF($B84="","",COUNTIFS(KT_nguoc_theo_SP!$B$5:$B$1004,B84,KT_nguoc_theo_SP!$M$5:$M$1004,"Xem xét"))</f>
        <v/>
      </c>
      <c r="Q84" s="49" t="str">
        <f t="shared" si="13"/>
        <v/>
      </c>
      <c r="R84" s="49" t="str">
        <f t="shared" si="14"/>
        <v/>
      </c>
      <c r="S84" s="31" t="str">
        <f t="shared" si="15"/>
        <v/>
      </c>
    </row>
    <row r="85" spans="1:19" x14ac:dyDescent="0.25">
      <c r="A85" s="36" t="str">
        <f>IF(B85="","",78)</f>
        <v/>
      </c>
      <c r="B85" s="36" t="str">
        <f>Mau15a!B88&amp;""</f>
        <v/>
      </c>
      <c r="C85" s="47" t="str">
        <f>IF(B85="","",Mau15a!C88)</f>
        <v/>
      </c>
      <c r="D85" s="36" t="str">
        <f>IF(B85="","",Mau15a!D88)</f>
        <v/>
      </c>
      <c r="E85" s="48" t="str">
        <f>IF($B85="","",Mau15a!P88)</f>
        <v/>
      </c>
      <c r="F85" s="48" t="str">
        <f>IF($B85="","",Mau15a!I88)</f>
        <v/>
      </c>
      <c r="G85" s="48" t="str">
        <f t="shared" si="8"/>
        <v/>
      </c>
      <c r="H85" s="49" t="str">
        <f t="shared" si="9"/>
        <v/>
      </c>
      <c r="I85" s="48" t="str">
        <f>IF($B85="","",Mau15a!K88)</f>
        <v/>
      </c>
      <c r="J85" s="48" t="str">
        <f>IF($B85="","",Mau15a!M88)</f>
        <v/>
      </c>
      <c r="K85" s="48" t="str">
        <f t="shared" si="10"/>
        <v/>
      </c>
      <c r="L85" s="49" t="str">
        <f t="shared" si="11"/>
        <v/>
      </c>
      <c r="M85" s="48" t="str">
        <f>IF($B85="","",Mau15a!F88)</f>
        <v/>
      </c>
      <c r="N85" s="51" t="str">
        <f>IF($B85="","",COUNTIF(BOM!$A$5:$A$1004,B85))</f>
        <v/>
      </c>
      <c r="O85" s="49" t="str">
        <f t="shared" si="12"/>
        <v/>
      </c>
      <c r="P85" s="51" t="str">
        <f>IF($B85="","",COUNTIFS(KT_nguoc_theo_SP!$B$5:$B$1004,B85,KT_nguoc_theo_SP!$M$5:$M$1004,"Xem xét"))</f>
        <v/>
      </c>
      <c r="Q85" s="49" t="str">
        <f t="shared" si="13"/>
        <v/>
      </c>
      <c r="R85" s="49" t="str">
        <f t="shared" si="14"/>
        <v/>
      </c>
      <c r="S85" s="31" t="str">
        <f t="shared" si="15"/>
        <v/>
      </c>
    </row>
    <row r="86" spans="1:19" x14ac:dyDescent="0.25">
      <c r="A86" s="36" t="str">
        <f>IF(B86="","",79)</f>
        <v/>
      </c>
      <c r="B86" s="36" t="str">
        <f>Mau15a!B89&amp;""</f>
        <v/>
      </c>
      <c r="C86" s="47" t="str">
        <f>IF(B86="","",Mau15a!C89)</f>
        <v/>
      </c>
      <c r="D86" s="36" t="str">
        <f>IF(B86="","",Mau15a!D89)</f>
        <v/>
      </c>
      <c r="E86" s="48" t="str">
        <f>IF($B86="","",Mau15a!P89)</f>
        <v/>
      </c>
      <c r="F86" s="48" t="str">
        <f>IF($B86="","",Mau15a!I89)</f>
        <v/>
      </c>
      <c r="G86" s="48" t="str">
        <f t="shared" si="8"/>
        <v/>
      </c>
      <c r="H86" s="49" t="str">
        <f t="shared" si="9"/>
        <v/>
      </c>
      <c r="I86" s="48" t="str">
        <f>IF($B86="","",Mau15a!K89)</f>
        <v/>
      </c>
      <c r="J86" s="48" t="str">
        <f>IF($B86="","",Mau15a!M89)</f>
        <v/>
      </c>
      <c r="K86" s="48" t="str">
        <f t="shared" si="10"/>
        <v/>
      </c>
      <c r="L86" s="49" t="str">
        <f t="shared" si="11"/>
        <v/>
      </c>
      <c r="M86" s="48" t="str">
        <f>IF($B86="","",Mau15a!F89)</f>
        <v/>
      </c>
      <c r="N86" s="51" t="str">
        <f>IF($B86="","",COUNTIF(BOM!$A$5:$A$1004,B86))</f>
        <v/>
      </c>
      <c r="O86" s="49" t="str">
        <f t="shared" si="12"/>
        <v/>
      </c>
      <c r="P86" s="51" t="str">
        <f>IF($B86="","",COUNTIFS(KT_nguoc_theo_SP!$B$5:$B$1004,B86,KT_nguoc_theo_SP!$M$5:$M$1004,"Xem xét"))</f>
        <v/>
      </c>
      <c r="Q86" s="49" t="str">
        <f t="shared" si="13"/>
        <v/>
      </c>
      <c r="R86" s="49" t="str">
        <f t="shared" si="14"/>
        <v/>
      </c>
      <c r="S86" s="31" t="str">
        <f t="shared" si="15"/>
        <v/>
      </c>
    </row>
    <row r="87" spans="1:19" x14ac:dyDescent="0.25">
      <c r="A87" s="36" t="str">
        <f>IF(B87="","",80)</f>
        <v/>
      </c>
      <c r="B87" s="36" t="str">
        <f>Mau15a!B90&amp;""</f>
        <v/>
      </c>
      <c r="C87" s="47" t="str">
        <f>IF(B87="","",Mau15a!C90)</f>
        <v/>
      </c>
      <c r="D87" s="36" t="str">
        <f>IF(B87="","",Mau15a!D90)</f>
        <v/>
      </c>
      <c r="E87" s="48" t="str">
        <f>IF($B87="","",Mau15a!P90)</f>
        <v/>
      </c>
      <c r="F87" s="48" t="str">
        <f>IF($B87="","",Mau15a!I90)</f>
        <v/>
      </c>
      <c r="G87" s="48" t="str">
        <f t="shared" si="8"/>
        <v/>
      </c>
      <c r="H87" s="49" t="str">
        <f t="shared" si="9"/>
        <v/>
      </c>
      <c r="I87" s="48" t="str">
        <f>IF($B87="","",Mau15a!K90)</f>
        <v/>
      </c>
      <c r="J87" s="48" t="str">
        <f>IF($B87="","",Mau15a!M90)</f>
        <v/>
      </c>
      <c r="K87" s="48" t="str">
        <f t="shared" si="10"/>
        <v/>
      </c>
      <c r="L87" s="49" t="str">
        <f t="shared" si="11"/>
        <v/>
      </c>
      <c r="M87" s="48" t="str">
        <f>IF($B87="","",Mau15a!F90)</f>
        <v/>
      </c>
      <c r="N87" s="51" t="str">
        <f>IF($B87="","",COUNTIF(BOM!$A$5:$A$1004,B87))</f>
        <v/>
      </c>
      <c r="O87" s="49" t="str">
        <f t="shared" si="12"/>
        <v/>
      </c>
      <c r="P87" s="51" t="str">
        <f>IF($B87="","",COUNTIFS(KT_nguoc_theo_SP!$B$5:$B$1004,B87,KT_nguoc_theo_SP!$M$5:$M$1004,"Xem xét"))</f>
        <v/>
      </c>
      <c r="Q87" s="49" t="str">
        <f t="shared" si="13"/>
        <v/>
      </c>
      <c r="R87" s="49" t="str">
        <f t="shared" si="14"/>
        <v/>
      </c>
      <c r="S87" s="31" t="str">
        <f t="shared" si="15"/>
        <v/>
      </c>
    </row>
    <row r="88" spans="1:19" x14ac:dyDescent="0.25">
      <c r="A88" s="36" t="str">
        <f>IF(B88="","",81)</f>
        <v/>
      </c>
      <c r="B88" s="36" t="str">
        <f>Mau15a!B91&amp;""</f>
        <v/>
      </c>
      <c r="C88" s="47" t="str">
        <f>IF(B88="","",Mau15a!C91)</f>
        <v/>
      </c>
      <c r="D88" s="36" t="str">
        <f>IF(B88="","",Mau15a!D91)</f>
        <v/>
      </c>
      <c r="E88" s="48" t="str">
        <f>IF($B88="","",Mau15a!P91)</f>
        <v/>
      </c>
      <c r="F88" s="48" t="str">
        <f>IF($B88="","",Mau15a!I91)</f>
        <v/>
      </c>
      <c r="G88" s="48" t="str">
        <f t="shared" si="8"/>
        <v/>
      </c>
      <c r="H88" s="49" t="str">
        <f t="shared" si="9"/>
        <v/>
      </c>
      <c r="I88" s="48" t="str">
        <f>IF($B88="","",Mau15a!K91)</f>
        <v/>
      </c>
      <c r="J88" s="48" t="str">
        <f>IF($B88="","",Mau15a!M91)</f>
        <v/>
      </c>
      <c r="K88" s="48" t="str">
        <f t="shared" si="10"/>
        <v/>
      </c>
      <c r="L88" s="49" t="str">
        <f t="shared" si="11"/>
        <v/>
      </c>
      <c r="M88" s="48" t="str">
        <f>IF($B88="","",Mau15a!F91)</f>
        <v/>
      </c>
      <c r="N88" s="51" t="str">
        <f>IF($B88="","",COUNTIF(BOM!$A$5:$A$1004,B88))</f>
        <v/>
      </c>
      <c r="O88" s="49" t="str">
        <f t="shared" si="12"/>
        <v/>
      </c>
      <c r="P88" s="51" t="str">
        <f>IF($B88="","",COUNTIFS(KT_nguoc_theo_SP!$B$5:$B$1004,B88,KT_nguoc_theo_SP!$M$5:$M$1004,"Xem xét"))</f>
        <v/>
      </c>
      <c r="Q88" s="49" t="str">
        <f t="shared" si="13"/>
        <v/>
      </c>
      <c r="R88" s="49" t="str">
        <f t="shared" si="14"/>
        <v/>
      </c>
      <c r="S88" s="31" t="str">
        <f t="shared" si="15"/>
        <v/>
      </c>
    </row>
    <row r="89" spans="1:19" x14ac:dyDescent="0.25">
      <c r="A89" s="36" t="str">
        <f>IF(B89="","",82)</f>
        <v/>
      </c>
      <c r="B89" s="36" t="str">
        <f>Mau15a!B92&amp;""</f>
        <v/>
      </c>
      <c r="C89" s="47" t="str">
        <f>IF(B89="","",Mau15a!C92)</f>
        <v/>
      </c>
      <c r="D89" s="36" t="str">
        <f>IF(B89="","",Mau15a!D92)</f>
        <v/>
      </c>
      <c r="E89" s="48" t="str">
        <f>IF($B89="","",Mau15a!P92)</f>
        <v/>
      </c>
      <c r="F89" s="48" t="str">
        <f>IF($B89="","",Mau15a!I92)</f>
        <v/>
      </c>
      <c r="G89" s="48" t="str">
        <f t="shared" si="8"/>
        <v/>
      </c>
      <c r="H89" s="49" t="str">
        <f t="shared" si="9"/>
        <v/>
      </c>
      <c r="I89" s="48" t="str">
        <f>IF($B89="","",Mau15a!K92)</f>
        <v/>
      </c>
      <c r="J89" s="48" t="str">
        <f>IF($B89="","",Mau15a!M92)</f>
        <v/>
      </c>
      <c r="K89" s="48" t="str">
        <f t="shared" si="10"/>
        <v/>
      </c>
      <c r="L89" s="49" t="str">
        <f t="shared" si="11"/>
        <v/>
      </c>
      <c r="M89" s="48" t="str">
        <f>IF($B89="","",Mau15a!F92)</f>
        <v/>
      </c>
      <c r="N89" s="51" t="str">
        <f>IF($B89="","",COUNTIF(BOM!$A$5:$A$1004,B89))</f>
        <v/>
      </c>
      <c r="O89" s="49" t="str">
        <f t="shared" si="12"/>
        <v/>
      </c>
      <c r="P89" s="51" t="str">
        <f>IF($B89="","",COUNTIFS(KT_nguoc_theo_SP!$B$5:$B$1004,B89,KT_nguoc_theo_SP!$M$5:$M$1004,"Xem xét"))</f>
        <v/>
      </c>
      <c r="Q89" s="49" t="str">
        <f t="shared" si="13"/>
        <v/>
      </c>
      <c r="R89" s="49" t="str">
        <f t="shared" si="14"/>
        <v/>
      </c>
      <c r="S89" s="31" t="str">
        <f t="shared" si="15"/>
        <v/>
      </c>
    </row>
    <row r="90" spans="1:19" x14ac:dyDescent="0.25">
      <c r="A90" s="36" t="str">
        <f>IF(B90="","",83)</f>
        <v/>
      </c>
      <c r="B90" s="36" t="str">
        <f>Mau15a!B93&amp;""</f>
        <v/>
      </c>
      <c r="C90" s="47" t="str">
        <f>IF(B90="","",Mau15a!C93)</f>
        <v/>
      </c>
      <c r="D90" s="36" t="str">
        <f>IF(B90="","",Mau15a!D93)</f>
        <v/>
      </c>
      <c r="E90" s="48" t="str">
        <f>IF($B90="","",Mau15a!P93)</f>
        <v/>
      </c>
      <c r="F90" s="48" t="str">
        <f>IF($B90="","",Mau15a!I93)</f>
        <v/>
      </c>
      <c r="G90" s="48" t="str">
        <f t="shared" si="8"/>
        <v/>
      </c>
      <c r="H90" s="49" t="str">
        <f t="shared" si="9"/>
        <v/>
      </c>
      <c r="I90" s="48" t="str">
        <f>IF($B90="","",Mau15a!K93)</f>
        <v/>
      </c>
      <c r="J90" s="48" t="str">
        <f>IF($B90="","",Mau15a!M93)</f>
        <v/>
      </c>
      <c r="K90" s="48" t="str">
        <f t="shared" si="10"/>
        <v/>
      </c>
      <c r="L90" s="49" t="str">
        <f t="shared" si="11"/>
        <v/>
      </c>
      <c r="M90" s="48" t="str">
        <f>IF($B90="","",Mau15a!F93)</f>
        <v/>
      </c>
      <c r="N90" s="51" t="str">
        <f>IF($B90="","",COUNTIF(BOM!$A$5:$A$1004,B90))</f>
        <v/>
      </c>
      <c r="O90" s="49" t="str">
        <f t="shared" si="12"/>
        <v/>
      </c>
      <c r="P90" s="51" t="str">
        <f>IF($B90="","",COUNTIFS(KT_nguoc_theo_SP!$B$5:$B$1004,B90,KT_nguoc_theo_SP!$M$5:$M$1004,"Xem xét"))</f>
        <v/>
      </c>
      <c r="Q90" s="49" t="str">
        <f t="shared" si="13"/>
        <v/>
      </c>
      <c r="R90" s="49" t="str">
        <f t="shared" si="14"/>
        <v/>
      </c>
      <c r="S90" s="31" t="str">
        <f t="shared" si="15"/>
        <v/>
      </c>
    </row>
    <row r="91" spans="1:19" x14ac:dyDescent="0.25">
      <c r="A91" s="36" t="str">
        <f>IF(B91="","",84)</f>
        <v/>
      </c>
      <c r="B91" s="36" t="str">
        <f>Mau15a!B94&amp;""</f>
        <v/>
      </c>
      <c r="C91" s="47" t="str">
        <f>IF(B91="","",Mau15a!C94)</f>
        <v/>
      </c>
      <c r="D91" s="36" t="str">
        <f>IF(B91="","",Mau15a!D94)</f>
        <v/>
      </c>
      <c r="E91" s="48" t="str">
        <f>IF($B91="","",Mau15a!P94)</f>
        <v/>
      </c>
      <c r="F91" s="48" t="str">
        <f>IF($B91="","",Mau15a!I94)</f>
        <v/>
      </c>
      <c r="G91" s="48" t="str">
        <f t="shared" si="8"/>
        <v/>
      </c>
      <c r="H91" s="49" t="str">
        <f t="shared" si="9"/>
        <v/>
      </c>
      <c r="I91" s="48" t="str">
        <f>IF($B91="","",Mau15a!K94)</f>
        <v/>
      </c>
      <c r="J91" s="48" t="str">
        <f>IF($B91="","",Mau15a!M94)</f>
        <v/>
      </c>
      <c r="K91" s="48" t="str">
        <f t="shared" si="10"/>
        <v/>
      </c>
      <c r="L91" s="49" t="str">
        <f t="shared" si="11"/>
        <v/>
      </c>
      <c r="M91" s="48" t="str">
        <f>IF($B91="","",Mau15a!F94)</f>
        <v/>
      </c>
      <c r="N91" s="51" t="str">
        <f>IF($B91="","",COUNTIF(BOM!$A$5:$A$1004,B91))</f>
        <v/>
      </c>
      <c r="O91" s="49" t="str">
        <f t="shared" si="12"/>
        <v/>
      </c>
      <c r="P91" s="51" t="str">
        <f>IF($B91="","",COUNTIFS(KT_nguoc_theo_SP!$B$5:$B$1004,B91,KT_nguoc_theo_SP!$M$5:$M$1004,"Xem xét"))</f>
        <v/>
      </c>
      <c r="Q91" s="49" t="str">
        <f t="shared" si="13"/>
        <v/>
      </c>
      <c r="R91" s="49" t="str">
        <f t="shared" si="14"/>
        <v/>
      </c>
      <c r="S91" s="31" t="str">
        <f t="shared" si="15"/>
        <v/>
      </c>
    </row>
    <row r="92" spans="1:19" x14ac:dyDescent="0.25">
      <c r="A92" s="36" t="str">
        <f>IF(B92="","",85)</f>
        <v/>
      </c>
      <c r="B92" s="36" t="str">
        <f>Mau15a!B95&amp;""</f>
        <v/>
      </c>
      <c r="C92" s="47" t="str">
        <f>IF(B92="","",Mau15a!C95)</f>
        <v/>
      </c>
      <c r="D92" s="36" t="str">
        <f>IF(B92="","",Mau15a!D95)</f>
        <v/>
      </c>
      <c r="E92" s="48" t="str">
        <f>IF($B92="","",Mau15a!P95)</f>
        <v/>
      </c>
      <c r="F92" s="48" t="str">
        <f>IF($B92="","",Mau15a!I95)</f>
        <v/>
      </c>
      <c r="G92" s="48" t="str">
        <f t="shared" si="8"/>
        <v/>
      </c>
      <c r="H92" s="49" t="str">
        <f t="shared" si="9"/>
        <v/>
      </c>
      <c r="I92" s="48" t="str">
        <f>IF($B92="","",Mau15a!K95)</f>
        <v/>
      </c>
      <c r="J92" s="48" t="str">
        <f>IF($B92="","",Mau15a!M95)</f>
        <v/>
      </c>
      <c r="K92" s="48" t="str">
        <f t="shared" si="10"/>
        <v/>
      </c>
      <c r="L92" s="49" t="str">
        <f t="shared" si="11"/>
        <v/>
      </c>
      <c r="M92" s="48" t="str">
        <f>IF($B92="","",Mau15a!F95)</f>
        <v/>
      </c>
      <c r="N92" s="51" t="str">
        <f>IF($B92="","",COUNTIF(BOM!$A$5:$A$1004,B92))</f>
        <v/>
      </c>
      <c r="O92" s="49" t="str">
        <f t="shared" si="12"/>
        <v/>
      </c>
      <c r="P92" s="51" t="str">
        <f>IF($B92="","",COUNTIFS(KT_nguoc_theo_SP!$B$5:$B$1004,B92,KT_nguoc_theo_SP!$M$5:$M$1004,"Xem xét"))</f>
        <v/>
      </c>
      <c r="Q92" s="49" t="str">
        <f t="shared" si="13"/>
        <v/>
      </c>
      <c r="R92" s="49" t="str">
        <f t="shared" si="14"/>
        <v/>
      </c>
      <c r="S92" s="31" t="str">
        <f t="shared" si="15"/>
        <v/>
      </c>
    </row>
    <row r="93" spans="1:19" x14ac:dyDescent="0.25">
      <c r="A93" s="36" t="str">
        <f>IF(B93="","",86)</f>
        <v/>
      </c>
      <c r="B93" s="36" t="str">
        <f>Mau15a!B96&amp;""</f>
        <v/>
      </c>
      <c r="C93" s="47" t="str">
        <f>IF(B93="","",Mau15a!C96)</f>
        <v/>
      </c>
      <c r="D93" s="36" t="str">
        <f>IF(B93="","",Mau15a!D96)</f>
        <v/>
      </c>
      <c r="E93" s="48" t="str">
        <f>IF($B93="","",Mau15a!P96)</f>
        <v/>
      </c>
      <c r="F93" s="48" t="str">
        <f>IF($B93="","",Mau15a!I96)</f>
        <v/>
      </c>
      <c r="G93" s="48" t="str">
        <f t="shared" si="8"/>
        <v/>
      </c>
      <c r="H93" s="49" t="str">
        <f t="shared" si="9"/>
        <v/>
      </c>
      <c r="I93" s="48" t="str">
        <f>IF($B93="","",Mau15a!K96)</f>
        <v/>
      </c>
      <c r="J93" s="48" t="str">
        <f>IF($B93="","",Mau15a!M96)</f>
        <v/>
      </c>
      <c r="K93" s="48" t="str">
        <f t="shared" si="10"/>
        <v/>
      </c>
      <c r="L93" s="49" t="str">
        <f t="shared" si="11"/>
        <v/>
      </c>
      <c r="M93" s="48" t="str">
        <f>IF($B93="","",Mau15a!F96)</f>
        <v/>
      </c>
      <c r="N93" s="51" t="str">
        <f>IF($B93="","",COUNTIF(BOM!$A$5:$A$1004,B93))</f>
        <v/>
      </c>
      <c r="O93" s="49" t="str">
        <f t="shared" si="12"/>
        <v/>
      </c>
      <c r="P93" s="51" t="str">
        <f>IF($B93="","",COUNTIFS(KT_nguoc_theo_SP!$B$5:$B$1004,B93,KT_nguoc_theo_SP!$M$5:$M$1004,"Xem xét"))</f>
        <v/>
      </c>
      <c r="Q93" s="49" t="str">
        <f t="shared" si="13"/>
        <v/>
      </c>
      <c r="R93" s="49" t="str">
        <f t="shared" si="14"/>
        <v/>
      </c>
      <c r="S93" s="31" t="str">
        <f t="shared" si="15"/>
        <v/>
      </c>
    </row>
    <row r="94" spans="1:19" x14ac:dyDescent="0.25">
      <c r="A94" s="36" t="str">
        <f>IF(B94="","",87)</f>
        <v/>
      </c>
      <c r="B94" s="36" t="str">
        <f>Mau15a!B97&amp;""</f>
        <v/>
      </c>
      <c r="C94" s="47" t="str">
        <f>IF(B94="","",Mau15a!C97)</f>
        <v/>
      </c>
      <c r="D94" s="36" t="str">
        <f>IF(B94="","",Mau15a!D97)</f>
        <v/>
      </c>
      <c r="E94" s="48" t="str">
        <f>IF($B94="","",Mau15a!P97)</f>
        <v/>
      </c>
      <c r="F94" s="48" t="str">
        <f>IF($B94="","",Mau15a!I97)</f>
        <v/>
      </c>
      <c r="G94" s="48" t="str">
        <f t="shared" si="8"/>
        <v/>
      </c>
      <c r="H94" s="49" t="str">
        <f t="shared" si="9"/>
        <v/>
      </c>
      <c r="I94" s="48" t="str">
        <f>IF($B94="","",Mau15a!K97)</f>
        <v/>
      </c>
      <c r="J94" s="48" t="str">
        <f>IF($B94="","",Mau15a!M97)</f>
        <v/>
      </c>
      <c r="K94" s="48" t="str">
        <f t="shared" si="10"/>
        <v/>
      </c>
      <c r="L94" s="49" t="str">
        <f t="shared" si="11"/>
        <v/>
      </c>
      <c r="M94" s="48" t="str">
        <f>IF($B94="","",Mau15a!F97)</f>
        <v/>
      </c>
      <c r="N94" s="51" t="str">
        <f>IF($B94="","",COUNTIF(BOM!$A$5:$A$1004,B94))</f>
        <v/>
      </c>
      <c r="O94" s="49" t="str">
        <f t="shared" si="12"/>
        <v/>
      </c>
      <c r="P94" s="51" t="str">
        <f>IF($B94="","",COUNTIFS(KT_nguoc_theo_SP!$B$5:$B$1004,B94,KT_nguoc_theo_SP!$M$5:$M$1004,"Xem xét"))</f>
        <v/>
      </c>
      <c r="Q94" s="49" t="str">
        <f t="shared" si="13"/>
        <v/>
      </c>
      <c r="R94" s="49" t="str">
        <f t="shared" si="14"/>
        <v/>
      </c>
      <c r="S94" s="31" t="str">
        <f t="shared" si="15"/>
        <v/>
      </c>
    </row>
    <row r="95" spans="1:19" x14ac:dyDescent="0.25">
      <c r="A95" s="36" t="str">
        <f>IF(B95="","",88)</f>
        <v/>
      </c>
      <c r="B95" s="36" t="str">
        <f>Mau15a!B98&amp;""</f>
        <v/>
      </c>
      <c r="C95" s="47" t="str">
        <f>IF(B95="","",Mau15a!C98)</f>
        <v/>
      </c>
      <c r="D95" s="36" t="str">
        <f>IF(B95="","",Mau15a!D98)</f>
        <v/>
      </c>
      <c r="E95" s="48" t="str">
        <f>IF($B95="","",Mau15a!P98)</f>
        <v/>
      </c>
      <c r="F95" s="48" t="str">
        <f>IF($B95="","",Mau15a!I98)</f>
        <v/>
      </c>
      <c r="G95" s="48" t="str">
        <f t="shared" si="8"/>
        <v/>
      </c>
      <c r="H95" s="49" t="str">
        <f t="shared" si="9"/>
        <v/>
      </c>
      <c r="I95" s="48" t="str">
        <f>IF($B95="","",Mau15a!K98)</f>
        <v/>
      </c>
      <c r="J95" s="48" t="str">
        <f>IF($B95="","",Mau15a!M98)</f>
        <v/>
      </c>
      <c r="K95" s="48" t="str">
        <f t="shared" si="10"/>
        <v/>
      </c>
      <c r="L95" s="49" t="str">
        <f t="shared" si="11"/>
        <v/>
      </c>
      <c r="M95" s="48" t="str">
        <f>IF($B95="","",Mau15a!F98)</f>
        <v/>
      </c>
      <c r="N95" s="51" t="str">
        <f>IF($B95="","",COUNTIF(BOM!$A$5:$A$1004,B95))</f>
        <v/>
      </c>
      <c r="O95" s="49" t="str">
        <f t="shared" si="12"/>
        <v/>
      </c>
      <c r="P95" s="51" t="str">
        <f>IF($B95="","",COUNTIFS(KT_nguoc_theo_SP!$B$5:$B$1004,B95,KT_nguoc_theo_SP!$M$5:$M$1004,"Xem xét"))</f>
        <v/>
      </c>
      <c r="Q95" s="49" t="str">
        <f t="shared" si="13"/>
        <v/>
      </c>
      <c r="R95" s="49" t="str">
        <f t="shared" si="14"/>
        <v/>
      </c>
      <c r="S95" s="31" t="str">
        <f t="shared" si="15"/>
        <v/>
      </c>
    </row>
    <row r="96" spans="1:19" x14ac:dyDescent="0.25">
      <c r="A96" s="36" t="str">
        <f>IF(B96="","",89)</f>
        <v/>
      </c>
      <c r="B96" s="36" t="str">
        <f>Mau15a!B99&amp;""</f>
        <v/>
      </c>
      <c r="C96" s="47" t="str">
        <f>IF(B96="","",Mau15a!C99)</f>
        <v/>
      </c>
      <c r="D96" s="36" t="str">
        <f>IF(B96="","",Mau15a!D99)</f>
        <v/>
      </c>
      <c r="E96" s="48" t="str">
        <f>IF($B96="","",Mau15a!P99)</f>
        <v/>
      </c>
      <c r="F96" s="48" t="str">
        <f>IF($B96="","",Mau15a!I99)</f>
        <v/>
      </c>
      <c r="G96" s="48" t="str">
        <f t="shared" si="8"/>
        <v/>
      </c>
      <c r="H96" s="49" t="str">
        <f t="shared" si="9"/>
        <v/>
      </c>
      <c r="I96" s="48" t="str">
        <f>IF($B96="","",Mau15a!K99)</f>
        <v/>
      </c>
      <c r="J96" s="48" t="str">
        <f>IF($B96="","",Mau15a!M99)</f>
        <v/>
      </c>
      <c r="K96" s="48" t="str">
        <f t="shared" si="10"/>
        <v/>
      </c>
      <c r="L96" s="49" t="str">
        <f t="shared" si="11"/>
        <v/>
      </c>
      <c r="M96" s="48" t="str">
        <f>IF($B96="","",Mau15a!F99)</f>
        <v/>
      </c>
      <c r="N96" s="51" t="str">
        <f>IF($B96="","",COUNTIF(BOM!$A$5:$A$1004,B96))</f>
        <v/>
      </c>
      <c r="O96" s="49" t="str">
        <f t="shared" si="12"/>
        <v/>
      </c>
      <c r="P96" s="51" t="str">
        <f>IF($B96="","",COUNTIFS(KT_nguoc_theo_SP!$B$5:$B$1004,B96,KT_nguoc_theo_SP!$M$5:$M$1004,"Xem xét"))</f>
        <v/>
      </c>
      <c r="Q96" s="49" t="str">
        <f t="shared" si="13"/>
        <v/>
      </c>
      <c r="R96" s="49" t="str">
        <f t="shared" si="14"/>
        <v/>
      </c>
      <c r="S96" s="31" t="str">
        <f t="shared" si="15"/>
        <v/>
      </c>
    </row>
    <row r="97" spans="1:19" x14ac:dyDescent="0.25">
      <c r="A97" s="36" t="str">
        <f>IF(B97="","",90)</f>
        <v/>
      </c>
      <c r="B97" s="36" t="str">
        <f>Mau15a!B100&amp;""</f>
        <v/>
      </c>
      <c r="C97" s="47" t="str">
        <f>IF(B97="","",Mau15a!C100)</f>
        <v/>
      </c>
      <c r="D97" s="36" t="str">
        <f>IF(B97="","",Mau15a!D100)</f>
        <v/>
      </c>
      <c r="E97" s="48" t="str">
        <f>IF($B97="","",Mau15a!P100)</f>
        <v/>
      </c>
      <c r="F97" s="48" t="str">
        <f>IF($B97="","",Mau15a!I100)</f>
        <v/>
      </c>
      <c r="G97" s="48" t="str">
        <f t="shared" si="8"/>
        <v/>
      </c>
      <c r="H97" s="49" t="str">
        <f t="shared" si="9"/>
        <v/>
      </c>
      <c r="I97" s="48" t="str">
        <f>IF($B97="","",Mau15a!K100)</f>
        <v/>
      </c>
      <c r="J97" s="48" t="str">
        <f>IF($B97="","",Mau15a!M100)</f>
        <v/>
      </c>
      <c r="K97" s="48" t="str">
        <f t="shared" si="10"/>
        <v/>
      </c>
      <c r="L97" s="49" t="str">
        <f t="shared" si="11"/>
        <v/>
      </c>
      <c r="M97" s="48" t="str">
        <f>IF($B97="","",Mau15a!F100)</f>
        <v/>
      </c>
      <c r="N97" s="51" t="str">
        <f>IF($B97="","",COUNTIF(BOM!$A$5:$A$1004,B97))</f>
        <v/>
      </c>
      <c r="O97" s="49" t="str">
        <f t="shared" si="12"/>
        <v/>
      </c>
      <c r="P97" s="51" t="str">
        <f>IF($B97="","",COUNTIFS(KT_nguoc_theo_SP!$B$5:$B$1004,B97,KT_nguoc_theo_SP!$M$5:$M$1004,"Xem xét"))</f>
        <v/>
      </c>
      <c r="Q97" s="49" t="str">
        <f t="shared" si="13"/>
        <v/>
      </c>
      <c r="R97" s="49" t="str">
        <f t="shared" si="14"/>
        <v/>
      </c>
      <c r="S97" s="31" t="str">
        <f t="shared" si="15"/>
        <v/>
      </c>
    </row>
    <row r="98" spans="1:19" x14ac:dyDescent="0.25">
      <c r="A98" s="36" t="str">
        <f>IF(B98="","",91)</f>
        <v/>
      </c>
      <c r="B98" s="36" t="str">
        <f>Mau15a!B101&amp;""</f>
        <v/>
      </c>
      <c r="C98" s="47" t="str">
        <f>IF(B98="","",Mau15a!C101)</f>
        <v/>
      </c>
      <c r="D98" s="36" t="str">
        <f>IF(B98="","",Mau15a!D101)</f>
        <v/>
      </c>
      <c r="E98" s="48" t="str">
        <f>IF($B98="","",Mau15a!P101)</f>
        <v/>
      </c>
      <c r="F98" s="48" t="str">
        <f>IF($B98="","",Mau15a!I101)</f>
        <v/>
      </c>
      <c r="G98" s="48" t="str">
        <f t="shared" si="8"/>
        <v/>
      </c>
      <c r="H98" s="49" t="str">
        <f t="shared" si="9"/>
        <v/>
      </c>
      <c r="I98" s="48" t="str">
        <f>IF($B98="","",Mau15a!K101)</f>
        <v/>
      </c>
      <c r="J98" s="48" t="str">
        <f>IF($B98="","",Mau15a!M101)</f>
        <v/>
      </c>
      <c r="K98" s="48" t="str">
        <f t="shared" si="10"/>
        <v/>
      </c>
      <c r="L98" s="49" t="str">
        <f t="shared" si="11"/>
        <v/>
      </c>
      <c r="M98" s="48" t="str">
        <f>IF($B98="","",Mau15a!F101)</f>
        <v/>
      </c>
      <c r="N98" s="51" t="str">
        <f>IF($B98="","",COUNTIF(BOM!$A$5:$A$1004,B98))</f>
        <v/>
      </c>
      <c r="O98" s="49" t="str">
        <f t="shared" si="12"/>
        <v/>
      </c>
      <c r="P98" s="51" t="str">
        <f>IF($B98="","",COUNTIFS(KT_nguoc_theo_SP!$B$5:$B$1004,B98,KT_nguoc_theo_SP!$M$5:$M$1004,"Xem xét"))</f>
        <v/>
      </c>
      <c r="Q98" s="49" t="str">
        <f t="shared" si="13"/>
        <v/>
      </c>
      <c r="R98" s="49" t="str">
        <f t="shared" si="14"/>
        <v/>
      </c>
      <c r="S98" s="31" t="str">
        <f t="shared" si="15"/>
        <v/>
      </c>
    </row>
    <row r="99" spans="1:19" x14ac:dyDescent="0.25">
      <c r="A99" s="36" t="str">
        <f>IF(B99="","",92)</f>
        <v/>
      </c>
      <c r="B99" s="36" t="str">
        <f>Mau15a!B102&amp;""</f>
        <v/>
      </c>
      <c r="C99" s="47" t="str">
        <f>IF(B99="","",Mau15a!C102)</f>
        <v/>
      </c>
      <c r="D99" s="36" t="str">
        <f>IF(B99="","",Mau15a!D102)</f>
        <v/>
      </c>
      <c r="E99" s="48" t="str">
        <f>IF($B99="","",Mau15a!P102)</f>
        <v/>
      </c>
      <c r="F99" s="48" t="str">
        <f>IF($B99="","",Mau15a!I102)</f>
        <v/>
      </c>
      <c r="G99" s="48" t="str">
        <f t="shared" si="8"/>
        <v/>
      </c>
      <c r="H99" s="49" t="str">
        <f t="shared" si="9"/>
        <v/>
      </c>
      <c r="I99" s="48" t="str">
        <f>IF($B99="","",Mau15a!K102)</f>
        <v/>
      </c>
      <c r="J99" s="48" t="str">
        <f>IF($B99="","",Mau15a!M102)</f>
        <v/>
      </c>
      <c r="K99" s="48" t="str">
        <f t="shared" si="10"/>
        <v/>
      </c>
      <c r="L99" s="49" t="str">
        <f t="shared" si="11"/>
        <v/>
      </c>
      <c r="M99" s="48" t="str">
        <f>IF($B99="","",Mau15a!F102)</f>
        <v/>
      </c>
      <c r="N99" s="51" t="str">
        <f>IF($B99="","",COUNTIF(BOM!$A$5:$A$1004,B99))</f>
        <v/>
      </c>
      <c r="O99" s="49" t="str">
        <f t="shared" si="12"/>
        <v/>
      </c>
      <c r="P99" s="51" t="str">
        <f>IF($B99="","",COUNTIFS(KT_nguoc_theo_SP!$B$5:$B$1004,B99,KT_nguoc_theo_SP!$M$5:$M$1004,"Xem xét"))</f>
        <v/>
      </c>
      <c r="Q99" s="49" t="str">
        <f t="shared" si="13"/>
        <v/>
      </c>
      <c r="R99" s="49" t="str">
        <f t="shared" si="14"/>
        <v/>
      </c>
      <c r="S99" s="31" t="str">
        <f t="shared" si="15"/>
        <v/>
      </c>
    </row>
    <row r="100" spans="1:19" x14ac:dyDescent="0.25">
      <c r="A100" s="36" t="str">
        <f>IF(B100="","",93)</f>
        <v/>
      </c>
      <c r="B100" s="36" t="str">
        <f>Mau15a!B103&amp;""</f>
        <v/>
      </c>
      <c r="C100" s="47" t="str">
        <f>IF(B100="","",Mau15a!C103)</f>
        <v/>
      </c>
      <c r="D100" s="36" t="str">
        <f>IF(B100="","",Mau15a!D103)</f>
        <v/>
      </c>
      <c r="E100" s="48" t="str">
        <f>IF($B100="","",Mau15a!P103)</f>
        <v/>
      </c>
      <c r="F100" s="48" t="str">
        <f>IF($B100="","",Mau15a!I103)</f>
        <v/>
      </c>
      <c r="G100" s="48" t="str">
        <f t="shared" si="8"/>
        <v/>
      </c>
      <c r="H100" s="49" t="str">
        <f t="shared" si="9"/>
        <v/>
      </c>
      <c r="I100" s="48" t="str">
        <f>IF($B100="","",Mau15a!K103)</f>
        <v/>
      </c>
      <c r="J100" s="48" t="str">
        <f>IF($B100="","",Mau15a!M103)</f>
        <v/>
      </c>
      <c r="K100" s="48" t="str">
        <f t="shared" si="10"/>
        <v/>
      </c>
      <c r="L100" s="49" t="str">
        <f t="shared" si="11"/>
        <v/>
      </c>
      <c r="M100" s="48" t="str">
        <f>IF($B100="","",Mau15a!F103)</f>
        <v/>
      </c>
      <c r="N100" s="51" t="str">
        <f>IF($B100="","",COUNTIF(BOM!$A$5:$A$1004,B100))</f>
        <v/>
      </c>
      <c r="O100" s="49" t="str">
        <f t="shared" si="12"/>
        <v/>
      </c>
      <c r="P100" s="51" t="str">
        <f>IF($B100="","",COUNTIFS(KT_nguoc_theo_SP!$B$5:$B$1004,B100,KT_nguoc_theo_SP!$M$5:$M$1004,"Xem xét"))</f>
        <v/>
      </c>
      <c r="Q100" s="49" t="str">
        <f t="shared" si="13"/>
        <v/>
      </c>
      <c r="R100" s="49" t="str">
        <f t="shared" si="14"/>
        <v/>
      </c>
      <c r="S100" s="31" t="str">
        <f t="shared" si="15"/>
        <v/>
      </c>
    </row>
    <row r="101" spans="1:19" x14ac:dyDescent="0.25">
      <c r="A101" s="36" t="str">
        <f>IF(B101="","",94)</f>
        <v/>
      </c>
      <c r="B101" s="36" t="str">
        <f>Mau15a!B104&amp;""</f>
        <v/>
      </c>
      <c r="C101" s="47" t="str">
        <f>IF(B101="","",Mau15a!C104)</f>
        <v/>
      </c>
      <c r="D101" s="36" t="str">
        <f>IF(B101="","",Mau15a!D104)</f>
        <v/>
      </c>
      <c r="E101" s="48" t="str">
        <f>IF($B101="","",Mau15a!P104)</f>
        <v/>
      </c>
      <c r="F101" s="48" t="str">
        <f>IF($B101="","",Mau15a!I104)</f>
        <v/>
      </c>
      <c r="G101" s="48" t="str">
        <f t="shared" si="8"/>
        <v/>
      </c>
      <c r="H101" s="49" t="str">
        <f t="shared" si="9"/>
        <v/>
      </c>
      <c r="I101" s="48" t="str">
        <f>IF($B101="","",Mau15a!K104)</f>
        <v/>
      </c>
      <c r="J101" s="48" t="str">
        <f>IF($B101="","",Mau15a!M104)</f>
        <v/>
      </c>
      <c r="K101" s="48" t="str">
        <f t="shared" si="10"/>
        <v/>
      </c>
      <c r="L101" s="49" t="str">
        <f t="shared" si="11"/>
        <v/>
      </c>
      <c r="M101" s="48" t="str">
        <f>IF($B101="","",Mau15a!F104)</f>
        <v/>
      </c>
      <c r="N101" s="51" t="str">
        <f>IF($B101="","",COUNTIF(BOM!$A$5:$A$1004,B101))</f>
        <v/>
      </c>
      <c r="O101" s="49" t="str">
        <f t="shared" si="12"/>
        <v/>
      </c>
      <c r="P101" s="51" t="str">
        <f>IF($B101="","",COUNTIFS(KT_nguoc_theo_SP!$B$5:$B$1004,B101,KT_nguoc_theo_SP!$M$5:$M$1004,"Xem xét"))</f>
        <v/>
      </c>
      <c r="Q101" s="49" t="str">
        <f t="shared" si="13"/>
        <v/>
      </c>
      <c r="R101" s="49" t="str">
        <f t="shared" si="14"/>
        <v/>
      </c>
      <c r="S101" s="31" t="str">
        <f t="shared" si="15"/>
        <v/>
      </c>
    </row>
    <row r="102" spans="1:19" x14ac:dyDescent="0.25">
      <c r="A102" s="36" t="str">
        <f>IF(B102="","",95)</f>
        <v/>
      </c>
      <c r="B102" s="36" t="str">
        <f>Mau15a!B105&amp;""</f>
        <v/>
      </c>
      <c r="C102" s="47" t="str">
        <f>IF(B102="","",Mau15a!C105)</f>
        <v/>
      </c>
      <c r="D102" s="36" t="str">
        <f>IF(B102="","",Mau15a!D105)</f>
        <v/>
      </c>
      <c r="E102" s="48" t="str">
        <f>IF($B102="","",Mau15a!P105)</f>
        <v/>
      </c>
      <c r="F102" s="48" t="str">
        <f>IF($B102="","",Mau15a!I105)</f>
        <v/>
      </c>
      <c r="G102" s="48" t="str">
        <f t="shared" si="8"/>
        <v/>
      </c>
      <c r="H102" s="49" t="str">
        <f t="shared" si="9"/>
        <v/>
      </c>
      <c r="I102" s="48" t="str">
        <f>IF($B102="","",Mau15a!K105)</f>
        <v/>
      </c>
      <c r="J102" s="48" t="str">
        <f>IF($B102="","",Mau15a!M105)</f>
        <v/>
      </c>
      <c r="K102" s="48" t="str">
        <f t="shared" si="10"/>
        <v/>
      </c>
      <c r="L102" s="49" t="str">
        <f t="shared" si="11"/>
        <v/>
      </c>
      <c r="M102" s="48" t="str">
        <f>IF($B102="","",Mau15a!F105)</f>
        <v/>
      </c>
      <c r="N102" s="51" t="str">
        <f>IF($B102="","",COUNTIF(BOM!$A$5:$A$1004,B102))</f>
        <v/>
      </c>
      <c r="O102" s="49" t="str">
        <f t="shared" si="12"/>
        <v/>
      </c>
      <c r="P102" s="51" t="str">
        <f>IF($B102="","",COUNTIFS(KT_nguoc_theo_SP!$B$5:$B$1004,B102,KT_nguoc_theo_SP!$M$5:$M$1004,"Xem xét"))</f>
        <v/>
      </c>
      <c r="Q102" s="49" t="str">
        <f t="shared" si="13"/>
        <v/>
      </c>
      <c r="R102" s="49" t="str">
        <f t="shared" si="14"/>
        <v/>
      </c>
      <c r="S102" s="31" t="str">
        <f t="shared" si="15"/>
        <v/>
      </c>
    </row>
    <row r="103" spans="1:19" x14ac:dyDescent="0.25">
      <c r="A103" s="36" t="str">
        <f>IF(B103="","",96)</f>
        <v/>
      </c>
      <c r="B103" s="36" t="str">
        <f>Mau15a!B106&amp;""</f>
        <v/>
      </c>
      <c r="C103" s="47" t="str">
        <f>IF(B103="","",Mau15a!C106)</f>
        <v/>
      </c>
      <c r="D103" s="36" t="str">
        <f>IF(B103="","",Mau15a!D106)</f>
        <v/>
      </c>
      <c r="E103" s="48" t="str">
        <f>IF($B103="","",Mau15a!P106)</f>
        <v/>
      </c>
      <c r="F103" s="48" t="str">
        <f>IF($B103="","",Mau15a!I106)</f>
        <v/>
      </c>
      <c r="G103" s="48" t="str">
        <f t="shared" si="8"/>
        <v/>
      </c>
      <c r="H103" s="49" t="str">
        <f t="shared" si="9"/>
        <v/>
      </c>
      <c r="I103" s="48" t="str">
        <f>IF($B103="","",Mau15a!K106)</f>
        <v/>
      </c>
      <c r="J103" s="48" t="str">
        <f>IF($B103="","",Mau15a!M106)</f>
        <v/>
      </c>
      <c r="K103" s="48" t="str">
        <f t="shared" si="10"/>
        <v/>
      </c>
      <c r="L103" s="49" t="str">
        <f t="shared" si="11"/>
        <v/>
      </c>
      <c r="M103" s="48" t="str">
        <f>IF($B103="","",Mau15a!F106)</f>
        <v/>
      </c>
      <c r="N103" s="51" t="str">
        <f>IF($B103="","",COUNTIF(BOM!$A$5:$A$1004,B103))</f>
        <v/>
      </c>
      <c r="O103" s="49" t="str">
        <f t="shared" si="12"/>
        <v/>
      </c>
      <c r="P103" s="51" t="str">
        <f>IF($B103="","",COUNTIFS(KT_nguoc_theo_SP!$B$5:$B$1004,B103,KT_nguoc_theo_SP!$M$5:$M$1004,"Xem xét"))</f>
        <v/>
      </c>
      <c r="Q103" s="49" t="str">
        <f t="shared" si="13"/>
        <v/>
      </c>
      <c r="R103" s="49" t="str">
        <f t="shared" si="14"/>
        <v/>
      </c>
      <c r="S103" s="31" t="str">
        <f t="shared" si="15"/>
        <v/>
      </c>
    </row>
    <row r="104" spans="1:19" x14ac:dyDescent="0.25">
      <c r="A104" s="36" t="str">
        <f>IF(B104="","",97)</f>
        <v/>
      </c>
      <c r="B104" s="36" t="str">
        <f>Mau15a!B107&amp;""</f>
        <v/>
      </c>
      <c r="C104" s="47" t="str">
        <f>IF(B104="","",Mau15a!C107)</f>
        <v/>
      </c>
      <c r="D104" s="36" t="str">
        <f>IF(B104="","",Mau15a!D107)</f>
        <v/>
      </c>
      <c r="E104" s="48" t="str">
        <f>IF($B104="","",Mau15a!P107)</f>
        <v/>
      </c>
      <c r="F104" s="48" t="str">
        <f>IF($B104="","",Mau15a!I107)</f>
        <v/>
      </c>
      <c r="G104" s="48" t="str">
        <f t="shared" si="8"/>
        <v/>
      </c>
      <c r="H104" s="49" t="str">
        <f t="shared" si="9"/>
        <v/>
      </c>
      <c r="I104" s="48" t="str">
        <f>IF($B104="","",Mau15a!K107)</f>
        <v/>
      </c>
      <c r="J104" s="48" t="str">
        <f>IF($B104="","",Mau15a!M107)</f>
        <v/>
      </c>
      <c r="K104" s="48" t="str">
        <f t="shared" si="10"/>
        <v/>
      </c>
      <c r="L104" s="49" t="str">
        <f t="shared" si="11"/>
        <v/>
      </c>
      <c r="M104" s="48" t="str">
        <f>IF($B104="","",Mau15a!F107)</f>
        <v/>
      </c>
      <c r="N104" s="51" t="str">
        <f>IF($B104="","",COUNTIF(BOM!$A$5:$A$1004,B104))</f>
        <v/>
      </c>
      <c r="O104" s="49" t="str">
        <f t="shared" si="12"/>
        <v/>
      </c>
      <c r="P104" s="51" t="str">
        <f>IF($B104="","",COUNTIFS(KT_nguoc_theo_SP!$B$5:$B$1004,B104,KT_nguoc_theo_SP!$M$5:$M$1004,"Xem xét"))</f>
        <v/>
      </c>
      <c r="Q104" s="49" t="str">
        <f t="shared" si="13"/>
        <v/>
      </c>
      <c r="R104" s="49" t="str">
        <f t="shared" si="14"/>
        <v/>
      </c>
      <c r="S104" s="31" t="str">
        <f t="shared" si="15"/>
        <v/>
      </c>
    </row>
    <row r="105" spans="1:19" x14ac:dyDescent="0.25">
      <c r="A105" s="36" t="str">
        <f>IF(B105="","",98)</f>
        <v/>
      </c>
      <c r="B105" s="36" t="str">
        <f>Mau15a!B108&amp;""</f>
        <v/>
      </c>
      <c r="C105" s="47" t="str">
        <f>IF(B105="","",Mau15a!C108)</f>
        <v/>
      </c>
      <c r="D105" s="36" t="str">
        <f>IF(B105="","",Mau15a!D108)</f>
        <v/>
      </c>
      <c r="E105" s="48" t="str">
        <f>IF($B105="","",Mau15a!P108)</f>
        <v/>
      </c>
      <c r="F105" s="48" t="str">
        <f>IF($B105="","",Mau15a!I108)</f>
        <v/>
      </c>
      <c r="G105" s="48" t="str">
        <f t="shared" si="8"/>
        <v/>
      </c>
      <c r="H105" s="49" t="str">
        <f t="shared" si="9"/>
        <v/>
      </c>
      <c r="I105" s="48" t="str">
        <f>IF($B105="","",Mau15a!K108)</f>
        <v/>
      </c>
      <c r="J105" s="48" t="str">
        <f>IF($B105="","",Mau15a!M108)</f>
        <v/>
      </c>
      <c r="K105" s="48" t="str">
        <f t="shared" si="10"/>
        <v/>
      </c>
      <c r="L105" s="49" t="str">
        <f t="shared" si="11"/>
        <v/>
      </c>
      <c r="M105" s="48" t="str">
        <f>IF($B105="","",Mau15a!F108)</f>
        <v/>
      </c>
      <c r="N105" s="51" t="str">
        <f>IF($B105="","",COUNTIF(BOM!$A$5:$A$1004,B105))</f>
        <v/>
      </c>
      <c r="O105" s="49" t="str">
        <f t="shared" si="12"/>
        <v/>
      </c>
      <c r="P105" s="51" t="str">
        <f>IF($B105="","",COUNTIFS(KT_nguoc_theo_SP!$B$5:$B$1004,B105,KT_nguoc_theo_SP!$M$5:$M$1004,"Xem xét"))</f>
        <v/>
      </c>
      <c r="Q105" s="49" t="str">
        <f t="shared" si="13"/>
        <v/>
      </c>
      <c r="R105" s="49" t="str">
        <f t="shared" si="14"/>
        <v/>
      </c>
      <c r="S105" s="31" t="str">
        <f t="shared" si="15"/>
        <v/>
      </c>
    </row>
    <row r="106" spans="1:19" x14ac:dyDescent="0.25">
      <c r="A106" s="36" t="str">
        <f>IF(B106="","",99)</f>
        <v/>
      </c>
      <c r="B106" s="36" t="str">
        <f>Mau15a!B109&amp;""</f>
        <v/>
      </c>
      <c r="C106" s="47" t="str">
        <f>IF(B106="","",Mau15a!C109)</f>
        <v/>
      </c>
      <c r="D106" s="36" t="str">
        <f>IF(B106="","",Mau15a!D109)</f>
        <v/>
      </c>
      <c r="E106" s="48" t="str">
        <f>IF($B106="","",Mau15a!P109)</f>
        <v/>
      </c>
      <c r="F106" s="48" t="str">
        <f>IF($B106="","",Mau15a!I109)</f>
        <v/>
      </c>
      <c r="G106" s="48" t="str">
        <f t="shared" si="8"/>
        <v/>
      </c>
      <c r="H106" s="49" t="str">
        <f t="shared" si="9"/>
        <v/>
      </c>
      <c r="I106" s="48" t="str">
        <f>IF($B106="","",Mau15a!K109)</f>
        <v/>
      </c>
      <c r="J106" s="48" t="str">
        <f>IF($B106="","",Mau15a!M109)</f>
        <v/>
      </c>
      <c r="K106" s="48" t="str">
        <f t="shared" si="10"/>
        <v/>
      </c>
      <c r="L106" s="49" t="str">
        <f t="shared" si="11"/>
        <v/>
      </c>
      <c r="M106" s="48" t="str">
        <f>IF($B106="","",Mau15a!F109)</f>
        <v/>
      </c>
      <c r="N106" s="51" t="str">
        <f>IF($B106="","",COUNTIF(BOM!$A$5:$A$1004,B106))</f>
        <v/>
      </c>
      <c r="O106" s="49" t="str">
        <f t="shared" si="12"/>
        <v/>
      </c>
      <c r="P106" s="51" t="str">
        <f>IF($B106="","",COUNTIFS(KT_nguoc_theo_SP!$B$5:$B$1004,B106,KT_nguoc_theo_SP!$M$5:$M$1004,"Xem xét"))</f>
        <v/>
      </c>
      <c r="Q106" s="49" t="str">
        <f t="shared" si="13"/>
        <v/>
      </c>
      <c r="R106" s="49" t="str">
        <f t="shared" si="14"/>
        <v/>
      </c>
      <c r="S106" s="31" t="str">
        <f t="shared" si="15"/>
        <v/>
      </c>
    </row>
    <row r="107" spans="1:19" x14ac:dyDescent="0.25">
      <c r="A107" s="36" t="str">
        <f>IF(B107="","",100)</f>
        <v/>
      </c>
      <c r="B107" s="36" t="str">
        <f>Mau15a!B110&amp;""</f>
        <v/>
      </c>
      <c r="C107" s="47" t="str">
        <f>IF(B107="","",Mau15a!C110)</f>
        <v/>
      </c>
      <c r="D107" s="36" t="str">
        <f>IF(B107="","",Mau15a!D110)</f>
        <v/>
      </c>
      <c r="E107" s="48" t="str">
        <f>IF($B107="","",Mau15a!P110)</f>
        <v/>
      </c>
      <c r="F107" s="48" t="str">
        <f>IF($B107="","",Mau15a!I110)</f>
        <v/>
      </c>
      <c r="G107" s="48" t="str">
        <f t="shared" si="8"/>
        <v/>
      </c>
      <c r="H107" s="49" t="str">
        <f t="shared" si="9"/>
        <v/>
      </c>
      <c r="I107" s="48" t="str">
        <f>IF($B107="","",Mau15a!K110)</f>
        <v/>
      </c>
      <c r="J107" s="48" t="str">
        <f>IF($B107="","",Mau15a!M110)</f>
        <v/>
      </c>
      <c r="K107" s="48" t="str">
        <f t="shared" si="10"/>
        <v/>
      </c>
      <c r="L107" s="49" t="str">
        <f t="shared" si="11"/>
        <v/>
      </c>
      <c r="M107" s="48" t="str">
        <f>IF($B107="","",Mau15a!F110)</f>
        <v/>
      </c>
      <c r="N107" s="51" t="str">
        <f>IF($B107="","",COUNTIF(BOM!$A$5:$A$1004,B107))</f>
        <v/>
      </c>
      <c r="O107" s="49" t="str">
        <f t="shared" si="12"/>
        <v/>
      </c>
      <c r="P107" s="51" t="str">
        <f>IF($B107="","",COUNTIFS(KT_nguoc_theo_SP!$B$5:$B$1004,B107,KT_nguoc_theo_SP!$M$5:$M$1004,"Xem xét"))</f>
        <v/>
      </c>
      <c r="Q107" s="49" t="str">
        <f t="shared" si="13"/>
        <v/>
      </c>
      <c r="R107" s="49" t="str">
        <f t="shared" si="14"/>
        <v/>
      </c>
      <c r="S107" s="31" t="str">
        <f t="shared" si="15"/>
        <v/>
      </c>
    </row>
    <row r="108" spans="1:19" x14ac:dyDescent="0.25">
      <c r="A108" s="36" t="str">
        <f>IF(B108="","",101)</f>
        <v/>
      </c>
      <c r="B108" s="36" t="str">
        <f>Mau15a!B111&amp;""</f>
        <v/>
      </c>
      <c r="C108" s="47" t="str">
        <f>IF(B108="","",Mau15a!C111)</f>
        <v/>
      </c>
      <c r="D108" s="36" t="str">
        <f>IF(B108="","",Mau15a!D111)</f>
        <v/>
      </c>
      <c r="E108" s="48" t="str">
        <f>IF($B108="","",Mau15a!P111)</f>
        <v/>
      </c>
      <c r="F108" s="48" t="str">
        <f>IF($B108="","",Mau15a!I111)</f>
        <v/>
      </c>
      <c r="G108" s="48" t="str">
        <f t="shared" si="8"/>
        <v/>
      </c>
      <c r="H108" s="49" t="str">
        <f t="shared" si="9"/>
        <v/>
      </c>
      <c r="I108" s="48" t="str">
        <f>IF($B108="","",Mau15a!K111)</f>
        <v/>
      </c>
      <c r="J108" s="48" t="str">
        <f>IF($B108="","",Mau15a!M111)</f>
        <v/>
      </c>
      <c r="K108" s="48" t="str">
        <f t="shared" si="10"/>
        <v/>
      </c>
      <c r="L108" s="49" t="str">
        <f t="shared" si="11"/>
        <v/>
      </c>
      <c r="M108" s="48" t="str">
        <f>IF($B108="","",Mau15a!F111)</f>
        <v/>
      </c>
      <c r="N108" s="51" t="str">
        <f>IF($B108="","",COUNTIF(BOM!$A$5:$A$1004,B108))</f>
        <v/>
      </c>
      <c r="O108" s="49" t="str">
        <f t="shared" si="12"/>
        <v/>
      </c>
      <c r="P108" s="51" t="str">
        <f>IF($B108="","",COUNTIFS(KT_nguoc_theo_SP!$B$5:$B$1004,B108,KT_nguoc_theo_SP!$M$5:$M$1004,"Xem xét"))</f>
        <v/>
      </c>
      <c r="Q108" s="49" t="str">
        <f t="shared" si="13"/>
        <v/>
      </c>
      <c r="R108" s="49" t="str">
        <f t="shared" si="14"/>
        <v/>
      </c>
      <c r="S108" s="31" t="str">
        <f t="shared" si="15"/>
        <v/>
      </c>
    </row>
    <row r="109" spans="1:19" x14ac:dyDescent="0.25">
      <c r="A109" s="36" t="str">
        <f>IF(B109="","",102)</f>
        <v/>
      </c>
      <c r="B109" s="36" t="str">
        <f>Mau15a!B112&amp;""</f>
        <v/>
      </c>
      <c r="C109" s="47" t="str">
        <f>IF(B109="","",Mau15a!C112)</f>
        <v/>
      </c>
      <c r="D109" s="36" t="str">
        <f>IF(B109="","",Mau15a!D112)</f>
        <v/>
      </c>
      <c r="E109" s="48" t="str">
        <f>IF($B109="","",Mau15a!P112)</f>
        <v/>
      </c>
      <c r="F109" s="48" t="str">
        <f>IF($B109="","",Mau15a!I112)</f>
        <v/>
      </c>
      <c r="G109" s="48" t="str">
        <f t="shared" si="8"/>
        <v/>
      </c>
      <c r="H109" s="49" t="str">
        <f t="shared" si="9"/>
        <v/>
      </c>
      <c r="I109" s="48" t="str">
        <f>IF($B109="","",Mau15a!K112)</f>
        <v/>
      </c>
      <c r="J109" s="48" t="str">
        <f>IF($B109="","",Mau15a!M112)</f>
        <v/>
      </c>
      <c r="K109" s="48" t="str">
        <f t="shared" si="10"/>
        <v/>
      </c>
      <c r="L109" s="49" t="str">
        <f t="shared" si="11"/>
        <v/>
      </c>
      <c r="M109" s="48" t="str">
        <f>IF($B109="","",Mau15a!F112)</f>
        <v/>
      </c>
      <c r="N109" s="51" t="str">
        <f>IF($B109="","",COUNTIF(BOM!$A$5:$A$1004,B109))</f>
        <v/>
      </c>
      <c r="O109" s="49" t="str">
        <f t="shared" si="12"/>
        <v/>
      </c>
      <c r="P109" s="51" t="str">
        <f>IF($B109="","",COUNTIFS(KT_nguoc_theo_SP!$B$5:$B$1004,B109,KT_nguoc_theo_SP!$M$5:$M$1004,"Xem xét"))</f>
        <v/>
      </c>
      <c r="Q109" s="49" t="str">
        <f t="shared" si="13"/>
        <v/>
      </c>
      <c r="R109" s="49" t="str">
        <f t="shared" si="14"/>
        <v/>
      </c>
      <c r="S109" s="31" t="str">
        <f t="shared" si="15"/>
        <v/>
      </c>
    </row>
    <row r="110" spans="1:19" x14ac:dyDescent="0.25">
      <c r="A110" s="36" t="str">
        <f>IF(B110="","",103)</f>
        <v/>
      </c>
      <c r="B110" s="36" t="str">
        <f>Mau15a!B113&amp;""</f>
        <v/>
      </c>
      <c r="C110" s="47" t="str">
        <f>IF(B110="","",Mau15a!C113)</f>
        <v/>
      </c>
      <c r="D110" s="36" t="str">
        <f>IF(B110="","",Mau15a!D113)</f>
        <v/>
      </c>
      <c r="E110" s="48" t="str">
        <f>IF($B110="","",Mau15a!P113)</f>
        <v/>
      </c>
      <c r="F110" s="48" t="str">
        <f>IF($B110="","",Mau15a!I113)</f>
        <v/>
      </c>
      <c r="G110" s="48" t="str">
        <f t="shared" si="8"/>
        <v/>
      </c>
      <c r="H110" s="49" t="str">
        <f t="shared" si="9"/>
        <v/>
      </c>
      <c r="I110" s="48" t="str">
        <f>IF($B110="","",Mau15a!K113)</f>
        <v/>
      </c>
      <c r="J110" s="48" t="str">
        <f>IF($B110="","",Mau15a!M113)</f>
        <v/>
      </c>
      <c r="K110" s="48" t="str">
        <f t="shared" si="10"/>
        <v/>
      </c>
      <c r="L110" s="49" t="str">
        <f t="shared" si="11"/>
        <v/>
      </c>
      <c r="M110" s="48" t="str">
        <f>IF($B110="","",Mau15a!F113)</f>
        <v/>
      </c>
      <c r="N110" s="51" t="str">
        <f>IF($B110="","",COUNTIF(BOM!$A$5:$A$1004,B110))</f>
        <v/>
      </c>
      <c r="O110" s="49" t="str">
        <f t="shared" si="12"/>
        <v/>
      </c>
      <c r="P110" s="51" t="str">
        <f>IF($B110="","",COUNTIFS(KT_nguoc_theo_SP!$B$5:$B$1004,B110,KT_nguoc_theo_SP!$M$5:$M$1004,"Xem xét"))</f>
        <v/>
      </c>
      <c r="Q110" s="49" t="str">
        <f t="shared" si="13"/>
        <v/>
      </c>
      <c r="R110" s="49" t="str">
        <f t="shared" si="14"/>
        <v/>
      </c>
      <c r="S110" s="31" t="str">
        <f t="shared" si="15"/>
        <v/>
      </c>
    </row>
    <row r="111" spans="1:19" x14ac:dyDescent="0.25">
      <c r="A111" s="36" t="str">
        <f>IF(B111="","",104)</f>
        <v/>
      </c>
      <c r="B111" s="36" t="str">
        <f>Mau15a!B114&amp;""</f>
        <v/>
      </c>
      <c r="C111" s="47" t="str">
        <f>IF(B111="","",Mau15a!C114)</f>
        <v/>
      </c>
      <c r="D111" s="36" t="str">
        <f>IF(B111="","",Mau15a!D114)</f>
        <v/>
      </c>
      <c r="E111" s="48" t="str">
        <f>IF($B111="","",Mau15a!P114)</f>
        <v/>
      </c>
      <c r="F111" s="48" t="str">
        <f>IF($B111="","",Mau15a!I114)</f>
        <v/>
      </c>
      <c r="G111" s="48" t="str">
        <f t="shared" si="8"/>
        <v/>
      </c>
      <c r="H111" s="49" t="str">
        <f t="shared" si="9"/>
        <v/>
      </c>
      <c r="I111" s="48" t="str">
        <f>IF($B111="","",Mau15a!K114)</f>
        <v/>
      </c>
      <c r="J111" s="48" t="str">
        <f>IF($B111="","",Mau15a!M114)</f>
        <v/>
      </c>
      <c r="K111" s="48" t="str">
        <f t="shared" si="10"/>
        <v/>
      </c>
      <c r="L111" s="49" t="str">
        <f t="shared" si="11"/>
        <v/>
      </c>
      <c r="M111" s="48" t="str">
        <f>IF($B111="","",Mau15a!F114)</f>
        <v/>
      </c>
      <c r="N111" s="51" t="str">
        <f>IF($B111="","",COUNTIF(BOM!$A$5:$A$1004,B111))</f>
        <v/>
      </c>
      <c r="O111" s="49" t="str">
        <f t="shared" si="12"/>
        <v/>
      </c>
      <c r="P111" s="51" t="str">
        <f>IF($B111="","",COUNTIFS(KT_nguoc_theo_SP!$B$5:$B$1004,B111,KT_nguoc_theo_SP!$M$5:$M$1004,"Xem xét"))</f>
        <v/>
      </c>
      <c r="Q111" s="49" t="str">
        <f t="shared" si="13"/>
        <v/>
      </c>
      <c r="R111" s="49" t="str">
        <f t="shared" si="14"/>
        <v/>
      </c>
      <c r="S111" s="31" t="str">
        <f t="shared" si="15"/>
        <v/>
      </c>
    </row>
    <row r="112" spans="1:19" x14ac:dyDescent="0.25">
      <c r="A112" s="36" t="str">
        <f>IF(B112="","",105)</f>
        <v/>
      </c>
      <c r="B112" s="36" t="str">
        <f>Mau15a!B115&amp;""</f>
        <v/>
      </c>
      <c r="C112" s="47" t="str">
        <f>IF(B112="","",Mau15a!C115)</f>
        <v/>
      </c>
      <c r="D112" s="36" t="str">
        <f>IF(B112="","",Mau15a!D115)</f>
        <v/>
      </c>
      <c r="E112" s="48" t="str">
        <f>IF($B112="","",Mau15a!P115)</f>
        <v/>
      </c>
      <c r="F112" s="48" t="str">
        <f>IF($B112="","",Mau15a!I115)</f>
        <v/>
      </c>
      <c r="G112" s="48" t="str">
        <f t="shared" si="8"/>
        <v/>
      </c>
      <c r="H112" s="49" t="str">
        <f t="shared" si="9"/>
        <v/>
      </c>
      <c r="I112" s="48" t="str">
        <f>IF($B112="","",Mau15a!K115)</f>
        <v/>
      </c>
      <c r="J112" s="48" t="str">
        <f>IF($B112="","",Mau15a!M115)</f>
        <v/>
      </c>
      <c r="K112" s="48" t="str">
        <f t="shared" si="10"/>
        <v/>
      </c>
      <c r="L112" s="49" t="str">
        <f t="shared" si="11"/>
        <v/>
      </c>
      <c r="M112" s="48" t="str">
        <f>IF($B112="","",Mau15a!F115)</f>
        <v/>
      </c>
      <c r="N112" s="51" t="str">
        <f>IF($B112="","",COUNTIF(BOM!$A$5:$A$1004,B112))</f>
        <v/>
      </c>
      <c r="O112" s="49" t="str">
        <f t="shared" si="12"/>
        <v/>
      </c>
      <c r="P112" s="51" t="str">
        <f>IF($B112="","",COUNTIFS(KT_nguoc_theo_SP!$B$5:$B$1004,B112,KT_nguoc_theo_SP!$M$5:$M$1004,"Xem xét"))</f>
        <v/>
      </c>
      <c r="Q112" s="49" t="str">
        <f t="shared" si="13"/>
        <v/>
      </c>
      <c r="R112" s="49" t="str">
        <f t="shared" si="14"/>
        <v/>
      </c>
      <c r="S112" s="31" t="str">
        <f t="shared" si="15"/>
        <v/>
      </c>
    </row>
    <row r="113" spans="1:19" x14ac:dyDescent="0.25">
      <c r="A113" s="36" t="str">
        <f>IF(B113="","",106)</f>
        <v/>
      </c>
      <c r="B113" s="36" t="str">
        <f>Mau15a!B116&amp;""</f>
        <v/>
      </c>
      <c r="C113" s="47" t="str">
        <f>IF(B113="","",Mau15a!C116)</f>
        <v/>
      </c>
      <c r="D113" s="36" t="str">
        <f>IF(B113="","",Mau15a!D116)</f>
        <v/>
      </c>
      <c r="E113" s="48" t="str">
        <f>IF($B113="","",Mau15a!P116)</f>
        <v/>
      </c>
      <c r="F113" s="48" t="str">
        <f>IF($B113="","",Mau15a!I116)</f>
        <v/>
      </c>
      <c r="G113" s="48" t="str">
        <f t="shared" si="8"/>
        <v/>
      </c>
      <c r="H113" s="49" t="str">
        <f t="shared" si="9"/>
        <v/>
      </c>
      <c r="I113" s="48" t="str">
        <f>IF($B113="","",Mau15a!K116)</f>
        <v/>
      </c>
      <c r="J113" s="48" t="str">
        <f>IF($B113="","",Mau15a!M116)</f>
        <v/>
      </c>
      <c r="K113" s="48" t="str">
        <f t="shared" si="10"/>
        <v/>
      </c>
      <c r="L113" s="49" t="str">
        <f t="shared" si="11"/>
        <v/>
      </c>
      <c r="M113" s="48" t="str">
        <f>IF($B113="","",Mau15a!F116)</f>
        <v/>
      </c>
      <c r="N113" s="51" t="str">
        <f>IF($B113="","",COUNTIF(BOM!$A$5:$A$1004,B113))</f>
        <v/>
      </c>
      <c r="O113" s="49" t="str">
        <f t="shared" si="12"/>
        <v/>
      </c>
      <c r="P113" s="51" t="str">
        <f>IF($B113="","",COUNTIFS(KT_nguoc_theo_SP!$B$5:$B$1004,B113,KT_nguoc_theo_SP!$M$5:$M$1004,"Xem xét"))</f>
        <v/>
      </c>
      <c r="Q113" s="49" t="str">
        <f t="shared" si="13"/>
        <v/>
      </c>
      <c r="R113" s="49" t="str">
        <f t="shared" si="14"/>
        <v/>
      </c>
      <c r="S113" s="31" t="str">
        <f t="shared" si="15"/>
        <v/>
      </c>
    </row>
    <row r="114" spans="1:19" x14ac:dyDescent="0.25">
      <c r="A114" s="36" t="str">
        <f>IF(B114="","",107)</f>
        <v/>
      </c>
      <c r="B114" s="36" t="str">
        <f>Mau15a!B117&amp;""</f>
        <v/>
      </c>
      <c r="C114" s="47" t="str">
        <f>IF(B114="","",Mau15a!C117)</f>
        <v/>
      </c>
      <c r="D114" s="36" t="str">
        <f>IF(B114="","",Mau15a!D117)</f>
        <v/>
      </c>
      <c r="E114" s="48" t="str">
        <f>IF($B114="","",Mau15a!P117)</f>
        <v/>
      </c>
      <c r="F114" s="48" t="str">
        <f>IF($B114="","",Mau15a!I117)</f>
        <v/>
      </c>
      <c r="G114" s="48" t="str">
        <f t="shared" si="8"/>
        <v/>
      </c>
      <c r="H114" s="49" t="str">
        <f t="shared" si="9"/>
        <v/>
      </c>
      <c r="I114" s="48" t="str">
        <f>IF($B114="","",Mau15a!K117)</f>
        <v/>
      </c>
      <c r="J114" s="48" t="str">
        <f>IF($B114="","",Mau15a!M117)</f>
        <v/>
      </c>
      <c r="K114" s="48" t="str">
        <f t="shared" si="10"/>
        <v/>
      </c>
      <c r="L114" s="49" t="str">
        <f t="shared" si="11"/>
        <v/>
      </c>
      <c r="M114" s="48" t="str">
        <f>IF($B114="","",Mau15a!F117)</f>
        <v/>
      </c>
      <c r="N114" s="51" t="str">
        <f>IF($B114="","",COUNTIF(BOM!$A$5:$A$1004,B114))</f>
        <v/>
      </c>
      <c r="O114" s="49" t="str">
        <f t="shared" si="12"/>
        <v/>
      </c>
      <c r="P114" s="51" t="str">
        <f>IF($B114="","",COUNTIFS(KT_nguoc_theo_SP!$B$5:$B$1004,B114,KT_nguoc_theo_SP!$M$5:$M$1004,"Xem xét"))</f>
        <v/>
      </c>
      <c r="Q114" s="49" t="str">
        <f t="shared" si="13"/>
        <v/>
      </c>
      <c r="R114" s="49" t="str">
        <f t="shared" si="14"/>
        <v/>
      </c>
      <c r="S114" s="31" t="str">
        <f t="shared" si="15"/>
        <v/>
      </c>
    </row>
    <row r="115" spans="1:19" x14ac:dyDescent="0.25">
      <c r="A115" s="36" t="str">
        <f>IF(B115="","",108)</f>
        <v/>
      </c>
      <c r="B115" s="36" t="str">
        <f>Mau15a!B118&amp;""</f>
        <v/>
      </c>
      <c r="C115" s="47" t="str">
        <f>IF(B115="","",Mau15a!C118)</f>
        <v/>
      </c>
      <c r="D115" s="36" t="str">
        <f>IF(B115="","",Mau15a!D118)</f>
        <v/>
      </c>
      <c r="E115" s="48" t="str">
        <f>IF($B115="","",Mau15a!P118)</f>
        <v/>
      </c>
      <c r="F115" s="48" t="str">
        <f>IF($B115="","",Mau15a!I118)</f>
        <v/>
      </c>
      <c r="G115" s="48" t="str">
        <f t="shared" si="8"/>
        <v/>
      </c>
      <c r="H115" s="49" t="str">
        <f t="shared" si="9"/>
        <v/>
      </c>
      <c r="I115" s="48" t="str">
        <f>IF($B115="","",Mau15a!K118)</f>
        <v/>
      </c>
      <c r="J115" s="48" t="str">
        <f>IF($B115="","",Mau15a!M118)</f>
        <v/>
      </c>
      <c r="K115" s="48" t="str">
        <f t="shared" si="10"/>
        <v/>
      </c>
      <c r="L115" s="49" t="str">
        <f t="shared" si="11"/>
        <v/>
      </c>
      <c r="M115" s="48" t="str">
        <f>IF($B115="","",Mau15a!F118)</f>
        <v/>
      </c>
      <c r="N115" s="51" t="str">
        <f>IF($B115="","",COUNTIF(BOM!$A$5:$A$1004,B115))</f>
        <v/>
      </c>
      <c r="O115" s="49" t="str">
        <f t="shared" si="12"/>
        <v/>
      </c>
      <c r="P115" s="51" t="str">
        <f>IF($B115="","",COUNTIFS(KT_nguoc_theo_SP!$B$5:$B$1004,B115,KT_nguoc_theo_SP!$M$5:$M$1004,"Xem xét"))</f>
        <v/>
      </c>
      <c r="Q115" s="49" t="str">
        <f t="shared" si="13"/>
        <v/>
      </c>
      <c r="R115" s="49" t="str">
        <f t="shared" si="14"/>
        <v/>
      </c>
      <c r="S115" s="31" t="str">
        <f t="shared" si="15"/>
        <v/>
      </c>
    </row>
    <row r="116" spans="1:19" x14ac:dyDescent="0.25">
      <c r="A116" s="36" t="str">
        <f>IF(B116="","",109)</f>
        <v/>
      </c>
      <c r="B116" s="36" t="str">
        <f>Mau15a!B119&amp;""</f>
        <v/>
      </c>
      <c r="C116" s="47" t="str">
        <f>IF(B116="","",Mau15a!C119)</f>
        <v/>
      </c>
      <c r="D116" s="36" t="str">
        <f>IF(B116="","",Mau15a!D119)</f>
        <v/>
      </c>
      <c r="E116" s="48" t="str">
        <f>IF($B116="","",Mau15a!P119)</f>
        <v/>
      </c>
      <c r="F116" s="48" t="str">
        <f>IF($B116="","",Mau15a!I119)</f>
        <v/>
      </c>
      <c r="G116" s="48" t="str">
        <f t="shared" si="8"/>
        <v/>
      </c>
      <c r="H116" s="49" t="str">
        <f t="shared" si="9"/>
        <v/>
      </c>
      <c r="I116" s="48" t="str">
        <f>IF($B116="","",Mau15a!K119)</f>
        <v/>
      </c>
      <c r="J116" s="48" t="str">
        <f>IF($B116="","",Mau15a!M119)</f>
        <v/>
      </c>
      <c r="K116" s="48" t="str">
        <f t="shared" si="10"/>
        <v/>
      </c>
      <c r="L116" s="49" t="str">
        <f t="shared" si="11"/>
        <v/>
      </c>
      <c r="M116" s="48" t="str">
        <f>IF($B116="","",Mau15a!F119)</f>
        <v/>
      </c>
      <c r="N116" s="51" t="str">
        <f>IF($B116="","",COUNTIF(BOM!$A$5:$A$1004,B116))</f>
        <v/>
      </c>
      <c r="O116" s="49" t="str">
        <f t="shared" si="12"/>
        <v/>
      </c>
      <c r="P116" s="51" t="str">
        <f>IF($B116="","",COUNTIFS(KT_nguoc_theo_SP!$B$5:$B$1004,B116,KT_nguoc_theo_SP!$M$5:$M$1004,"Xem xét"))</f>
        <v/>
      </c>
      <c r="Q116" s="49" t="str">
        <f t="shared" si="13"/>
        <v/>
      </c>
      <c r="R116" s="49" t="str">
        <f t="shared" si="14"/>
        <v/>
      </c>
      <c r="S116" s="31" t="str">
        <f t="shared" si="15"/>
        <v/>
      </c>
    </row>
    <row r="117" spans="1:19" x14ac:dyDescent="0.25">
      <c r="A117" s="36" t="str">
        <f>IF(B117="","",110)</f>
        <v/>
      </c>
      <c r="B117" s="36" t="str">
        <f>Mau15a!B120&amp;""</f>
        <v/>
      </c>
      <c r="C117" s="47" t="str">
        <f>IF(B117="","",Mau15a!C120)</f>
        <v/>
      </c>
      <c r="D117" s="36" t="str">
        <f>IF(B117="","",Mau15a!D120)</f>
        <v/>
      </c>
      <c r="E117" s="48" t="str">
        <f>IF($B117="","",Mau15a!P120)</f>
        <v/>
      </c>
      <c r="F117" s="48" t="str">
        <f>IF($B117="","",Mau15a!I120)</f>
        <v/>
      </c>
      <c r="G117" s="48" t="str">
        <f t="shared" si="8"/>
        <v/>
      </c>
      <c r="H117" s="49" t="str">
        <f t="shared" si="9"/>
        <v/>
      </c>
      <c r="I117" s="48" t="str">
        <f>IF($B117="","",Mau15a!K120)</f>
        <v/>
      </c>
      <c r="J117" s="48" t="str">
        <f>IF($B117="","",Mau15a!M120)</f>
        <v/>
      </c>
      <c r="K117" s="48" t="str">
        <f t="shared" si="10"/>
        <v/>
      </c>
      <c r="L117" s="49" t="str">
        <f t="shared" si="11"/>
        <v/>
      </c>
      <c r="M117" s="48" t="str">
        <f>IF($B117="","",Mau15a!F120)</f>
        <v/>
      </c>
      <c r="N117" s="51" t="str">
        <f>IF($B117="","",COUNTIF(BOM!$A$5:$A$1004,B117))</f>
        <v/>
      </c>
      <c r="O117" s="49" t="str">
        <f t="shared" si="12"/>
        <v/>
      </c>
      <c r="P117" s="51" t="str">
        <f>IF($B117="","",COUNTIFS(KT_nguoc_theo_SP!$B$5:$B$1004,B117,KT_nguoc_theo_SP!$M$5:$M$1004,"Xem xét"))</f>
        <v/>
      </c>
      <c r="Q117" s="49" t="str">
        <f t="shared" si="13"/>
        <v/>
      </c>
      <c r="R117" s="49" t="str">
        <f t="shared" si="14"/>
        <v/>
      </c>
      <c r="S117" s="31" t="str">
        <f t="shared" si="15"/>
        <v/>
      </c>
    </row>
    <row r="118" spans="1:19" x14ac:dyDescent="0.25">
      <c r="A118" s="36" t="str">
        <f>IF(B118="","",111)</f>
        <v/>
      </c>
      <c r="B118" s="36" t="str">
        <f>Mau15a!B121&amp;""</f>
        <v/>
      </c>
      <c r="C118" s="47" t="str">
        <f>IF(B118="","",Mau15a!C121)</f>
        <v/>
      </c>
      <c r="D118" s="36" t="str">
        <f>IF(B118="","",Mau15a!D121)</f>
        <v/>
      </c>
      <c r="E118" s="48" t="str">
        <f>IF($B118="","",Mau15a!P121)</f>
        <v/>
      </c>
      <c r="F118" s="48" t="str">
        <f>IF($B118="","",Mau15a!I121)</f>
        <v/>
      </c>
      <c r="G118" s="48" t="str">
        <f t="shared" si="8"/>
        <v/>
      </c>
      <c r="H118" s="49" t="str">
        <f t="shared" si="9"/>
        <v/>
      </c>
      <c r="I118" s="48" t="str">
        <f>IF($B118="","",Mau15a!K121)</f>
        <v/>
      </c>
      <c r="J118" s="48" t="str">
        <f>IF($B118="","",Mau15a!M121)</f>
        <v/>
      </c>
      <c r="K118" s="48" t="str">
        <f t="shared" si="10"/>
        <v/>
      </c>
      <c r="L118" s="49" t="str">
        <f t="shared" si="11"/>
        <v/>
      </c>
      <c r="M118" s="48" t="str">
        <f>IF($B118="","",Mau15a!F121)</f>
        <v/>
      </c>
      <c r="N118" s="51" t="str">
        <f>IF($B118="","",COUNTIF(BOM!$A$5:$A$1004,B118))</f>
        <v/>
      </c>
      <c r="O118" s="49" t="str">
        <f t="shared" si="12"/>
        <v/>
      </c>
      <c r="P118" s="51" t="str">
        <f>IF($B118="","",COUNTIFS(KT_nguoc_theo_SP!$B$5:$B$1004,B118,KT_nguoc_theo_SP!$M$5:$M$1004,"Xem xét"))</f>
        <v/>
      </c>
      <c r="Q118" s="49" t="str">
        <f t="shared" si="13"/>
        <v/>
      </c>
      <c r="R118" s="49" t="str">
        <f t="shared" si="14"/>
        <v/>
      </c>
      <c r="S118" s="31" t="str">
        <f t="shared" si="15"/>
        <v/>
      </c>
    </row>
    <row r="119" spans="1:19" x14ac:dyDescent="0.25">
      <c r="A119" s="36" t="str">
        <f>IF(B119="","",112)</f>
        <v/>
      </c>
      <c r="B119" s="36" t="str">
        <f>Mau15a!B122&amp;""</f>
        <v/>
      </c>
      <c r="C119" s="47" t="str">
        <f>IF(B119="","",Mau15a!C122)</f>
        <v/>
      </c>
      <c r="D119" s="36" t="str">
        <f>IF(B119="","",Mau15a!D122)</f>
        <v/>
      </c>
      <c r="E119" s="48" t="str">
        <f>IF($B119="","",Mau15a!P122)</f>
        <v/>
      </c>
      <c r="F119" s="48" t="str">
        <f>IF($B119="","",Mau15a!I122)</f>
        <v/>
      </c>
      <c r="G119" s="48" t="str">
        <f t="shared" si="8"/>
        <v/>
      </c>
      <c r="H119" s="49" t="str">
        <f t="shared" si="9"/>
        <v/>
      </c>
      <c r="I119" s="48" t="str">
        <f>IF($B119="","",Mau15a!K122)</f>
        <v/>
      </c>
      <c r="J119" s="48" t="str">
        <f>IF($B119="","",Mau15a!M122)</f>
        <v/>
      </c>
      <c r="K119" s="48" t="str">
        <f t="shared" si="10"/>
        <v/>
      </c>
      <c r="L119" s="49" t="str">
        <f t="shared" si="11"/>
        <v/>
      </c>
      <c r="M119" s="48" t="str">
        <f>IF($B119="","",Mau15a!F122)</f>
        <v/>
      </c>
      <c r="N119" s="51" t="str">
        <f>IF($B119="","",COUNTIF(BOM!$A$5:$A$1004,B119))</f>
        <v/>
      </c>
      <c r="O119" s="49" t="str">
        <f t="shared" si="12"/>
        <v/>
      </c>
      <c r="P119" s="51" t="str">
        <f>IF($B119="","",COUNTIFS(KT_nguoc_theo_SP!$B$5:$B$1004,B119,KT_nguoc_theo_SP!$M$5:$M$1004,"Xem xét"))</f>
        <v/>
      </c>
      <c r="Q119" s="49" t="str">
        <f t="shared" si="13"/>
        <v/>
      </c>
      <c r="R119" s="49" t="str">
        <f t="shared" si="14"/>
        <v/>
      </c>
      <c r="S119" s="31" t="str">
        <f t="shared" si="15"/>
        <v/>
      </c>
    </row>
    <row r="120" spans="1:19" x14ac:dyDescent="0.25">
      <c r="A120" s="36" t="str">
        <f>IF(B120="","",113)</f>
        <v/>
      </c>
      <c r="B120" s="36" t="str">
        <f>Mau15a!B123&amp;""</f>
        <v/>
      </c>
      <c r="C120" s="47" t="str">
        <f>IF(B120="","",Mau15a!C123)</f>
        <v/>
      </c>
      <c r="D120" s="36" t="str">
        <f>IF(B120="","",Mau15a!D123)</f>
        <v/>
      </c>
      <c r="E120" s="48" t="str">
        <f>IF($B120="","",Mau15a!P123)</f>
        <v/>
      </c>
      <c r="F120" s="48" t="str">
        <f>IF($B120="","",Mau15a!I123)</f>
        <v/>
      </c>
      <c r="G120" s="48" t="str">
        <f t="shared" si="8"/>
        <v/>
      </c>
      <c r="H120" s="49" t="str">
        <f t="shared" si="9"/>
        <v/>
      </c>
      <c r="I120" s="48" t="str">
        <f>IF($B120="","",Mau15a!K123)</f>
        <v/>
      </c>
      <c r="J120" s="48" t="str">
        <f>IF($B120="","",Mau15a!M123)</f>
        <v/>
      </c>
      <c r="K120" s="48" t="str">
        <f t="shared" si="10"/>
        <v/>
      </c>
      <c r="L120" s="49" t="str">
        <f t="shared" si="11"/>
        <v/>
      </c>
      <c r="M120" s="48" t="str">
        <f>IF($B120="","",Mau15a!F123)</f>
        <v/>
      </c>
      <c r="N120" s="51" t="str">
        <f>IF($B120="","",COUNTIF(BOM!$A$5:$A$1004,B120))</f>
        <v/>
      </c>
      <c r="O120" s="49" t="str">
        <f t="shared" si="12"/>
        <v/>
      </c>
      <c r="P120" s="51" t="str">
        <f>IF($B120="","",COUNTIFS(KT_nguoc_theo_SP!$B$5:$B$1004,B120,KT_nguoc_theo_SP!$M$5:$M$1004,"Xem xét"))</f>
        <v/>
      </c>
      <c r="Q120" s="49" t="str">
        <f t="shared" si="13"/>
        <v/>
      </c>
      <c r="R120" s="49" t="str">
        <f t="shared" si="14"/>
        <v/>
      </c>
      <c r="S120" s="31" t="str">
        <f t="shared" si="15"/>
        <v/>
      </c>
    </row>
    <row r="121" spans="1:19" x14ac:dyDescent="0.25">
      <c r="A121" s="36" t="str">
        <f>IF(B121="","",114)</f>
        <v/>
      </c>
      <c r="B121" s="36" t="str">
        <f>Mau15a!B124&amp;""</f>
        <v/>
      </c>
      <c r="C121" s="47" t="str">
        <f>IF(B121="","",Mau15a!C124)</f>
        <v/>
      </c>
      <c r="D121" s="36" t="str">
        <f>IF(B121="","",Mau15a!D124)</f>
        <v/>
      </c>
      <c r="E121" s="48" t="str">
        <f>IF($B121="","",Mau15a!P124)</f>
        <v/>
      </c>
      <c r="F121" s="48" t="str">
        <f>IF($B121="","",Mau15a!I124)</f>
        <v/>
      </c>
      <c r="G121" s="48" t="str">
        <f t="shared" si="8"/>
        <v/>
      </c>
      <c r="H121" s="49" t="str">
        <f t="shared" si="9"/>
        <v/>
      </c>
      <c r="I121" s="48" t="str">
        <f>IF($B121="","",Mau15a!K124)</f>
        <v/>
      </c>
      <c r="J121" s="48" t="str">
        <f>IF($B121="","",Mau15a!M124)</f>
        <v/>
      </c>
      <c r="K121" s="48" t="str">
        <f t="shared" si="10"/>
        <v/>
      </c>
      <c r="L121" s="49" t="str">
        <f t="shared" si="11"/>
        <v/>
      </c>
      <c r="M121" s="48" t="str">
        <f>IF($B121="","",Mau15a!F124)</f>
        <v/>
      </c>
      <c r="N121" s="51" t="str">
        <f>IF($B121="","",COUNTIF(BOM!$A$5:$A$1004,B121))</f>
        <v/>
      </c>
      <c r="O121" s="49" t="str">
        <f t="shared" si="12"/>
        <v/>
      </c>
      <c r="P121" s="51" t="str">
        <f>IF($B121="","",COUNTIFS(KT_nguoc_theo_SP!$B$5:$B$1004,B121,KT_nguoc_theo_SP!$M$5:$M$1004,"Xem xét"))</f>
        <v/>
      </c>
      <c r="Q121" s="49" t="str">
        <f t="shared" si="13"/>
        <v/>
      </c>
      <c r="R121" s="49" t="str">
        <f t="shared" si="14"/>
        <v/>
      </c>
      <c r="S121" s="31" t="str">
        <f t="shared" si="15"/>
        <v/>
      </c>
    </row>
    <row r="122" spans="1:19" x14ac:dyDescent="0.25">
      <c r="A122" s="36" t="str">
        <f>IF(B122="","",115)</f>
        <v/>
      </c>
      <c r="B122" s="36" t="str">
        <f>Mau15a!B125&amp;""</f>
        <v/>
      </c>
      <c r="C122" s="47" t="str">
        <f>IF(B122="","",Mau15a!C125)</f>
        <v/>
      </c>
      <c r="D122" s="36" t="str">
        <f>IF(B122="","",Mau15a!D125)</f>
        <v/>
      </c>
      <c r="E122" s="48" t="str">
        <f>IF($B122="","",Mau15a!P125)</f>
        <v/>
      </c>
      <c r="F122" s="48" t="str">
        <f>IF($B122="","",Mau15a!I125)</f>
        <v/>
      </c>
      <c r="G122" s="48" t="str">
        <f t="shared" si="8"/>
        <v/>
      </c>
      <c r="H122" s="49" t="str">
        <f t="shared" si="9"/>
        <v/>
      </c>
      <c r="I122" s="48" t="str">
        <f>IF($B122="","",Mau15a!K125)</f>
        <v/>
      </c>
      <c r="J122" s="48" t="str">
        <f>IF($B122="","",Mau15a!M125)</f>
        <v/>
      </c>
      <c r="K122" s="48" t="str">
        <f t="shared" si="10"/>
        <v/>
      </c>
      <c r="L122" s="49" t="str">
        <f t="shared" si="11"/>
        <v/>
      </c>
      <c r="M122" s="48" t="str">
        <f>IF($B122="","",Mau15a!F125)</f>
        <v/>
      </c>
      <c r="N122" s="51" t="str">
        <f>IF($B122="","",COUNTIF(BOM!$A$5:$A$1004,B122))</f>
        <v/>
      </c>
      <c r="O122" s="49" t="str">
        <f t="shared" si="12"/>
        <v/>
      </c>
      <c r="P122" s="51" t="str">
        <f>IF($B122="","",COUNTIFS(KT_nguoc_theo_SP!$B$5:$B$1004,B122,KT_nguoc_theo_SP!$M$5:$M$1004,"Xem xét"))</f>
        <v/>
      </c>
      <c r="Q122" s="49" t="str">
        <f t="shared" si="13"/>
        <v/>
      </c>
      <c r="R122" s="49" t="str">
        <f t="shared" si="14"/>
        <v/>
      </c>
      <c r="S122" s="31" t="str">
        <f t="shared" si="15"/>
        <v/>
      </c>
    </row>
    <row r="123" spans="1:19" x14ac:dyDescent="0.25">
      <c r="A123" s="36" t="str">
        <f>IF(B123="","",116)</f>
        <v/>
      </c>
      <c r="B123" s="36" t="str">
        <f>Mau15a!B126&amp;""</f>
        <v/>
      </c>
      <c r="C123" s="47" t="str">
        <f>IF(B123="","",Mau15a!C126)</f>
        <v/>
      </c>
      <c r="D123" s="36" t="str">
        <f>IF(B123="","",Mau15a!D126)</f>
        <v/>
      </c>
      <c r="E123" s="48" t="str">
        <f>IF($B123="","",Mau15a!P126)</f>
        <v/>
      </c>
      <c r="F123" s="48" t="str">
        <f>IF($B123="","",Mau15a!I126)</f>
        <v/>
      </c>
      <c r="G123" s="48" t="str">
        <f t="shared" si="8"/>
        <v/>
      </c>
      <c r="H123" s="49" t="str">
        <f t="shared" si="9"/>
        <v/>
      </c>
      <c r="I123" s="48" t="str">
        <f>IF($B123="","",Mau15a!K126)</f>
        <v/>
      </c>
      <c r="J123" s="48" t="str">
        <f>IF($B123="","",Mau15a!M126)</f>
        <v/>
      </c>
      <c r="K123" s="48" t="str">
        <f t="shared" si="10"/>
        <v/>
      </c>
      <c r="L123" s="49" t="str">
        <f t="shared" si="11"/>
        <v/>
      </c>
      <c r="M123" s="48" t="str">
        <f>IF($B123="","",Mau15a!F126)</f>
        <v/>
      </c>
      <c r="N123" s="51" t="str">
        <f>IF($B123="","",COUNTIF(BOM!$A$5:$A$1004,B123))</f>
        <v/>
      </c>
      <c r="O123" s="49" t="str">
        <f t="shared" si="12"/>
        <v/>
      </c>
      <c r="P123" s="51" t="str">
        <f>IF($B123="","",COUNTIFS(KT_nguoc_theo_SP!$B$5:$B$1004,B123,KT_nguoc_theo_SP!$M$5:$M$1004,"Xem xét"))</f>
        <v/>
      </c>
      <c r="Q123" s="49" t="str">
        <f t="shared" si="13"/>
        <v/>
      </c>
      <c r="R123" s="49" t="str">
        <f t="shared" si="14"/>
        <v/>
      </c>
      <c r="S123" s="31" t="str">
        <f t="shared" si="15"/>
        <v/>
      </c>
    </row>
    <row r="124" spans="1:19" x14ac:dyDescent="0.25">
      <c r="A124" s="36" t="str">
        <f>IF(B124="","",117)</f>
        <v/>
      </c>
      <c r="B124" s="36" t="str">
        <f>Mau15a!B127&amp;""</f>
        <v/>
      </c>
      <c r="C124" s="47" t="str">
        <f>IF(B124="","",Mau15a!C127)</f>
        <v/>
      </c>
      <c r="D124" s="36" t="str">
        <f>IF(B124="","",Mau15a!D127)</f>
        <v/>
      </c>
      <c r="E124" s="48" t="str">
        <f>IF($B124="","",Mau15a!P127)</f>
        <v/>
      </c>
      <c r="F124" s="48" t="str">
        <f>IF($B124="","",Mau15a!I127)</f>
        <v/>
      </c>
      <c r="G124" s="48" t="str">
        <f t="shared" si="8"/>
        <v/>
      </c>
      <c r="H124" s="49" t="str">
        <f t="shared" si="9"/>
        <v/>
      </c>
      <c r="I124" s="48" t="str">
        <f>IF($B124="","",Mau15a!K127)</f>
        <v/>
      </c>
      <c r="J124" s="48" t="str">
        <f>IF($B124="","",Mau15a!M127)</f>
        <v/>
      </c>
      <c r="K124" s="48" t="str">
        <f t="shared" si="10"/>
        <v/>
      </c>
      <c r="L124" s="49" t="str">
        <f t="shared" si="11"/>
        <v/>
      </c>
      <c r="M124" s="48" t="str">
        <f>IF($B124="","",Mau15a!F127)</f>
        <v/>
      </c>
      <c r="N124" s="51" t="str">
        <f>IF($B124="","",COUNTIF(BOM!$A$5:$A$1004,B124))</f>
        <v/>
      </c>
      <c r="O124" s="49" t="str">
        <f t="shared" si="12"/>
        <v/>
      </c>
      <c r="P124" s="51" t="str">
        <f>IF($B124="","",COUNTIFS(KT_nguoc_theo_SP!$B$5:$B$1004,B124,KT_nguoc_theo_SP!$M$5:$M$1004,"Xem xét"))</f>
        <v/>
      </c>
      <c r="Q124" s="49" t="str">
        <f t="shared" si="13"/>
        <v/>
      </c>
      <c r="R124" s="49" t="str">
        <f t="shared" si="14"/>
        <v/>
      </c>
      <c r="S124" s="31" t="str">
        <f t="shared" si="15"/>
        <v/>
      </c>
    </row>
    <row r="125" spans="1:19" x14ac:dyDescent="0.25">
      <c r="A125" s="36" t="str">
        <f>IF(B125="","",118)</f>
        <v/>
      </c>
      <c r="B125" s="36" t="str">
        <f>Mau15a!B128&amp;""</f>
        <v/>
      </c>
      <c r="C125" s="47" t="str">
        <f>IF(B125="","",Mau15a!C128)</f>
        <v/>
      </c>
      <c r="D125" s="36" t="str">
        <f>IF(B125="","",Mau15a!D128)</f>
        <v/>
      </c>
      <c r="E125" s="48" t="str">
        <f>IF($B125="","",Mau15a!P128)</f>
        <v/>
      </c>
      <c r="F125" s="48" t="str">
        <f>IF($B125="","",Mau15a!I128)</f>
        <v/>
      </c>
      <c r="G125" s="48" t="str">
        <f t="shared" si="8"/>
        <v/>
      </c>
      <c r="H125" s="49" t="str">
        <f t="shared" si="9"/>
        <v/>
      </c>
      <c r="I125" s="48" t="str">
        <f>IF($B125="","",Mau15a!K128)</f>
        <v/>
      </c>
      <c r="J125" s="48" t="str">
        <f>IF($B125="","",Mau15a!M128)</f>
        <v/>
      </c>
      <c r="K125" s="48" t="str">
        <f t="shared" si="10"/>
        <v/>
      </c>
      <c r="L125" s="49" t="str">
        <f t="shared" si="11"/>
        <v/>
      </c>
      <c r="M125" s="48" t="str">
        <f>IF($B125="","",Mau15a!F128)</f>
        <v/>
      </c>
      <c r="N125" s="51" t="str">
        <f>IF($B125="","",COUNTIF(BOM!$A$5:$A$1004,B125))</f>
        <v/>
      </c>
      <c r="O125" s="49" t="str">
        <f t="shared" si="12"/>
        <v/>
      </c>
      <c r="P125" s="51" t="str">
        <f>IF($B125="","",COUNTIFS(KT_nguoc_theo_SP!$B$5:$B$1004,B125,KT_nguoc_theo_SP!$M$5:$M$1004,"Xem xét"))</f>
        <v/>
      </c>
      <c r="Q125" s="49" t="str">
        <f t="shared" si="13"/>
        <v/>
      </c>
      <c r="R125" s="49" t="str">
        <f t="shared" si="14"/>
        <v/>
      </c>
      <c r="S125" s="31" t="str">
        <f t="shared" si="15"/>
        <v/>
      </c>
    </row>
    <row r="126" spans="1:19" x14ac:dyDescent="0.25">
      <c r="A126" s="36" t="str">
        <f>IF(B126="","",119)</f>
        <v/>
      </c>
      <c r="B126" s="36" t="str">
        <f>Mau15a!B129&amp;""</f>
        <v/>
      </c>
      <c r="C126" s="47" t="str">
        <f>IF(B126="","",Mau15a!C129)</f>
        <v/>
      </c>
      <c r="D126" s="36" t="str">
        <f>IF(B126="","",Mau15a!D129)</f>
        <v/>
      </c>
      <c r="E126" s="48" t="str">
        <f>IF($B126="","",Mau15a!P129)</f>
        <v/>
      </c>
      <c r="F126" s="48" t="str">
        <f>IF($B126="","",Mau15a!I129)</f>
        <v/>
      </c>
      <c r="G126" s="48" t="str">
        <f t="shared" si="8"/>
        <v/>
      </c>
      <c r="H126" s="49" t="str">
        <f t="shared" si="9"/>
        <v/>
      </c>
      <c r="I126" s="48" t="str">
        <f>IF($B126="","",Mau15a!K129)</f>
        <v/>
      </c>
      <c r="J126" s="48" t="str">
        <f>IF($B126="","",Mau15a!M129)</f>
        <v/>
      </c>
      <c r="K126" s="48" t="str">
        <f t="shared" si="10"/>
        <v/>
      </c>
      <c r="L126" s="49" t="str">
        <f t="shared" si="11"/>
        <v/>
      </c>
      <c r="M126" s="48" t="str">
        <f>IF($B126="","",Mau15a!F129)</f>
        <v/>
      </c>
      <c r="N126" s="51" t="str">
        <f>IF($B126="","",COUNTIF(BOM!$A$5:$A$1004,B126))</f>
        <v/>
      </c>
      <c r="O126" s="49" t="str">
        <f t="shared" si="12"/>
        <v/>
      </c>
      <c r="P126" s="51" t="str">
        <f>IF($B126="","",COUNTIFS(KT_nguoc_theo_SP!$B$5:$B$1004,B126,KT_nguoc_theo_SP!$M$5:$M$1004,"Xem xét"))</f>
        <v/>
      </c>
      <c r="Q126" s="49" t="str">
        <f t="shared" si="13"/>
        <v/>
      </c>
      <c r="R126" s="49" t="str">
        <f t="shared" si="14"/>
        <v/>
      </c>
      <c r="S126" s="31" t="str">
        <f t="shared" si="15"/>
        <v/>
      </c>
    </row>
    <row r="127" spans="1:19" x14ac:dyDescent="0.25">
      <c r="A127" s="36" t="str">
        <f>IF(B127="","",120)</f>
        <v/>
      </c>
      <c r="B127" s="36" t="str">
        <f>Mau15a!B130&amp;""</f>
        <v/>
      </c>
      <c r="C127" s="47" t="str">
        <f>IF(B127="","",Mau15a!C130)</f>
        <v/>
      </c>
      <c r="D127" s="36" t="str">
        <f>IF(B127="","",Mau15a!D130)</f>
        <v/>
      </c>
      <c r="E127" s="48" t="str">
        <f>IF($B127="","",Mau15a!P130)</f>
        <v/>
      </c>
      <c r="F127" s="48" t="str">
        <f>IF($B127="","",Mau15a!I130)</f>
        <v/>
      </c>
      <c r="G127" s="48" t="str">
        <f t="shared" si="8"/>
        <v/>
      </c>
      <c r="H127" s="49" t="str">
        <f t="shared" si="9"/>
        <v/>
      </c>
      <c r="I127" s="48" t="str">
        <f>IF($B127="","",Mau15a!K130)</f>
        <v/>
      </c>
      <c r="J127" s="48" t="str">
        <f>IF($B127="","",Mau15a!M130)</f>
        <v/>
      </c>
      <c r="K127" s="48" t="str">
        <f t="shared" si="10"/>
        <v/>
      </c>
      <c r="L127" s="49" t="str">
        <f t="shared" si="11"/>
        <v/>
      </c>
      <c r="M127" s="48" t="str">
        <f>IF($B127="","",Mau15a!F130)</f>
        <v/>
      </c>
      <c r="N127" s="51" t="str">
        <f>IF($B127="","",COUNTIF(BOM!$A$5:$A$1004,B127))</f>
        <v/>
      </c>
      <c r="O127" s="49" t="str">
        <f t="shared" si="12"/>
        <v/>
      </c>
      <c r="P127" s="51" t="str">
        <f>IF($B127="","",COUNTIFS(KT_nguoc_theo_SP!$B$5:$B$1004,B127,KT_nguoc_theo_SP!$M$5:$M$1004,"Xem xét"))</f>
        <v/>
      </c>
      <c r="Q127" s="49" t="str">
        <f t="shared" si="13"/>
        <v/>
      </c>
      <c r="R127" s="49" t="str">
        <f t="shared" si="14"/>
        <v/>
      </c>
      <c r="S127" s="31" t="str">
        <f t="shared" si="15"/>
        <v/>
      </c>
    </row>
    <row r="128" spans="1:19" x14ac:dyDescent="0.25">
      <c r="A128" s="36" t="str">
        <f>IF(B128="","",121)</f>
        <v/>
      </c>
      <c r="B128" s="36" t="str">
        <f>Mau15a!B131&amp;""</f>
        <v/>
      </c>
      <c r="C128" s="47" t="str">
        <f>IF(B128="","",Mau15a!C131)</f>
        <v/>
      </c>
      <c r="D128" s="36" t="str">
        <f>IF(B128="","",Mau15a!D131)</f>
        <v/>
      </c>
      <c r="E128" s="48" t="str">
        <f>IF($B128="","",Mau15a!P131)</f>
        <v/>
      </c>
      <c r="F128" s="48" t="str">
        <f>IF($B128="","",Mau15a!I131)</f>
        <v/>
      </c>
      <c r="G128" s="48" t="str">
        <f t="shared" si="8"/>
        <v/>
      </c>
      <c r="H128" s="49" t="str">
        <f t="shared" si="9"/>
        <v/>
      </c>
      <c r="I128" s="48" t="str">
        <f>IF($B128="","",Mau15a!K131)</f>
        <v/>
      </c>
      <c r="J128" s="48" t="str">
        <f>IF($B128="","",Mau15a!M131)</f>
        <v/>
      </c>
      <c r="K128" s="48" t="str">
        <f t="shared" si="10"/>
        <v/>
      </c>
      <c r="L128" s="49" t="str">
        <f t="shared" si="11"/>
        <v/>
      </c>
      <c r="M128" s="48" t="str">
        <f>IF($B128="","",Mau15a!F131)</f>
        <v/>
      </c>
      <c r="N128" s="51" t="str">
        <f>IF($B128="","",COUNTIF(BOM!$A$5:$A$1004,B128))</f>
        <v/>
      </c>
      <c r="O128" s="49" t="str">
        <f t="shared" si="12"/>
        <v/>
      </c>
      <c r="P128" s="51" t="str">
        <f>IF($B128="","",COUNTIFS(KT_nguoc_theo_SP!$B$5:$B$1004,B128,KT_nguoc_theo_SP!$M$5:$M$1004,"Xem xét"))</f>
        <v/>
      </c>
      <c r="Q128" s="49" t="str">
        <f t="shared" si="13"/>
        <v/>
      </c>
      <c r="R128" s="49" t="str">
        <f t="shared" si="14"/>
        <v/>
      </c>
      <c r="S128" s="31" t="str">
        <f t="shared" si="15"/>
        <v/>
      </c>
    </row>
    <row r="129" spans="1:19" x14ac:dyDescent="0.25">
      <c r="A129" s="36" t="str">
        <f>IF(B129="","",122)</f>
        <v/>
      </c>
      <c r="B129" s="36" t="str">
        <f>Mau15a!B132&amp;""</f>
        <v/>
      </c>
      <c r="C129" s="47" t="str">
        <f>IF(B129="","",Mau15a!C132)</f>
        <v/>
      </c>
      <c r="D129" s="36" t="str">
        <f>IF(B129="","",Mau15a!D132)</f>
        <v/>
      </c>
      <c r="E129" s="48" t="str">
        <f>IF($B129="","",Mau15a!P132)</f>
        <v/>
      </c>
      <c r="F129" s="48" t="str">
        <f>IF($B129="","",Mau15a!I132)</f>
        <v/>
      </c>
      <c r="G129" s="48" t="str">
        <f t="shared" si="8"/>
        <v/>
      </c>
      <c r="H129" s="49" t="str">
        <f t="shared" si="9"/>
        <v/>
      </c>
      <c r="I129" s="48" t="str">
        <f>IF($B129="","",Mau15a!K132)</f>
        <v/>
      </c>
      <c r="J129" s="48" t="str">
        <f>IF($B129="","",Mau15a!M132)</f>
        <v/>
      </c>
      <c r="K129" s="48" t="str">
        <f t="shared" si="10"/>
        <v/>
      </c>
      <c r="L129" s="49" t="str">
        <f t="shared" si="11"/>
        <v/>
      </c>
      <c r="M129" s="48" t="str">
        <f>IF($B129="","",Mau15a!F132)</f>
        <v/>
      </c>
      <c r="N129" s="51" t="str">
        <f>IF($B129="","",COUNTIF(BOM!$A$5:$A$1004,B129))</f>
        <v/>
      </c>
      <c r="O129" s="49" t="str">
        <f t="shared" si="12"/>
        <v/>
      </c>
      <c r="P129" s="51" t="str">
        <f>IF($B129="","",COUNTIFS(KT_nguoc_theo_SP!$B$5:$B$1004,B129,KT_nguoc_theo_SP!$M$5:$M$1004,"Xem xét"))</f>
        <v/>
      </c>
      <c r="Q129" s="49" t="str">
        <f t="shared" si="13"/>
        <v/>
      </c>
      <c r="R129" s="49" t="str">
        <f t="shared" si="14"/>
        <v/>
      </c>
      <c r="S129" s="31" t="str">
        <f t="shared" si="15"/>
        <v/>
      </c>
    </row>
    <row r="130" spans="1:19" x14ac:dyDescent="0.25">
      <c r="A130" s="36" t="str">
        <f>IF(B130="","",123)</f>
        <v/>
      </c>
      <c r="B130" s="36" t="str">
        <f>Mau15a!B133&amp;""</f>
        <v/>
      </c>
      <c r="C130" s="47" t="str">
        <f>IF(B130="","",Mau15a!C133)</f>
        <v/>
      </c>
      <c r="D130" s="36" t="str">
        <f>IF(B130="","",Mau15a!D133)</f>
        <v/>
      </c>
      <c r="E130" s="48" t="str">
        <f>IF($B130="","",Mau15a!P133)</f>
        <v/>
      </c>
      <c r="F130" s="48" t="str">
        <f>IF($B130="","",Mau15a!I133)</f>
        <v/>
      </c>
      <c r="G130" s="48" t="str">
        <f t="shared" si="8"/>
        <v/>
      </c>
      <c r="H130" s="49" t="str">
        <f t="shared" si="9"/>
        <v/>
      </c>
      <c r="I130" s="48" t="str">
        <f>IF($B130="","",Mau15a!K133)</f>
        <v/>
      </c>
      <c r="J130" s="48" t="str">
        <f>IF($B130="","",Mau15a!M133)</f>
        <v/>
      </c>
      <c r="K130" s="48" t="str">
        <f t="shared" si="10"/>
        <v/>
      </c>
      <c r="L130" s="49" t="str">
        <f t="shared" si="11"/>
        <v/>
      </c>
      <c r="M130" s="48" t="str">
        <f>IF($B130="","",Mau15a!F133)</f>
        <v/>
      </c>
      <c r="N130" s="51" t="str">
        <f>IF($B130="","",COUNTIF(BOM!$A$5:$A$1004,B130))</f>
        <v/>
      </c>
      <c r="O130" s="49" t="str">
        <f t="shared" si="12"/>
        <v/>
      </c>
      <c r="P130" s="51" t="str">
        <f>IF($B130="","",COUNTIFS(KT_nguoc_theo_SP!$B$5:$B$1004,B130,KT_nguoc_theo_SP!$M$5:$M$1004,"Xem xét"))</f>
        <v/>
      </c>
      <c r="Q130" s="49" t="str">
        <f t="shared" si="13"/>
        <v/>
      </c>
      <c r="R130" s="49" t="str">
        <f t="shared" si="14"/>
        <v/>
      </c>
      <c r="S130" s="31" t="str">
        <f t="shared" si="15"/>
        <v/>
      </c>
    </row>
    <row r="131" spans="1:19" x14ac:dyDescent="0.25">
      <c r="A131" s="36" t="str">
        <f>IF(B131="","",124)</f>
        <v/>
      </c>
      <c r="B131" s="36" t="str">
        <f>Mau15a!B134&amp;""</f>
        <v/>
      </c>
      <c r="C131" s="47" t="str">
        <f>IF(B131="","",Mau15a!C134)</f>
        <v/>
      </c>
      <c r="D131" s="36" t="str">
        <f>IF(B131="","",Mau15a!D134)</f>
        <v/>
      </c>
      <c r="E131" s="48" t="str">
        <f>IF($B131="","",Mau15a!P134)</f>
        <v/>
      </c>
      <c r="F131" s="48" t="str">
        <f>IF($B131="","",Mau15a!I134)</f>
        <v/>
      </c>
      <c r="G131" s="48" t="str">
        <f t="shared" si="8"/>
        <v/>
      </c>
      <c r="H131" s="49" t="str">
        <f t="shared" si="9"/>
        <v/>
      </c>
      <c r="I131" s="48" t="str">
        <f>IF($B131="","",Mau15a!K134)</f>
        <v/>
      </c>
      <c r="J131" s="48" t="str">
        <f>IF($B131="","",Mau15a!M134)</f>
        <v/>
      </c>
      <c r="K131" s="48" t="str">
        <f t="shared" si="10"/>
        <v/>
      </c>
      <c r="L131" s="49" t="str">
        <f t="shared" si="11"/>
        <v/>
      </c>
      <c r="M131" s="48" t="str">
        <f>IF($B131="","",Mau15a!F134)</f>
        <v/>
      </c>
      <c r="N131" s="51" t="str">
        <f>IF($B131="","",COUNTIF(BOM!$A$5:$A$1004,B131))</f>
        <v/>
      </c>
      <c r="O131" s="49" t="str">
        <f t="shared" si="12"/>
        <v/>
      </c>
      <c r="P131" s="51" t="str">
        <f>IF($B131="","",COUNTIFS(KT_nguoc_theo_SP!$B$5:$B$1004,B131,KT_nguoc_theo_SP!$M$5:$M$1004,"Xem xét"))</f>
        <v/>
      </c>
      <c r="Q131" s="49" t="str">
        <f t="shared" si="13"/>
        <v/>
      </c>
      <c r="R131" s="49" t="str">
        <f t="shared" si="14"/>
        <v/>
      </c>
      <c r="S131" s="31" t="str">
        <f t="shared" si="15"/>
        <v/>
      </c>
    </row>
    <row r="132" spans="1:19" x14ac:dyDescent="0.25">
      <c r="A132" s="36" t="str">
        <f>IF(B132="","",125)</f>
        <v/>
      </c>
      <c r="B132" s="36" t="str">
        <f>Mau15a!B135&amp;""</f>
        <v/>
      </c>
      <c r="C132" s="47" t="str">
        <f>IF(B132="","",Mau15a!C135)</f>
        <v/>
      </c>
      <c r="D132" s="36" t="str">
        <f>IF(B132="","",Mau15a!D135)</f>
        <v/>
      </c>
      <c r="E132" s="48" t="str">
        <f>IF($B132="","",Mau15a!P135)</f>
        <v/>
      </c>
      <c r="F132" s="48" t="str">
        <f>IF($B132="","",Mau15a!I135)</f>
        <v/>
      </c>
      <c r="G132" s="48" t="str">
        <f t="shared" si="8"/>
        <v/>
      </c>
      <c r="H132" s="49" t="str">
        <f t="shared" si="9"/>
        <v/>
      </c>
      <c r="I132" s="48" t="str">
        <f>IF($B132="","",Mau15a!K135)</f>
        <v/>
      </c>
      <c r="J132" s="48" t="str">
        <f>IF($B132="","",Mau15a!M135)</f>
        <v/>
      </c>
      <c r="K132" s="48" t="str">
        <f t="shared" si="10"/>
        <v/>
      </c>
      <c r="L132" s="49" t="str">
        <f t="shared" si="11"/>
        <v/>
      </c>
      <c r="M132" s="48" t="str">
        <f>IF($B132="","",Mau15a!F135)</f>
        <v/>
      </c>
      <c r="N132" s="51" t="str">
        <f>IF($B132="","",COUNTIF(BOM!$A$5:$A$1004,B132))</f>
        <v/>
      </c>
      <c r="O132" s="49" t="str">
        <f t="shared" si="12"/>
        <v/>
      </c>
      <c r="P132" s="51" t="str">
        <f>IF($B132="","",COUNTIFS(KT_nguoc_theo_SP!$B$5:$B$1004,B132,KT_nguoc_theo_SP!$M$5:$M$1004,"Xem xét"))</f>
        <v/>
      </c>
      <c r="Q132" s="49" t="str">
        <f t="shared" si="13"/>
        <v/>
      </c>
      <c r="R132" s="49" t="str">
        <f t="shared" si="14"/>
        <v/>
      </c>
      <c r="S132" s="31" t="str">
        <f t="shared" si="15"/>
        <v/>
      </c>
    </row>
    <row r="133" spans="1:19" x14ac:dyDescent="0.25">
      <c r="A133" s="36" t="str">
        <f>IF(B133="","",126)</f>
        <v/>
      </c>
      <c r="B133" s="36" t="str">
        <f>Mau15a!B136&amp;""</f>
        <v/>
      </c>
      <c r="C133" s="47" t="str">
        <f>IF(B133="","",Mau15a!C136)</f>
        <v/>
      </c>
      <c r="D133" s="36" t="str">
        <f>IF(B133="","",Mau15a!D136)</f>
        <v/>
      </c>
      <c r="E133" s="48" t="str">
        <f>IF($B133="","",Mau15a!P136)</f>
        <v/>
      </c>
      <c r="F133" s="48" t="str">
        <f>IF($B133="","",Mau15a!I136)</f>
        <v/>
      </c>
      <c r="G133" s="48" t="str">
        <f t="shared" si="8"/>
        <v/>
      </c>
      <c r="H133" s="49" t="str">
        <f t="shared" si="9"/>
        <v/>
      </c>
      <c r="I133" s="48" t="str">
        <f>IF($B133="","",Mau15a!K136)</f>
        <v/>
      </c>
      <c r="J133" s="48" t="str">
        <f>IF($B133="","",Mau15a!M136)</f>
        <v/>
      </c>
      <c r="K133" s="48" t="str">
        <f t="shared" si="10"/>
        <v/>
      </c>
      <c r="L133" s="49" t="str">
        <f t="shared" si="11"/>
        <v/>
      </c>
      <c r="M133" s="48" t="str">
        <f>IF($B133="","",Mau15a!F136)</f>
        <v/>
      </c>
      <c r="N133" s="51" t="str">
        <f>IF($B133="","",COUNTIF(BOM!$A$5:$A$1004,B133))</f>
        <v/>
      </c>
      <c r="O133" s="49" t="str">
        <f t="shared" si="12"/>
        <v/>
      </c>
      <c r="P133" s="51" t="str">
        <f>IF($B133="","",COUNTIFS(KT_nguoc_theo_SP!$B$5:$B$1004,B133,KT_nguoc_theo_SP!$M$5:$M$1004,"Xem xét"))</f>
        <v/>
      </c>
      <c r="Q133" s="49" t="str">
        <f t="shared" si="13"/>
        <v/>
      </c>
      <c r="R133" s="49" t="str">
        <f t="shared" si="14"/>
        <v/>
      </c>
      <c r="S133" s="31" t="str">
        <f t="shared" si="15"/>
        <v/>
      </c>
    </row>
    <row r="134" spans="1:19" x14ac:dyDescent="0.25">
      <c r="A134" s="36" t="str">
        <f>IF(B134="","",127)</f>
        <v/>
      </c>
      <c r="B134" s="36" t="str">
        <f>Mau15a!B137&amp;""</f>
        <v/>
      </c>
      <c r="C134" s="47" t="str">
        <f>IF(B134="","",Mau15a!C137)</f>
        <v/>
      </c>
      <c r="D134" s="36" t="str">
        <f>IF(B134="","",Mau15a!D137)</f>
        <v/>
      </c>
      <c r="E134" s="48" t="str">
        <f>IF($B134="","",Mau15a!P137)</f>
        <v/>
      </c>
      <c r="F134" s="48" t="str">
        <f>IF($B134="","",Mau15a!I137)</f>
        <v/>
      </c>
      <c r="G134" s="48" t="str">
        <f t="shared" si="8"/>
        <v/>
      </c>
      <c r="H134" s="49" t="str">
        <f t="shared" si="9"/>
        <v/>
      </c>
      <c r="I134" s="48" t="str">
        <f>IF($B134="","",Mau15a!K137)</f>
        <v/>
      </c>
      <c r="J134" s="48" t="str">
        <f>IF($B134="","",Mau15a!M137)</f>
        <v/>
      </c>
      <c r="K134" s="48" t="str">
        <f t="shared" si="10"/>
        <v/>
      </c>
      <c r="L134" s="49" t="str">
        <f t="shared" si="11"/>
        <v/>
      </c>
      <c r="M134" s="48" t="str">
        <f>IF($B134="","",Mau15a!F137)</f>
        <v/>
      </c>
      <c r="N134" s="51" t="str">
        <f>IF($B134="","",COUNTIF(BOM!$A$5:$A$1004,B134))</f>
        <v/>
      </c>
      <c r="O134" s="49" t="str">
        <f t="shared" si="12"/>
        <v/>
      </c>
      <c r="P134" s="51" t="str">
        <f>IF($B134="","",COUNTIFS(KT_nguoc_theo_SP!$B$5:$B$1004,B134,KT_nguoc_theo_SP!$M$5:$M$1004,"Xem xét"))</f>
        <v/>
      </c>
      <c r="Q134" s="49" t="str">
        <f t="shared" si="13"/>
        <v/>
      </c>
      <c r="R134" s="49" t="str">
        <f t="shared" si="14"/>
        <v/>
      </c>
      <c r="S134" s="31" t="str">
        <f t="shared" si="15"/>
        <v/>
      </c>
    </row>
    <row r="135" spans="1:19" x14ac:dyDescent="0.25">
      <c r="A135" s="36" t="str">
        <f>IF(B135="","",128)</f>
        <v/>
      </c>
      <c r="B135" s="36" t="str">
        <f>Mau15a!B138&amp;""</f>
        <v/>
      </c>
      <c r="C135" s="47" t="str">
        <f>IF(B135="","",Mau15a!C138)</f>
        <v/>
      </c>
      <c r="D135" s="36" t="str">
        <f>IF(B135="","",Mau15a!D138)</f>
        <v/>
      </c>
      <c r="E135" s="48" t="str">
        <f>IF($B135="","",Mau15a!P138)</f>
        <v/>
      </c>
      <c r="F135" s="48" t="str">
        <f>IF($B135="","",Mau15a!I138)</f>
        <v/>
      </c>
      <c r="G135" s="48" t="str">
        <f t="shared" si="8"/>
        <v/>
      </c>
      <c r="H135" s="49" t="str">
        <f t="shared" si="9"/>
        <v/>
      </c>
      <c r="I135" s="48" t="str">
        <f>IF($B135="","",Mau15a!K138)</f>
        <v/>
      </c>
      <c r="J135" s="48" t="str">
        <f>IF($B135="","",Mau15a!M138)</f>
        <v/>
      </c>
      <c r="K135" s="48" t="str">
        <f t="shared" si="10"/>
        <v/>
      </c>
      <c r="L135" s="49" t="str">
        <f t="shared" si="11"/>
        <v/>
      </c>
      <c r="M135" s="48" t="str">
        <f>IF($B135="","",Mau15a!F138)</f>
        <v/>
      </c>
      <c r="N135" s="51" t="str">
        <f>IF($B135="","",COUNTIF(BOM!$A$5:$A$1004,B135))</f>
        <v/>
      </c>
      <c r="O135" s="49" t="str">
        <f t="shared" si="12"/>
        <v/>
      </c>
      <c r="P135" s="51" t="str">
        <f>IF($B135="","",COUNTIFS(KT_nguoc_theo_SP!$B$5:$B$1004,B135,KT_nguoc_theo_SP!$M$5:$M$1004,"Xem xét"))</f>
        <v/>
      </c>
      <c r="Q135" s="49" t="str">
        <f t="shared" si="13"/>
        <v/>
      </c>
      <c r="R135" s="49" t="str">
        <f t="shared" si="14"/>
        <v/>
      </c>
      <c r="S135" s="31" t="str">
        <f t="shared" si="15"/>
        <v/>
      </c>
    </row>
    <row r="136" spans="1:19" x14ac:dyDescent="0.25">
      <c r="A136" s="36" t="str">
        <f>IF(B136="","",129)</f>
        <v/>
      </c>
      <c r="B136" s="36" t="str">
        <f>Mau15a!B139&amp;""</f>
        <v/>
      </c>
      <c r="C136" s="47" t="str">
        <f>IF(B136="","",Mau15a!C139)</f>
        <v/>
      </c>
      <c r="D136" s="36" t="str">
        <f>IF(B136="","",Mau15a!D139)</f>
        <v/>
      </c>
      <c r="E136" s="48" t="str">
        <f>IF($B136="","",Mau15a!P139)</f>
        <v/>
      </c>
      <c r="F136" s="48" t="str">
        <f>IF($B136="","",Mau15a!I139)</f>
        <v/>
      </c>
      <c r="G136" s="48" t="str">
        <f t="shared" ref="G136:G199" si="16">IF($B136="","",N(E136)-N(F136))</f>
        <v/>
      </c>
      <c r="H136" s="49" t="str">
        <f t="shared" ref="H136:H199" si="17">IF($B136="","",IF(ABS(G136)&lt;0.000001,"Khớp","Giải trình"))</f>
        <v/>
      </c>
      <c r="I136" s="48" t="str">
        <f>IF($B136="","",Mau15a!K139)</f>
        <v/>
      </c>
      <c r="J136" s="48" t="str">
        <f>IF($B136="","",Mau15a!M139)</f>
        <v/>
      </c>
      <c r="K136" s="48" t="str">
        <f t="shared" ref="K136:K199" si="18">IF($B136="","",N(I136)-N(J136))</f>
        <v/>
      </c>
      <c r="L136" s="49" t="str">
        <f t="shared" ref="L136:L199" si="19">IF($B136="","",IF(ABS(K136)&lt;0.000001,"Khớp","Lỗi"))</f>
        <v/>
      </c>
      <c r="M136" s="48" t="str">
        <f>IF($B136="","",Mau15a!F139)</f>
        <v/>
      </c>
      <c r="N136" s="51" t="str">
        <f>IF($B136="","",COUNTIF(BOM!$A$5:$A$1004,B136))</f>
        <v/>
      </c>
      <c r="O136" s="49" t="str">
        <f t="shared" ref="O136:O199" si="20">IF($B136="","",IF(AND(N(M136)&gt;0,N136=0),"Lỗi","Khớp"))</f>
        <v/>
      </c>
      <c r="P136" s="51" t="str">
        <f>IF($B136="","",COUNTIFS(KT_nguoc_theo_SP!$B$5:$B$1004,B136,KT_nguoc_theo_SP!$M$5:$M$1004,"Xem xét"))</f>
        <v/>
      </c>
      <c r="Q136" s="49" t="str">
        <f t="shared" ref="Q136:Q199" si="21">IF($B136="","",IF(P136&gt;0,"Cảnh báo","Khớp"))</f>
        <v/>
      </c>
      <c r="R136" s="49" t="str">
        <f t="shared" ref="R136:R199" si="22">IF(B136="","",IF(COUNTIF(H136:Q136,"Lỗi")&gt;0,"Lỗi",IF(COUNTIF(H136:Q136,"Cảnh báo")&gt;0,"Cảnh báo",IF(COUNTIF(H136:Q136,"Giải trình")&gt;0,"Giải trình","Khớp"))))</f>
        <v/>
      </c>
      <c r="S136" s="31" t="str">
        <f t="shared" ref="S136:S199" si="23">IF(B136="","",IF(G136&gt;0,"Xuất khẩu: tờ khai nhiều hơn xuất kho "&amp;TEXT(G136,IF(MOD(G136,1)=0,"#,##0","#,##0.######"))&amp;" – hàng đã thông quan chưa xuất kho, ghi số tờ khai tại Ghi chú khác Mẫu 15a; ","")&amp;IF(G136&lt;0,"Xuất khẩu: xuất kho nhiều hơn tờ khai "&amp;TEXT(ABS(G136),IF(MOD(ABS(G136),1)=0,"#,##0","#,##0.######"))&amp;" – xuất kho chưa đăng ký tờ khai (ghi cột 10) hoặc tờ khai kỳ trước – rà soát; ","")&amp;IF(N(K136)&lt;&gt;0,"Tồn cuối lệch kiểm kê "&amp;TEXT(K136,IF(MOD(K136,1)=0,"#,##0","#,##0.######"))&amp;" – rà soát cột (5)–(10) hoặc số kiểm kê; ","")&amp;IF(O136="Lỗi","Có thành phẩm nhập kho nhưng chưa khai định mức trên Mẫu 16 (sheet BOM); ","")&amp;IF(Q136="Cảnh báo",P136&amp;" dòng định mức lệch BOM/kiểm tra ngược quá ngưỡng – xem sheet KT_nguoc_theo_SP; ",""))</f>
        <v/>
      </c>
    </row>
    <row r="137" spans="1:19" x14ac:dyDescent="0.25">
      <c r="A137" s="36" t="str">
        <f>IF(B137="","",130)</f>
        <v/>
      </c>
      <c r="B137" s="36" t="str">
        <f>Mau15a!B140&amp;""</f>
        <v/>
      </c>
      <c r="C137" s="47" t="str">
        <f>IF(B137="","",Mau15a!C140)</f>
        <v/>
      </c>
      <c r="D137" s="36" t="str">
        <f>IF(B137="","",Mau15a!D140)</f>
        <v/>
      </c>
      <c r="E137" s="48" t="str">
        <f>IF($B137="","",Mau15a!P140)</f>
        <v/>
      </c>
      <c r="F137" s="48" t="str">
        <f>IF($B137="","",Mau15a!I140)</f>
        <v/>
      </c>
      <c r="G137" s="48" t="str">
        <f t="shared" si="16"/>
        <v/>
      </c>
      <c r="H137" s="49" t="str">
        <f t="shared" si="17"/>
        <v/>
      </c>
      <c r="I137" s="48" t="str">
        <f>IF($B137="","",Mau15a!K140)</f>
        <v/>
      </c>
      <c r="J137" s="48" t="str">
        <f>IF($B137="","",Mau15a!M140)</f>
        <v/>
      </c>
      <c r="K137" s="48" t="str">
        <f t="shared" si="18"/>
        <v/>
      </c>
      <c r="L137" s="49" t="str">
        <f t="shared" si="19"/>
        <v/>
      </c>
      <c r="M137" s="48" t="str">
        <f>IF($B137="","",Mau15a!F140)</f>
        <v/>
      </c>
      <c r="N137" s="51" t="str">
        <f>IF($B137="","",COUNTIF(BOM!$A$5:$A$1004,B137))</f>
        <v/>
      </c>
      <c r="O137" s="49" t="str">
        <f t="shared" si="20"/>
        <v/>
      </c>
      <c r="P137" s="51" t="str">
        <f>IF($B137="","",COUNTIFS(KT_nguoc_theo_SP!$B$5:$B$1004,B137,KT_nguoc_theo_SP!$M$5:$M$1004,"Xem xét"))</f>
        <v/>
      </c>
      <c r="Q137" s="49" t="str">
        <f t="shared" si="21"/>
        <v/>
      </c>
      <c r="R137" s="49" t="str">
        <f t="shared" si="22"/>
        <v/>
      </c>
      <c r="S137" s="31" t="str">
        <f t="shared" si="23"/>
        <v/>
      </c>
    </row>
    <row r="138" spans="1:19" x14ac:dyDescent="0.25">
      <c r="A138" s="36" t="str">
        <f>IF(B138="","",131)</f>
        <v/>
      </c>
      <c r="B138" s="36" t="str">
        <f>Mau15a!B141&amp;""</f>
        <v/>
      </c>
      <c r="C138" s="47" t="str">
        <f>IF(B138="","",Mau15a!C141)</f>
        <v/>
      </c>
      <c r="D138" s="36" t="str">
        <f>IF(B138="","",Mau15a!D141)</f>
        <v/>
      </c>
      <c r="E138" s="48" t="str">
        <f>IF($B138="","",Mau15a!P141)</f>
        <v/>
      </c>
      <c r="F138" s="48" t="str">
        <f>IF($B138="","",Mau15a!I141)</f>
        <v/>
      </c>
      <c r="G138" s="48" t="str">
        <f t="shared" si="16"/>
        <v/>
      </c>
      <c r="H138" s="49" t="str">
        <f t="shared" si="17"/>
        <v/>
      </c>
      <c r="I138" s="48" t="str">
        <f>IF($B138="","",Mau15a!K141)</f>
        <v/>
      </c>
      <c r="J138" s="48" t="str">
        <f>IF($B138="","",Mau15a!M141)</f>
        <v/>
      </c>
      <c r="K138" s="48" t="str">
        <f t="shared" si="18"/>
        <v/>
      </c>
      <c r="L138" s="49" t="str">
        <f t="shared" si="19"/>
        <v/>
      </c>
      <c r="M138" s="48" t="str">
        <f>IF($B138="","",Mau15a!F141)</f>
        <v/>
      </c>
      <c r="N138" s="51" t="str">
        <f>IF($B138="","",COUNTIF(BOM!$A$5:$A$1004,B138))</f>
        <v/>
      </c>
      <c r="O138" s="49" t="str">
        <f t="shared" si="20"/>
        <v/>
      </c>
      <c r="P138" s="51" t="str">
        <f>IF($B138="","",COUNTIFS(KT_nguoc_theo_SP!$B$5:$B$1004,B138,KT_nguoc_theo_SP!$M$5:$M$1004,"Xem xét"))</f>
        <v/>
      </c>
      <c r="Q138" s="49" t="str">
        <f t="shared" si="21"/>
        <v/>
      </c>
      <c r="R138" s="49" t="str">
        <f t="shared" si="22"/>
        <v/>
      </c>
      <c r="S138" s="31" t="str">
        <f t="shared" si="23"/>
        <v/>
      </c>
    </row>
    <row r="139" spans="1:19" x14ac:dyDescent="0.25">
      <c r="A139" s="36" t="str">
        <f>IF(B139="","",132)</f>
        <v/>
      </c>
      <c r="B139" s="36" t="str">
        <f>Mau15a!B142&amp;""</f>
        <v/>
      </c>
      <c r="C139" s="47" t="str">
        <f>IF(B139="","",Mau15a!C142)</f>
        <v/>
      </c>
      <c r="D139" s="36" t="str">
        <f>IF(B139="","",Mau15a!D142)</f>
        <v/>
      </c>
      <c r="E139" s="48" t="str">
        <f>IF($B139="","",Mau15a!P142)</f>
        <v/>
      </c>
      <c r="F139" s="48" t="str">
        <f>IF($B139="","",Mau15a!I142)</f>
        <v/>
      </c>
      <c r="G139" s="48" t="str">
        <f t="shared" si="16"/>
        <v/>
      </c>
      <c r="H139" s="49" t="str">
        <f t="shared" si="17"/>
        <v/>
      </c>
      <c r="I139" s="48" t="str">
        <f>IF($B139="","",Mau15a!K142)</f>
        <v/>
      </c>
      <c r="J139" s="48" t="str">
        <f>IF($B139="","",Mau15a!M142)</f>
        <v/>
      </c>
      <c r="K139" s="48" t="str">
        <f t="shared" si="18"/>
        <v/>
      </c>
      <c r="L139" s="49" t="str">
        <f t="shared" si="19"/>
        <v/>
      </c>
      <c r="M139" s="48" t="str">
        <f>IF($B139="","",Mau15a!F142)</f>
        <v/>
      </c>
      <c r="N139" s="51" t="str">
        <f>IF($B139="","",COUNTIF(BOM!$A$5:$A$1004,B139))</f>
        <v/>
      </c>
      <c r="O139" s="49" t="str">
        <f t="shared" si="20"/>
        <v/>
      </c>
      <c r="P139" s="51" t="str">
        <f>IF($B139="","",COUNTIFS(KT_nguoc_theo_SP!$B$5:$B$1004,B139,KT_nguoc_theo_SP!$M$5:$M$1004,"Xem xét"))</f>
        <v/>
      </c>
      <c r="Q139" s="49" t="str">
        <f t="shared" si="21"/>
        <v/>
      </c>
      <c r="R139" s="49" t="str">
        <f t="shared" si="22"/>
        <v/>
      </c>
      <c r="S139" s="31" t="str">
        <f t="shared" si="23"/>
        <v/>
      </c>
    </row>
    <row r="140" spans="1:19" x14ac:dyDescent="0.25">
      <c r="A140" s="36" t="str">
        <f>IF(B140="","",133)</f>
        <v/>
      </c>
      <c r="B140" s="36" t="str">
        <f>Mau15a!B143&amp;""</f>
        <v/>
      </c>
      <c r="C140" s="47" t="str">
        <f>IF(B140="","",Mau15a!C143)</f>
        <v/>
      </c>
      <c r="D140" s="36" t="str">
        <f>IF(B140="","",Mau15a!D143)</f>
        <v/>
      </c>
      <c r="E140" s="48" t="str">
        <f>IF($B140="","",Mau15a!P143)</f>
        <v/>
      </c>
      <c r="F140" s="48" t="str">
        <f>IF($B140="","",Mau15a!I143)</f>
        <v/>
      </c>
      <c r="G140" s="48" t="str">
        <f t="shared" si="16"/>
        <v/>
      </c>
      <c r="H140" s="49" t="str">
        <f t="shared" si="17"/>
        <v/>
      </c>
      <c r="I140" s="48" t="str">
        <f>IF($B140="","",Mau15a!K143)</f>
        <v/>
      </c>
      <c r="J140" s="48" t="str">
        <f>IF($B140="","",Mau15a!M143)</f>
        <v/>
      </c>
      <c r="K140" s="48" t="str">
        <f t="shared" si="18"/>
        <v/>
      </c>
      <c r="L140" s="49" t="str">
        <f t="shared" si="19"/>
        <v/>
      </c>
      <c r="M140" s="48" t="str">
        <f>IF($B140="","",Mau15a!F143)</f>
        <v/>
      </c>
      <c r="N140" s="51" t="str">
        <f>IF($B140="","",COUNTIF(BOM!$A$5:$A$1004,B140))</f>
        <v/>
      </c>
      <c r="O140" s="49" t="str">
        <f t="shared" si="20"/>
        <v/>
      </c>
      <c r="P140" s="51" t="str">
        <f>IF($B140="","",COUNTIFS(KT_nguoc_theo_SP!$B$5:$B$1004,B140,KT_nguoc_theo_SP!$M$5:$M$1004,"Xem xét"))</f>
        <v/>
      </c>
      <c r="Q140" s="49" t="str">
        <f t="shared" si="21"/>
        <v/>
      </c>
      <c r="R140" s="49" t="str">
        <f t="shared" si="22"/>
        <v/>
      </c>
      <c r="S140" s="31" t="str">
        <f t="shared" si="23"/>
        <v/>
      </c>
    </row>
    <row r="141" spans="1:19" x14ac:dyDescent="0.25">
      <c r="A141" s="36" t="str">
        <f>IF(B141="","",134)</f>
        <v/>
      </c>
      <c r="B141" s="36" t="str">
        <f>Mau15a!B144&amp;""</f>
        <v/>
      </c>
      <c r="C141" s="47" t="str">
        <f>IF(B141="","",Mau15a!C144)</f>
        <v/>
      </c>
      <c r="D141" s="36" t="str">
        <f>IF(B141="","",Mau15a!D144)</f>
        <v/>
      </c>
      <c r="E141" s="48" t="str">
        <f>IF($B141="","",Mau15a!P144)</f>
        <v/>
      </c>
      <c r="F141" s="48" t="str">
        <f>IF($B141="","",Mau15a!I144)</f>
        <v/>
      </c>
      <c r="G141" s="48" t="str">
        <f t="shared" si="16"/>
        <v/>
      </c>
      <c r="H141" s="49" t="str">
        <f t="shared" si="17"/>
        <v/>
      </c>
      <c r="I141" s="48" t="str">
        <f>IF($B141="","",Mau15a!K144)</f>
        <v/>
      </c>
      <c r="J141" s="48" t="str">
        <f>IF($B141="","",Mau15a!M144)</f>
        <v/>
      </c>
      <c r="K141" s="48" t="str">
        <f t="shared" si="18"/>
        <v/>
      </c>
      <c r="L141" s="49" t="str">
        <f t="shared" si="19"/>
        <v/>
      </c>
      <c r="M141" s="48" t="str">
        <f>IF($B141="","",Mau15a!F144)</f>
        <v/>
      </c>
      <c r="N141" s="51" t="str">
        <f>IF($B141="","",COUNTIF(BOM!$A$5:$A$1004,B141))</f>
        <v/>
      </c>
      <c r="O141" s="49" t="str">
        <f t="shared" si="20"/>
        <v/>
      </c>
      <c r="P141" s="51" t="str">
        <f>IF($B141="","",COUNTIFS(KT_nguoc_theo_SP!$B$5:$B$1004,B141,KT_nguoc_theo_SP!$M$5:$M$1004,"Xem xét"))</f>
        <v/>
      </c>
      <c r="Q141" s="49" t="str">
        <f t="shared" si="21"/>
        <v/>
      </c>
      <c r="R141" s="49" t="str">
        <f t="shared" si="22"/>
        <v/>
      </c>
      <c r="S141" s="31" t="str">
        <f t="shared" si="23"/>
        <v/>
      </c>
    </row>
    <row r="142" spans="1:19" x14ac:dyDescent="0.25">
      <c r="A142" s="36" t="str">
        <f>IF(B142="","",135)</f>
        <v/>
      </c>
      <c r="B142" s="36" t="str">
        <f>Mau15a!B145&amp;""</f>
        <v/>
      </c>
      <c r="C142" s="47" t="str">
        <f>IF(B142="","",Mau15a!C145)</f>
        <v/>
      </c>
      <c r="D142" s="36" t="str">
        <f>IF(B142="","",Mau15a!D145)</f>
        <v/>
      </c>
      <c r="E142" s="48" t="str">
        <f>IF($B142="","",Mau15a!P145)</f>
        <v/>
      </c>
      <c r="F142" s="48" t="str">
        <f>IF($B142="","",Mau15a!I145)</f>
        <v/>
      </c>
      <c r="G142" s="48" t="str">
        <f t="shared" si="16"/>
        <v/>
      </c>
      <c r="H142" s="49" t="str">
        <f t="shared" si="17"/>
        <v/>
      </c>
      <c r="I142" s="48" t="str">
        <f>IF($B142="","",Mau15a!K145)</f>
        <v/>
      </c>
      <c r="J142" s="48" t="str">
        <f>IF($B142="","",Mau15a!M145)</f>
        <v/>
      </c>
      <c r="K142" s="48" t="str">
        <f t="shared" si="18"/>
        <v/>
      </c>
      <c r="L142" s="49" t="str">
        <f t="shared" si="19"/>
        <v/>
      </c>
      <c r="M142" s="48" t="str">
        <f>IF($B142="","",Mau15a!F145)</f>
        <v/>
      </c>
      <c r="N142" s="51" t="str">
        <f>IF($B142="","",COUNTIF(BOM!$A$5:$A$1004,B142))</f>
        <v/>
      </c>
      <c r="O142" s="49" t="str">
        <f t="shared" si="20"/>
        <v/>
      </c>
      <c r="P142" s="51" t="str">
        <f>IF($B142="","",COUNTIFS(KT_nguoc_theo_SP!$B$5:$B$1004,B142,KT_nguoc_theo_SP!$M$5:$M$1004,"Xem xét"))</f>
        <v/>
      </c>
      <c r="Q142" s="49" t="str">
        <f t="shared" si="21"/>
        <v/>
      </c>
      <c r="R142" s="49" t="str">
        <f t="shared" si="22"/>
        <v/>
      </c>
      <c r="S142" s="31" t="str">
        <f t="shared" si="23"/>
        <v/>
      </c>
    </row>
    <row r="143" spans="1:19" x14ac:dyDescent="0.25">
      <c r="A143" s="36" t="str">
        <f>IF(B143="","",136)</f>
        <v/>
      </c>
      <c r="B143" s="36" t="str">
        <f>Mau15a!B146&amp;""</f>
        <v/>
      </c>
      <c r="C143" s="47" t="str">
        <f>IF(B143="","",Mau15a!C146)</f>
        <v/>
      </c>
      <c r="D143" s="36" t="str">
        <f>IF(B143="","",Mau15a!D146)</f>
        <v/>
      </c>
      <c r="E143" s="48" t="str">
        <f>IF($B143="","",Mau15a!P146)</f>
        <v/>
      </c>
      <c r="F143" s="48" t="str">
        <f>IF($B143="","",Mau15a!I146)</f>
        <v/>
      </c>
      <c r="G143" s="48" t="str">
        <f t="shared" si="16"/>
        <v/>
      </c>
      <c r="H143" s="49" t="str">
        <f t="shared" si="17"/>
        <v/>
      </c>
      <c r="I143" s="48" t="str">
        <f>IF($B143="","",Mau15a!K146)</f>
        <v/>
      </c>
      <c r="J143" s="48" t="str">
        <f>IF($B143="","",Mau15a!M146)</f>
        <v/>
      </c>
      <c r="K143" s="48" t="str">
        <f t="shared" si="18"/>
        <v/>
      </c>
      <c r="L143" s="49" t="str">
        <f t="shared" si="19"/>
        <v/>
      </c>
      <c r="M143" s="48" t="str">
        <f>IF($B143="","",Mau15a!F146)</f>
        <v/>
      </c>
      <c r="N143" s="51" t="str">
        <f>IF($B143="","",COUNTIF(BOM!$A$5:$A$1004,B143))</f>
        <v/>
      </c>
      <c r="O143" s="49" t="str">
        <f t="shared" si="20"/>
        <v/>
      </c>
      <c r="P143" s="51" t="str">
        <f>IF($B143="","",COUNTIFS(KT_nguoc_theo_SP!$B$5:$B$1004,B143,KT_nguoc_theo_SP!$M$5:$M$1004,"Xem xét"))</f>
        <v/>
      </c>
      <c r="Q143" s="49" t="str">
        <f t="shared" si="21"/>
        <v/>
      </c>
      <c r="R143" s="49" t="str">
        <f t="shared" si="22"/>
        <v/>
      </c>
      <c r="S143" s="31" t="str">
        <f t="shared" si="23"/>
        <v/>
      </c>
    </row>
    <row r="144" spans="1:19" x14ac:dyDescent="0.25">
      <c r="A144" s="36" t="str">
        <f>IF(B144="","",137)</f>
        <v/>
      </c>
      <c r="B144" s="36" t="str">
        <f>Mau15a!B147&amp;""</f>
        <v/>
      </c>
      <c r="C144" s="47" t="str">
        <f>IF(B144="","",Mau15a!C147)</f>
        <v/>
      </c>
      <c r="D144" s="36" t="str">
        <f>IF(B144="","",Mau15a!D147)</f>
        <v/>
      </c>
      <c r="E144" s="48" t="str">
        <f>IF($B144="","",Mau15a!P147)</f>
        <v/>
      </c>
      <c r="F144" s="48" t="str">
        <f>IF($B144="","",Mau15a!I147)</f>
        <v/>
      </c>
      <c r="G144" s="48" t="str">
        <f t="shared" si="16"/>
        <v/>
      </c>
      <c r="H144" s="49" t="str">
        <f t="shared" si="17"/>
        <v/>
      </c>
      <c r="I144" s="48" t="str">
        <f>IF($B144="","",Mau15a!K147)</f>
        <v/>
      </c>
      <c r="J144" s="48" t="str">
        <f>IF($B144="","",Mau15a!M147)</f>
        <v/>
      </c>
      <c r="K144" s="48" t="str">
        <f t="shared" si="18"/>
        <v/>
      </c>
      <c r="L144" s="49" t="str">
        <f t="shared" si="19"/>
        <v/>
      </c>
      <c r="M144" s="48" t="str">
        <f>IF($B144="","",Mau15a!F147)</f>
        <v/>
      </c>
      <c r="N144" s="51" t="str">
        <f>IF($B144="","",COUNTIF(BOM!$A$5:$A$1004,B144))</f>
        <v/>
      </c>
      <c r="O144" s="49" t="str">
        <f t="shared" si="20"/>
        <v/>
      </c>
      <c r="P144" s="51" t="str">
        <f>IF($B144="","",COUNTIFS(KT_nguoc_theo_SP!$B$5:$B$1004,B144,KT_nguoc_theo_SP!$M$5:$M$1004,"Xem xét"))</f>
        <v/>
      </c>
      <c r="Q144" s="49" t="str">
        <f t="shared" si="21"/>
        <v/>
      </c>
      <c r="R144" s="49" t="str">
        <f t="shared" si="22"/>
        <v/>
      </c>
      <c r="S144" s="31" t="str">
        <f t="shared" si="23"/>
        <v/>
      </c>
    </row>
    <row r="145" spans="1:19" x14ac:dyDescent="0.25">
      <c r="A145" s="36" t="str">
        <f>IF(B145="","",138)</f>
        <v/>
      </c>
      <c r="B145" s="36" t="str">
        <f>Mau15a!B148&amp;""</f>
        <v/>
      </c>
      <c r="C145" s="47" t="str">
        <f>IF(B145="","",Mau15a!C148)</f>
        <v/>
      </c>
      <c r="D145" s="36" t="str">
        <f>IF(B145="","",Mau15a!D148)</f>
        <v/>
      </c>
      <c r="E145" s="48" t="str">
        <f>IF($B145="","",Mau15a!P148)</f>
        <v/>
      </c>
      <c r="F145" s="48" t="str">
        <f>IF($B145="","",Mau15a!I148)</f>
        <v/>
      </c>
      <c r="G145" s="48" t="str">
        <f t="shared" si="16"/>
        <v/>
      </c>
      <c r="H145" s="49" t="str">
        <f t="shared" si="17"/>
        <v/>
      </c>
      <c r="I145" s="48" t="str">
        <f>IF($B145="","",Mau15a!K148)</f>
        <v/>
      </c>
      <c r="J145" s="48" t="str">
        <f>IF($B145="","",Mau15a!M148)</f>
        <v/>
      </c>
      <c r="K145" s="48" t="str">
        <f t="shared" si="18"/>
        <v/>
      </c>
      <c r="L145" s="49" t="str">
        <f t="shared" si="19"/>
        <v/>
      </c>
      <c r="M145" s="48" t="str">
        <f>IF($B145="","",Mau15a!F148)</f>
        <v/>
      </c>
      <c r="N145" s="51" t="str">
        <f>IF($B145="","",COUNTIF(BOM!$A$5:$A$1004,B145))</f>
        <v/>
      </c>
      <c r="O145" s="49" t="str">
        <f t="shared" si="20"/>
        <v/>
      </c>
      <c r="P145" s="51" t="str">
        <f>IF($B145="","",COUNTIFS(KT_nguoc_theo_SP!$B$5:$B$1004,B145,KT_nguoc_theo_SP!$M$5:$M$1004,"Xem xét"))</f>
        <v/>
      </c>
      <c r="Q145" s="49" t="str">
        <f t="shared" si="21"/>
        <v/>
      </c>
      <c r="R145" s="49" t="str">
        <f t="shared" si="22"/>
        <v/>
      </c>
      <c r="S145" s="31" t="str">
        <f t="shared" si="23"/>
        <v/>
      </c>
    </row>
    <row r="146" spans="1:19" x14ac:dyDescent="0.25">
      <c r="A146" s="36" t="str">
        <f>IF(B146="","",139)</f>
        <v/>
      </c>
      <c r="B146" s="36" t="str">
        <f>Mau15a!B149&amp;""</f>
        <v/>
      </c>
      <c r="C146" s="47" t="str">
        <f>IF(B146="","",Mau15a!C149)</f>
        <v/>
      </c>
      <c r="D146" s="36" t="str">
        <f>IF(B146="","",Mau15a!D149)</f>
        <v/>
      </c>
      <c r="E146" s="48" t="str">
        <f>IF($B146="","",Mau15a!P149)</f>
        <v/>
      </c>
      <c r="F146" s="48" t="str">
        <f>IF($B146="","",Mau15a!I149)</f>
        <v/>
      </c>
      <c r="G146" s="48" t="str">
        <f t="shared" si="16"/>
        <v/>
      </c>
      <c r="H146" s="49" t="str">
        <f t="shared" si="17"/>
        <v/>
      </c>
      <c r="I146" s="48" t="str">
        <f>IF($B146="","",Mau15a!K149)</f>
        <v/>
      </c>
      <c r="J146" s="48" t="str">
        <f>IF($B146="","",Mau15a!M149)</f>
        <v/>
      </c>
      <c r="K146" s="48" t="str">
        <f t="shared" si="18"/>
        <v/>
      </c>
      <c r="L146" s="49" t="str">
        <f t="shared" si="19"/>
        <v/>
      </c>
      <c r="M146" s="48" t="str">
        <f>IF($B146="","",Mau15a!F149)</f>
        <v/>
      </c>
      <c r="N146" s="51" t="str">
        <f>IF($B146="","",COUNTIF(BOM!$A$5:$A$1004,B146))</f>
        <v/>
      </c>
      <c r="O146" s="49" t="str">
        <f t="shared" si="20"/>
        <v/>
      </c>
      <c r="P146" s="51" t="str">
        <f>IF($B146="","",COUNTIFS(KT_nguoc_theo_SP!$B$5:$B$1004,B146,KT_nguoc_theo_SP!$M$5:$M$1004,"Xem xét"))</f>
        <v/>
      </c>
      <c r="Q146" s="49" t="str">
        <f t="shared" si="21"/>
        <v/>
      </c>
      <c r="R146" s="49" t="str">
        <f t="shared" si="22"/>
        <v/>
      </c>
      <c r="S146" s="31" t="str">
        <f t="shared" si="23"/>
        <v/>
      </c>
    </row>
    <row r="147" spans="1:19" x14ac:dyDescent="0.25">
      <c r="A147" s="36" t="str">
        <f>IF(B147="","",140)</f>
        <v/>
      </c>
      <c r="B147" s="36" t="str">
        <f>Mau15a!B150&amp;""</f>
        <v/>
      </c>
      <c r="C147" s="47" t="str">
        <f>IF(B147="","",Mau15a!C150)</f>
        <v/>
      </c>
      <c r="D147" s="36" t="str">
        <f>IF(B147="","",Mau15a!D150)</f>
        <v/>
      </c>
      <c r="E147" s="48" t="str">
        <f>IF($B147="","",Mau15a!P150)</f>
        <v/>
      </c>
      <c r="F147" s="48" t="str">
        <f>IF($B147="","",Mau15a!I150)</f>
        <v/>
      </c>
      <c r="G147" s="48" t="str">
        <f t="shared" si="16"/>
        <v/>
      </c>
      <c r="H147" s="49" t="str">
        <f t="shared" si="17"/>
        <v/>
      </c>
      <c r="I147" s="48" t="str">
        <f>IF($B147="","",Mau15a!K150)</f>
        <v/>
      </c>
      <c r="J147" s="48" t="str">
        <f>IF($B147="","",Mau15a!M150)</f>
        <v/>
      </c>
      <c r="K147" s="48" t="str">
        <f t="shared" si="18"/>
        <v/>
      </c>
      <c r="L147" s="49" t="str">
        <f t="shared" si="19"/>
        <v/>
      </c>
      <c r="M147" s="48" t="str">
        <f>IF($B147="","",Mau15a!F150)</f>
        <v/>
      </c>
      <c r="N147" s="51" t="str">
        <f>IF($B147="","",COUNTIF(BOM!$A$5:$A$1004,B147))</f>
        <v/>
      </c>
      <c r="O147" s="49" t="str">
        <f t="shared" si="20"/>
        <v/>
      </c>
      <c r="P147" s="51" t="str">
        <f>IF($B147="","",COUNTIFS(KT_nguoc_theo_SP!$B$5:$B$1004,B147,KT_nguoc_theo_SP!$M$5:$M$1004,"Xem xét"))</f>
        <v/>
      </c>
      <c r="Q147" s="49" t="str">
        <f t="shared" si="21"/>
        <v/>
      </c>
      <c r="R147" s="49" t="str">
        <f t="shared" si="22"/>
        <v/>
      </c>
      <c r="S147" s="31" t="str">
        <f t="shared" si="23"/>
        <v/>
      </c>
    </row>
    <row r="148" spans="1:19" x14ac:dyDescent="0.25">
      <c r="A148" s="36" t="str">
        <f>IF(B148="","",141)</f>
        <v/>
      </c>
      <c r="B148" s="36" t="str">
        <f>Mau15a!B151&amp;""</f>
        <v/>
      </c>
      <c r="C148" s="47" t="str">
        <f>IF(B148="","",Mau15a!C151)</f>
        <v/>
      </c>
      <c r="D148" s="36" t="str">
        <f>IF(B148="","",Mau15a!D151)</f>
        <v/>
      </c>
      <c r="E148" s="48" t="str">
        <f>IF($B148="","",Mau15a!P151)</f>
        <v/>
      </c>
      <c r="F148" s="48" t="str">
        <f>IF($B148="","",Mau15a!I151)</f>
        <v/>
      </c>
      <c r="G148" s="48" t="str">
        <f t="shared" si="16"/>
        <v/>
      </c>
      <c r="H148" s="49" t="str">
        <f t="shared" si="17"/>
        <v/>
      </c>
      <c r="I148" s="48" t="str">
        <f>IF($B148="","",Mau15a!K151)</f>
        <v/>
      </c>
      <c r="J148" s="48" t="str">
        <f>IF($B148="","",Mau15a!M151)</f>
        <v/>
      </c>
      <c r="K148" s="48" t="str">
        <f t="shared" si="18"/>
        <v/>
      </c>
      <c r="L148" s="49" t="str">
        <f t="shared" si="19"/>
        <v/>
      </c>
      <c r="M148" s="48" t="str">
        <f>IF($B148="","",Mau15a!F151)</f>
        <v/>
      </c>
      <c r="N148" s="51" t="str">
        <f>IF($B148="","",COUNTIF(BOM!$A$5:$A$1004,B148))</f>
        <v/>
      </c>
      <c r="O148" s="49" t="str">
        <f t="shared" si="20"/>
        <v/>
      </c>
      <c r="P148" s="51" t="str">
        <f>IF($B148="","",COUNTIFS(KT_nguoc_theo_SP!$B$5:$B$1004,B148,KT_nguoc_theo_SP!$M$5:$M$1004,"Xem xét"))</f>
        <v/>
      </c>
      <c r="Q148" s="49" t="str">
        <f t="shared" si="21"/>
        <v/>
      </c>
      <c r="R148" s="49" t="str">
        <f t="shared" si="22"/>
        <v/>
      </c>
      <c r="S148" s="31" t="str">
        <f t="shared" si="23"/>
        <v/>
      </c>
    </row>
    <row r="149" spans="1:19" x14ac:dyDescent="0.25">
      <c r="A149" s="36" t="str">
        <f>IF(B149="","",142)</f>
        <v/>
      </c>
      <c r="B149" s="36" t="str">
        <f>Mau15a!B152&amp;""</f>
        <v/>
      </c>
      <c r="C149" s="47" t="str">
        <f>IF(B149="","",Mau15a!C152)</f>
        <v/>
      </c>
      <c r="D149" s="36" t="str">
        <f>IF(B149="","",Mau15a!D152)</f>
        <v/>
      </c>
      <c r="E149" s="48" t="str">
        <f>IF($B149="","",Mau15a!P152)</f>
        <v/>
      </c>
      <c r="F149" s="48" t="str">
        <f>IF($B149="","",Mau15a!I152)</f>
        <v/>
      </c>
      <c r="G149" s="48" t="str">
        <f t="shared" si="16"/>
        <v/>
      </c>
      <c r="H149" s="49" t="str">
        <f t="shared" si="17"/>
        <v/>
      </c>
      <c r="I149" s="48" t="str">
        <f>IF($B149="","",Mau15a!K152)</f>
        <v/>
      </c>
      <c r="J149" s="48" t="str">
        <f>IF($B149="","",Mau15a!M152)</f>
        <v/>
      </c>
      <c r="K149" s="48" t="str">
        <f t="shared" si="18"/>
        <v/>
      </c>
      <c r="L149" s="49" t="str">
        <f t="shared" si="19"/>
        <v/>
      </c>
      <c r="M149" s="48" t="str">
        <f>IF($B149="","",Mau15a!F152)</f>
        <v/>
      </c>
      <c r="N149" s="51" t="str">
        <f>IF($B149="","",COUNTIF(BOM!$A$5:$A$1004,B149))</f>
        <v/>
      </c>
      <c r="O149" s="49" t="str">
        <f t="shared" si="20"/>
        <v/>
      </c>
      <c r="P149" s="51" t="str">
        <f>IF($B149="","",COUNTIFS(KT_nguoc_theo_SP!$B$5:$B$1004,B149,KT_nguoc_theo_SP!$M$5:$M$1004,"Xem xét"))</f>
        <v/>
      </c>
      <c r="Q149" s="49" t="str">
        <f t="shared" si="21"/>
        <v/>
      </c>
      <c r="R149" s="49" t="str">
        <f t="shared" si="22"/>
        <v/>
      </c>
      <c r="S149" s="31" t="str">
        <f t="shared" si="23"/>
        <v/>
      </c>
    </row>
    <row r="150" spans="1:19" x14ac:dyDescent="0.25">
      <c r="A150" s="36" t="str">
        <f>IF(B150="","",143)</f>
        <v/>
      </c>
      <c r="B150" s="36" t="str">
        <f>Mau15a!B153&amp;""</f>
        <v/>
      </c>
      <c r="C150" s="47" t="str">
        <f>IF(B150="","",Mau15a!C153)</f>
        <v/>
      </c>
      <c r="D150" s="36" t="str">
        <f>IF(B150="","",Mau15a!D153)</f>
        <v/>
      </c>
      <c r="E150" s="48" t="str">
        <f>IF($B150="","",Mau15a!P153)</f>
        <v/>
      </c>
      <c r="F150" s="48" t="str">
        <f>IF($B150="","",Mau15a!I153)</f>
        <v/>
      </c>
      <c r="G150" s="48" t="str">
        <f t="shared" si="16"/>
        <v/>
      </c>
      <c r="H150" s="49" t="str">
        <f t="shared" si="17"/>
        <v/>
      </c>
      <c r="I150" s="48" t="str">
        <f>IF($B150="","",Mau15a!K153)</f>
        <v/>
      </c>
      <c r="J150" s="48" t="str">
        <f>IF($B150="","",Mau15a!M153)</f>
        <v/>
      </c>
      <c r="K150" s="48" t="str">
        <f t="shared" si="18"/>
        <v/>
      </c>
      <c r="L150" s="49" t="str">
        <f t="shared" si="19"/>
        <v/>
      </c>
      <c r="M150" s="48" t="str">
        <f>IF($B150="","",Mau15a!F153)</f>
        <v/>
      </c>
      <c r="N150" s="51" t="str">
        <f>IF($B150="","",COUNTIF(BOM!$A$5:$A$1004,B150))</f>
        <v/>
      </c>
      <c r="O150" s="49" t="str">
        <f t="shared" si="20"/>
        <v/>
      </c>
      <c r="P150" s="51" t="str">
        <f>IF($B150="","",COUNTIFS(KT_nguoc_theo_SP!$B$5:$B$1004,B150,KT_nguoc_theo_SP!$M$5:$M$1004,"Xem xét"))</f>
        <v/>
      </c>
      <c r="Q150" s="49" t="str">
        <f t="shared" si="21"/>
        <v/>
      </c>
      <c r="R150" s="49" t="str">
        <f t="shared" si="22"/>
        <v/>
      </c>
      <c r="S150" s="31" t="str">
        <f t="shared" si="23"/>
        <v/>
      </c>
    </row>
    <row r="151" spans="1:19" x14ac:dyDescent="0.25">
      <c r="A151" s="36" t="str">
        <f>IF(B151="","",144)</f>
        <v/>
      </c>
      <c r="B151" s="36" t="str">
        <f>Mau15a!B154&amp;""</f>
        <v/>
      </c>
      <c r="C151" s="47" t="str">
        <f>IF(B151="","",Mau15a!C154)</f>
        <v/>
      </c>
      <c r="D151" s="36" t="str">
        <f>IF(B151="","",Mau15a!D154)</f>
        <v/>
      </c>
      <c r="E151" s="48" t="str">
        <f>IF($B151="","",Mau15a!P154)</f>
        <v/>
      </c>
      <c r="F151" s="48" t="str">
        <f>IF($B151="","",Mau15a!I154)</f>
        <v/>
      </c>
      <c r="G151" s="48" t="str">
        <f t="shared" si="16"/>
        <v/>
      </c>
      <c r="H151" s="49" t="str">
        <f t="shared" si="17"/>
        <v/>
      </c>
      <c r="I151" s="48" t="str">
        <f>IF($B151="","",Mau15a!K154)</f>
        <v/>
      </c>
      <c r="J151" s="48" t="str">
        <f>IF($B151="","",Mau15a!M154)</f>
        <v/>
      </c>
      <c r="K151" s="48" t="str">
        <f t="shared" si="18"/>
        <v/>
      </c>
      <c r="L151" s="49" t="str">
        <f t="shared" si="19"/>
        <v/>
      </c>
      <c r="M151" s="48" t="str">
        <f>IF($B151="","",Mau15a!F154)</f>
        <v/>
      </c>
      <c r="N151" s="51" t="str">
        <f>IF($B151="","",COUNTIF(BOM!$A$5:$A$1004,B151))</f>
        <v/>
      </c>
      <c r="O151" s="49" t="str">
        <f t="shared" si="20"/>
        <v/>
      </c>
      <c r="P151" s="51" t="str">
        <f>IF($B151="","",COUNTIFS(KT_nguoc_theo_SP!$B$5:$B$1004,B151,KT_nguoc_theo_SP!$M$5:$M$1004,"Xem xét"))</f>
        <v/>
      </c>
      <c r="Q151" s="49" t="str">
        <f t="shared" si="21"/>
        <v/>
      </c>
      <c r="R151" s="49" t="str">
        <f t="shared" si="22"/>
        <v/>
      </c>
      <c r="S151" s="31" t="str">
        <f t="shared" si="23"/>
        <v/>
      </c>
    </row>
    <row r="152" spans="1:19" x14ac:dyDescent="0.25">
      <c r="A152" s="36" t="str">
        <f>IF(B152="","",145)</f>
        <v/>
      </c>
      <c r="B152" s="36" t="str">
        <f>Mau15a!B155&amp;""</f>
        <v/>
      </c>
      <c r="C152" s="47" t="str">
        <f>IF(B152="","",Mau15a!C155)</f>
        <v/>
      </c>
      <c r="D152" s="36" t="str">
        <f>IF(B152="","",Mau15a!D155)</f>
        <v/>
      </c>
      <c r="E152" s="48" t="str">
        <f>IF($B152="","",Mau15a!P155)</f>
        <v/>
      </c>
      <c r="F152" s="48" t="str">
        <f>IF($B152="","",Mau15a!I155)</f>
        <v/>
      </c>
      <c r="G152" s="48" t="str">
        <f t="shared" si="16"/>
        <v/>
      </c>
      <c r="H152" s="49" t="str">
        <f t="shared" si="17"/>
        <v/>
      </c>
      <c r="I152" s="48" t="str">
        <f>IF($B152="","",Mau15a!K155)</f>
        <v/>
      </c>
      <c r="J152" s="48" t="str">
        <f>IF($B152="","",Mau15a!M155)</f>
        <v/>
      </c>
      <c r="K152" s="48" t="str">
        <f t="shared" si="18"/>
        <v/>
      </c>
      <c r="L152" s="49" t="str">
        <f t="shared" si="19"/>
        <v/>
      </c>
      <c r="M152" s="48" t="str">
        <f>IF($B152="","",Mau15a!F155)</f>
        <v/>
      </c>
      <c r="N152" s="51" t="str">
        <f>IF($B152="","",COUNTIF(BOM!$A$5:$A$1004,B152))</f>
        <v/>
      </c>
      <c r="O152" s="49" t="str">
        <f t="shared" si="20"/>
        <v/>
      </c>
      <c r="P152" s="51" t="str">
        <f>IF($B152="","",COUNTIFS(KT_nguoc_theo_SP!$B$5:$B$1004,B152,KT_nguoc_theo_SP!$M$5:$M$1004,"Xem xét"))</f>
        <v/>
      </c>
      <c r="Q152" s="49" t="str">
        <f t="shared" si="21"/>
        <v/>
      </c>
      <c r="R152" s="49" t="str">
        <f t="shared" si="22"/>
        <v/>
      </c>
      <c r="S152" s="31" t="str">
        <f t="shared" si="23"/>
        <v/>
      </c>
    </row>
    <row r="153" spans="1:19" x14ac:dyDescent="0.25">
      <c r="A153" s="36" t="str">
        <f>IF(B153="","",146)</f>
        <v/>
      </c>
      <c r="B153" s="36" t="str">
        <f>Mau15a!B156&amp;""</f>
        <v/>
      </c>
      <c r="C153" s="47" t="str">
        <f>IF(B153="","",Mau15a!C156)</f>
        <v/>
      </c>
      <c r="D153" s="36" t="str">
        <f>IF(B153="","",Mau15a!D156)</f>
        <v/>
      </c>
      <c r="E153" s="48" t="str">
        <f>IF($B153="","",Mau15a!P156)</f>
        <v/>
      </c>
      <c r="F153" s="48" t="str">
        <f>IF($B153="","",Mau15a!I156)</f>
        <v/>
      </c>
      <c r="G153" s="48" t="str">
        <f t="shared" si="16"/>
        <v/>
      </c>
      <c r="H153" s="49" t="str">
        <f t="shared" si="17"/>
        <v/>
      </c>
      <c r="I153" s="48" t="str">
        <f>IF($B153="","",Mau15a!K156)</f>
        <v/>
      </c>
      <c r="J153" s="48" t="str">
        <f>IF($B153="","",Mau15a!M156)</f>
        <v/>
      </c>
      <c r="K153" s="48" t="str">
        <f t="shared" si="18"/>
        <v/>
      </c>
      <c r="L153" s="49" t="str">
        <f t="shared" si="19"/>
        <v/>
      </c>
      <c r="M153" s="48" t="str">
        <f>IF($B153="","",Mau15a!F156)</f>
        <v/>
      </c>
      <c r="N153" s="51" t="str">
        <f>IF($B153="","",COUNTIF(BOM!$A$5:$A$1004,B153))</f>
        <v/>
      </c>
      <c r="O153" s="49" t="str">
        <f t="shared" si="20"/>
        <v/>
      </c>
      <c r="P153" s="51" t="str">
        <f>IF($B153="","",COUNTIFS(KT_nguoc_theo_SP!$B$5:$B$1004,B153,KT_nguoc_theo_SP!$M$5:$M$1004,"Xem xét"))</f>
        <v/>
      </c>
      <c r="Q153" s="49" t="str">
        <f t="shared" si="21"/>
        <v/>
      </c>
      <c r="R153" s="49" t="str">
        <f t="shared" si="22"/>
        <v/>
      </c>
      <c r="S153" s="31" t="str">
        <f t="shared" si="23"/>
        <v/>
      </c>
    </row>
    <row r="154" spans="1:19" x14ac:dyDescent="0.25">
      <c r="A154" s="36" t="str">
        <f>IF(B154="","",147)</f>
        <v/>
      </c>
      <c r="B154" s="36" t="str">
        <f>Mau15a!B157&amp;""</f>
        <v/>
      </c>
      <c r="C154" s="47" t="str">
        <f>IF(B154="","",Mau15a!C157)</f>
        <v/>
      </c>
      <c r="D154" s="36" t="str">
        <f>IF(B154="","",Mau15a!D157)</f>
        <v/>
      </c>
      <c r="E154" s="48" t="str">
        <f>IF($B154="","",Mau15a!P157)</f>
        <v/>
      </c>
      <c r="F154" s="48" t="str">
        <f>IF($B154="","",Mau15a!I157)</f>
        <v/>
      </c>
      <c r="G154" s="48" t="str">
        <f t="shared" si="16"/>
        <v/>
      </c>
      <c r="H154" s="49" t="str">
        <f t="shared" si="17"/>
        <v/>
      </c>
      <c r="I154" s="48" t="str">
        <f>IF($B154="","",Mau15a!K157)</f>
        <v/>
      </c>
      <c r="J154" s="48" t="str">
        <f>IF($B154="","",Mau15a!M157)</f>
        <v/>
      </c>
      <c r="K154" s="48" t="str">
        <f t="shared" si="18"/>
        <v/>
      </c>
      <c r="L154" s="49" t="str">
        <f t="shared" si="19"/>
        <v/>
      </c>
      <c r="M154" s="48" t="str">
        <f>IF($B154="","",Mau15a!F157)</f>
        <v/>
      </c>
      <c r="N154" s="51" t="str">
        <f>IF($B154="","",COUNTIF(BOM!$A$5:$A$1004,B154))</f>
        <v/>
      </c>
      <c r="O154" s="49" t="str">
        <f t="shared" si="20"/>
        <v/>
      </c>
      <c r="P154" s="51" t="str">
        <f>IF($B154="","",COUNTIFS(KT_nguoc_theo_SP!$B$5:$B$1004,B154,KT_nguoc_theo_SP!$M$5:$M$1004,"Xem xét"))</f>
        <v/>
      </c>
      <c r="Q154" s="49" t="str">
        <f t="shared" si="21"/>
        <v/>
      </c>
      <c r="R154" s="49" t="str">
        <f t="shared" si="22"/>
        <v/>
      </c>
      <c r="S154" s="31" t="str">
        <f t="shared" si="23"/>
        <v/>
      </c>
    </row>
    <row r="155" spans="1:19" x14ac:dyDescent="0.25">
      <c r="A155" s="36" t="str">
        <f>IF(B155="","",148)</f>
        <v/>
      </c>
      <c r="B155" s="36" t="str">
        <f>Mau15a!B158&amp;""</f>
        <v/>
      </c>
      <c r="C155" s="47" t="str">
        <f>IF(B155="","",Mau15a!C158)</f>
        <v/>
      </c>
      <c r="D155" s="36" t="str">
        <f>IF(B155="","",Mau15a!D158)</f>
        <v/>
      </c>
      <c r="E155" s="48" t="str">
        <f>IF($B155="","",Mau15a!P158)</f>
        <v/>
      </c>
      <c r="F155" s="48" t="str">
        <f>IF($B155="","",Mau15a!I158)</f>
        <v/>
      </c>
      <c r="G155" s="48" t="str">
        <f t="shared" si="16"/>
        <v/>
      </c>
      <c r="H155" s="49" t="str">
        <f t="shared" si="17"/>
        <v/>
      </c>
      <c r="I155" s="48" t="str">
        <f>IF($B155="","",Mau15a!K158)</f>
        <v/>
      </c>
      <c r="J155" s="48" t="str">
        <f>IF($B155="","",Mau15a!M158)</f>
        <v/>
      </c>
      <c r="K155" s="48" t="str">
        <f t="shared" si="18"/>
        <v/>
      </c>
      <c r="L155" s="49" t="str">
        <f t="shared" si="19"/>
        <v/>
      </c>
      <c r="M155" s="48" t="str">
        <f>IF($B155="","",Mau15a!F158)</f>
        <v/>
      </c>
      <c r="N155" s="51" t="str">
        <f>IF($B155="","",COUNTIF(BOM!$A$5:$A$1004,B155))</f>
        <v/>
      </c>
      <c r="O155" s="49" t="str">
        <f t="shared" si="20"/>
        <v/>
      </c>
      <c r="P155" s="51" t="str">
        <f>IF($B155="","",COUNTIFS(KT_nguoc_theo_SP!$B$5:$B$1004,B155,KT_nguoc_theo_SP!$M$5:$M$1004,"Xem xét"))</f>
        <v/>
      </c>
      <c r="Q155" s="49" t="str">
        <f t="shared" si="21"/>
        <v/>
      </c>
      <c r="R155" s="49" t="str">
        <f t="shared" si="22"/>
        <v/>
      </c>
      <c r="S155" s="31" t="str">
        <f t="shared" si="23"/>
        <v/>
      </c>
    </row>
    <row r="156" spans="1:19" x14ac:dyDescent="0.25">
      <c r="A156" s="36" t="str">
        <f>IF(B156="","",149)</f>
        <v/>
      </c>
      <c r="B156" s="36" t="str">
        <f>Mau15a!B159&amp;""</f>
        <v/>
      </c>
      <c r="C156" s="47" t="str">
        <f>IF(B156="","",Mau15a!C159)</f>
        <v/>
      </c>
      <c r="D156" s="36" t="str">
        <f>IF(B156="","",Mau15a!D159)</f>
        <v/>
      </c>
      <c r="E156" s="48" t="str">
        <f>IF($B156="","",Mau15a!P159)</f>
        <v/>
      </c>
      <c r="F156" s="48" t="str">
        <f>IF($B156="","",Mau15a!I159)</f>
        <v/>
      </c>
      <c r="G156" s="48" t="str">
        <f t="shared" si="16"/>
        <v/>
      </c>
      <c r="H156" s="49" t="str">
        <f t="shared" si="17"/>
        <v/>
      </c>
      <c r="I156" s="48" t="str">
        <f>IF($B156="","",Mau15a!K159)</f>
        <v/>
      </c>
      <c r="J156" s="48" t="str">
        <f>IF($B156="","",Mau15a!M159)</f>
        <v/>
      </c>
      <c r="K156" s="48" t="str">
        <f t="shared" si="18"/>
        <v/>
      </c>
      <c r="L156" s="49" t="str">
        <f t="shared" si="19"/>
        <v/>
      </c>
      <c r="M156" s="48" t="str">
        <f>IF($B156="","",Mau15a!F159)</f>
        <v/>
      </c>
      <c r="N156" s="51" t="str">
        <f>IF($B156="","",COUNTIF(BOM!$A$5:$A$1004,B156))</f>
        <v/>
      </c>
      <c r="O156" s="49" t="str">
        <f t="shared" si="20"/>
        <v/>
      </c>
      <c r="P156" s="51" t="str">
        <f>IF($B156="","",COUNTIFS(KT_nguoc_theo_SP!$B$5:$B$1004,B156,KT_nguoc_theo_SP!$M$5:$M$1004,"Xem xét"))</f>
        <v/>
      </c>
      <c r="Q156" s="49" t="str">
        <f t="shared" si="21"/>
        <v/>
      </c>
      <c r="R156" s="49" t="str">
        <f t="shared" si="22"/>
        <v/>
      </c>
      <c r="S156" s="31" t="str">
        <f t="shared" si="23"/>
        <v/>
      </c>
    </row>
    <row r="157" spans="1:19" x14ac:dyDescent="0.25">
      <c r="A157" s="36" t="str">
        <f>IF(B157="","",150)</f>
        <v/>
      </c>
      <c r="B157" s="36" t="str">
        <f>Mau15a!B160&amp;""</f>
        <v/>
      </c>
      <c r="C157" s="47" t="str">
        <f>IF(B157="","",Mau15a!C160)</f>
        <v/>
      </c>
      <c r="D157" s="36" t="str">
        <f>IF(B157="","",Mau15a!D160)</f>
        <v/>
      </c>
      <c r="E157" s="48" t="str">
        <f>IF($B157="","",Mau15a!P160)</f>
        <v/>
      </c>
      <c r="F157" s="48" t="str">
        <f>IF($B157="","",Mau15a!I160)</f>
        <v/>
      </c>
      <c r="G157" s="48" t="str">
        <f t="shared" si="16"/>
        <v/>
      </c>
      <c r="H157" s="49" t="str">
        <f t="shared" si="17"/>
        <v/>
      </c>
      <c r="I157" s="48" t="str">
        <f>IF($B157="","",Mau15a!K160)</f>
        <v/>
      </c>
      <c r="J157" s="48" t="str">
        <f>IF($B157="","",Mau15a!M160)</f>
        <v/>
      </c>
      <c r="K157" s="48" t="str">
        <f t="shared" si="18"/>
        <v/>
      </c>
      <c r="L157" s="49" t="str">
        <f t="shared" si="19"/>
        <v/>
      </c>
      <c r="M157" s="48" t="str">
        <f>IF($B157="","",Mau15a!F160)</f>
        <v/>
      </c>
      <c r="N157" s="51" t="str">
        <f>IF($B157="","",COUNTIF(BOM!$A$5:$A$1004,B157))</f>
        <v/>
      </c>
      <c r="O157" s="49" t="str">
        <f t="shared" si="20"/>
        <v/>
      </c>
      <c r="P157" s="51" t="str">
        <f>IF($B157="","",COUNTIFS(KT_nguoc_theo_SP!$B$5:$B$1004,B157,KT_nguoc_theo_SP!$M$5:$M$1004,"Xem xét"))</f>
        <v/>
      </c>
      <c r="Q157" s="49" t="str">
        <f t="shared" si="21"/>
        <v/>
      </c>
      <c r="R157" s="49" t="str">
        <f t="shared" si="22"/>
        <v/>
      </c>
      <c r="S157" s="31" t="str">
        <f t="shared" si="23"/>
        <v/>
      </c>
    </row>
    <row r="158" spans="1:19" x14ac:dyDescent="0.25">
      <c r="A158" s="36" t="str">
        <f>IF(B158="","",151)</f>
        <v/>
      </c>
      <c r="B158" s="36" t="str">
        <f>Mau15a!B161&amp;""</f>
        <v/>
      </c>
      <c r="C158" s="47" t="str">
        <f>IF(B158="","",Mau15a!C161)</f>
        <v/>
      </c>
      <c r="D158" s="36" t="str">
        <f>IF(B158="","",Mau15a!D161)</f>
        <v/>
      </c>
      <c r="E158" s="48" t="str">
        <f>IF($B158="","",Mau15a!P161)</f>
        <v/>
      </c>
      <c r="F158" s="48" t="str">
        <f>IF($B158="","",Mau15a!I161)</f>
        <v/>
      </c>
      <c r="G158" s="48" t="str">
        <f t="shared" si="16"/>
        <v/>
      </c>
      <c r="H158" s="49" t="str">
        <f t="shared" si="17"/>
        <v/>
      </c>
      <c r="I158" s="48" t="str">
        <f>IF($B158="","",Mau15a!K161)</f>
        <v/>
      </c>
      <c r="J158" s="48" t="str">
        <f>IF($B158="","",Mau15a!M161)</f>
        <v/>
      </c>
      <c r="K158" s="48" t="str">
        <f t="shared" si="18"/>
        <v/>
      </c>
      <c r="L158" s="49" t="str">
        <f t="shared" si="19"/>
        <v/>
      </c>
      <c r="M158" s="48" t="str">
        <f>IF($B158="","",Mau15a!F161)</f>
        <v/>
      </c>
      <c r="N158" s="51" t="str">
        <f>IF($B158="","",COUNTIF(BOM!$A$5:$A$1004,B158))</f>
        <v/>
      </c>
      <c r="O158" s="49" t="str">
        <f t="shared" si="20"/>
        <v/>
      </c>
      <c r="P158" s="51" t="str">
        <f>IF($B158="","",COUNTIFS(KT_nguoc_theo_SP!$B$5:$B$1004,B158,KT_nguoc_theo_SP!$M$5:$M$1004,"Xem xét"))</f>
        <v/>
      </c>
      <c r="Q158" s="49" t="str">
        <f t="shared" si="21"/>
        <v/>
      </c>
      <c r="R158" s="49" t="str">
        <f t="shared" si="22"/>
        <v/>
      </c>
      <c r="S158" s="31" t="str">
        <f t="shared" si="23"/>
        <v/>
      </c>
    </row>
    <row r="159" spans="1:19" x14ac:dyDescent="0.25">
      <c r="A159" s="36" t="str">
        <f>IF(B159="","",152)</f>
        <v/>
      </c>
      <c r="B159" s="36" t="str">
        <f>Mau15a!B162&amp;""</f>
        <v/>
      </c>
      <c r="C159" s="47" t="str">
        <f>IF(B159="","",Mau15a!C162)</f>
        <v/>
      </c>
      <c r="D159" s="36" t="str">
        <f>IF(B159="","",Mau15a!D162)</f>
        <v/>
      </c>
      <c r="E159" s="48" t="str">
        <f>IF($B159="","",Mau15a!P162)</f>
        <v/>
      </c>
      <c r="F159" s="48" t="str">
        <f>IF($B159="","",Mau15a!I162)</f>
        <v/>
      </c>
      <c r="G159" s="48" t="str">
        <f t="shared" si="16"/>
        <v/>
      </c>
      <c r="H159" s="49" t="str">
        <f t="shared" si="17"/>
        <v/>
      </c>
      <c r="I159" s="48" t="str">
        <f>IF($B159="","",Mau15a!K162)</f>
        <v/>
      </c>
      <c r="J159" s="48" t="str">
        <f>IF($B159="","",Mau15a!M162)</f>
        <v/>
      </c>
      <c r="K159" s="48" t="str">
        <f t="shared" si="18"/>
        <v/>
      </c>
      <c r="L159" s="49" t="str">
        <f t="shared" si="19"/>
        <v/>
      </c>
      <c r="M159" s="48" t="str">
        <f>IF($B159="","",Mau15a!F162)</f>
        <v/>
      </c>
      <c r="N159" s="51" t="str">
        <f>IF($B159="","",COUNTIF(BOM!$A$5:$A$1004,B159))</f>
        <v/>
      </c>
      <c r="O159" s="49" t="str">
        <f t="shared" si="20"/>
        <v/>
      </c>
      <c r="P159" s="51" t="str">
        <f>IF($B159="","",COUNTIFS(KT_nguoc_theo_SP!$B$5:$B$1004,B159,KT_nguoc_theo_SP!$M$5:$M$1004,"Xem xét"))</f>
        <v/>
      </c>
      <c r="Q159" s="49" t="str">
        <f t="shared" si="21"/>
        <v/>
      </c>
      <c r="R159" s="49" t="str">
        <f t="shared" si="22"/>
        <v/>
      </c>
      <c r="S159" s="31" t="str">
        <f t="shared" si="23"/>
        <v/>
      </c>
    </row>
    <row r="160" spans="1:19" x14ac:dyDescent="0.25">
      <c r="A160" s="36" t="str">
        <f>IF(B160="","",153)</f>
        <v/>
      </c>
      <c r="B160" s="36" t="str">
        <f>Mau15a!B163&amp;""</f>
        <v/>
      </c>
      <c r="C160" s="47" t="str">
        <f>IF(B160="","",Mau15a!C163)</f>
        <v/>
      </c>
      <c r="D160" s="36" t="str">
        <f>IF(B160="","",Mau15a!D163)</f>
        <v/>
      </c>
      <c r="E160" s="48" t="str">
        <f>IF($B160="","",Mau15a!P163)</f>
        <v/>
      </c>
      <c r="F160" s="48" t="str">
        <f>IF($B160="","",Mau15a!I163)</f>
        <v/>
      </c>
      <c r="G160" s="48" t="str">
        <f t="shared" si="16"/>
        <v/>
      </c>
      <c r="H160" s="49" t="str">
        <f t="shared" si="17"/>
        <v/>
      </c>
      <c r="I160" s="48" t="str">
        <f>IF($B160="","",Mau15a!K163)</f>
        <v/>
      </c>
      <c r="J160" s="48" t="str">
        <f>IF($B160="","",Mau15a!M163)</f>
        <v/>
      </c>
      <c r="K160" s="48" t="str">
        <f t="shared" si="18"/>
        <v/>
      </c>
      <c r="L160" s="49" t="str">
        <f t="shared" si="19"/>
        <v/>
      </c>
      <c r="M160" s="48" t="str">
        <f>IF($B160="","",Mau15a!F163)</f>
        <v/>
      </c>
      <c r="N160" s="51" t="str">
        <f>IF($B160="","",COUNTIF(BOM!$A$5:$A$1004,B160))</f>
        <v/>
      </c>
      <c r="O160" s="49" t="str">
        <f t="shared" si="20"/>
        <v/>
      </c>
      <c r="P160" s="51" t="str">
        <f>IF($B160="","",COUNTIFS(KT_nguoc_theo_SP!$B$5:$B$1004,B160,KT_nguoc_theo_SP!$M$5:$M$1004,"Xem xét"))</f>
        <v/>
      </c>
      <c r="Q160" s="49" t="str">
        <f t="shared" si="21"/>
        <v/>
      </c>
      <c r="R160" s="49" t="str">
        <f t="shared" si="22"/>
        <v/>
      </c>
      <c r="S160" s="31" t="str">
        <f t="shared" si="23"/>
        <v/>
      </c>
    </row>
    <row r="161" spans="1:19" x14ac:dyDescent="0.25">
      <c r="A161" s="36" t="str">
        <f>IF(B161="","",154)</f>
        <v/>
      </c>
      <c r="B161" s="36" t="str">
        <f>Mau15a!B164&amp;""</f>
        <v/>
      </c>
      <c r="C161" s="47" t="str">
        <f>IF(B161="","",Mau15a!C164)</f>
        <v/>
      </c>
      <c r="D161" s="36" t="str">
        <f>IF(B161="","",Mau15a!D164)</f>
        <v/>
      </c>
      <c r="E161" s="48" t="str">
        <f>IF($B161="","",Mau15a!P164)</f>
        <v/>
      </c>
      <c r="F161" s="48" t="str">
        <f>IF($B161="","",Mau15a!I164)</f>
        <v/>
      </c>
      <c r="G161" s="48" t="str">
        <f t="shared" si="16"/>
        <v/>
      </c>
      <c r="H161" s="49" t="str">
        <f t="shared" si="17"/>
        <v/>
      </c>
      <c r="I161" s="48" t="str">
        <f>IF($B161="","",Mau15a!K164)</f>
        <v/>
      </c>
      <c r="J161" s="48" t="str">
        <f>IF($B161="","",Mau15a!M164)</f>
        <v/>
      </c>
      <c r="K161" s="48" t="str">
        <f t="shared" si="18"/>
        <v/>
      </c>
      <c r="L161" s="49" t="str">
        <f t="shared" si="19"/>
        <v/>
      </c>
      <c r="M161" s="48" t="str">
        <f>IF($B161="","",Mau15a!F164)</f>
        <v/>
      </c>
      <c r="N161" s="51" t="str">
        <f>IF($B161="","",COUNTIF(BOM!$A$5:$A$1004,B161))</f>
        <v/>
      </c>
      <c r="O161" s="49" t="str">
        <f t="shared" si="20"/>
        <v/>
      </c>
      <c r="P161" s="51" t="str">
        <f>IF($B161="","",COUNTIFS(KT_nguoc_theo_SP!$B$5:$B$1004,B161,KT_nguoc_theo_SP!$M$5:$M$1004,"Xem xét"))</f>
        <v/>
      </c>
      <c r="Q161" s="49" t="str">
        <f t="shared" si="21"/>
        <v/>
      </c>
      <c r="R161" s="49" t="str">
        <f t="shared" si="22"/>
        <v/>
      </c>
      <c r="S161" s="31" t="str">
        <f t="shared" si="23"/>
        <v/>
      </c>
    </row>
    <row r="162" spans="1:19" x14ac:dyDescent="0.25">
      <c r="A162" s="36" t="str">
        <f>IF(B162="","",155)</f>
        <v/>
      </c>
      <c r="B162" s="36" t="str">
        <f>Mau15a!B165&amp;""</f>
        <v/>
      </c>
      <c r="C162" s="47" t="str">
        <f>IF(B162="","",Mau15a!C165)</f>
        <v/>
      </c>
      <c r="D162" s="36" t="str">
        <f>IF(B162="","",Mau15a!D165)</f>
        <v/>
      </c>
      <c r="E162" s="48" t="str">
        <f>IF($B162="","",Mau15a!P165)</f>
        <v/>
      </c>
      <c r="F162" s="48" t="str">
        <f>IF($B162="","",Mau15a!I165)</f>
        <v/>
      </c>
      <c r="G162" s="48" t="str">
        <f t="shared" si="16"/>
        <v/>
      </c>
      <c r="H162" s="49" t="str">
        <f t="shared" si="17"/>
        <v/>
      </c>
      <c r="I162" s="48" t="str">
        <f>IF($B162="","",Mau15a!K165)</f>
        <v/>
      </c>
      <c r="J162" s="48" t="str">
        <f>IF($B162="","",Mau15a!M165)</f>
        <v/>
      </c>
      <c r="K162" s="48" t="str">
        <f t="shared" si="18"/>
        <v/>
      </c>
      <c r="L162" s="49" t="str">
        <f t="shared" si="19"/>
        <v/>
      </c>
      <c r="M162" s="48" t="str">
        <f>IF($B162="","",Mau15a!F165)</f>
        <v/>
      </c>
      <c r="N162" s="51" t="str">
        <f>IF($B162="","",COUNTIF(BOM!$A$5:$A$1004,B162))</f>
        <v/>
      </c>
      <c r="O162" s="49" t="str">
        <f t="shared" si="20"/>
        <v/>
      </c>
      <c r="P162" s="51" t="str">
        <f>IF($B162="","",COUNTIFS(KT_nguoc_theo_SP!$B$5:$B$1004,B162,KT_nguoc_theo_SP!$M$5:$M$1004,"Xem xét"))</f>
        <v/>
      </c>
      <c r="Q162" s="49" t="str">
        <f t="shared" si="21"/>
        <v/>
      </c>
      <c r="R162" s="49" t="str">
        <f t="shared" si="22"/>
        <v/>
      </c>
      <c r="S162" s="31" t="str">
        <f t="shared" si="23"/>
        <v/>
      </c>
    </row>
    <row r="163" spans="1:19" x14ac:dyDescent="0.25">
      <c r="A163" s="36" t="str">
        <f>IF(B163="","",156)</f>
        <v/>
      </c>
      <c r="B163" s="36" t="str">
        <f>Mau15a!B166&amp;""</f>
        <v/>
      </c>
      <c r="C163" s="47" t="str">
        <f>IF(B163="","",Mau15a!C166)</f>
        <v/>
      </c>
      <c r="D163" s="36" t="str">
        <f>IF(B163="","",Mau15a!D166)</f>
        <v/>
      </c>
      <c r="E163" s="48" t="str">
        <f>IF($B163="","",Mau15a!P166)</f>
        <v/>
      </c>
      <c r="F163" s="48" t="str">
        <f>IF($B163="","",Mau15a!I166)</f>
        <v/>
      </c>
      <c r="G163" s="48" t="str">
        <f t="shared" si="16"/>
        <v/>
      </c>
      <c r="H163" s="49" t="str">
        <f t="shared" si="17"/>
        <v/>
      </c>
      <c r="I163" s="48" t="str">
        <f>IF($B163="","",Mau15a!K166)</f>
        <v/>
      </c>
      <c r="J163" s="48" t="str">
        <f>IF($B163="","",Mau15a!M166)</f>
        <v/>
      </c>
      <c r="K163" s="48" t="str">
        <f t="shared" si="18"/>
        <v/>
      </c>
      <c r="L163" s="49" t="str">
        <f t="shared" si="19"/>
        <v/>
      </c>
      <c r="M163" s="48" t="str">
        <f>IF($B163="","",Mau15a!F166)</f>
        <v/>
      </c>
      <c r="N163" s="51" t="str">
        <f>IF($B163="","",COUNTIF(BOM!$A$5:$A$1004,B163))</f>
        <v/>
      </c>
      <c r="O163" s="49" t="str">
        <f t="shared" si="20"/>
        <v/>
      </c>
      <c r="P163" s="51" t="str">
        <f>IF($B163="","",COUNTIFS(KT_nguoc_theo_SP!$B$5:$B$1004,B163,KT_nguoc_theo_SP!$M$5:$M$1004,"Xem xét"))</f>
        <v/>
      </c>
      <c r="Q163" s="49" t="str">
        <f t="shared" si="21"/>
        <v/>
      </c>
      <c r="R163" s="49" t="str">
        <f t="shared" si="22"/>
        <v/>
      </c>
      <c r="S163" s="31" t="str">
        <f t="shared" si="23"/>
        <v/>
      </c>
    </row>
    <row r="164" spans="1:19" x14ac:dyDescent="0.25">
      <c r="A164" s="36" t="str">
        <f>IF(B164="","",157)</f>
        <v/>
      </c>
      <c r="B164" s="36" t="str">
        <f>Mau15a!B167&amp;""</f>
        <v/>
      </c>
      <c r="C164" s="47" t="str">
        <f>IF(B164="","",Mau15a!C167)</f>
        <v/>
      </c>
      <c r="D164" s="36" t="str">
        <f>IF(B164="","",Mau15a!D167)</f>
        <v/>
      </c>
      <c r="E164" s="48" t="str">
        <f>IF($B164="","",Mau15a!P167)</f>
        <v/>
      </c>
      <c r="F164" s="48" t="str">
        <f>IF($B164="","",Mau15a!I167)</f>
        <v/>
      </c>
      <c r="G164" s="48" t="str">
        <f t="shared" si="16"/>
        <v/>
      </c>
      <c r="H164" s="49" t="str">
        <f t="shared" si="17"/>
        <v/>
      </c>
      <c r="I164" s="48" t="str">
        <f>IF($B164="","",Mau15a!K167)</f>
        <v/>
      </c>
      <c r="J164" s="48" t="str">
        <f>IF($B164="","",Mau15a!M167)</f>
        <v/>
      </c>
      <c r="K164" s="48" t="str">
        <f t="shared" si="18"/>
        <v/>
      </c>
      <c r="L164" s="49" t="str">
        <f t="shared" si="19"/>
        <v/>
      </c>
      <c r="M164" s="48" t="str">
        <f>IF($B164="","",Mau15a!F167)</f>
        <v/>
      </c>
      <c r="N164" s="51" t="str">
        <f>IF($B164="","",COUNTIF(BOM!$A$5:$A$1004,B164))</f>
        <v/>
      </c>
      <c r="O164" s="49" t="str">
        <f t="shared" si="20"/>
        <v/>
      </c>
      <c r="P164" s="51" t="str">
        <f>IF($B164="","",COUNTIFS(KT_nguoc_theo_SP!$B$5:$B$1004,B164,KT_nguoc_theo_SP!$M$5:$M$1004,"Xem xét"))</f>
        <v/>
      </c>
      <c r="Q164" s="49" t="str">
        <f t="shared" si="21"/>
        <v/>
      </c>
      <c r="R164" s="49" t="str">
        <f t="shared" si="22"/>
        <v/>
      </c>
      <c r="S164" s="31" t="str">
        <f t="shared" si="23"/>
        <v/>
      </c>
    </row>
    <row r="165" spans="1:19" x14ac:dyDescent="0.25">
      <c r="A165" s="36" t="str">
        <f>IF(B165="","",158)</f>
        <v/>
      </c>
      <c r="B165" s="36" t="str">
        <f>Mau15a!B168&amp;""</f>
        <v/>
      </c>
      <c r="C165" s="47" t="str">
        <f>IF(B165="","",Mau15a!C168)</f>
        <v/>
      </c>
      <c r="D165" s="36" t="str">
        <f>IF(B165="","",Mau15a!D168)</f>
        <v/>
      </c>
      <c r="E165" s="48" t="str">
        <f>IF($B165="","",Mau15a!P168)</f>
        <v/>
      </c>
      <c r="F165" s="48" t="str">
        <f>IF($B165="","",Mau15a!I168)</f>
        <v/>
      </c>
      <c r="G165" s="48" t="str">
        <f t="shared" si="16"/>
        <v/>
      </c>
      <c r="H165" s="49" t="str">
        <f t="shared" si="17"/>
        <v/>
      </c>
      <c r="I165" s="48" t="str">
        <f>IF($B165="","",Mau15a!K168)</f>
        <v/>
      </c>
      <c r="J165" s="48" t="str">
        <f>IF($B165="","",Mau15a!M168)</f>
        <v/>
      </c>
      <c r="K165" s="48" t="str">
        <f t="shared" si="18"/>
        <v/>
      </c>
      <c r="L165" s="49" t="str">
        <f t="shared" si="19"/>
        <v/>
      </c>
      <c r="M165" s="48" t="str">
        <f>IF($B165="","",Mau15a!F168)</f>
        <v/>
      </c>
      <c r="N165" s="51" t="str">
        <f>IF($B165="","",COUNTIF(BOM!$A$5:$A$1004,B165))</f>
        <v/>
      </c>
      <c r="O165" s="49" t="str">
        <f t="shared" si="20"/>
        <v/>
      </c>
      <c r="P165" s="51" t="str">
        <f>IF($B165="","",COUNTIFS(KT_nguoc_theo_SP!$B$5:$B$1004,B165,KT_nguoc_theo_SP!$M$5:$M$1004,"Xem xét"))</f>
        <v/>
      </c>
      <c r="Q165" s="49" t="str">
        <f t="shared" si="21"/>
        <v/>
      </c>
      <c r="R165" s="49" t="str">
        <f t="shared" si="22"/>
        <v/>
      </c>
      <c r="S165" s="31" t="str">
        <f t="shared" si="23"/>
        <v/>
      </c>
    </row>
    <row r="166" spans="1:19" x14ac:dyDescent="0.25">
      <c r="A166" s="36" t="str">
        <f>IF(B166="","",159)</f>
        <v/>
      </c>
      <c r="B166" s="36" t="str">
        <f>Mau15a!B169&amp;""</f>
        <v/>
      </c>
      <c r="C166" s="47" t="str">
        <f>IF(B166="","",Mau15a!C169)</f>
        <v/>
      </c>
      <c r="D166" s="36" t="str">
        <f>IF(B166="","",Mau15a!D169)</f>
        <v/>
      </c>
      <c r="E166" s="48" t="str">
        <f>IF($B166="","",Mau15a!P169)</f>
        <v/>
      </c>
      <c r="F166" s="48" t="str">
        <f>IF($B166="","",Mau15a!I169)</f>
        <v/>
      </c>
      <c r="G166" s="48" t="str">
        <f t="shared" si="16"/>
        <v/>
      </c>
      <c r="H166" s="49" t="str">
        <f t="shared" si="17"/>
        <v/>
      </c>
      <c r="I166" s="48" t="str">
        <f>IF($B166="","",Mau15a!K169)</f>
        <v/>
      </c>
      <c r="J166" s="48" t="str">
        <f>IF($B166="","",Mau15a!M169)</f>
        <v/>
      </c>
      <c r="K166" s="48" t="str">
        <f t="shared" si="18"/>
        <v/>
      </c>
      <c r="L166" s="49" t="str">
        <f t="shared" si="19"/>
        <v/>
      </c>
      <c r="M166" s="48" t="str">
        <f>IF($B166="","",Mau15a!F169)</f>
        <v/>
      </c>
      <c r="N166" s="51" t="str">
        <f>IF($B166="","",COUNTIF(BOM!$A$5:$A$1004,B166))</f>
        <v/>
      </c>
      <c r="O166" s="49" t="str">
        <f t="shared" si="20"/>
        <v/>
      </c>
      <c r="P166" s="51" t="str">
        <f>IF($B166="","",COUNTIFS(KT_nguoc_theo_SP!$B$5:$B$1004,B166,KT_nguoc_theo_SP!$M$5:$M$1004,"Xem xét"))</f>
        <v/>
      </c>
      <c r="Q166" s="49" t="str">
        <f t="shared" si="21"/>
        <v/>
      </c>
      <c r="R166" s="49" t="str">
        <f t="shared" si="22"/>
        <v/>
      </c>
      <c r="S166" s="31" t="str">
        <f t="shared" si="23"/>
        <v/>
      </c>
    </row>
    <row r="167" spans="1:19" x14ac:dyDescent="0.25">
      <c r="A167" s="36" t="str">
        <f>IF(B167="","",160)</f>
        <v/>
      </c>
      <c r="B167" s="36" t="str">
        <f>Mau15a!B170&amp;""</f>
        <v/>
      </c>
      <c r="C167" s="47" t="str">
        <f>IF(B167="","",Mau15a!C170)</f>
        <v/>
      </c>
      <c r="D167" s="36" t="str">
        <f>IF(B167="","",Mau15a!D170)</f>
        <v/>
      </c>
      <c r="E167" s="48" t="str">
        <f>IF($B167="","",Mau15a!P170)</f>
        <v/>
      </c>
      <c r="F167" s="48" t="str">
        <f>IF($B167="","",Mau15a!I170)</f>
        <v/>
      </c>
      <c r="G167" s="48" t="str">
        <f t="shared" si="16"/>
        <v/>
      </c>
      <c r="H167" s="49" t="str">
        <f t="shared" si="17"/>
        <v/>
      </c>
      <c r="I167" s="48" t="str">
        <f>IF($B167="","",Mau15a!K170)</f>
        <v/>
      </c>
      <c r="J167" s="48" t="str">
        <f>IF($B167="","",Mau15a!M170)</f>
        <v/>
      </c>
      <c r="K167" s="48" t="str">
        <f t="shared" si="18"/>
        <v/>
      </c>
      <c r="L167" s="49" t="str">
        <f t="shared" si="19"/>
        <v/>
      </c>
      <c r="M167" s="48" t="str">
        <f>IF($B167="","",Mau15a!F170)</f>
        <v/>
      </c>
      <c r="N167" s="51" t="str">
        <f>IF($B167="","",COUNTIF(BOM!$A$5:$A$1004,B167))</f>
        <v/>
      </c>
      <c r="O167" s="49" t="str">
        <f t="shared" si="20"/>
        <v/>
      </c>
      <c r="P167" s="51" t="str">
        <f>IF($B167="","",COUNTIFS(KT_nguoc_theo_SP!$B$5:$B$1004,B167,KT_nguoc_theo_SP!$M$5:$M$1004,"Xem xét"))</f>
        <v/>
      </c>
      <c r="Q167" s="49" t="str">
        <f t="shared" si="21"/>
        <v/>
      </c>
      <c r="R167" s="49" t="str">
        <f t="shared" si="22"/>
        <v/>
      </c>
      <c r="S167" s="31" t="str">
        <f t="shared" si="23"/>
        <v/>
      </c>
    </row>
    <row r="168" spans="1:19" x14ac:dyDescent="0.25">
      <c r="A168" s="36" t="str">
        <f>IF(B168="","",161)</f>
        <v/>
      </c>
      <c r="B168" s="36" t="str">
        <f>Mau15a!B171&amp;""</f>
        <v/>
      </c>
      <c r="C168" s="47" t="str">
        <f>IF(B168="","",Mau15a!C171)</f>
        <v/>
      </c>
      <c r="D168" s="36" t="str">
        <f>IF(B168="","",Mau15a!D171)</f>
        <v/>
      </c>
      <c r="E168" s="48" t="str">
        <f>IF($B168="","",Mau15a!P171)</f>
        <v/>
      </c>
      <c r="F168" s="48" t="str">
        <f>IF($B168="","",Mau15a!I171)</f>
        <v/>
      </c>
      <c r="G168" s="48" t="str">
        <f t="shared" si="16"/>
        <v/>
      </c>
      <c r="H168" s="49" t="str">
        <f t="shared" si="17"/>
        <v/>
      </c>
      <c r="I168" s="48" t="str">
        <f>IF($B168="","",Mau15a!K171)</f>
        <v/>
      </c>
      <c r="J168" s="48" t="str">
        <f>IF($B168="","",Mau15a!M171)</f>
        <v/>
      </c>
      <c r="K168" s="48" t="str">
        <f t="shared" si="18"/>
        <v/>
      </c>
      <c r="L168" s="49" t="str">
        <f t="shared" si="19"/>
        <v/>
      </c>
      <c r="M168" s="48" t="str">
        <f>IF($B168="","",Mau15a!F171)</f>
        <v/>
      </c>
      <c r="N168" s="51" t="str">
        <f>IF($B168="","",COUNTIF(BOM!$A$5:$A$1004,B168))</f>
        <v/>
      </c>
      <c r="O168" s="49" t="str">
        <f t="shared" si="20"/>
        <v/>
      </c>
      <c r="P168" s="51" t="str">
        <f>IF($B168="","",COUNTIFS(KT_nguoc_theo_SP!$B$5:$B$1004,B168,KT_nguoc_theo_SP!$M$5:$M$1004,"Xem xét"))</f>
        <v/>
      </c>
      <c r="Q168" s="49" t="str">
        <f t="shared" si="21"/>
        <v/>
      </c>
      <c r="R168" s="49" t="str">
        <f t="shared" si="22"/>
        <v/>
      </c>
      <c r="S168" s="31" t="str">
        <f t="shared" si="23"/>
        <v/>
      </c>
    </row>
    <row r="169" spans="1:19" x14ac:dyDescent="0.25">
      <c r="A169" s="36" t="str">
        <f>IF(B169="","",162)</f>
        <v/>
      </c>
      <c r="B169" s="36" t="str">
        <f>Mau15a!B172&amp;""</f>
        <v/>
      </c>
      <c r="C169" s="47" t="str">
        <f>IF(B169="","",Mau15a!C172)</f>
        <v/>
      </c>
      <c r="D169" s="36" t="str">
        <f>IF(B169="","",Mau15a!D172)</f>
        <v/>
      </c>
      <c r="E169" s="48" t="str">
        <f>IF($B169="","",Mau15a!P172)</f>
        <v/>
      </c>
      <c r="F169" s="48" t="str">
        <f>IF($B169="","",Mau15a!I172)</f>
        <v/>
      </c>
      <c r="G169" s="48" t="str">
        <f t="shared" si="16"/>
        <v/>
      </c>
      <c r="H169" s="49" t="str">
        <f t="shared" si="17"/>
        <v/>
      </c>
      <c r="I169" s="48" t="str">
        <f>IF($B169="","",Mau15a!K172)</f>
        <v/>
      </c>
      <c r="J169" s="48" t="str">
        <f>IF($B169="","",Mau15a!M172)</f>
        <v/>
      </c>
      <c r="K169" s="48" t="str">
        <f t="shared" si="18"/>
        <v/>
      </c>
      <c r="L169" s="49" t="str">
        <f t="shared" si="19"/>
        <v/>
      </c>
      <c r="M169" s="48" t="str">
        <f>IF($B169="","",Mau15a!F172)</f>
        <v/>
      </c>
      <c r="N169" s="51" t="str">
        <f>IF($B169="","",COUNTIF(BOM!$A$5:$A$1004,B169))</f>
        <v/>
      </c>
      <c r="O169" s="49" t="str">
        <f t="shared" si="20"/>
        <v/>
      </c>
      <c r="P169" s="51" t="str">
        <f>IF($B169="","",COUNTIFS(KT_nguoc_theo_SP!$B$5:$B$1004,B169,KT_nguoc_theo_SP!$M$5:$M$1004,"Xem xét"))</f>
        <v/>
      </c>
      <c r="Q169" s="49" t="str">
        <f t="shared" si="21"/>
        <v/>
      </c>
      <c r="R169" s="49" t="str">
        <f t="shared" si="22"/>
        <v/>
      </c>
      <c r="S169" s="31" t="str">
        <f t="shared" si="23"/>
        <v/>
      </c>
    </row>
    <row r="170" spans="1:19" x14ac:dyDescent="0.25">
      <c r="A170" s="36" t="str">
        <f>IF(B170="","",163)</f>
        <v/>
      </c>
      <c r="B170" s="36" t="str">
        <f>Mau15a!B173&amp;""</f>
        <v/>
      </c>
      <c r="C170" s="47" t="str">
        <f>IF(B170="","",Mau15a!C173)</f>
        <v/>
      </c>
      <c r="D170" s="36" t="str">
        <f>IF(B170="","",Mau15a!D173)</f>
        <v/>
      </c>
      <c r="E170" s="48" t="str">
        <f>IF($B170="","",Mau15a!P173)</f>
        <v/>
      </c>
      <c r="F170" s="48" t="str">
        <f>IF($B170="","",Mau15a!I173)</f>
        <v/>
      </c>
      <c r="G170" s="48" t="str">
        <f t="shared" si="16"/>
        <v/>
      </c>
      <c r="H170" s="49" t="str">
        <f t="shared" si="17"/>
        <v/>
      </c>
      <c r="I170" s="48" t="str">
        <f>IF($B170="","",Mau15a!K173)</f>
        <v/>
      </c>
      <c r="J170" s="48" t="str">
        <f>IF($B170="","",Mau15a!M173)</f>
        <v/>
      </c>
      <c r="K170" s="48" t="str">
        <f t="shared" si="18"/>
        <v/>
      </c>
      <c r="L170" s="49" t="str">
        <f t="shared" si="19"/>
        <v/>
      </c>
      <c r="M170" s="48" t="str">
        <f>IF($B170="","",Mau15a!F173)</f>
        <v/>
      </c>
      <c r="N170" s="51" t="str">
        <f>IF($B170="","",COUNTIF(BOM!$A$5:$A$1004,B170))</f>
        <v/>
      </c>
      <c r="O170" s="49" t="str">
        <f t="shared" si="20"/>
        <v/>
      </c>
      <c r="P170" s="51" t="str">
        <f>IF($B170="","",COUNTIFS(KT_nguoc_theo_SP!$B$5:$B$1004,B170,KT_nguoc_theo_SP!$M$5:$M$1004,"Xem xét"))</f>
        <v/>
      </c>
      <c r="Q170" s="49" t="str">
        <f t="shared" si="21"/>
        <v/>
      </c>
      <c r="R170" s="49" t="str">
        <f t="shared" si="22"/>
        <v/>
      </c>
      <c r="S170" s="31" t="str">
        <f t="shared" si="23"/>
        <v/>
      </c>
    </row>
    <row r="171" spans="1:19" x14ac:dyDescent="0.25">
      <c r="A171" s="36" t="str">
        <f>IF(B171="","",164)</f>
        <v/>
      </c>
      <c r="B171" s="36" t="str">
        <f>Mau15a!B174&amp;""</f>
        <v/>
      </c>
      <c r="C171" s="47" t="str">
        <f>IF(B171="","",Mau15a!C174)</f>
        <v/>
      </c>
      <c r="D171" s="36" t="str">
        <f>IF(B171="","",Mau15a!D174)</f>
        <v/>
      </c>
      <c r="E171" s="48" t="str">
        <f>IF($B171="","",Mau15a!P174)</f>
        <v/>
      </c>
      <c r="F171" s="48" t="str">
        <f>IF($B171="","",Mau15a!I174)</f>
        <v/>
      </c>
      <c r="G171" s="48" t="str">
        <f t="shared" si="16"/>
        <v/>
      </c>
      <c r="H171" s="49" t="str">
        <f t="shared" si="17"/>
        <v/>
      </c>
      <c r="I171" s="48" t="str">
        <f>IF($B171="","",Mau15a!K174)</f>
        <v/>
      </c>
      <c r="J171" s="48" t="str">
        <f>IF($B171="","",Mau15a!M174)</f>
        <v/>
      </c>
      <c r="K171" s="48" t="str">
        <f t="shared" si="18"/>
        <v/>
      </c>
      <c r="L171" s="49" t="str">
        <f t="shared" si="19"/>
        <v/>
      </c>
      <c r="M171" s="48" t="str">
        <f>IF($B171="","",Mau15a!F174)</f>
        <v/>
      </c>
      <c r="N171" s="51" t="str">
        <f>IF($B171="","",COUNTIF(BOM!$A$5:$A$1004,B171))</f>
        <v/>
      </c>
      <c r="O171" s="49" t="str">
        <f t="shared" si="20"/>
        <v/>
      </c>
      <c r="P171" s="51" t="str">
        <f>IF($B171="","",COUNTIFS(KT_nguoc_theo_SP!$B$5:$B$1004,B171,KT_nguoc_theo_SP!$M$5:$M$1004,"Xem xét"))</f>
        <v/>
      </c>
      <c r="Q171" s="49" t="str">
        <f t="shared" si="21"/>
        <v/>
      </c>
      <c r="R171" s="49" t="str">
        <f t="shared" si="22"/>
        <v/>
      </c>
      <c r="S171" s="31" t="str">
        <f t="shared" si="23"/>
        <v/>
      </c>
    </row>
    <row r="172" spans="1:19" x14ac:dyDescent="0.25">
      <c r="A172" s="36" t="str">
        <f>IF(B172="","",165)</f>
        <v/>
      </c>
      <c r="B172" s="36" t="str">
        <f>Mau15a!B175&amp;""</f>
        <v/>
      </c>
      <c r="C172" s="47" t="str">
        <f>IF(B172="","",Mau15a!C175)</f>
        <v/>
      </c>
      <c r="D172" s="36" t="str">
        <f>IF(B172="","",Mau15a!D175)</f>
        <v/>
      </c>
      <c r="E172" s="48" t="str">
        <f>IF($B172="","",Mau15a!P175)</f>
        <v/>
      </c>
      <c r="F172" s="48" t="str">
        <f>IF($B172="","",Mau15a!I175)</f>
        <v/>
      </c>
      <c r="G172" s="48" t="str">
        <f t="shared" si="16"/>
        <v/>
      </c>
      <c r="H172" s="49" t="str">
        <f t="shared" si="17"/>
        <v/>
      </c>
      <c r="I172" s="48" t="str">
        <f>IF($B172="","",Mau15a!K175)</f>
        <v/>
      </c>
      <c r="J172" s="48" t="str">
        <f>IF($B172="","",Mau15a!M175)</f>
        <v/>
      </c>
      <c r="K172" s="48" t="str">
        <f t="shared" si="18"/>
        <v/>
      </c>
      <c r="L172" s="49" t="str">
        <f t="shared" si="19"/>
        <v/>
      </c>
      <c r="M172" s="48" t="str">
        <f>IF($B172="","",Mau15a!F175)</f>
        <v/>
      </c>
      <c r="N172" s="51" t="str">
        <f>IF($B172="","",COUNTIF(BOM!$A$5:$A$1004,B172))</f>
        <v/>
      </c>
      <c r="O172" s="49" t="str">
        <f t="shared" si="20"/>
        <v/>
      </c>
      <c r="P172" s="51" t="str">
        <f>IF($B172="","",COUNTIFS(KT_nguoc_theo_SP!$B$5:$B$1004,B172,KT_nguoc_theo_SP!$M$5:$M$1004,"Xem xét"))</f>
        <v/>
      </c>
      <c r="Q172" s="49" t="str">
        <f t="shared" si="21"/>
        <v/>
      </c>
      <c r="R172" s="49" t="str">
        <f t="shared" si="22"/>
        <v/>
      </c>
      <c r="S172" s="31" t="str">
        <f t="shared" si="23"/>
        <v/>
      </c>
    </row>
    <row r="173" spans="1:19" x14ac:dyDescent="0.25">
      <c r="A173" s="36" t="str">
        <f>IF(B173="","",166)</f>
        <v/>
      </c>
      <c r="B173" s="36" t="str">
        <f>Mau15a!B176&amp;""</f>
        <v/>
      </c>
      <c r="C173" s="47" t="str">
        <f>IF(B173="","",Mau15a!C176)</f>
        <v/>
      </c>
      <c r="D173" s="36" t="str">
        <f>IF(B173="","",Mau15a!D176)</f>
        <v/>
      </c>
      <c r="E173" s="48" t="str">
        <f>IF($B173="","",Mau15a!P176)</f>
        <v/>
      </c>
      <c r="F173" s="48" t="str">
        <f>IF($B173="","",Mau15a!I176)</f>
        <v/>
      </c>
      <c r="G173" s="48" t="str">
        <f t="shared" si="16"/>
        <v/>
      </c>
      <c r="H173" s="49" t="str">
        <f t="shared" si="17"/>
        <v/>
      </c>
      <c r="I173" s="48" t="str">
        <f>IF($B173="","",Mau15a!K176)</f>
        <v/>
      </c>
      <c r="J173" s="48" t="str">
        <f>IF($B173="","",Mau15a!M176)</f>
        <v/>
      </c>
      <c r="K173" s="48" t="str">
        <f t="shared" si="18"/>
        <v/>
      </c>
      <c r="L173" s="49" t="str">
        <f t="shared" si="19"/>
        <v/>
      </c>
      <c r="M173" s="48" t="str">
        <f>IF($B173="","",Mau15a!F176)</f>
        <v/>
      </c>
      <c r="N173" s="51" t="str">
        <f>IF($B173="","",COUNTIF(BOM!$A$5:$A$1004,B173))</f>
        <v/>
      </c>
      <c r="O173" s="49" t="str">
        <f t="shared" si="20"/>
        <v/>
      </c>
      <c r="P173" s="51" t="str">
        <f>IF($B173="","",COUNTIFS(KT_nguoc_theo_SP!$B$5:$B$1004,B173,KT_nguoc_theo_SP!$M$5:$M$1004,"Xem xét"))</f>
        <v/>
      </c>
      <c r="Q173" s="49" t="str">
        <f t="shared" si="21"/>
        <v/>
      </c>
      <c r="R173" s="49" t="str">
        <f t="shared" si="22"/>
        <v/>
      </c>
      <c r="S173" s="31" t="str">
        <f t="shared" si="23"/>
        <v/>
      </c>
    </row>
    <row r="174" spans="1:19" x14ac:dyDescent="0.25">
      <c r="A174" s="36" t="str">
        <f>IF(B174="","",167)</f>
        <v/>
      </c>
      <c r="B174" s="36" t="str">
        <f>Mau15a!B177&amp;""</f>
        <v/>
      </c>
      <c r="C174" s="47" t="str">
        <f>IF(B174="","",Mau15a!C177)</f>
        <v/>
      </c>
      <c r="D174" s="36" t="str">
        <f>IF(B174="","",Mau15a!D177)</f>
        <v/>
      </c>
      <c r="E174" s="48" t="str">
        <f>IF($B174="","",Mau15a!P177)</f>
        <v/>
      </c>
      <c r="F174" s="48" t="str">
        <f>IF($B174="","",Mau15a!I177)</f>
        <v/>
      </c>
      <c r="G174" s="48" t="str">
        <f t="shared" si="16"/>
        <v/>
      </c>
      <c r="H174" s="49" t="str">
        <f t="shared" si="17"/>
        <v/>
      </c>
      <c r="I174" s="48" t="str">
        <f>IF($B174="","",Mau15a!K177)</f>
        <v/>
      </c>
      <c r="J174" s="48" t="str">
        <f>IF($B174="","",Mau15a!M177)</f>
        <v/>
      </c>
      <c r="K174" s="48" t="str">
        <f t="shared" si="18"/>
        <v/>
      </c>
      <c r="L174" s="49" t="str">
        <f t="shared" si="19"/>
        <v/>
      </c>
      <c r="M174" s="48" t="str">
        <f>IF($B174="","",Mau15a!F177)</f>
        <v/>
      </c>
      <c r="N174" s="51" t="str">
        <f>IF($B174="","",COUNTIF(BOM!$A$5:$A$1004,B174))</f>
        <v/>
      </c>
      <c r="O174" s="49" t="str">
        <f t="shared" si="20"/>
        <v/>
      </c>
      <c r="P174" s="51" t="str">
        <f>IF($B174="","",COUNTIFS(KT_nguoc_theo_SP!$B$5:$B$1004,B174,KT_nguoc_theo_SP!$M$5:$M$1004,"Xem xét"))</f>
        <v/>
      </c>
      <c r="Q174" s="49" t="str">
        <f t="shared" si="21"/>
        <v/>
      </c>
      <c r="R174" s="49" t="str">
        <f t="shared" si="22"/>
        <v/>
      </c>
      <c r="S174" s="31" t="str">
        <f t="shared" si="23"/>
        <v/>
      </c>
    </row>
    <row r="175" spans="1:19" x14ac:dyDescent="0.25">
      <c r="A175" s="36" t="str">
        <f>IF(B175="","",168)</f>
        <v/>
      </c>
      <c r="B175" s="36" t="str">
        <f>Mau15a!B178&amp;""</f>
        <v/>
      </c>
      <c r="C175" s="47" t="str">
        <f>IF(B175="","",Mau15a!C178)</f>
        <v/>
      </c>
      <c r="D175" s="36" t="str">
        <f>IF(B175="","",Mau15a!D178)</f>
        <v/>
      </c>
      <c r="E175" s="48" t="str">
        <f>IF($B175="","",Mau15a!P178)</f>
        <v/>
      </c>
      <c r="F175" s="48" t="str">
        <f>IF($B175="","",Mau15a!I178)</f>
        <v/>
      </c>
      <c r="G175" s="48" t="str">
        <f t="shared" si="16"/>
        <v/>
      </c>
      <c r="H175" s="49" t="str">
        <f t="shared" si="17"/>
        <v/>
      </c>
      <c r="I175" s="48" t="str">
        <f>IF($B175="","",Mau15a!K178)</f>
        <v/>
      </c>
      <c r="J175" s="48" t="str">
        <f>IF($B175="","",Mau15a!M178)</f>
        <v/>
      </c>
      <c r="K175" s="48" t="str">
        <f t="shared" si="18"/>
        <v/>
      </c>
      <c r="L175" s="49" t="str">
        <f t="shared" si="19"/>
        <v/>
      </c>
      <c r="M175" s="48" t="str">
        <f>IF($B175="","",Mau15a!F178)</f>
        <v/>
      </c>
      <c r="N175" s="51" t="str">
        <f>IF($B175="","",COUNTIF(BOM!$A$5:$A$1004,B175))</f>
        <v/>
      </c>
      <c r="O175" s="49" t="str">
        <f t="shared" si="20"/>
        <v/>
      </c>
      <c r="P175" s="51" t="str">
        <f>IF($B175="","",COUNTIFS(KT_nguoc_theo_SP!$B$5:$B$1004,B175,KT_nguoc_theo_SP!$M$5:$M$1004,"Xem xét"))</f>
        <v/>
      </c>
      <c r="Q175" s="49" t="str">
        <f t="shared" si="21"/>
        <v/>
      </c>
      <c r="R175" s="49" t="str">
        <f t="shared" si="22"/>
        <v/>
      </c>
      <c r="S175" s="31" t="str">
        <f t="shared" si="23"/>
        <v/>
      </c>
    </row>
    <row r="176" spans="1:19" x14ac:dyDescent="0.25">
      <c r="A176" s="36" t="str">
        <f>IF(B176="","",169)</f>
        <v/>
      </c>
      <c r="B176" s="36" t="str">
        <f>Mau15a!B179&amp;""</f>
        <v/>
      </c>
      <c r="C176" s="47" t="str">
        <f>IF(B176="","",Mau15a!C179)</f>
        <v/>
      </c>
      <c r="D176" s="36" t="str">
        <f>IF(B176="","",Mau15a!D179)</f>
        <v/>
      </c>
      <c r="E176" s="48" t="str">
        <f>IF($B176="","",Mau15a!P179)</f>
        <v/>
      </c>
      <c r="F176" s="48" t="str">
        <f>IF($B176="","",Mau15a!I179)</f>
        <v/>
      </c>
      <c r="G176" s="48" t="str">
        <f t="shared" si="16"/>
        <v/>
      </c>
      <c r="H176" s="49" t="str">
        <f t="shared" si="17"/>
        <v/>
      </c>
      <c r="I176" s="48" t="str">
        <f>IF($B176="","",Mau15a!K179)</f>
        <v/>
      </c>
      <c r="J176" s="48" t="str">
        <f>IF($B176="","",Mau15a!M179)</f>
        <v/>
      </c>
      <c r="K176" s="48" t="str">
        <f t="shared" si="18"/>
        <v/>
      </c>
      <c r="L176" s="49" t="str">
        <f t="shared" si="19"/>
        <v/>
      </c>
      <c r="M176" s="48" t="str">
        <f>IF($B176="","",Mau15a!F179)</f>
        <v/>
      </c>
      <c r="N176" s="51" t="str">
        <f>IF($B176="","",COUNTIF(BOM!$A$5:$A$1004,B176))</f>
        <v/>
      </c>
      <c r="O176" s="49" t="str">
        <f t="shared" si="20"/>
        <v/>
      </c>
      <c r="P176" s="51" t="str">
        <f>IF($B176="","",COUNTIFS(KT_nguoc_theo_SP!$B$5:$B$1004,B176,KT_nguoc_theo_SP!$M$5:$M$1004,"Xem xét"))</f>
        <v/>
      </c>
      <c r="Q176" s="49" t="str">
        <f t="shared" si="21"/>
        <v/>
      </c>
      <c r="R176" s="49" t="str">
        <f t="shared" si="22"/>
        <v/>
      </c>
      <c r="S176" s="31" t="str">
        <f t="shared" si="23"/>
        <v/>
      </c>
    </row>
    <row r="177" spans="1:19" x14ac:dyDescent="0.25">
      <c r="A177" s="36" t="str">
        <f>IF(B177="","",170)</f>
        <v/>
      </c>
      <c r="B177" s="36" t="str">
        <f>Mau15a!B180&amp;""</f>
        <v/>
      </c>
      <c r="C177" s="47" t="str">
        <f>IF(B177="","",Mau15a!C180)</f>
        <v/>
      </c>
      <c r="D177" s="36" t="str">
        <f>IF(B177="","",Mau15a!D180)</f>
        <v/>
      </c>
      <c r="E177" s="48" t="str">
        <f>IF($B177="","",Mau15a!P180)</f>
        <v/>
      </c>
      <c r="F177" s="48" t="str">
        <f>IF($B177="","",Mau15a!I180)</f>
        <v/>
      </c>
      <c r="G177" s="48" t="str">
        <f t="shared" si="16"/>
        <v/>
      </c>
      <c r="H177" s="49" t="str">
        <f t="shared" si="17"/>
        <v/>
      </c>
      <c r="I177" s="48" t="str">
        <f>IF($B177="","",Mau15a!K180)</f>
        <v/>
      </c>
      <c r="J177" s="48" t="str">
        <f>IF($B177="","",Mau15a!M180)</f>
        <v/>
      </c>
      <c r="K177" s="48" t="str">
        <f t="shared" si="18"/>
        <v/>
      </c>
      <c r="L177" s="49" t="str">
        <f t="shared" si="19"/>
        <v/>
      </c>
      <c r="M177" s="48" t="str">
        <f>IF($B177="","",Mau15a!F180)</f>
        <v/>
      </c>
      <c r="N177" s="51" t="str">
        <f>IF($B177="","",COUNTIF(BOM!$A$5:$A$1004,B177))</f>
        <v/>
      </c>
      <c r="O177" s="49" t="str">
        <f t="shared" si="20"/>
        <v/>
      </c>
      <c r="P177" s="51" t="str">
        <f>IF($B177="","",COUNTIFS(KT_nguoc_theo_SP!$B$5:$B$1004,B177,KT_nguoc_theo_SP!$M$5:$M$1004,"Xem xét"))</f>
        <v/>
      </c>
      <c r="Q177" s="49" t="str">
        <f t="shared" si="21"/>
        <v/>
      </c>
      <c r="R177" s="49" t="str">
        <f t="shared" si="22"/>
        <v/>
      </c>
      <c r="S177" s="31" t="str">
        <f t="shared" si="23"/>
        <v/>
      </c>
    </row>
    <row r="178" spans="1:19" x14ac:dyDescent="0.25">
      <c r="A178" s="36" t="str">
        <f>IF(B178="","",171)</f>
        <v/>
      </c>
      <c r="B178" s="36" t="str">
        <f>Mau15a!B181&amp;""</f>
        <v/>
      </c>
      <c r="C178" s="47" t="str">
        <f>IF(B178="","",Mau15a!C181)</f>
        <v/>
      </c>
      <c r="D178" s="36" t="str">
        <f>IF(B178="","",Mau15a!D181)</f>
        <v/>
      </c>
      <c r="E178" s="48" t="str">
        <f>IF($B178="","",Mau15a!P181)</f>
        <v/>
      </c>
      <c r="F178" s="48" t="str">
        <f>IF($B178="","",Mau15a!I181)</f>
        <v/>
      </c>
      <c r="G178" s="48" t="str">
        <f t="shared" si="16"/>
        <v/>
      </c>
      <c r="H178" s="49" t="str">
        <f t="shared" si="17"/>
        <v/>
      </c>
      <c r="I178" s="48" t="str">
        <f>IF($B178="","",Mau15a!K181)</f>
        <v/>
      </c>
      <c r="J178" s="48" t="str">
        <f>IF($B178="","",Mau15a!M181)</f>
        <v/>
      </c>
      <c r="K178" s="48" t="str">
        <f t="shared" si="18"/>
        <v/>
      </c>
      <c r="L178" s="49" t="str">
        <f t="shared" si="19"/>
        <v/>
      </c>
      <c r="M178" s="48" t="str">
        <f>IF($B178="","",Mau15a!F181)</f>
        <v/>
      </c>
      <c r="N178" s="51" t="str">
        <f>IF($B178="","",COUNTIF(BOM!$A$5:$A$1004,B178))</f>
        <v/>
      </c>
      <c r="O178" s="49" t="str">
        <f t="shared" si="20"/>
        <v/>
      </c>
      <c r="P178" s="51" t="str">
        <f>IF($B178="","",COUNTIFS(KT_nguoc_theo_SP!$B$5:$B$1004,B178,KT_nguoc_theo_SP!$M$5:$M$1004,"Xem xét"))</f>
        <v/>
      </c>
      <c r="Q178" s="49" t="str">
        <f t="shared" si="21"/>
        <v/>
      </c>
      <c r="R178" s="49" t="str">
        <f t="shared" si="22"/>
        <v/>
      </c>
      <c r="S178" s="31" t="str">
        <f t="shared" si="23"/>
        <v/>
      </c>
    </row>
    <row r="179" spans="1:19" x14ac:dyDescent="0.25">
      <c r="A179" s="36" t="str">
        <f>IF(B179="","",172)</f>
        <v/>
      </c>
      <c r="B179" s="36" t="str">
        <f>Mau15a!B182&amp;""</f>
        <v/>
      </c>
      <c r="C179" s="47" t="str">
        <f>IF(B179="","",Mau15a!C182)</f>
        <v/>
      </c>
      <c r="D179" s="36" t="str">
        <f>IF(B179="","",Mau15a!D182)</f>
        <v/>
      </c>
      <c r="E179" s="48" t="str">
        <f>IF($B179="","",Mau15a!P182)</f>
        <v/>
      </c>
      <c r="F179" s="48" t="str">
        <f>IF($B179="","",Mau15a!I182)</f>
        <v/>
      </c>
      <c r="G179" s="48" t="str">
        <f t="shared" si="16"/>
        <v/>
      </c>
      <c r="H179" s="49" t="str">
        <f t="shared" si="17"/>
        <v/>
      </c>
      <c r="I179" s="48" t="str">
        <f>IF($B179="","",Mau15a!K182)</f>
        <v/>
      </c>
      <c r="J179" s="48" t="str">
        <f>IF($B179="","",Mau15a!M182)</f>
        <v/>
      </c>
      <c r="K179" s="48" t="str">
        <f t="shared" si="18"/>
        <v/>
      </c>
      <c r="L179" s="49" t="str">
        <f t="shared" si="19"/>
        <v/>
      </c>
      <c r="M179" s="48" t="str">
        <f>IF($B179="","",Mau15a!F182)</f>
        <v/>
      </c>
      <c r="N179" s="51" t="str">
        <f>IF($B179="","",COUNTIF(BOM!$A$5:$A$1004,B179))</f>
        <v/>
      </c>
      <c r="O179" s="49" t="str">
        <f t="shared" si="20"/>
        <v/>
      </c>
      <c r="P179" s="51" t="str">
        <f>IF($B179="","",COUNTIFS(KT_nguoc_theo_SP!$B$5:$B$1004,B179,KT_nguoc_theo_SP!$M$5:$M$1004,"Xem xét"))</f>
        <v/>
      </c>
      <c r="Q179" s="49" t="str">
        <f t="shared" si="21"/>
        <v/>
      </c>
      <c r="R179" s="49" t="str">
        <f t="shared" si="22"/>
        <v/>
      </c>
      <c r="S179" s="31" t="str">
        <f t="shared" si="23"/>
        <v/>
      </c>
    </row>
    <row r="180" spans="1:19" x14ac:dyDescent="0.25">
      <c r="A180" s="36" t="str">
        <f>IF(B180="","",173)</f>
        <v/>
      </c>
      <c r="B180" s="36" t="str">
        <f>Mau15a!B183&amp;""</f>
        <v/>
      </c>
      <c r="C180" s="47" t="str">
        <f>IF(B180="","",Mau15a!C183)</f>
        <v/>
      </c>
      <c r="D180" s="36" t="str">
        <f>IF(B180="","",Mau15a!D183)</f>
        <v/>
      </c>
      <c r="E180" s="48" t="str">
        <f>IF($B180="","",Mau15a!P183)</f>
        <v/>
      </c>
      <c r="F180" s="48" t="str">
        <f>IF($B180="","",Mau15a!I183)</f>
        <v/>
      </c>
      <c r="G180" s="48" t="str">
        <f t="shared" si="16"/>
        <v/>
      </c>
      <c r="H180" s="49" t="str">
        <f t="shared" si="17"/>
        <v/>
      </c>
      <c r="I180" s="48" t="str">
        <f>IF($B180="","",Mau15a!K183)</f>
        <v/>
      </c>
      <c r="J180" s="48" t="str">
        <f>IF($B180="","",Mau15a!M183)</f>
        <v/>
      </c>
      <c r="K180" s="48" t="str">
        <f t="shared" si="18"/>
        <v/>
      </c>
      <c r="L180" s="49" t="str">
        <f t="shared" si="19"/>
        <v/>
      </c>
      <c r="M180" s="48" t="str">
        <f>IF($B180="","",Mau15a!F183)</f>
        <v/>
      </c>
      <c r="N180" s="51" t="str">
        <f>IF($B180="","",COUNTIF(BOM!$A$5:$A$1004,B180))</f>
        <v/>
      </c>
      <c r="O180" s="49" t="str">
        <f t="shared" si="20"/>
        <v/>
      </c>
      <c r="P180" s="51" t="str">
        <f>IF($B180="","",COUNTIFS(KT_nguoc_theo_SP!$B$5:$B$1004,B180,KT_nguoc_theo_SP!$M$5:$M$1004,"Xem xét"))</f>
        <v/>
      </c>
      <c r="Q180" s="49" t="str">
        <f t="shared" si="21"/>
        <v/>
      </c>
      <c r="R180" s="49" t="str">
        <f t="shared" si="22"/>
        <v/>
      </c>
      <c r="S180" s="31" t="str">
        <f t="shared" si="23"/>
        <v/>
      </c>
    </row>
    <row r="181" spans="1:19" x14ac:dyDescent="0.25">
      <c r="A181" s="36" t="str">
        <f>IF(B181="","",174)</f>
        <v/>
      </c>
      <c r="B181" s="36" t="str">
        <f>Mau15a!B184&amp;""</f>
        <v/>
      </c>
      <c r="C181" s="47" t="str">
        <f>IF(B181="","",Mau15a!C184)</f>
        <v/>
      </c>
      <c r="D181" s="36" t="str">
        <f>IF(B181="","",Mau15a!D184)</f>
        <v/>
      </c>
      <c r="E181" s="48" t="str">
        <f>IF($B181="","",Mau15a!P184)</f>
        <v/>
      </c>
      <c r="F181" s="48" t="str">
        <f>IF($B181="","",Mau15a!I184)</f>
        <v/>
      </c>
      <c r="G181" s="48" t="str">
        <f t="shared" si="16"/>
        <v/>
      </c>
      <c r="H181" s="49" t="str">
        <f t="shared" si="17"/>
        <v/>
      </c>
      <c r="I181" s="48" t="str">
        <f>IF($B181="","",Mau15a!K184)</f>
        <v/>
      </c>
      <c r="J181" s="48" t="str">
        <f>IF($B181="","",Mau15a!M184)</f>
        <v/>
      </c>
      <c r="K181" s="48" t="str">
        <f t="shared" si="18"/>
        <v/>
      </c>
      <c r="L181" s="49" t="str">
        <f t="shared" si="19"/>
        <v/>
      </c>
      <c r="M181" s="48" t="str">
        <f>IF($B181="","",Mau15a!F184)</f>
        <v/>
      </c>
      <c r="N181" s="51" t="str">
        <f>IF($B181="","",COUNTIF(BOM!$A$5:$A$1004,B181))</f>
        <v/>
      </c>
      <c r="O181" s="49" t="str">
        <f t="shared" si="20"/>
        <v/>
      </c>
      <c r="P181" s="51" t="str">
        <f>IF($B181="","",COUNTIFS(KT_nguoc_theo_SP!$B$5:$B$1004,B181,KT_nguoc_theo_SP!$M$5:$M$1004,"Xem xét"))</f>
        <v/>
      </c>
      <c r="Q181" s="49" t="str">
        <f t="shared" si="21"/>
        <v/>
      </c>
      <c r="R181" s="49" t="str">
        <f t="shared" si="22"/>
        <v/>
      </c>
      <c r="S181" s="31" t="str">
        <f t="shared" si="23"/>
        <v/>
      </c>
    </row>
    <row r="182" spans="1:19" x14ac:dyDescent="0.25">
      <c r="A182" s="36" t="str">
        <f>IF(B182="","",175)</f>
        <v/>
      </c>
      <c r="B182" s="36" t="str">
        <f>Mau15a!B185&amp;""</f>
        <v/>
      </c>
      <c r="C182" s="47" t="str">
        <f>IF(B182="","",Mau15a!C185)</f>
        <v/>
      </c>
      <c r="D182" s="36" t="str">
        <f>IF(B182="","",Mau15a!D185)</f>
        <v/>
      </c>
      <c r="E182" s="48" t="str">
        <f>IF($B182="","",Mau15a!P185)</f>
        <v/>
      </c>
      <c r="F182" s="48" t="str">
        <f>IF($B182="","",Mau15a!I185)</f>
        <v/>
      </c>
      <c r="G182" s="48" t="str">
        <f t="shared" si="16"/>
        <v/>
      </c>
      <c r="H182" s="49" t="str">
        <f t="shared" si="17"/>
        <v/>
      </c>
      <c r="I182" s="48" t="str">
        <f>IF($B182="","",Mau15a!K185)</f>
        <v/>
      </c>
      <c r="J182" s="48" t="str">
        <f>IF($B182="","",Mau15a!M185)</f>
        <v/>
      </c>
      <c r="K182" s="48" t="str">
        <f t="shared" si="18"/>
        <v/>
      </c>
      <c r="L182" s="49" t="str">
        <f t="shared" si="19"/>
        <v/>
      </c>
      <c r="M182" s="48" t="str">
        <f>IF($B182="","",Mau15a!F185)</f>
        <v/>
      </c>
      <c r="N182" s="51" t="str">
        <f>IF($B182="","",COUNTIF(BOM!$A$5:$A$1004,B182))</f>
        <v/>
      </c>
      <c r="O182" s="49" t="str">
        <f t="shared" si="20"/>
        <v/>
      </c>
      <c r="P182" s="51" t="str">
        <f>IF($B182="","",COUNTIFS(KT_nguoc_theo_SP!$B$5:$B$1004,B182,KT_nguoc_theo_SP!$M$5:$M$1004,"Xem xét"))</f>
        <v/>
      </c>
      <c r="Q182" s="49" t="str">
        <f t="shared" si="21"/>
        <v/>
      </c>
      <c r="R182" s="49" t="str">
        <f t="shared" si="22"/>
        <v/>
      </c>
      <c r="S182" s="31" t="str">
        <f t="shared" si="23"/>
        <v/>
      </c>
    </row>
    <row r="183" spans="1:19" x14ac:dyDescent="0.25">
      <c r="A183" s="36" t="str">
        <f>IF(B183="","",176)</f>
        <v/>
      </c>
      <c r="B183" s="36" t="str">
        <f>Mau15a!B186&amp;""</f>
        <v/>
      </c>
      <c r="C183" s="47" t="str">
        <f>IF(B183="","",Mau15a!C186)</f>
        <v/>
      </c>
      <c r="D183" s="36" t="str">
        <f>IF(B183="","",Mau15a!D186)</f>
        <v/>
      </c>
      <c r="E183" s="48" t="str">
        <f>IF($B183="","",Mau15a!P186)</f>
        <v/>
      </c>
      <c r="F183" s="48" t="str">
        <f>IF($B183="","",Mau15a!I186)</f>
        <v/>
      </c>
      <c r="G183" s="48" t="str">
        <f t="shared" si="16"/>
        <v/>
      </c>
      <c r="H183" s="49" t="str">
        <f t="shared" si="17"/>
        <v/>
      </c>
      <c r="I183" s="48" t="str">
        <f>IF($B183="","",Mau15a!K186)</f>
        <v/>
      </c>
      <c r="J183" s="48" t="str">
        <f>IF($B183="","",Mau15a!M186)</f>
        <v/>
      </c>
      <c r="K183" s="48" t="str">
        <f t="shared" si="18"/>
        <v/>
      </c>
      <c r="L183" s="49" t="str">
        <f t="shared" si="19"/>
        <v/>
      </c>
      <c r="M183" s="48" t="str">
        <f>IF($B183="","",Mau15a!F186)</f>
        <v/>
      </c>
      <c r="N183" s="51" t="str">
        <f>IF($B183="","",COUNTIF(BOM!$A$5:$A$1004,B183))</f>
        <v/>
      </c>
      <c r="O183" s="49" t="str">
        <f t="shared" si="20"/>
        <v/>
      </c>
      <c r="P183" s="51" t="str">
        <f>IF($B183="","",COUNTIFS(KT_nguoc_theo_SP!$B$5:$B$1004,B183,KT_nguoc_theo_SP!$M$5:$M$1004,"Xem xét"))</f>
        <v/>
      </c>
      <c r="Q183" s="49" t="str">
        <f t="shared" si="21"/>
        <v/>
      </c>
      <c r="R183" s="49" t="str">
        <f t="shared" si="22"/>
        <v/>
      </c>
      <c r="S183" s="31" t="str">
        <f t="shared" si="23"/>
        <v/>
      </c>
    </row>
    <row r="184" spans="1:19" x14ac:dyDescent="0.25">
      <c r="A184" s="36" t="str">
        <f>IF(B184="","",177)</f>
        <v/>
      </c>
      <c r="B184" s="36" t="str">
        <f>Mau15a!B187&amp;""</f>
        <v/>
      </c>
      <c r="C184" s="47" t="str">
        <f>IF(B184="","",Mau15a!C187)</f>
        <v/>
      </c>
      <c r="D184" s="36" t="str">
        <f>IF(B184="","",Mau15a!D187)</f>
        <v/>
      </c>
      <c r="E184" s="48" t="str">
        <f>IF($B184="","",Mau15a!P187)</f>
        <v/>
      </c>
      <c r="F184" s="48" t="str">
        <f>IF($B184="","",Mau15a!I187)</f>
        <v/>
      </c>
      <c r="G184" s="48" t="str">
        <f t="shared" si="16"/>
        <v/>
      </c>
      <c r="H184" s="49" t="str">
        <f t="shared" si="17"/>
        <v/>
      </c>
      <c r="I184" s="48" t="str">
        <f>IF($B184="","",Mau15a!K187)</f>
        <v/>
      </c>
      <c r="J184" s="48" t="str">
        <f>IF($B184="","",Mau15a!M187)</f>
        <v/>
      </c>
      <c r="K184" s="48" t="str">
        <f t="shared" si="18"/>
        <v/>
      </c>
      <c r="L184" s="49" t="str">
        <f t="shared" si="19"/>
        <v/>
      </c>
      <c r="M184" s="48" t="str">
        <f>IF($B184="","",Mau15a!F187)</f>
        <v/>
      </c>
      <c r="N184" s="51" t="str">
        <f>IF($B184="","",COUNTIF(BOM!$A$5:$A$1004,B184))</f>
        <v/>
      </c>
      <c r="O184" s="49" t="str">
        <f t="shared" si="20"/>
        <v/>
      </c>
      <c r="P184" s="51" t="str">
        <f>IF($B184="","",COUNTIFS(KT_nguoc_theo_SP!$B$5:$B$1004,B184,KT_nguoc_theo_SP!$M$5:$M$1004,"Xem xét"))</f>
        <v/>
      </c>
      <c r="Q184" s="49" t="str">
        <f t="shared" si="21"/>
        <v/>
      </c>
      <c r="R184" s="49" t="str">
        <f t="shared" si="22"/>
        <v/>
      </c>
      <c r="S184" s="31" t="str">
        <f t="shared" si="23"/>
        <v/>
      </c>
    </row>
    <row r="185" spans="1:19" x14ac:dyDescent="0.25">
      <c r="A185" s="36" t="str">
        <f>IF(B185="","",178)</f>
        <v/>
      </c>
      <c r="B185" s="36" t="str">
        <f>Mau15a!B188&amp;""</f>
        <v/>
      </c>
      <c r="C185" s="47" t="str">
        <f>IF(B185="","",Mau15a!C188)</f>
        <v/>
      </c>
      <c r="D185" s="36" t="str">
        <f>IF(B185="","",Mau15a!D188)</f>
        <v/>
      </c>
      <c r="E185" s="48" t="str">
        <f>IF($B185="","",Mau15a!P188)</f>
        <v/>
      </c>
      <c r="F185" s="48" t="str">
        <f>IF($B185="","",Mau15a!I188)</f>
        <v/>
      </c>
      <c r="G185" s="48" t="str">
        <f t="shared" si="16"/>
        <v/>
      </c>
      <c r="H185" s="49" t="str">
        <f t="shared" si="17"/>
        <v/>
      </c>
      <c r="I185" s="48" t="str">
        <f>IF($B185="","",Mau15a!K188)</f>
        <v/>
      </c>
      <c r="J185" s="48" t="str">
        <f>IF($B185="","",Mau15a!M188)</f>
        <v/>
      </c>
      <c r="K185" s="48" t="str">
        <f t="shared" si="18"/>
        <v/>
      </c>
      <c r="L185" s="49" t="str">
        <f t="shared" si="19"/>
        <v/>
      </c>
      <c r="M185" s="48" t="str">
        <f>IF($B185="","",Mau15a!F188)</f>
        <v/>
      </c>
      <c r="N185" s="51" t="str">
        <f>IF($B185="","",COUNTIF(BOM!$A$5:$A$1004,B185))</f>
        <v/>
      </c>
      <c r="O185" s="49" t="str">
        <f t="shared" si="20"/>
        <v/>
      </c>
      <c r="P185" s="51" t="str">
        <f>IF($B185="","",COUNTIFS(KT_nguoc_theo_SP!$B$5:$B$1004,B185,KT_nguoc_theo_SP!$M$5:$M$1004,"Xem xét"))</f>
        <v/>
      </c>
      <c r="Q185" s="49" t="str">
        <f t="shared" si="21"/>
        <v/>
      </c>
      <c r="R185" s="49" t="str">
        <f t="shared" si="22"/>
        <v/>
      </c>
      <c r="S185" s="31" t="str">
        <f t="shared" si="23"/>
        <v/>
      </c>
    </row>
    <row r="186" spans="1:19" x14ac:dyDescent="0.25">
      <c r="A186" s="36" t="str">
        <f>IF(B186="","",179)</f>
        <v/>
      </c>
      <c r="B186" s="36" t="str">
        <f>Mau15a!B189&amp;""</f>
        <v/>
      </c>
      <c r="C186" s="47" t="str">
        <f>IF(B186="","",Mau15a!C189)</f>
        <v/>
      </c>
      <c r="D186" s="36" t="str">
        <f>IF(B186="","",Mau15a!D189)</f>
        <v/>
      </c>
      <c r="E186" s="48" t="str">
        <f>IF($B186="","",Mau15a!P189)</f>
        <v/>
      </c>
      <c r="F186" s="48" t="str">
        <f>IF($B186="","",Mau15a!I189)</f>
        <v/>
      </c>
      <c r="G186" s="48" t="str">
        <f t="shared" si="16"/>
        <v/>
      </c>
      <c r="H186" s="49" t="str">
        <f t="shared" si="17"/>
        <v/>
      </c>
      <c r="I186" s="48" t="str">
        <f>IF($B186="","",Mau15a!K189)</f>
        <v/>
      </c>
      <c r="J186" s="48" t="str">
        <f>IF($B186="","",Mau15a!M189)</f>
        <v/>
      </c>
      <c r="K186" s="48" t="str">
        <f t="shared" si="18"/>
        <v/>
      </c>
      <c r="L186" s="49" t="str">
        <f t="shared" si="19"/>
        <v/>
      </c>
      <c r="M186" s="48" t="str">
        <f>IF($B186="","",Mau15a!F189)</f>
        <v/>
      </c>
      <c r="N186" s="51" t="str">
        <f>IF($B186="","",COUNTIF(BOM!$A$5:$A$1004,B186))</f>
        <v/>
      </c>
      <c r="O186" s="49" t="str">
        <f t="shared" si="20"/>
        <v/>
      </c>
      <c r="P186" s="51" t="str">
        <f>IF($B186="","",COUNTIFS(KT_nguoc_theo_SP!$B$5:$B$1004,B186,KT_nguoc_theo_SP!$M$5:$M$1004,"Xem xét"))</f>
        <v/>
      </c>
      <c r="Q186" s="49" t="str">
        <f t="shared" si="21"/>
        <v/>
      </c>
      <c r="R186" s="49" t="str">
        <f t="shared" si="22"/>
        <v/>
      </c>
      <c r="S186" s="31" t="str">
        <f t="shared" si="23"/>
        <v/>
      </c>
    </row>
    <row r="187" spans="1:19" x14ac:dyDescent="0.25">
      <c r="A187" s="36" t="str">
        <f>IF(B187="","",180)</f>
        <v/>
      </c>
      <c r="B187" s="36" t="str">
        <f>Mau15a!B190&amp;""</f>
        <v/>
      </c>
      <c r="C187" s="47" t="str">
        <f>IF(B187="","",Mau15a!C190)</f>
        <v/>
      </c>
      <c r="D187" s="36" t="str">
        <f>IF(B187="","",Mau15a!D190)</f>
        <v/>
      </c>
      <c r="E187" s="48" t="str">
        <f>IF($B187="","",Mau15a!P190)</f>
        <v/>
      </c>
      <c r="F187" s="48" t="str">
        <f>IF($B187="","",Mau15a!I190)</f>
        <v/>
      </c>
      <c r="G187" s="48" t="str">
        <f t="shared" si="16"/>
        <v/>
      </c>
      <c r="H187" s="49" t="str">
        <f t="shared" si="17"/>
        <v/>
      </c>
      <c r="I187" s="48" t="str">
        <f>IF($B187="","",Mau15a!K190)</f>
        <v/>
      </c>
      <c r="J187" s="48" t="str">
        <f>IF($B187="","",Mau15a!M190)</f>
        <v/>
      </c>
      <c r="K187" s="48" t="str">
        <f t="shared" si="18"/>
        <v/>
      </c>
      <c r="L187" s="49" t="str">
        <f t="shared" si="19"/>
        <v/>
      </c>
      <c r="M187" s="48" t="str">
        <f>IF($B187="","",Mau15a!F190)</f>
        <v/>
      </c>
      <c r="N187" s="51" t="str">
        <f>IF($B187="","",COUNTIF(BOM!$A$5:$A$1004,B187))</f>
        <v/>
      </c>
      <c r="O187" s="49" t="str">
        <f t="shared" si="20"/>
        <v/>
      </c>
      <c r="P187" s="51" t="str">
        <f>IF($B187="","",COUNTIFS(KT_nguoc_theo_SP!$B$5:$B$1004,B187,KT_nguoc_theo_SP!$M$5:$M$1004,"Xem xét"))</f>
        <v/>
      </c>
      <c r="Q187" s="49" t="str">
        <f t="shared" si="21"/>
        <v/>
      </c>
      <c r="R187" s="49" t="str">
        <f t="shared" si="22"/>
        <v/>
      </c>
      <c r="S187" s="31" t="str">
        <f t="shared" si="23"/>
        <v/>
      </c>
    </row>
    <row r="188" spans="1:19" x14ac:dyDescent="0.25">
      <c r="A188" s="36" t="str">
        <f>IF(B188="","",181)</f>
        <v/>
      </c>
      <c r="B188" s="36" t="str">
        <f>Mau15a!B191&amp;""</f>
        <v/>
      </c>
      <c r="C188" s="47" t="str">
        <f>IF(B188="","",Mau15a!C191)</f>
        <v/>
      </c>
      <c r="D188" s="36" t="str">
        <f>IF(B188="","",Mau15a!D191)</f>
        <v/>
      </c>
      <c r="E188" s="48" t="str">
        <f>IF($B188="","",Mau15a!P191)</f>
        <v/>
      </c>
      <c r="F188" s="48" t="str">
        <f>IF($B188="","",Mau15a!I191)</f>
        <v/>
      </c>
      <c r="G188" s="48" t="str">
        <f t="shared" si="16"/>
        <v/>
      </c>
      <c r="H188" s="49" t="str">
        <f t="shared" si="17"/>
        <v/>
      </c>
      <c r="I188" s="48" t="str">
        <f>IF($B188="","",Mau15a!K191)</f>
        <v/>
      </c>
      <c r="J188" s="48" t="str">
        <f>IF($B188="","",Mau15a!M191)</f>
        <v/>
      </c>
      <c r="K188" s="48" t="str">
        <f t="shared" si="18"/>
        <v/>
      </c>
      <c r="L188" s="49" t="str">
        <f t="shared" si="19"/>
        <v/>
      </c>
      <c r="M188" s="48" t="str">
        <f>IF($B188="","",Mau15a!F191)</f>
        <v/>
      </c>
      <c r="N188" s="51" t="str">
        <f>IF($B188="","",COUNTIF(BOM!$A$5:$A$1004,B188))</f>
        <v/>
      </c>
      <c r="O188" s="49" t="str">
        <f t="shared" si="20"/>
        <v/>
      </c>
      <c r="P188" s="51" t="str">
        <f>IF($B188="","",COUNTIFS(KT_nguoc_theo_SP!$B$5:$B$1004,B188,KT_nguoc_theo_SP!$M$5:$M$1004,"Xem xét"))</f>
        <v/>
      </c>
      <c r="Q188" s="49" t="str">
        <f t="shared" si="21"/>
        <v/>
      </c>
      <c r="R188" s="49" t="str">
        <f t="shared" si="22"/>
        <v/>
      </c>
      <c r="S188" s="31" t="str">
        <f t="shared" si="23"/>
        <v/>
      </c>
    </row>
    <row r="189" spans="1:19" x14ac:dyDescent="0.25">
      <c r="A189" s="36" t="str">
        <f>IF(B189="","",182)</f>
        <v/>
      </c>
      <c r="B189" s="36" t="str">
        <f>Mau15a!B192&amp;""</f>
        <v/>
      </c>
      <c r="C189" s="47" t="str">
        <f>IF(B189="","",Mau15a!C192)</f>
        <v/>
      </c>
      <c r="D189" s="36" t="str">
        <f>IF(B189="","",Mau15a!D192)</f>
        <v/>
      </c>
      <c r="E189" s="48" t="str">
        <f>IF($B189="","",Mau15a!P192)</f>
        <v/>
      </c>
      <c r="F189" s="48" t="str">
        <f>IF($B189="","",Mau15a!I192)</f>
        <v/>
      </c>
      <c r="G189" s="48" t="str">
        <f t="shared" si="16"/>
        <v/>
      </c>
      <c r="H189" s="49" t="str">
        <f t="shared" si="17"/>
        <v/>
      </c>
      <c r="I189" s="48" t="str">
        <f>IF($B189="","",Mau15a!K192)</f>
        <v/>
      </c>
      <c r="J189" s="48" t="str">
        <f>IF($B189="","",Mau15a!M192)</f>
        <v/>
      </c>
      <c r="K189" s="48" t="str">
        <f t="shared" si="18"/>
        <v/>
      </c>
      <c r="L189" s="49" t="str">
        <f t="shared" si="19"/>
        <v/>
      </c>
      <c r="M189" s="48" t="str">
        <f>IF($B189="","",Mau15a!F192)</f>
        <v/>
      </c>
      <c r="N189" s="51" t="str">
        <f>IF($B189="","",COUNTIF(BOM!$A$5:$A$1004,B189))</f>
        <v/>
      </c>
      <c r="O189" s="49" t="str">
        <f t="shared" si="20"/>
        <v/>
      </c>
      <c r="P189" s="51" t="str">
        <f>IF($B189="","",COUNTIFS(KT_nguoc_theo_SP!$B$5:$B$1004,B189,KT_nguoc_theo_SP!$M$5:$M$1004,"Xem xét"))</f>
        <v/>
      </c>
      <c r="Q189" s="49" t="str">
        <f t="shared" si="21"/>
        <v/>
      </c>
      <c r="R189" s="49" t="str">
        <f t="shared" si="22"/>
        <v/>
      </c>
      <c r="S189" s="31" t="str">
        <f t="shared" si="23"/>
        <v/>
      </c>
    </row>
    <row r="190" spans="1:19" x14ac:dyDescent="0.25">
      <c r="A190" s="36" t="str">
        <f>IF(B190="","",183)</f>
        <v/>
      </c>
      <c r="B190" s="36" t="str">
        <f>Mau15a!B193&amp;""</f>
        <v/>
      </c>
      <c r="C190" s="47" t="str">
        <f>IF(B190="","",Mau15a!C193)</f>
        <v/>
      </c>
      <c r="D190" s="36" t="str">
        <f>IF(B190="","",Mau15a!D193)</f>
        <v/>
      </c>
      <c r="E190" s="48" t="str">
        <f>IF($B190="","",Mau15a!P193)</f>
        <v/>
      </c>
      <c r="F190" s="48" t="str">
        <f>IF($B190="","",Mau15a!I193)</f>
        <v/>
      </c>
      <c r="G190" s="48" t="str">
        <f t="shared" si="16"/>
        <v/>
      </c>
      <c r="H190" s="49" t="str">
        <f t="shared" si="17"/>
        <v/>
      </c>
      <c r="I190" s="48" t="str">
        <f>IF($B190="","",Mau15a!K193)</f>
        <v/>
      </c>
      <c r="J190" s="48" t="str">
        <f>IF($B190="","",Mau15a!M193)</f>
        <v/>
      </c>
      <c r="K190" s="48" t="str">
        <f t="shared" si="18"/>
        <v/>
      </c>
      <c r="L190" s="49" t="str">
        <f t="shared" si="19"/>
        <v/>
      </c>
      <c r="M190" s="48" t="str">
        <f>IF($B190="","",Mau15a!F193)</f>
        <v/>
      </c>
      <c r="N190" s="51" t="str">
        <f>IF($B190="","",COUNTIF(BOM!$A$5:$A$1004,B190))</f>
        <v/>
      </c>
      <c r="O190" s="49" t="str">
        <f t="shared" si="20"/>
        <v/>
      </c>
      <c r="P190" s="51" t="str">
        <f>IF($B190="","",COUNTIFS(KT_nguoc_theo_SP!$B$5:$B$1004,B190,KT_nguoc_theo_SP!$M$5:$M$1004,"Xem xét"))</f>
        <v/>
      </c>
      <c r="Q190" s="49" t="str">
        <f t="shared" si="21"/>
        <v/>
      </c>
      <c r="R190" s="49" t="str">
        <f t="shared" si="22"/>
        <v/>
      </c>
      <c r="S190" s="31" t="str">
        <f t="shared" si="23"/>
        <v/>
      </c>
    </row>
    <row r="191" spans="1:19" x14ac:dyDescent="0.25">
      <c r="A191" s="36" t="str">
        <f>IF(B191="","",184)</f>
        <v/>
      </c>
      <c r="B191" s="36" t="str">
        <f>Mau15a!B194&amp;""</f>
        <v/>
      </c>
      <c r="C191" s="47" t="str">
        <f>IF(B191="","",Mau15a!C194)</f>
        <v/>
      </c>
      <c r="D191" s="36" t="str">
        <f>IF(B191="","",Mau15a!D194)</f>
        <v/>
      </c>
      <c r="E191" s="48" t="str">
        <f>IF($B191="","",Mau15a!P194)</f>
        <v/>
      </c>
      <c r="F191" s="48" t="str">
        <f>IF($B191="","",Mau15a!I194)</f>
        <v/>
      </c>
      <c r="G191" s="48" t="str">
        <f t="shared" si="16"/>
        <v/>
      </c>
      <c r="H191" s="49" t="str">
        <f t="shared" si="17"/>
        <v/>
      </c>
      <c r="I191" s="48" t="str">
        <f>IF($B191="","",Mau15a!K194)</f>
        <v/>
      </c>
      <c r="J191" s="48" t="str">
        <f>IF($B191="","",Mau15a!M194)</f>
        <v/>
      </c>
      <c r="K191" s="48" t="str">
        <f t="shared" si="18"/>
        <v/>
      </c>
      <c r="L191" s="49" t="str">
        <f t="shared" si="19"/>
        <v/>
      </c>
      <c r="M191" s="48" t="str">
        <f>IF($B191="","",Mau15a!F194)</f>
        <v/>
      </c>
      <c r="N191" s="51" t="str">
        <f>IF($B191="","",COUNTIF(BOM!$A$5:$A$1004,B191))</f>
        <v/>
      </c>
      <c r="O191" s="49" t="str">
        <f t="shared" si="20"/>
        <v/>
      </c>
      <c r="P191" s="51" t="str">
        <f>IF($B191="","",COUNTIFS(KT_nguoc_theo_SP!$B$5:$B$1004,B191,KT_nguoc_theo_SP!$M$5:$M$1004,"Xem xét"))</f>
        <v/>
      </c>
      <c r="Q191" s="49" t="str">
        <f t="shared" si="21"/>
        <v/>
      </c>
      <c r="R191" s="49" t="str">
        <f t="shared" si="22"/>
        <v/>
      </c>
      <c r="S191" s="31" t="str">
        <f t="shared" si="23"/>
        <v/>
      </c>
    </row>
    <row r="192" spans="1:19" x14ac:dyDescent="0.25">
      <c r="A192" s="36" t="str">
        <f>IF(B192="","",185)</f>
        <v/>
      </c>
      <c r="B192" s="36" t="str">
        <f>Mau15a!B195&amp;""</f>
        <v/>
      </c>
      <c r="C192" s="47" t="str">
        <f>IF(B192="","",Mau15a!C195)</f>
        <v/>
      </c>
      <c r="D192" s="36" t="str">
        <f>IF(B192="","",Mau15a!D195)</f>
        <v/>
      </c>
      <c r="E192" s="48" t="str">
        <f>IF($B192="","",Mau15a!P195)</f>
        <v/>
      </c>
      <c r="F192" s="48" t="str">
        <f>IF($B192="","",Mau15a!I195)</f>
        <v/>
      </c>
      <c r="G192" s="48" t="str">
        <f t="shared" si="16"/>
        <v/>
      </c>
      <c r="H192" s="49" t="str">
        <f t="shared" si="17"/>
        <v/>
      </c>
      <c r="I192" s="48" t="str">
        <f>IF($B192="","",Mau15a!K195)</f>
        <v/>
      </c>
      <c r="J192" s="48" t="str">
        <f>IF($B192="","",Mau15a!M195)</f>
        <v/>
      </c>
      <c r="K192" s="48" t="str">
        <f t="shared" si="18"/>
        <v/>
      </c>
      <c r="L192" s="49" t="str">
        <f t="shared" si="19"/>
        <v/>
      </c>
      <c r="M192" s="48" t="str">
        <f>IF($B192="","",Mau15a!F195)</f>
        <v/>
      </c>
      <c r="N192" s="51" t="str">
        <f>IF($B192="","",COUNTIF(BOM!$A$5:$A$1004,B192))</f>
        <v/>
      </c>
      <c r="O192" s="49" t="str">
        <f t="shared" si="20"/>
        <v/>
      </c>
      <c r="P192" s="51" t="str">
        <f>IF($B192="","",COUNTIFS(KT_nguoc_theo_SP!$B$5:$B$1004,B192,KT_nguoc_theo_SP!$M$5:$M$1004,"Xem xét"))</f>
        <v/>
      </c>
      <c r="Q192" s="49" t="str">
        <f t="shared" si="21"/>
        <v/>
      </c>
      <c r="R192" s="49" t="str">
        <f t="shared" si="22"/>
        <v/>
      </c>
      <c r="S192" s="31" t="str">
        <f t="shared" si="23"/>
        <v/>
      </c>
    </row>
    <row r="193" spans="1:19" x14ac:dyDescent="0.25">
      <c r="A193" s="36" t="str">
        <f>IF(B193="","",186)</f>
        <v/>
      </c>
      <c r="B193" s="36" t="str">
        <f>Mau15a!B196&amp;""</f>
        <v/>
      </c>
      <c r="C193" s="47" t="str">
        <f>IF(B193="","",Mau15a!C196)</f>
        <v/>
      </c>
      <c r="D193" s="36" t="str">
        <f>IF(B193="","",Mau15a!D196)</f>
        <v/>
      </c>
      <c r="E193" s="48" t="str">
        <f>IF($B193="","",Mau15a!P196)</f>
        <v/>
      </c>
      <c r="F193" s="48" t="str">
        <f>IF($B193="","",Mau15a!I196)</f>
        <v/>
      </c>
      <c r="G193" s="48" t="str">
        <f t="shared" si="16"/>
        <v/>
      </c>
      <c r="H193" s="49" t="str">
        <f t="shared" si="17"/>
        <v/>
      </c>
      <c r="I193" s="48" t="str">
        <f>IF($B193="","",Mau15a!K196)</f>
        <v/>
      </c>
      <c r="J193" s="48" t="str">
        <f>IF($B193="","",Mau15a!M196)</f>
        <v/>
      </c>
      <c r="K193" s="48" t="str">
        <f t="shared" si="18"/>
        <v/>
      </c>
      <c r="L193" s="49" t="str">
        <f t="shared" si="19"/>
        <v/>
      </c>
      <c r="M193" s="48" t="str">
        <f>IF($B193="","",Mau15a!F196)</f>
        <v/>
      </c>
      <c r="N193" s="51" t="str">
        <f>IF($B193="","",COUNTIF(BOM!$A$5:$A$1004,B193))</f>
        <v/>
      </c>
      <c r="O193" s="49" t="str">
        <f t="shared" si="20"/>
        <v/>
      </c>
      <c r="P193" s="51" t="str">
        <f>IF($B193="","",COUNTIFS(KT_nguoc_theo_SP!$B$5:$B$1004,B193,KT_nguoc_theo_SP!$M$5:$M$1004,"Xem xét"))</f>
        <v/>
      </c>
      <c r="Q193" s="49" t="str">
        <f t="shared" si="21"/>
        <v/>
      </c>
      <c r="R193" s="49" t="str">
        <f t="shared" si="22"/>
        <v/>
      </c>
      <c r="S193" s="31" t="str">
        <f t="shared" si="23"/>
        <v/>
      </c>
    </row>
    <row r="194" spans="1:19" x14ac:dyDescent="0.25">
      <c r="A194" s="36" t="str">
        <f>IF(B194="","",187)</f>
        <v/>
      </c>
      <c r="B194" s="36" t="str">
        <f>Mau15a!B197&amp;""</f>
        <v/>
      </c>
      <c r="C194" s="47" t="str">
        <f>IF(B194="","",Mau15a!C197)</f>
        <v/>
      </c>
      <c r="D194" s="36" t="str">
        <f>IF(B194="","",Mau15a!D197)</f>
        <v/>
      </c>
      <c r="E194" s="48" t="str">
        <f>IF($B194="","",Mau15a!P197)</f>
        <v/>
      </c>
      <c r="F194" s="48" t="str">
        <f>IF($B194="","",Mau15a!I197)</f>
        <v/>
      </c>
      <c r="G194" s="48" t="str">
        <f t="shared" si="16"/>
        <v/>
      </c>
      <c r="H194" s="49" t="str">
        <f t="shared" si="17"/>
        <v/>
      </c>
      <c r="I194" s="48" t="str">
        <f>IF($B194="","",Mau15a!K197)</f>
        <v/>
      </c>
      <c r="J194" s="48" t="str">
        <f>IF($B194="","",Mau15a!M197)</f>
        <v/>
      </c>
      <c r="K194" s="48" t="str">
        <f t="shared" si="18"/>
        <v/>
      </c>
      <c r="L194" s="49" t="str">
        <f t="shared" si="19"/>
        <v/>
      </c>
      <c r="M194" s="48" t="str">
        <f>IF($B194="","",Mau15a!F197)</f>
        <v/>
      </c>
      <c r="N194" s="51" t="str">
        <f>IF($B194="","",COUNTIF(BOM!$A$5:$A$1004,B194))</f>
        <v/>
      </c>
      <c r="O194" s="49" t="str">
        <f t="shared" si="20"/>
        <v/>
      </c>
      <c r="P194" s="51" t="str">
        <f>IF($B194="","",COUNTIFS(KT_nguoc_theo_SP!$B$5:$B$1004,B194,KT_nguoc_theo_SP!$M$5:$M$1004,"Xem xét"))</f>
        <v/>
      </c>
      <c r="Q194" s="49" t="str">
        <f t="shared" si="21"/>
        <v/>
      </c>
      <c r="R194" s="49" t="str">
        <f t="shared" si="22"/>
        <v/>
      </c>
      <c r="S194" s="31" t="str">
        <f t="shared" si="23"/>
        <v/>
      </c>
    </row>
    <row r="195" spans="1:19" x14ac:dyDescent="0.25">
      <c r="A195" s="36" t="str">
        <f>IF(B195="","",188)</f>
        <v/>
      </c>
      <c r="B195" s="36" t="str">
        <f>Mau15a!B198&amp;""</f>
        <v/>
      </c>
      <c r="C195" s="47" t="str">
        <f>IF(B195="","",Mau15a!C198)</f>
        <v/>
      </c>
      <c r="D195" s="36" t="str">
        <f>IF(B195="","",Mau15a!D198)</f>
        <v/>
      </c>
      <c r="E195" s="48" t="str">
        <f>IF($B195="","",Mau15a!P198)</f>
        <v/>
      </c>
      <c r="F195" s="48" t="str">
        <f>IF($B195="","",Mau15a!I198)</f>
        <v/>
      </c>
      <c r="G195" s="48" t="str">
        <f t="shared" si="16"/>
        <v/>
      </c>
      <c r="H195" s="49" t="str">
        <f t="shared" si="17"/>
        <v/>
      </c>
      <c r="I195" s="48" t="str">
        <f>IF($B195="","",Mau15a!K198)</f>
        <v/>
      </c>
      <c r="J195" s="48" t="str">
        <f>IF($B195="","",Mau15a!M198)</f>
        <v/>
      </c>
      <c r="K195" s="48" t="str">
        <f t="shared" si="18"/>
        <v/>
      </c>
      <c r="L195" s="49" t="str">
        <f t="shared" si="19"/>
        <v/>
      </c>
      <c r="M195" s="48" t="str">
        <f>IF($B195="","",Mau15a!F198)</f>
        <v/>
      </c>
      <c r="N195" s="51" t="str">
        <f>IF($B195="","",COUNTIF(BOM!$A$5:$A$1004,B195))</f>
        <v/>
      </c>
      <c r="O195" s="49" t="str">
        <f t="shared" si="20"/>
        <v/>
      </c>
      <c r="P195" s="51" t="str">
        <f>IF($B195="","",COUNTIFS(KT_nguoc_theo_SP!$B$5:$B$1004,B195,KT_nguoc_theo_SP!$M$5:$M$1004,"Xem xét"))</f>
        <v/>
      </c>
      <c r="Q195" s="49" t="str">
        <f t="shared" si="21"/>
        <v/>
      </c>
      <c r="R195" s="49" t="str">
        <f t="shared" si="22"/>
        <v/>
      </c>
      <c r="S195" s="31" t="str">
        <f t="shared" si="23"/>
        <v/>
      </c>
    </row>
    <row r="196" spans="1:19" x14ac:dyDescent="0.25">
      <c r="A196" s="36" t="str">
        <f>IF(B196="","",189)</f>
        <v/>
      </c>
      <c r="B196" s="36" t="str">
        <f>Mau15a!B199&amp;""</f>
        <v/>
      </c>
      <c r="C196" s="47" t="str">
        <f>IF(B196="","",Mau15a!C199)</f>
        <v/>
      </c>
      <c r="D196" s="36" t="str">
        <f>IF(B196="","",Mau15a!D199)</f>
        <v/>
      </c>
      <c r="E196" s="48" t="str">
        <f>IF($B196="","",Mau15a!P199)</f>
        <v/>
      </c>
      <c r="F196" s="48" t="str">
        <f>IF($B196="","",Mau15a!I199)</f>
        <v/>
      </c>
      <c r="G196" s="48" t="str">
        <f t="shared" si="16"/>
        <v/>
      </c>
      <c r="H196" s="49" t="str">
        <f t="shared" si="17"/>
        <v/>
      </c>
      <c r="I196" s="48" t="str">
        <f>IF($B196="","",Mau15a!K199)</f>
        <v/>
      </c>
      <c r="J196" s="48" t="str">
        <f>IF($B196="","",Mau15a!M199)</f>
        <v/>
      </c>
      <c r="K196" s="48" t="str">
        <f t="shared" si="18"/>
        <v/>
      </c>
      <c r="L196" s="49" t="str">
        <f t="shared" si="19"/>
        <v/>
      </c>
      <c r="M196" s="48" t="str">
        <f>IF($B196="","",Mau15a!F199)</f>
        <v/>
      </c>
      <c r="N196" s="51" t="str">
        <f>IF($B196="","",COUNTIF(BOM!$A$5:$A$1004,B196))</f>
        <v/>
      </c>
      <c r="O196" s="49" t="str">
        <f t="shared" si="20"/>
        <v/>
      </c>
      <c r="P196" s="51" t="str">
        <f>IF($B196="","",COUNTIFS(KT_nguoc_theo_SP!$B$5:$B$1004,B196,KT_nguoc_theo_SP!$M$5:$M$1004,"Xem xét"))</f>
        <v/>
      </c>
      <c r="Q196" s="49" t="str">
        <f t="shared" si="21"/>
        <v/>
      </c>
      <c r="R196" s="49" t="str">
        <f t="shared" si="22"/>
        <v/>
      </c>
      <c r="S196" s="31" t="str">
        <f t="shared" si="23"/>
        <v/>
      </c>
    </row>
    <row r="197" spans="1:19" x14ac:dyDescent="0.25">
      <c r="A197" s="36" t="str">
        <f>IF(B197="","",190)</f>
        <v/>
      </c>
      <c r="B197" s="36" t="str">
        <f>Mau15a!B200&amp;""</f>
        <v/>
      </c>
      <c r="C197" s="47" t="str">
        <f>IF(B197="","",Mau15a!C200)</f>
        <v/>
      </c>
      <c r="D197" s="36" t="str">
        <f>IF(B197="","",Mau15a!D200)</f>
        <v/>
      </c>
      <c r="E197" s="48" t="str">
        <f>IF($B197="","",Mau15a!P200)</f>
        <v/>
      </c>
      <c r="F197" s="48" t="str">
        <f>IF($B197="","",Mau15a!I200)</f>
        <v/>
      </c>
      <c r="G197" s="48" t="str">
        <f t="shared" si="16"/>
        <v/>
      </c>
      <c r="H197" s="49" t="str">
        <f t="shared" si="17"/>
        <v/>
      </c>
      <c r="I197" s="48" t="str">
        <f>IF($B197="","",Mau15a!K200)</f>
        <v/>
      </c>
      <c r="J197" s="48" t="str">
        <f>IF($B197="","",Mau15a!M200)</f>
        <v/>
      </c>
      <c r="K197" s="48" t="str">
        <f t="shared" si="18"/>
        <v/>
      </c>
      <c r="L197" s="49" t="str">
        <f t="shared" si="19"/>
        <v/>
      </c>
      <c r="M197" s="48" t="str">
        <f>IF($B197="","",Mau15a!F200)</f>
        <v/>
      </c>
      <c r="N197" s="51" t="str">
        <f>IF($B197="","",COUNTIF(BOM!$A$5:$A$1004,B197))</f>
        <v/>
      </c>
      <c r="O197" s="49" t="str">
        <f t="shared" si="20"/>
        <v/>
      </c>
      <c r="P197" s="51" t="str">
        <f>IF($B197="","",COUNTIFS(KT_nguoc_theo_SP!$B$5:$B$1004,B197,KT_nguoc_theo_SP!$M$5:$M$1004,"Xem xét"))</f>
        <v/>
      </c>
      <c r="Q197" s="49" t="str">
        <f t="shared" si="21"/>
        <v/>
      </c>
      <c r="R197" s="49" t="str">
        <f t="shared" si="22"/>
        <v/>
      </c>
      <c r="S197" s="31" t="str">
        <f t="shared" si="23"/>
        <v/>
      </c>
    </row>
    <row r="198" spans="1:19" x14ac:dyDescent="0.25">
      <c r="A198" s="36" t="str">
        <f>IF(B198="","",191)</f>
        <v/>
      </c>
      <c r="B198" s="36" t="str">
        <f>Mau15a!B201&amp;""</f>
        <v/>
      </c>
      <c r="C198" s="47" t="str">
        <f>IF(B198="","",Mau15a!C201)</f>
        <v/>
      </c>
      <c r="D198" s="36" t="str">
        <f>IF(B198="","",Mau15a!D201)</f>
        <v/>
      </c>
      <c r="E198" s="48" t="str">
        <f>IF($B198="","",Mau15a!P201)</f>
        <v/>
      </c>
      <c r="F198" s="48" t="str">
        <f>IF($B198="","",Mau15a!I201)</f>
        <v/>
      </c>
      <c r="G198" s="48" t="str">
        <f t="shared" si="16"/>
        <v/>
      </c>
      <c r="H198" s="49" t="str">
        <f t="shared" si="17"/>
        <v/>
      </c>
      <c r="I198" s="48" t="str">
        <f>IF($B198="","",Mau15a!K201)</f>
        <v/>
      </c>
      <c r="J198" s="48" t="str">
        <f>IF($B198="","",Mau15a!M201)</f>
        <v/>
      </c>
      <c r="K198" s="48" t="str">
        <f t="shared" si="18"/>
        <v/>
      </c>
      <c r="L198" s="49" t="str">
        <f t="shared" si="19"/>
        <v/>
      </c>
      <c r="M198" s="48" t="str">
        <f>IF($B198="","",Mau15a!F201)</f>
        <v/>
      </c>
      <c r="N198" s="51" t="str">
        <f>IF($B198="","",COUNTIF(BOM!$A$5:$A$1004,B198))</f>
        <v/>
      </c>
      <c r="O198" s="49" t="str">
        <f t="shared" si="20"/>
        <v/>
      </c>
      <c r="P198" s="51" t="str">
        <f>IF($B198="","",COUNTIFS(KT_nguoc_theo_SP!$B$5:$B$1004,B198,KT_nguoc_theo_SP!$M$5:$M$1004,"Xem xét"))</f>
        <v/>
      </c>
      <c r="Q198" s="49" t="str">
        <f t="shared" si="21"/>
        <v/>
      </c>
      <c r="R198" s="49" t="str">
        <f t="shared" si="22"/>
        <v/>
      </c>
      <c r="S198" s="31" t="str">
        <f t="shared" si="23"/>
        <v/>
      </c>
    </row>
    <row r="199" spans="1:19" x14ac:dyDescent="0.25">
      <c r="A199" s="36" t="str">
        <f>IF(B199="","",192)</f>
        <v/>
      </c>
      <c r="B199" s="36" t="str">
        <f>Mau15a!B202&amp;""</f>
        <v/>
      </c>
      <c r="C199" s="47" t="str">
        <f>IF(B199="","",Mau15a!C202)</f>
        <v/>
      </c>
      <c r="D199" s="36" t="str">
        <f>IF(B199="","",Mau15a!D202)</f>
        <v/>
      </c>
      <c r="E199" s="48" t="str">
        <f>IF($B199="","",Mau15a!P202)</f>
        <v/>
      </c>
      <c r="F199" s="48" t="str">
        <f>IF($B199="","",Mau15a!I202)</f>
        <v/>
      </c>
      <c r="G199" s="48" t="str">
        <f t="shared" si="16"/>
        <v/>
      </c>
      <c r="H199" s="49" t="str">
        <f t="shared" si="17"/>
        <v/>
      </c>
      <c r="I199" s="48" t="str">
        <f>IF($B199="","",Mau15a!K202)</f>
        <v/>
      </c>
      <c r="J199" s="48" t="str">
        <f>IF($B199="","",Mau15a!M202)</f>
        <v/>
      </c>
      <c r="K199" s="48" t="str">
        <f t="shared" si="18"/>
        <v/>
      </c>
      <c r="L199" s="49" t="str">
        <f t="shared" si="19"/>
        <v/>
      </c>
      <c r="M199" s="48" t="str">
        <f>IF($B199="","",Mau15a!F202)</f>
        <v/>
      </c>
      <c r="N199" s="51" t="str">
        <f>IF($B199="","",COUNTIF(BOM!$A$5:$A$1004,B199))</f>
        <v/>
      </c>
      <c r="O199" s="49" t="str">
        <f t="shared" si="20"/>
        <v/>
      </c>
      <c r="P199" s="51" t="str">
        <f>IF($B199="","",COUNTIFS(KT_nguoc_theo_SP!$B$5:$B$1004,B199,KT_nguoc_theo_SP!$M$5:$M$1004,"Xem xét"))</f>
        <v/>
      </c>
      <c r="Q199" s="49" t="str">
        <f t="shared" si="21"/>
        <v/>
      </c>
      <c r="R199" s="49" t="str">
        <f t="shared" si="22"/>
        <v/>
      </c>
      <c r="S199" s="31" t="str">
        <f t="shared" si="23"/>
        <v/>
      </c>
    </row>
    <row r="200" spans="1:19" x14ac:dyDescent="0.25">
      <c r="A200" s="36" t="str">
        <f>IF(B200="","",193)</f>
        <v/>
      </c>
      <c r="B200" s="36" t="str">
        <f>Mau15a!B203&amp;""</f>
        <v/>
      </c>
      <c r="C200" s="47" t="str">
        <f>IF(B200="","",Mau15a!C203)</f>
        <v/>
      </c>
      <c r="D200" s="36" t="str">
        <f>IF(B200="","",Mau15a!D203)</f>
        <v/>
      </c>
      <c r="E200" s="48" t="str">
        <f>IF($B200="","",Mau15a!P203)</f>
        <v/>
      </c>
      <c r="F200" s="48" t="str">
        <f>IF($B200="","",Mau15a!I203)</f>
        <v/>
      </c>
      <c r="G200" s="48" t="str">
        <f t="shared" ref="G200:G263" si="24">IF($B200="","",N(E200)-N(F200))</f>
        <v/>
      </c>
      <c r="H200" s="49" t="str">
        <f t="shared" ref="H200:H263" si="25">IF($B200="","",IF(ABS(G200)&lt;0.000001,"Khớp","Giải trình"))</f>
        <v/>
      </c>
      <c r="I200" s="48" t="str">
        <f>IF($B200="","",Mau15a!K203)</f>
        <v/>
      </c>
      <c r="J200" s="48" t="str">
        <f>IF($B200="","",Mau15a!M203)</f>
        <v/>
      </c>
      <c r="K200" s="48" t="str">
        <f t="shared" ref="K200:K263" si="26">IF($B200="","",N(I200)-N(J200))</f>
        <v/>
      </c>
      <c r="L200" s="49" t="str">
        <f t="shared" ref="L200:L263" si="27">IF($B200="","",IF(ABS(K200)&lt;0.000001,"Khớp","Lỗi"))</f>
        <v/>
      </c>
      <c r="M200" s="48" t="str">
        <f>IF($B200="","",Mau15a!F203)</f>
        <v/>
      </c>
      <c r="N200" s="51" t="str">
        <f>IF($B200="","",COUNTIF(BOM!$A$5:$A$1004,B200))</f>
        <v/>
      </c>
      <c r="O200" s="49" t="str">
        <f t="shared" ref="O200:O263" si="28">IF($B200="","",IF(AND(N(M200)&gt;0,N200=0),"Lỗi","Khớp"))</f>
        <v/>
      </c>
      <c r="P200" s="51" t="str">
        <f>IF($B200="","",COUNTIFS(KT_nguoc_theo_SP!$B$5:$B$1004,B200,KT_nguoc_theo_SP!$M$5:$M$1004,"Xem xét"))</f>
        <v/>
      </c>
      <c r="Q200" s="49" t="str">
        <f t="shared" ref="Q200:Q263" si="29">IF($B200="","",IF(P200&gt;0,"Cảnh báo","Khớp"))</f>
        <v/>
      </c>
      <c r="R200" s="49" t="str">
        <f t="shared" ref="R200:R263" si="30">IF(B200="","",IF(COUNTIF(H200:Q200,"Lỗi")&gt;0,"Lỗi",IF(COUNTIF(H200:Q200,"Cảnh báo")&gt;0,"Cảnh báo",IF(COUNTIF(H200:Q200,"Giải trình")&gt;0,"Giải trình","Khớp"))))</f>
        <v/>
      </c>
      <c r="S200" s="31" t="str">
        <f t="shared" ref="S200:S263" si="31">IF(B200="","",IF(G200&gt;0,"Xuất khẩu: tờ khai nhiều hơn xuất kho "&amp;TEXT(G200,IF(MOD(G200,1)=0,"#,##0","#,##0.######"))&amp;" – hàng đã thông quan chưa xuất kho, ghi số tờ khai tại Ghi chú khác Mẫu 15a; ","")&amp;IF(G200&lt;0,"Xuất khẩu: xuất kho nhiều hơn tờ khai "&amp;TEXT(ABS(G200),IF(MOD(ABS(G200),1)=0,"#,##0","#,##0.######"))&amp;" – xuất kho chưa đăng ký tờ khai (ghi cột 10) hoặc tờ khai kỳ trước – rà soát; ","")&amp;IF(N(K200)&lt;&gt;0,"Tồn cuối lệch kiểm kê "&amp;TEXT(K200,IF(MOD(K200,1)=0,"#,##0","#,##0.######"))&amp;" – rà soát cột (5)–(10) hoặc số kiểm kê; ","")&amp;IF(O200="Lỗi","Có thành phẩm nhập kho nhưng chưa khai định mức trên Mẫu 16 (sheet BOM); ","")&amp;IF(Q200="Cảnh báo",P200&amp;" dòng định mức lệch BOM/kiểm tra ngược quá ngưỡng – xem sheet KT_nguoc_theo_SP; ",""))</f>
        <v/>
      </c>
    </row>
    <row r="201" spans="1:19" x14ac:dyDescent="0.25">
      <c r="A201" s="36" t="str">
        <f>IF(B201="","",194)</f>
        <v/>
      </c>
      <c r="B201" s="36" t="str">
        <f>Mau15a!B204&amp;""</f>
        <v/>
      </c>
      <c r="C201" s="47" t="str">
        <f>IF(B201="","",Mau15a!C204)</f>
        <v/>
      </c>
      <c r="D201" s="36" t="str">
        <f>IF(B201="","",Mau15a!D204)</f>
        <v/>
      </c>
      <c r="E201" s="48" t="str">
        <f>IF($B201="","",Mau15a!P204)</f>
        <v/>
      </c>
      <c r="F201" s="48" t="str">
        <f>IF($B201="","",Mau15a!I204)</f>
        <v/>
      </c>
      <c r="G201" s="48" t="str">
        <f t="shared" si="24"/>
        <v/>
      </c>
      <c r="H201" s="49" t="str">
        <f t="shared" si="25"/>
        <v/>
      </c>
      <c r="I201" s="48" t="str">
        <f>IF($B201="","",Mau15a!K204)</f>
        <v/>
      </c>
      <c r="J201" s="48" t="str">
        <f>IF($B201="","",Mau15a!M204)</f>
        <v/>
      </c>
      <c r="K201" s="48" t="str">
        <f t="shared" si="26"/>
        <v/>
      </c>
      <c r="L201" s="49" t="str">
        <f t="shared" si="27"/>
        <v/>
      </c>
      <c r="M201" s="48" t="str">
        <f>IF($B201="","",Mau15a!F204)</f>
        <v/>
      </c>
      <c r="N201" s="51" t="str">
        <f>IF($B201="","",COUNTIF(BOM!$A$5:$A$1004,B201))</f>
        <v/>
      </c>
      <c r="O201" s="49" t="str">
        <f t="shared" si="28"/>
        <v/>
      </c>
      <c r="P201" s="51" t="str">
        <f>IF($B201="","",COUNTIFS(KT_nguoc_theo_SP!$B$5:$B$1004,B201,KT_nguoc_theo_SP!$M$5:$M$1004,"Xem xét"))</f>
        <v/>
      </c>
      <c r="Q201" s="49" t="str">
        <f t="shared" si="29"/>
        <v/>
      </c>
      <c r="R201" s="49" t="str">
        <f t="shared" si="30"/>
        <v/>
      </c>
      <c r="S201" s="31" t="str">
        <f t="shared" si="31"/>
        <v/>
      </c>
    </row>
    <row r="202" spans="1:19" x14ac:dyDescent="0.25">
      <c r="A202" s="36" t="str">
        <f>IF(B202="","",195)</f>
        <v/>
      </c>
      <c r="B202" s="36" t="str">
        <f>Mau15a!B205&amp;""</f>
        <v/>
      </c>
      <c r="C202" s="47" t="str">
        <f>IF(B202="","",Mau15a!C205)</f>
        <v/>
      </c>
      <c r="D202" s="36" t="str">
        <f>IF(B202="","",Mau15a!D205)</f>
        <v/>
      </c>
      <c r="E202" s="48" t="str">
        <f>IF($B202="","",Mau15a!P205)</f>
        <v/>
      </c>
      <c r="F202" s="48" t="str">
        <f>IF($B202="","",Mau15a!I205)</f>
        <v/>
      </c>
      <c r="G202" s="48" t="str">
        <f t="shared" si="24"/>
        <v/>
      </c>
      <c r="H202" s="49" t="str">
        <f t="shared" si="25"/>
        <v/>
      </c>
      <c r="I202" s="48" t="str">
        <f>IF($B202="","",Mau15a!K205)</f>
        <v/>
      </c>
      <c r="J202" s="48" t="str">
        <f>IF($B202="","",Mau15a!M205)</f>
        <v/>
      </c>
      <c r="K202" s="48" t="str">
        <f t="shared" si="26"/>
        <v/>
      </c>
      <c r="L202" s="49" t="str">
        <f t="shared" si="27"/>
        <v/>
      </c>
      <c r="M202" s="48" t="str">
        <f>IF($B202="","",Mau15a!F205)</f>
        <v/>
      </c>
      <c r="N202" s="51" t="str">
        <f>IF($B202="","",COUNTIF(BOM!$A$5:$A$1004,B202))</f>
        <v/>
      </c>
      <c r="O202" s="49" t="str">
        <f t="shared" si="28"/>
        <v/>
      </c>
      <c r="P202" s="51" t="str">
        <f>IF($B202="","",COUNTIFS(KT_nguoc_theo_SP!$B$5:$B$1004,B202,KT_nguoc_theo_SP!$M$5:$M$1004,"Xem xét"))</f>
        <v/>
      </c>
      <c r="Q202" s="49" t="str">
        <f t="shared" si="29"/>
        <v/>
      </c>
      <c r="R202" s="49" t="str">
        <f t="shared" si="30"/>
        <v/>
      </c>
      <c r="S202" s="31" t="str">
        <f t="shared" si="31"/>
        <v/>
      </c>
    </row>
    <row r="203" spans="1:19" x14ac:dyDescent="0.25">
      <c r="A203" s="36" t="str">
        <f>IF(B203="","",196)</f>
        <v/>
      </c>
      <c r="B203" s="36" t="str">
        <f>Mau15a!B206&amp;""</f>
        <v/>
      </c>
      <c r="C203" s="47" t="str">
        <f>IF(B203="","",Mau15a!C206)</f>
        <v/>
      </c>
      <c r="D203" s="36" t="str">
        <f>IF(B203="","",Mau15a!D206)</f>
        <v/>
      </c>
      <c r="E203" s="48" t="str">
        <f>IF($B203="","",Mau15a!P206)</f>
        <v/>
      </c>
      <c r="F203" s="48" t="str">
        <f>IF($B203="","",Mau15a!I206)</f>
        <v/>
      </c>
      <c r="G203" s="48" t="str">
        <f t="shared" si="24"/>
        <v/>
      </c>
      <c r="H203" s="49" t="str">
        <f t="shared" si="25"/>
        <v/>
      </c>
      <c r="I203" s="48" t="str">
        <f>IF($B203="","",Mau15a!K206)</f>
        <v/>
      </c>
      <c r="J203" s="48" t="str">
        <f>IF($B203="","",Mau15a!M206)</f>
        <v/>
      </c>
      <c r="K203" s="48" t="str">
        <f t="shared" si="26"/>
        <v/>
      </c>
      <c r="L203" s="49" t="str">
        <f t="shared" si="27"/>
        <v/>
      </c>
      <c r="M203" s="48" t="str">
        <f>IF($B203="","",Mau15a!F206)</f>
        <v/>
      </c>
      <c r="N203" s="51" t="str">
        <f>IF($B203="","",COUNTIF(BOM!$A$5:$A$1004,B203))</f>
        <v/>
      </c>
      <c r="O203" s="49" t="str">
        <f t="shared" si="28"/>
        <v/>
      </c>
      <c r="P203" s="51" t="str">
        <f>IF($B203="","",COUNTIFS(KT_nguoc_theo_SP!$B$5:$B$1004,B203,KT_nguoc_theo_SP!$M$5:$M$1004,"Xem xét"))</f>
        <v/>
      </c>
      <c r="Q203" s="49" t="str">
        <f t="shared" si="29"/>
        <v/>
      </c>
      <c r="R203" s="49" t="str">
        <f t="shared" si="30"/>
        <v/>
      </c>
      <c r="S203" s="31" t="str">
        <f t="shared" si="31"/>
        <v/>
      </c>
    </row>
    <row r="204" spans="1:19" x14ac:dyDescent="0.25">
      <c r="A204" s="36" t="str">
        <f>IF(B204="","",197)</f>
        <v/>
      </c>
      <c r="B204" s="36" t="str">
        <f>Mau15a!B207&amp;""</f>
        <v/>
      </c>
      <c r="C204" s="47" t="str">
        <f>IF(B204="","",Mau15a!C207)</f>
        <v/>
      </c>
      <c r="D204" s="36" t="str">
        <f>IF(B204="","",Mau15a!D207)</f>
        <v/>
      </c>
      <c r="E204" s="48" t="str">
        <f>IF($B204="","",Mau15a!P207)</f>
        <v/>
      </c>
      <c r="F204" s="48" t="str">
        <f>IF($B204="","",Mau15a!I207)</f>
        <v/>
      </c>
      <c r="G204" s="48" t="str">
        <f t="shared" si="24"/>
        <v/>
      </c>
      <c r="H204" s="49" t="str">
        <f t="shared" si="25"/>
        <v/>
      </c>
      <c r="I204" s="48" t="str">
        <f>IF($B204="","",Mau15a!K207)</f>
        <v/>
      </c>
      <c r="J204" s="48" t="str">
        <f>IF($B204="","",Mau15a!M207)</f>
        <v/>
      </c>
      <c r="K204" s="48" t="str">
        <f t="shared" si="26"/>
        <v/>
      </c>
      <c r="L204" s="49" t="str">
        <f t="shared" si="27"/>
        <v/>
      </c>
      <c r="M204" s="48" t="str">
        <f>IF($B204="","",Mau15a!F207)</f>
        <v/>
      </c>
      <c r="N204" s="51" t="str">
        <f>IF($B204="","",COUNTIF(BOM!$A$5:$A$1004,B204))</f>
        <v/>
      </c>
      <c r="O204" s="49" t="str">
        <f t="shared" si="28"/>
        <v/>
      </c>
      <c r="P204" s="51" t="str">
        <f>IF($B204="","",COUNTIFS(KT_nguoc_theo_SP!$B$5:$B$1004,B204,KT_nguoc_theo_SP!$M$5:$M$1004,"Xem xét"))</f>
        <v/>
      </c>
      <c r="Q204" s="49" t="str">
        <f t="shared" si="29"/>
        <v/>
      </c>
      <c r="R204" s="49" t="str">
        <f t="shared" si="30"/>
        <v/>
      </c>
      <c r="S204" s="31" t="str">
        <f t="shared" si="31"/>
        <v/>
      </c>
    </row>
    <row r="205" spans="1:19" x14ac:dyDescent="0.25">
      <c r="A205" s="36" t="str">
        <f>IF(B205="","",198)</f>
        <v/>
      </c>
      <c r="B205" s="36" t="str">
        <f>Mau15a!B208&amp;""</f>
        <v/>
      </c>
      <c r="C205" s="47" t="str">
        <f>IF(B205="","",Mau15a!C208)</f>
        <v/>
      </c>
      <c r="D205" s="36" t="str">
        <f>IF(B205="","",Mau15a!D208)</f>
        <v/>
      </c>
      <c r="E205" s="48" t="str">
        <f>IF($B205="","",Mau15a!P208)</f>
        <v/>
      </c>
      <c r="F205" s="48" t="str">
        <f>IF($B205="","",Mau15a!I208)</f>
        <v/>
      </c>
      <c r="G205" s="48" t="str">
        <f t="shared" si="24"/>
        <v/>
      </c>
      <c r="H205" s="49" t="str">
        <f t="shared" si="25"/>
        <v/>
      </c>
      <c r="I205" s="48" t="str">
        <f>IF($B205="","",Mau15a!K208)</f>
        <v/>
      </c>
      <c r="J205" s="48" t="str">
        <f>IF($B205="","",Mau15a!M208)</f>
        <v/>
      </c>
      <c r="K205" s="48" t="str">
        <f t="shared" si="26"/>
        <v/>
      </c>
      <c r="L205" s="49" t="str">
        <f t="shared" si="27"/>
        <v/>
      </c>
      <c r="M205" s="48" t="str">
        <f>IF($B205="","",Mau15a!F208)</f>
        <v/>
      </c>
      <c r="N205" s="51" t="str">
        <f>IF($B205="","",COUNTIF(BOM!$A$5:$A$1004,B205))</f>
        <v/>
      </c>
      <c r="O205" s="49" t="str">
        <f t="shared" si="28"/>
        <v/>
      </c>
      <c r="P205" s="51" t="str">
        <f>IF($B205="","",COUNTIFS(KT_nguoc_theo_SP!$B$5:$B$1004,B205,KT_nguoc_theo_SP!$M$5:$M$1004,"Xem xét"))</f>
        <v/>
      </c>
      <c r="Q205" s="49" t="str">
        <f t="shared" si="29"/>
        <v/>
      </c>
      <c r="R205" s="49" t="str">
        <f t="shared" si="30"/>
        <v/>
      </c>
      <c r="S205" s="31" t="str">
        <f t="shared" si="31"/>
        <v/>
      </c>
    </row>
    <row r="206" spans="1:19" x14ac:dyDescent="0.25">
      <c r="A206" s="36" t="str">
        <f>IF(B206="","",199)</f>
        <v/>
      </c>
      <c r="B206" s="36" t="str">
        <f>Mau15a!B209&amp;""</f>
        <v/>
      </c>
      <c r="C206" s="47" t="str">
        <f>IF(B206="","",Mau15a!C209)</f>
        <v/>
      </c>
      <c r="D206" s="36" t="str">
        <f>IF(B206="","",Mau15a!D209)</f>
        <v/>
      </c>
      <c r="E206" s="48" t="str">
        <f>IF($B206="","",Mau15a!P209)</f>
        <v/>
      </c>
      <c r="F206" s="48" t="str">
        <f>IF($B206="","",Mau15a!I209)</f>
        <v/>
      </c>
      <c r="G206" s="48" t="str">
        <f t="shared" si="24"/>
        <v/>
      </c>
      <c r="H206" s="49" t="str">
        <f t="shared" si="25"/>
        <v/>
      </c>
      <c r="I206" s="48" t="str">
        <f>IF($B206="","",Mau15a!K209)</f>
        <v/>
      </c>
      <c r="J206" s="48" t="str">
        <f>IF($B206="","",Mau15a!M209)</f>
        <v/>
      </c>
      <c r="K206" s="48" t="str">
        <f t="shared" si="26"/>
        <v/>
      </c>
      <c r="L206" s="49" t="str">
        <f t="shared" si="27"/>
        <v/>
      </c>
      <c r="M206" s="48" t="str">
        <f>IF($B206="","",Mau15a!F209)</f>
        <v/>
      </c>
      <c r="N206" s="51" t="str">
        <f>IF($B206="","",COUNTIF(BOM!$A$5:$A$1004,B206))</f>
        <v/>
      </c>
      <c r="O206" s="49" t="str">
        <f t="shared" si="28"/>
        <v/>
      </c>
      <c r="P206" s="51" t="str">
        <f>IF($B206="","",COUNTIFS(KT_nguoc_theo_SP!$B$5:$B$1004,B206,KT_nguoc_theo_SP!$M$5:$M$1004,"Xem xét"))</f>
        <v/>
      </c>
      <c r="Q206" s="49" t="str">
        <f t="shared" si="29"/>
        <v/>
      </c>
      <c r="R206" s="49" t="str">
        <f t="shared" si="30"/>
        <v/>
      </c>
      <c r="S206" s="31" t="str">
        <f t="shared" si="31"/>
        <v/>
      </c>
    </row>
    <row r="207" spans="1:19" x14ac:dyDescent="0.25">
      <c r="A207" s="36" t="str">
        <f>IF(B207="","",200)</f>
        <v/>
      </c>
      <c r="B207" s="36" t="str">
        <f>Mau15a!B210&amp;""</f>
        <v/>
      </c>
      <c r="C207" s="47" t="str">
        <f>IF(B207="","",Mau15a!C210)</f>
        <v/>
      </c>
      <c r="D207" s="36" t="str">
        <f>IF(B207="","",Mau15a!D210)</f>
        <v/>
      </c>
      <c r="E207" s="48" t="str">
        <f>IF($B207="","",Mau15a!P210)</f>
        <v/>
      </c>
      <c r="F207" s="48" t="str">
        <f>IF($B207="","",Mau15a!I210)</f>
        <v/>
      </c>
      <c r="G207" s="48" t="str">
        <f t="shared" si="24"/>
        <v/>
      </c>
      <c r="H207" s="49" t="str">
        <f t="shared" si="25"/>
        <v/>
      </c>
      <c r="I207" s="48" t="str">
        <f>IF($B207="","",Mau15a!K210)</f>
        <v/>
      </c>
      <c r="J207" s="48" t="str">
        <f>IF($B207="","",Mau15a!M210)</f>
        <v/>
      </c>
      <c r="K207" s="48" t="str">
        <f t="shared" si="26"/>
        <v/>
      </c>
      <c r="L207" s="49" t="str">
        <f t="shared" si="27"/>
        <v/>
      </c>
      <c r="M207" s="48" t="str">
        <f>IF($B207="","",Mau15a!F210)</f>
        <v/>
      </c>
      <c r="N207" s="51" t="str">
        <f>IF($B207="","",COUNTIF(BOM!$A$5:$A$1004,B207))</f>
        <v/>
      </c>
      <c r="O207" s="49" t="str">
        <f t="shared" si="28"/>
        <v/>
      </c>
      <c r="P207" s="51" t="str">
        <f>IF($B207="","",COUNTIFS(KT_nguoc_theo_SP!$B$5:$B$1004,B207,KT_nguoc_theo_SP!$M$5:$M$1004,"Xem xét"))</f>
        <v/>
      </c>
      <c r="Q207" s="49" t="str">
        <f t="shared" si="29"/>
        <v/>
      </c>
      <c r="R207" s="49" t="str">
        <f t="shared" si="30"/>
        <v/>
      </c>
      <c r="S207" s="31" t="str">
        <f t="shared" si="31"/>
        <v/>
      </c>
    </row>
    <row r="208" spans="1:19" x14ac:dyDescent="0.25">
      <c r="A208" s="36" t="str">
        <f>IF(B208="","",201)</f>
        <v/>
      </c>
      <c r="B208" s="36" t="str">
        <f>Mau15a!B211&amp;""</f>
        <v/>
      </c>
      <c r="C208" s="47" t="str">
        <f>IF(B208="","",Mau15a!C211)</f>
        <v/>
      </c>
      <c r="D208" s="36" t="str">
        <f>IF(B208="","",Mau15a!D211)</f>
        <v/>
      </c>
      <c r="E208" s="48" t="str">
        <f>IF($B208="","",Mau15a!P211)</f>
        <v/>
      </c>
      <c r="F208" s="48" t="str">
        <f>IF($B208="","",Mau15a!I211)</f>
        <v/>
      </c>
      <c r="G208" s="48" t="str">
        <f t="shared" si="24"/>
        <v/>
      </c>
      <c r="H208" s="49" t="str">
        <f t="shared" si="25"/>
        <v/>
      </c>
      <c r="I208" s="48" t="str">
        <f>IF($B208="","",Mau15a!K211)</f>
        <v/>
      </c>
      <c r="J208" s="48" t="str">
        <f>IF($B208="","",Mau15a!M211)</f>
        <v/>
      </c>
      <c r="K208" s="48" t="str">
        <f t="shared" si="26"/>
        <v/>
      </c>
      <c r="L208" s="49" t="str">
        <f t="shared" si="27"/>
        <v/>
      </c>
      <c r="M208" s="48" t="str">
        <f>IF($B208="","",Mau15a!F211)</f>
        <v/>
      </c>
      <c r="N208" s="51" t="str">
        <f>IF($B208="","",COUNTIF(BOM!$A$5:$A$1004,B208))</f>
        <v/>
      </c>
      <c r="O208" s="49" t="str">
        <f t="shared" si="28"/>
        <v/>
      </c>
      <c r="P208" s="51" t="str">
        <f>IF($B208="","",COUNTIFS(KT_nguoc_theo_SP!$B$5:$B$1004,B208,KT_nguoc_theo_SP!$M$5:$M$1004,"Xem xét"))</f>
        <v/>
      </c>
      <c r="Q208" s="49" t="str">
        <f t="shared" si="29"/>
        <v/>
      </c>
      <c r="R208" s="49" t="str">
        <f t="shared" si="30"/>
        <v/>
      </c>
      <c r="S208" s="31" t="str">
        <f t="shared" si="31"/>
        <v/>
      </c>
    </row>
    <row r="209" spans="1:19" x14ac:dyDescent="0.25">
      <c r="A209" s="36" t="str">
        <f>IF(B209="","",202)</f>
        <v/>
      </c>
      <c r="B209" s="36" t="str">
        <f>Mau15a!B212&amp;""</f>
        <v/>
      </c>
      <c r="C209" s="47" t="str">
        <f>IF(B209="","",Mau15a!C212)</f>
        <v/>
      </c>
      <c r="D209" s="36" t="str">
        <f>IF(B209="","",Mau15a!D212)</f>
        <v/>
      </c>
      <c r="E209" s="48" t="str">
        <f>IF($B209="","",Mau15a!P212)</f>
        <v/>
      </c>
      <c r="F209" s="48" t="str">
        <f>IF($B209="","",Mau15a!I212)</f>
        <v/>
      </c>
      <c r="G209" s="48" t="str">
        <f t="shared" si="24"/>
        <v/>
      </c>
      <c r="H209" s="49" t="str">
        <f t="shared" si="25"/>
        <v/>
      </c>
      <c r="I209" s="48" t="str">
        <f>IF($B209="","",Mau15a!K212)</f>
        <v/>
      </c>
      <c r="J209" s="48" t="str">
        <f>IF($B209="","",Mau15a!M212)</f>
        <v/>
      </c>
      <c r="K209" s="48" t="str">
        <f t="shared" si="26"/>
        <v/>
      </c>
      <c r="L209" s="49" t="str">
        <f t="shared" si="27"/>
        <v/>
      </c>
      <c r="M209" s="48" t="str">
        <f>IF($B209="","",Mau15a!F212)</f>
        <v/>
      </c>
      <c r="N209" s="51" t="str">
        <f>IF($B209="","",COUNTIF(BOM!$A$5:$A$1004,B209))</f>
        <v/>
      </c>
      <c r="O209" s="49" t="str">
        <f t="shared" si="28"/>
        <v/>
      </c>
      <c r="P209" s="51" t="str">
        <f>IF($B209="","",COUNTIFS(KT_nguoc_theo_SP!$B$5:$B$1004,B209,KT_nguoc_theo_SP!$M$5:$M$1004,"Xem xét"))</f>
        <v/>
      </c>
      <c r="Q209" s="49" t="str">
        <f t="shared" si="29"/>
        <v/>
      </c>
      <c r="R209" s="49" t="str">
        <f t="shared" si="30"/>
        <v/>
      </c>
      <c r="S209" s="31" t="str">
        <f t="shared" si="31"/>
        <v/>
      </c>
    </row>
    <row r="210" spans="1:19" x14ac:dyDescent="0.25">
      <c r="A210" s="36" t="str">
        <f>IF(B210="","",203)</f>
        <v/>
      </c>
      <c r="B210" s="36" t="str">
        <f>Mau15a!B213&amp;""</f>
        <v/>
      </c>
      <c r="C210" s="47" t="str">
        <f>IF(B210="","",Mau15a!C213)</f>
        <v/>
      </c>
      <c r="D210" s="36" t="str">
        <f>IF(B210="","",Mau15a!D213)</f>
        <v/>
      </c>
      <c r="E210" s="48" t="str">
        <f>IF($B210="","",Mau15a!P213)</f>
        <v/>
      </c>
      <c r="F210" s="48" t="str">
        <f>IF($B210="","",Mau15a!I213)</f>
        <v/>
      </c>
      <c r="G210" s="48" t="str">
        <f t="shared" si="24"/>
        <v/>
      </c>
      <c r="H210" s="49" t="str">
        <f t="shared" si="25"/>
        <v/>
      </c>
      <c r="I210" s="48" t="str">
        <f>IF($B210="","",Mau15a!K213)</f>
        <v/>
      </c>
      <c r="J210" s="48" t="str">
        <f>IF($B210="","",Mau15a!M213)</f>
        <v/>
      </c>
      <c r="K210" s="48" t="str">
        <f t="shared" si="26"/>
        <v/>
      </c>
      <c r="L210" s="49" t="str">
        <f t="shared" si="27"/>
        <v/>
      </c>
      <c r="M210" s="48" t="str">
        <f>IF($B210="","",Mau15a!F213)</f>
        <v/>
      </c>
      <c r="N210" s="51" t="str">
        <f>IF($B210="","",COUNTIF(BOM!$A$5:$A$1004,B210))</f>
        <v/>
      </c>
      <c r="O210" s="49" t="str">
        <f t="shared" si="28"/>
        <v/>
      </c>
      <c r="P210" s="51" t="str">
        <f>IF($B210="","",COUNTIFS(KT_nguoc_theo_SP!$B$5:$B$1004,B210,KT_nguoc_theo_SP!$M$5:$M$1004,"Xem xét"))</f>
        <v/>
      </c>
      <c r="Q210" s="49" t="str">
        <f t="shared" si="29"/>
        <v/>
      </c>
      <c r="R210" s="49" t="str">
        <f t="shared" si="30"/>
        <v/>
      </c>
      <c r="S210" s="31" t="str">
        <f t="shared" si="31"/>
        <v/>
      </c>
    </row>
    <row r="211" spans="1:19" x14ac:dyDescent="0.25">
      <c r="A211" s="36" t="str">
        <f>IF(B211="","",204)</f>
        <v/>
      </c>
      <c r="B211" s="36" t="str">
        <f>Mau15a!B214&amp;""</f>
        <v/>
      </c>
      <c r="C211" s="47" t="str">
        <f>IF(B211="","",Mau15a!C214)</f>
        <v/>
      </c>
      <c r="D211" s="36" t="str">
        <f>IF(B211="","",Mau15a!D214)</f>
        <v/>
      </c>
      <c r="E211" s="48" t="str">
        <f>IF($B211="","",Mau15a!P214)</f>
        <v/>
      </c>
      <c r="F211" s="48" t="str">
        <f>IF($B211="","",Mau15a!I214)</f>
        <v/>
      </c>
      <c r="G211" s="48" t="str">
        <f t="shared" si="24"/>
        <v/>
      </c>
      <c r="H211" s="49" t="str">
        <f t="shared" si="25"/>
        <v/>
      </c>
      <c r="I211" s="48" t="str">
        <f>IF($B211="","",Mau15a!K214)</f>
        <v/>
      </c>
      <c r="J211" s="48" t="str">
        <f>IF($B211="","",Mau15a!M214)</f>
        <v/>
      </c>
      <c r="K211" s="48" t="str">
        <f t="shared" si="26"/>
        <v/>
      </c>
      <c r="L211" s="49" t="str">
        <f t="shared" si="27"/>
        <v/>
      </c>
      <c r="M211" s="48" t="str">
        <f>IF($B211="","",Mau15a!F214)</f>
        <v/>
      </c>
      <c r="N211" s="51" t="str">
        <f>IF($B211="","",COUNTIF(BOM!$A$5:$A$1004,B211))</f>
        <v/>
      </c>
      <c r="O211" s="49" t="str">
        <f t="shared" si="28"/>
        <v/>
      </c>
      <c r="P211" s="51" t="str">
        <f>IF($B211="","",COUNTIFS(KT_nguoc_theo_SP!$B$5:$B$1004,B211,KT_nguoc_theo_SP!$M$5:$M$1004,"Xem xét"))</f>
        <v/>
      </c>
      <c r="Q211" s="49" t="str">
        <f t="shared" si="29"/>
        <v/>
      </c>
      <c r="R211" s="49" t="str">
        <f t="shared" si="30"/>
        <v/>
      </c>
      <c r="S211" s="31" t="str">
        <f t="shared" si="31"/>
        <v/>
      </c>
    </row>
    <row r="212" spans="1:19" x14ac:dyDescent="0.25">
      <c r="A212" s="36" t="str">
        <f>IF(B212="","",205)</f>
        <v/>
      </c>
      <c r="B212" s="36" t="str">
        <f>Mau15a!B215&amp;""</f>
        <v/>
      </c>
      <c r="C212" s="47" t="str">
        <f>IF(B212="","",Mau15a!C215)</f>
        <v/>
      </c>
      <c r="D212" s="36" t="str">
        <f>IF(B212="","",Mau15a!D215)</f>
        <v/>
      </c>
      <c r="E212" s="48" t="str">
        <f>IF($B212="","",Mau15a!P215)</f>
        <v/>
      </c>
      <c r="F212" s="48" t="str">
        <f>IF($B212="","",Mau15a!I215)</f>
        <v/>
      </c>
      <c r="G212" s="48" t="str">
        <f t="shared" si="24"/>
        <v/>
      </c>
      <c r="H212" s="49" t="str">
        <f t="shared" si="25"/>
        <v/>
      </c>
      <c r="I212" s="48" t="str">
        <f>IF($B212="","",Mau15a!K215)</f>
        <v/>
      </c>
      <c r="J212" s="48" t="str">
        <f>IF($B212="","",Mau15a!M215)</f>
        <v/>
      </c>
      <c r="K212" s="48" t="str">
        <f t="shared" si="26"/>
        <v/>
      </c>
      <c r="L212" s="49" t="str">
        <f t="shared" si="27"/>
        <v/>
      </c>
      <c r="M212" s="48" t="str">
        <f>IF($B212="","",Mau15a!F215)</f>
        <v/>
      </c>
      <c r="N212" s="51" t="str">
        <f>IF($B212="","",COUNTIF(BOM!$A$5:$A$1004,B212))</f>
        <v/>
      </c>
      <c r="O212" s="49" t="str">
        <f t="shared" si="28"/>
        <v/>
      </c>
      <c r="P212" s="51" t="str">
        <f>IF($B212="","",COUNTIFS(KT_nguoc_theo_SP!$B$5:$B$1004,B212,KT_nguoc_theo_SP!$M$5:$M$1004,"Xem xét"))</f>
        <v/>
      </c>
      <c r="Q212" s="49" t="str">
        <f t="shared" si="29"/>
        <v/>
      </c>
      <c r="R212" s="49" t="str">
        <f t="shared" si="30"/>
        <v/>
      </c>
      <c r="S212" s="31" t="str">
        <f t="shared" si="31"/>
        <v/>
      </c>
    </row>
    <row r="213" spans="1:19" x14ac:dyDescent="0.25">
      <c r="A213" s="36" t="str">
        <f>IF(B213="","",206)</f>
        <v/>
      </c>
      <c r="B213" s="36" t="str">
        <f>Mau15a!B216&amp;""</f>
        <v/>
      </c>
      <c r="C213" s="47" t="str">
        <f>IF(B213="","",Mau15a!C216)</f>
        <v/>
      </c>
      <c r="D213" s="36" t="str">
        <f>IF(B213="","",Mau15a!D216)</f>
        <v/>
      </c>
      <c r="E213" s="48" t="str">
        <f>IF($B213="","",Mau15a!P216)</f>
        <v/>
      </c>
      <c r="F213" s="48" t="str">
        <f>IF($B213="","",Mau15a!I216)</f>
        <v/>
      </c>
      <c r="G213" s="48" t="str">
        <f t="shared" si="24"/>
        <v/>
      </c>
      <c r="H213" s="49" t="str">
        <f t="shared" si="25"/>
        <v/>
      </c>
      <c r="I213" s="48" t="str">
        <f>IF($B213="","",Mau15a!K216)</f>
        <v/>
      </c>
      <c r="J213" s="48" t="str">
        <f>IF($B213="","",Mau15a!M216)</f>
        <v/>
      </c>
      <c r="K213" s="48" t="str">
        <f t="shared" si="26"/>
        <v/>
      </c>
      <c r="L213" s="49" t="str">
        <f t="shared" si="27"/>
        <v/>
      </c>
      <c r="M213" s="48" t="str">
        <f>IF($B213="","",Mau15a!F216)</f>
        <v/>
      </c>
      <c r="N213" s="51" t="str">
        <f>IF($B213="","",COUNTIF(BOM!$A$5:$A$1004,B213))</f>
        <v/>
      </c>
      <c r="O213" s="49" t="str">
        <f t="shared" si="28"/>
        <v/>
      </c>
      <c r="P213" s="51" t="str">
        <f>IF($B213="","",COUNTIFS(KT_nguoc_theo_SP!$B$5:$B$1004,B213,KT_nguoc_theo_SP!$M$5:$M$1004,"Xem xét"))</f>
        <v/>
      </c>
      <c r="Q213" s="49" t="str">
        <f t="shared" si="29"/>
        <v/>
      </c>
      <c r="R213" s="49" t="str">
        <f t="shared" si="30"/>
        <v/>
      </c>
      <c r="S213" s="31" t="str">
        <f t="shared" si="31"/>
        <v/>
      </c>
    </row>
    <row r="214" spans="1:19" x14ac:dyDescent="0.25">
      <c r="A214" s="36" t="str">
        <f>IF(B214="","",207)</f>
        <v/>
      </c>
      <c r="B214" s="36" t="str">
        <f>Mau15a!B217&amp;""</f>
        <v/>
      </c>
      <c r="C214" s="47" t="str">
        <f>IF(B214="","",Mau15a!C217)</f>
        <v/>
      </c>
      <c r="D214" s="36" t="str">
        <f>IF(B214="","",Mau15a!D217)</f>
        <v/>
      </c>
      <c r="E214" s="48" t="str">
        <f>IF($B214="","",Mau15a!P217)</f>
        <v/>
      </c>
      <c r="F214" s="48" t="str">
        <f>IF($B214="","",Mau15a!I217)</f>
        <v/>
      </c>
      <c r="G214" s="48" t="str">
        <f t="shared" si="24"/>
        <v/>
      </c>
      <c r="H214" s="49" t="str">
        <f t="shared" si="25"/>
        <v/>
      </c>
      <c r="I214" s="48" t="str">
        <f>IF($B214="","",Mau15a!K217)</f>
        <v/>
      </c>
      <c r="J214" s="48" t="str">
        <f>IF($B214="","",Mau15a!M217)</f>
        <v/>
      </c>
      <c r="K214" s="48" t="str">
        <f t="shared" si="26"/>
        <v/>
      </c>
      <c r="L214" s="49" t="str">
        <f t="shared" si="27"/>
        <v/>
      </c>
      <c r="M214" s="48" t="str">
        <f>IF($B214="","",Mau15a!F217)</f>
        <v/>
      </c>
      <c r="N214" s="51" t="str">
        <f>IF($B214="","",COUNTIF(BOM!$A$5:$A$1004,B214))</f>
        <v/>
      </c>
      <c r="O214" s="49" t="str">
        <f t="shared" si="28"/>
        <v/>
      </c>
      <c r="P214" s="51" t="str">
        <f>IF($B214="","",COUNTIFS(KT_nguoc_theo_SP!$B$5:$B$1004,B214,KT_nguoc_theo_SP!$M$5:$M$1004,"Xem xét"))</f>
        <v/>
      </c>
      <c r="Q214" s="49" t="str">
        <f t="shared" si="29"/>
        <v/>
      </c>
      <c r="R214" s="49" t="str">
        <f t="shared" si="30"/>
        <v/>
      </c>
      <c r="S214" s="31" t="str">
        <f t="shared" si="31"/>
        <v/>
      </c>
    </row>
    <row r="215" spans="1:19" x14ac:dyDescent="0.25">
      <c r="A215" s="36" t="str">
        <f>IF(B215="","",208)</f>
        <v/>
      </c>
      <c r="B215" s="36" t="str">
        <f>Mau15a!B218&amp;""</f>
        <v/>
      </c>
      <c r="C215" s="47" t="str">
        <f>IF(B215="","",Mau15a!C218)</f>
        <v/>
      </c>
      <c r="D215" s="36" t="str">
        <f>IF(B215="","",Mau15a!D218)</f>
        <v/>
      </c>
      <c r="E215" s="48" t="str">
        <f>IF($B215="","",Mau15a!P218)</f>
        <v/>
      </c>
      <c r="F215" s="48" t="str">
        <f>IF($B215="","",Mau15a!I218)</f>
        <v/>
      </c>
      <c r="G215" s="48" t="str">
        <f t="shared" si="24"/>
        <v/>
      </c>
      <c r="H215" s="49" t="str">
        <f t="shared" si="25"/>
        <v/>
      </c>
      <c r="I215" s="48" t="str">
        <f>IF($B215="","",Mau15a!K218)</f>
        <v/>
      </c>
      <c r="J215" s="48" t="str">
        <f>IF($B215="","",Mau15a!M218)</f>
        <v/>
      </c>
      <c r="K215" s="48" t="str">
        <f t="shared" si="26"/>
        <v/>
      </c>
      <c r="L215" s="49" t="str">
        <f t="shared" si="27"/>
        <v/>
      </c>
      <c r="M215" s="48" t="str">
        <f>IF($B215="","",Mau15a!F218)</f>
        <v/>
      </c>
      <c r="N215" s="51" t="str">
        <f>IF($B215="","",COUNTIF(BOM!$A$5:$A$1004,B215))</f>
        <v/>
      </c>
      <c r="O215" s="49" t="str">
        <f t="shared" si="28"/>
        <v/>
      </c>
      <c r="P215" s="51" t="str">
        <f>IF($B215="","",COUNTIFS(KT_nguoc_theo_SP!$B$5:$B$1004,B215,KT_nguoc_theo_SP!$M$5:$M$1004,"Xem xét"))</f>
        <v/>
      </c>
      <c r="Q215" s="49" t="str">
        <f t="shared" si="29"/>
        <v/>
      </c>
      <c r="R215" s="49" t="str">
        <f t="shared" si="30"/>
        <v/>
      </c>
      <c r="S215" s="31" t="str">
        <f t="shared" si="31"/>
        <v/>
      </c>
    </row>
    <row r="216" spans="1:19" x14ac:dyDescent="0.25">
      <c r="A216" s="36" t="str">
        <f>IF(B216="","",209)</f>
        <v/>
      </c>
      <c r="B216" s="36" t="str">
        <f>Mau15a!B219&amp;""</f>
        <v/>
      </c>
      <c r="C216" s="47" t="str">
        <f>IF(B216="","",Mau15a!C219)</f>
        <v/>
      </c>
      <c r="D216" s="36" t="str">
        <f>IF(B216="","",Mau15a!D219)</f>
        <v/>
      </c>
      <c r="E216" s="48" t="str">
        <f>IF($B216="","",Mau15a!P219)</f>
        <v/>
      </c>
      <c r="F216" s="48" t="str">
        <f>IF($B216="","",Mau15a!I219)</f>
        <v/>
      </c>
      <c r="G216" s="48" t="str">
        <f t="shared" si="24"/>
        <v/>
      </c>
      <c r="H216" s="49" t="str">
        <f t="shared" si="25"/>
        <v/>
      </c>
      <c r="I216" s="48" t="str">
        <f>IF($B216="","",Mau15a!K219)</f>
        <v/>
      </c>
      <c r="J216" s="48" t="str">
        <f>IF($B216="","",Mau15a!M219)</f>
        <v/>
      </c>
      <c r="K216" s="48" t="str">
        <f t="shared" si="26"/>
        <v/>
      </c>
      <c r="L216" s="49" t="str">
        <f t="shared" si="27"/>
        <v/>
      </c>
      <c r="M216" s="48" t="str">
        <f>IF($B216="","",Mau15a!F219)</f>
        <v/>
      </c>
      <c r="N216" s="51" t="str">
        <f>IF($B216="","",COUNTIF(BOM!$A$5:$A$1004,B216))</f>
        <v/>
      </c>
      <c r="O216" s="49" t="str">
        <f t="shared" si="28"/>
        <v/>
      </c>
      <c r="P216" s="51" t="str">
        <f>IF($B216="","",COUNTIFS(KT_nguoc_theo_SP!$B$5:$B$1004,B216,KT_nguoc_theo_SP!$M$5:$M$1004,"Xem xét"))</f>
        <v/>
      </c>
      <c r="Q216" s="49" t="str">
        <f t="shared" si="29"/>
        <v/>
      </c>
      <c r="R216" s="49" t="str">
        <f t="shared" si="30"/>
        <v/>
      </c>
      <c r="S216" s="31" t="str">
        <f t="shared" si="31"/>
        <v/>
      </c>
    </row>
    <row r="217" spans="1:19" x14ac:dyDescent="0.25">
      <c r="A217" s="36" t="str">
        <f>IF(B217="","",210)</f>
        <v/>
      </c>
      <c r="B217" s="36" t="str">
        <f>Mau15a!B220&amp;""</f>
        <v/>
      </c>
      <c r="C217" s="47" t="str">
        <f>IF(B217="","",Mau15a!C220)</f>
        <v/>
      </c>
      <c r="D217" s="36" t="str">
        <f>IF(B217="","",Mau15a!D220)</f>
        <v/>
      </c>
      <c r="E217" s="48" t="str">
        <f>IF($B217="","",Mau15a!P220)</f>
        <v/>
      </c>
      <c r="F217" s="48" t="str">
        <f>IF($B217="","",Mau15a!I220)</f>
        <v/>
      </c>
      <c r="G217" s="48" t="str">
        <f t="shared" si="24"/>
        <v/>
      </c>
      <c r="H217" s="49" t="str">
        <f t="shared" si="25"/>
        <v/>
      </c>
      <c r="I217" s="48" t="str">
        <f>IF($B217="","",Mau15a!K220)</f>
        <v/>
      </c>
      <c r="J217" s="48" t="str">
        <f>IF($B217="","",Mau15a!M220)</f>
        <v/>
      </c>
      <c r="K217" s="48" t="str">
        <f t="shared" si="26"/>
        <v/>
      </c>
      <c r="L217" s="49" t="str">
        <f t="shared" si="27"/>
        <v/>
      </c>
      <c r="M217" s="48" t="str">
        <f>IF($B217="","",Mau15a!F220)</f>
        <v/>
      </c>
      <c r="N217" s="51" t="str">
        <f>IF($B217="","",COUNTIF(BOM!$A$5:$A$1004,B217))</f>
        <v/>
      </c>
      <c r="O217" s="49" t="str">
        <f t="shared" si="28"/>
        <v/>
      </c>
      <c r="P217" s="51" t="str">
        <f>IF($B217="","",COUNTIFS(KT_nguoc_theo_SP!$B$5:$B$1004,B217,KT_nguoc_theo_SP!$M$5:$M$1004,"Xem xét"))</f>
        <v/>
      </c>
      <c r="Q217" s="49" t="str">
        <f t="shared" si="29"/>
        <v/>
      </c>
      <c r="R217" s="49" t="str">
        <f t="shared" si="30"/>
        <v/>
      </c>
      <c r="S217" s="31" t="str">
        <f t="shared" si="31"/>
        <v/>
      </c>
    </row>
    <row r="218" spans="1:19" x14ac:dyDescent="0.25">
      <c r="A218" s="36" t="str">
        <f>IF(B218="","",211)</f>
        <v/>
      </c>
      <c r="B218" s="36" t="str">
        <f>Mau15a!B221&amp;""</f>
        <v/>
      </c>
      <c r="C218" s="47" t="str">
        <f>IF(B218="","",Mau15a!C221)</f>
        <v/>
      </c>
      <c r="D218" s="36" t="str">
        <f>IF(B218="","",Mau15a!D221)</f>
        <v/>
      </c>
      <c r="E218" s="48" t="str">
        <f>IF($B218="","",Mau15a!P221)</f>
        <v/>
      </c>
      <c r="F218" s="48" t="str">
        <f>IF($B218="","",Mau15a!I221)</f>
        <v/>
      </c>
      <c r="G218" s="48" t="str">
        <f t="shared" si="24"/>
        <v/>
      </c>
      <c r="H218" s="49" t="str">
        <f t="shared" si="25"/>
        <v/>
      </c>
      <c r="I218" s="48" t="str">
        <f>IF($B218="","",Mau15a!K221)</f>
        <v/>
      </c>
      <c r="J218" s="48" t="str">
        <f>IF($B218="","",Mau15a!M221)</f>
        <v/>
      </c>
      <c r="K218" s="48" t="str">
        <f t="shared" si="26"/>
        <v/>
      </c>
      <c r="L218" s="49" t="str">
        <f t="shared" si="27"/>
        <v/>
      </c>
      <c r="M218" s="48" t="str">
        <f>IF($B218="","",Mau15a!F221)</f>
        <v/>
      </c>
      <c r="N218" s="51" t="str">
        <f>IF($B218="","",COUNTIF(BOM!$A$5:$A$1004,B218))</f>
        <v/>
      </c>
      <c r="O218" s="49" t="str">
        <f t="shared" si="28"/>
        <v/>
      </c>
      <c r="P218" s="51" t="str">
        <f>IF($B218="","",COUNTIFS(KT_nguoc_theo_SP!$B$5:$B$1004,B218,KT_nguoc_theo_SP!$M$5:$M$1004,"Xem xét"))</f>
        <v/>
      </c>
      <c r="Q218" s="49" t="str">
        <f t="shared" si="29"/>
        <v/>
      </c>
      <c r="R218" s="49" t="str">
        <f t="shared" si="30"/>
        <v/>
      </c>
      <c r="S218" s="31" t="str">
        <f t="shared" si="31"/>
        <v/>
      </c>
    </row>
    <row r="219" spans="1:19" x14ac:dyDescent="0.25">
      <c r="A219" s="36" t="str">
        <f>IF(B219="","",212)</f>
        <v/>
      </c>
      <c r="B219" s="36" t="str">
        <f>Mau15a!B222&amp;""</f>
        <v/>
      </c>
      <c r="C219" s="47" t="str">
        <f>IF(B219="","",Mau15a!C222)</f>
        <v/>
      </c>
      <c r="D219" s="36" t="str">
        <f>IF(B219="","",Mau15a!D222)</f>
        <v/>
      </c>
      <c r="E219" s="48" t="str">
        <f>IF($B219="","",Mau15a!P222)</f>
        <v/>
      </c>
      <c r="F219" s="48" t="str">
        <f>IF($B219="","",Mau15a!I222)</f>
        <v/>
      </c>
      <c r="G219" s="48" t="str">
        <f t="shared" si="24"/>
        <v/>
      </c>
      <c r="H219" s="49" t="str">
        <f t="shared" si="25"/>
        <v/>
      </c>
      <c r="I219" s="48" t="str">
        <f>IF($B219="","",Mau15a!K222)</f>
        <v/>
      </c>
      <c r="J219" s="48" t="str">
        <f>IF($B219="","",Mau15a!M222)</f>
        <v/>
      </c>
      <c r="K219" s="48" t="str">
        <f t="shared" si="26"/>
        <v/>
      </c>
      <c r="L219" s="49" t="str">
        <f t="shared" si="27"/>
        <v/>
      </c>
      <c r="M219" s="48" t="str">
        <f>IF($B219="","",Mau15a!F222)</f>
        <v/>
      </c>
      <c r="N219" s="51" t="str">
        <f>IF($B219="","",COUNTIF(BOM!$A$5:$A$1004,B219))</f>
        <v/>
      </c>
      <c r="O219" s="49" t="str">
        <f t="shared" si="28"/>
        <v/>
      </c>
      <c r="P219" s="51" t="str">
        <f>IF($B219="","",COUNTIFS(KT_nguoc_theo_SP!$B$5:$B$1004,B219,KT_nguoc_theo_SP!$M$5:$M$1004,"Xem xét"))</f>
        <v/>
      </c>
      <c r="Q219" s="49" t="str">
        <f t="shared" si="29"/>
        <v/>
      </c>
      <c r="R219" s="49" t="str">
        <f t="shared" si="30"/>
        <v/>
      </c>
      <c r="S219" s="31" t="str">
        <f t="shared" si="31"/>
        <v/>
      </c>
    </row>
    <row r="220" spans="1:19" x14ac:dyDescent="0.25">
      <c r="A220" s="36" t="str">
        <f>IF(B220="","",213)</f>
        <v/>
      </c>
      <c r="B220" s="36" t="str">
        <f>Mau15a!B223&amp;""</f>
        <v/>
      </c>
      <c r="C220" s="47" t="str">
        <f>IF(B220="","",Mau15a!C223)</f>
        <v/>
      </c>
      <c r="D220" s="36" t="str">
        <f>IF(B220="","",Mau15a!D223)</f>
        <v/>
      </c>
      <c r="E220" s="48" t="str">
        <f>IF($B220="","",Mau15a!P223)</f>
        <v/>
      </c>
      <c r="F220" s="48" t="str">
        <f>IF($B220="","",Mau15a!I223)</f>
        <v/>
      </c>
      <c r="G220" s="48" t="str">
        <f t="shared" si="24"/>
        <v/>
      </c>
      <c r="H220" s="49" t="str">
        <f t="shared" si="25"/>
        <v/>
      </c>
      <c r="I220" s="48" t="str">
        <f>IF($B220="","",Mau15a!K223)</f>
        <v/>
      </c>
      <c r="J220" s="48" t="str">
        <f>IF($B220="","",Mau15a!M223)</f>
        <v/>
      </c>
      <c r="K220" s="48" t="str">
        <f t="shared" si="26"/>
        <v/>
      </c>
      <c r="L220" s="49" t="str">
        <f t="shared" si="27"/>
        <v/>
      </c>
      <c r="M220" s="48" t="str">
        <f>IF($B220="","",Mau15a!F223)</f>
        <v/>
      </c>
      <c r="N220" s="51" t="str">
        <f>IF($B220="","",COUNTIF(BOM!$A$5:$A$1004,B220))</f>
        <v/>
      </c>
      <c r="O220" s="49" t="str">
        <f t="shared" si="28"/>
        <v/>
      </c>
      <c r="P220" s="51" t="str">
        <f>IF($B220="","",COUNTIFS(KT_nguoc_theo_SP!$B$5:$B$1004,B220,KT_nguoc_theo_SP!$M$5:$M$1004,"Xem xét"))</f>
        <v/>
      </c>
      <c r="Q220" s="49" t="str">
        <f t="shared" si="29"/>
        <v/>
      </c>
      <c r="R220" s="49" t="str">
        <f t="shared" si="30"/>
        <v/>
      </c>
      <c r="S220" s="31" t="str">
        <f t="shared" si="31"/>
        <v/>
      </c>
    </row>
    <row r="221" spans="1:19" x14ac:dyDescent="0.25">
      <c r="A221" s="36" t="str">
        <f>IF(B221="","",214)</f>
        <v/>
      </c>
      <c r="B221" s="36" t="str">
        <f>Mau15a!B224&amp;""</f>
        <v/>
      </c>
      <c r="C221" s="47" t="str">
        <f>IF(B221="","",Mau15a!C224)</f>
        <v/>
      </c>
      <c r="D221" s="36" t="str">
        <f>IF(B221="","",Mau15a!D224)</f>
        <v/>
      </c>
      <c r="E221" s="48" t="str">
        <f>IF($B221="","",Mau15a!P224)</f>
        <v/>
      </c>
      <c r="F221" s="48" t="str">
        <f>IF($B221="","",Mau15a!I224)</f>
        <v/>
      </c>
      <c r="G221" s="48" t="str">
        <f t="shared" si="24"/>
        <v/>
      </c>
      <c r="H221" s="49" t="str">
        <f t="shared" si="25"/>
        <v/>
      </c>
      <c r="I221" s="48" t="str">
        <f>IF($B221="","",Mau15a!K224)</f>
        <v/>
      </c>
      <c r="J221" s="48" t="str">
        <f>IF($B221="","",Mau15a!M224)</f>
        <v/>
      </c>
      <c r="K221" s="48" t="str">
        <f t="shared" si="26"/>
        <v/>
      </c>
      <c r="L221" s="49" t="str">
        <f t="shared" si="27"/>
        <v/>
      </c>
      <c r="M221" s="48" t="str">
        <f>IF($B221="","",Mau15a!F224)</f>
        <v/>
      </c>
      <c r="N221" s="51" t="str">
        <f>IF($B221="","",COUNTIF(BOM!$A$5:$A$1004,B221))</f>
        <v/>
      </c>
      <c r="O221" s="49" t="str">
        <f t="shared" si="28"/>
        <v/>
      </c>
      <c r="P221" s="51" t="str">
        <f>IF($B221="","",COUNTIFS(KT_nguoc_theo_SP!$B$5:$B$1004,B221,KT_nguoc_theo_SP!$M$5:$M$1004,"Xem xét"))</f>
        <v/>
      </c>
      <c r="Q221" s="49" t="str">
        <f t="shared" si="29"/>
        <v/>
      </c>
      <c r="R221" s="49" t="str">
        <f t="shared" si="30"/>
        <v/>
      </c>
      <c r="S221" s="31" t="str">
        <f t="shared" si="31"/>
        <v/>
      </c>
    </row>
    <row r="222" spans="1:19" x14ac:dyDescent="0.25">
      <c r="A222" s="36" t="str">
        <f>IF(B222="","",215)</f>
        <v/>
      </c>
      <c r="B222" s="36" t="str">
        <f>Mau15a!B225&amp;""</f>
        <v/>
      </c>
      <c r="C222" s="47" t="str">
        <f>IF(B222="","",Mau15a!C225)</f>
        <v/>
      </c>
      <c r="D222" s="36" t="str">
        <f>IF(B222="","",Mau15a!D225)</f>
        <v/>
      </c>
      <c r="E222" s="48" t="str">
        <f>IF($B222="","",Mau15a!P225)</f>
        <v/>
      </c>
      <c r="F222" s="48" t="str">
        <f>IF($B222="","",Mau15a!I225)</f>
        <v/>
      </c>
      <c r="G222" s="48" t="str">
        <f t="shared" si="24"/>
        <v/>
      </c>
      <c r="H222" s="49" t="str">
        <f t="shared" si="25"/>
        <v/>
      </c>
      <c r="I222" s="48" t="str">
        <f>IF($B222="","",Mau15a!K225)</f>
        <v/>
      </c>
      <c r="J222" s="48" t="str">
        <f>IF($B222="","",Mau15a!M225)</f>
        <v/>
      </c>
      <c r="K222" s="48" t="str">
        <f t="shared" si="26"/>
        <v/>
      </c>
      <c r="L222" s="49" t="str">
        <f t="shared" si="27"/>
        <v/>
      </c>
      <c r="M222" s="48" t="str">
        <f>IF($B222="","",Mau15a!F225)</f>
        <v/>
      </c>
      <c r="N222" s="51" t="str">
        <f>IF($B222="","",COUNTIF(BOM!$A$5:$A$1004,B222))</f>
        <v/>
      </c>
      <c r="O222" s="49" t="str">
        <f t="shared" si="28"/>
        <v/>
      </c>
      <c r="P222" s="51" t="str">
        <f>IF($B222="","",COUNTIFS(KT_nguoc_theo_SP!$B$5:$B$1004,B222,KT_nguoc_theo_SP!$M$5:$M$1004,"Xem xét"))</f>
        <v/>
      </c>
      <c r="Q222" s="49" t="str">
        <f t="shared" si="29"/>
        <v/>
      </c>
      <c r="R222" s="49" t="str">
        <f t="shared" si="30"/>
        <v/>
      </c>
      <c r="S222" s="31" t="str">
        <f t="shared" si="31"/>
        <v/>
      </c>
    </row>
    <row r="223" spans="1:19" x14ac:dyDescent="0.25">
      <c r="A223" s="36" t="str">
        <f>IF(B223="","",216)</f>
        <v/>
      </c>
      <c r="B223" s="36" t="str">
        <f>Mau15a!B226&amp;""</f>
        <v/>
      </c>
      <c r="C223" s="47" t="str">
        <f>IF(B223="","",Mau15a!C226)</f>
        <v/>
      </c>
      <c r="D223" s="36" t="str">
        <f>IF(B223="","",Mau15a!D226)</f>
        <v/>
      </c>
      <c r="E223" s="48" t="str">
        <f>IF($B223="","",Mau15a!P226)</f>
        <v/>
      </c>
      <c r="F223" s="48" t="str">
        <f>IF($B223="","",Mau15a!I226)</f>
        <v/>
      </c>
      <c r="G223" s="48" t="str">
        <f t="shared" si="24"/>
        <v/>
      </c>
      <c r="H223" s="49" t="str">
        <f t="shared" si="25"/>
        <v/>
      </c>
      <c r="I223" s="48" t="str">
        <f>IF($B223="","",Mau15a!K226)</f>
        <v/>
      </c>
      <c r="J223" s="48" t="str">
        <f>IF($B223="","",Mau15a!M226)</f>
        <v/>
      </c>
      <c r="K223" s="48" t="str">
        <f t="shared" si="26"/>
        <v/>
      </c>
      <c r="L223" s="49" t="str">
        <f t="shared" si="27"/>
        <v/>
      </c>
      <c r="M223" s="48" t="str">
        <f>IF($B223="","",Mau15a!F226)</f>
        <v/>
      </c>
      <c r="N223" s="51" t="str">
        <f>IF($B223="","",COUNTIF(BOM!$A$5:$A$1004,B223))</f>
        <v/>
      </c>
      <c r="O223" s="49" t="str">
        <f t="shared" si="28"/>
        <v/>
      </c>
      <c r="P223" s="51" t="str">
        <f>IF($B223="","",COUNTIFS(KT_nguoc_theo_SP!$B$5:$B$1004,B223,KT_nguoc_theo_SP!$M$5:$M$1004,"Xem xét"))</f>
        <v/>
      </c>
      <c r="Q223" s="49" t="str">
        <f t="shared" si="29"/>
        <v/>
      </c>
      <c r="R223" s="49" t="str">
        <f t="shared" si="30"/>
        <v/>
      </c>
      <c r="S223" s="31" t="str">
        <f t="shared" si="31"/>
        <v/>
      </c>
    </row>
    <row r="224" spans="1:19" x14ac:dyDescent="0.25">
      <c r="A224" s="36" t="str">
        <f>IF(B224="","",217)</f>
        <v/>
      </c>
      <c r="B224" s="36" t="str">
        <f>Mau15a!B227&amp;""</f>
        <v/>
      </c>
      <c r="C224" s="47" t="str">
        <f>IF(B224="","",Mau15a!C227)</f>
        <v/>
      </c>
      <c r="D224" s="36" t="str">
        <f>IF(B224="","",Mau15a!D227)</f>
        <v/>
      </c>
      <c r="E224" s="48" t="str">
        <f>IF($B224="","",Mau15a!P227)</f>
        <v/>
      </c>
      <c r="F224" s="48" t="str">
        <f>IF($B224="","",Mau15a!I227)</f>
        <v/>
      </c>
      <c r="G224" s="48" t="str">
        <f t="shared" si="24"/>
        <v/>
      </c>
      <c r="H224" s="49" t="str">
        <f t="shared" si="25"/>
        <v/>
      </c>
      <c r="I224" s="48" t="str">
        <f>IF($B224="","",Mau15a!K227)</f>
        <v/>
      </c>
      <c r="J224" s="48" t="str">
        <f>IF($B224="","",Mau15a!M227)</f>
        <v/>
      </c>
      <c r="K224" s="48" t="str">
        <f t="shared" si="26"/>
        <v/>
      </c>
      <c r="L224" s="49" t="str">
        <f t="shared" si="27"/>
        <v/>
      </c>
      <c r="M224" s="48" t="str">
        <f>IF($B224="","",Mau15a!F227)</f>
        <v/>
      </c>
      <c r="N224" s="51" t="str">
        <f>IF($B224="","",COUNTIF(BOM!$A$5:$A$1004,B224))</f>
        <v/>
      </c>
      <c r="O224" s="49" t="str">
        <f t="shared" si="28"/>
        <v/>
      </c>
      <c r="P224" s="51" t="str">
        <f>IF($B224="","",COUNTIFS(KT_nguoc_theo_SP!$B$5:$B$1004,B224,KT_nguoc_theo_SP!$M$5:$M$1004,"Xem xét"))</f>
        <v/>
      </c>
      <c r="Q224" s="49" t="str">
        <f t="shared" si="29"/>
        <v/>
      </c>
      <c r="R224" s="49" t="str">
        <f t="shared" si="30"/>
        <v/>
      </c>
      <c r="S224" s="31" t="str">
        <f t="shared" si="31"/>
        <v/>
      </c>
    </row>
    <row r="225" spans="1:19" x14ac:dyDescent="0.25">
      <c r="A225" s="36" t="str">
        <f>IF(B225="","",218)</f>
        <v/>
      </c>
      <c r="B225" s="36" t="str">
        <f>Mau15a!B228&amp;""</f>
        <v/>
      </c>
      <c r="C225" s="47" t="str">
        <f>IF(B225="","",Mau15a!C228)</f>
        <v/>
      </c>
      <c r="D225" s="36" t="str">
        <f>IF(B225="","",Mau15a!D228)</f>
        <v/>
      </c>
      <c r="E225" s="48" t="str">
        <f>IF($B225="","",Mau15a!P228)</f>
        <v/>
      </c>
      <c r="F225" s="48" t="str">
        <f>IF($B225="","",Mau15a!I228)</f>
        <v/>
      </c>
      <c r="G225" s="48" t="str">
        <f t="shared" si="24"/>
        <v/>
      </c>
      <c r="H225" s="49" t="str">
        <f t="shared" si="25"/>
        <v/>
      </c>
      <c r="I225" s="48" t="str">
        <f>IF($B225="","",Mau15a!K228)</f>
        <v/>
      </c>
      <c r="J225" s="48" t="str">
        <f>IF($B225="","",Mau15a!M228)</f>
        <v/>
      </c>
      <c r="K225" s="48" t="str">
        <f t="shared" si="26"/>
        <v/>
      </c>
      <c r="L225" s="49" t="str">
        <f t="shared" si="27"/>
        <v/>
      </c>
      <c r="M225" s="48" t="str">
        <f>IF($B225="","",Mau15a!F228)</f>
        <v/>
      </c>
      <c r="N225" s="51" t="str">
        <f>IF($B225="","",COUNTIF(BOM!$A$5:$A$1004,B225))</f>
        <v/>
      </c>
      <c r="O225" s="49" t="str">
        <f t="shared" si="28"/>
        <v/>
      </c>
      <c r="P225" s="51" t="str">
        <f>IF($B225="","",COUNTIFS(KT_nguoc_theo_SP!$B$5:$B$1004,B225,KT_nguoc_theo_SP!$M$5:$M$1004,"Xem xét"))</f>
        <v/>
      </c>
      <c r="Q225" s="49" t="str">
        <f t="shared" si="29"/>
        <v/>
      </c>
      <c r="R225" s="49" t="str">
        <f t="shared" si="30"/>
        <v/>
      </c>
      <c r="S225" s="31" t="str">
        <f t="shared" si="31"/>
        <v/>
      </c>
    </row>
    <row r="226" spans="1:19" x14ac:dyDescent="0.25">
      <c r="A226" s="36" t="str">
        <f>IF(B226="","",219)</f>
        <v/>
      </c>
      <c r="B226" s="36" t="str">
        <f>Mau15a!B229&amp;""</f>
        <v/>
      </c>
      <c r="C226" s="47" t="str">
        <f>IF(B226="","",Mau15a!C229)</f>
        <v/>
      </c>
      <c r="D226" s="36" t="str">
        <f>IF(B226="","",Mau15a!D229)</f>
        <v/>
      </c>
      <c r="E226" s="48" t="str">
        <f>IF($B226="","",Mau15a!P229)</f>
        <v/>
      </c>
      <c r="F226" s="48" t="str">
        <f>IF($B226="","",Mau15a!I229)</f>
        <v/>
      </c>
      <c r="G226" s="48" t="str">
        <f t="shared" si="24"/>
        <v/>
      </c>
      <c r="H226" s="49" t="str">
        <f t="shared" si="25"/>
        <v/>
      </c>
      <c r="I226" s="48" t="str">
        <f>IF($B226="","",Mau15a!K229)</f>
        <v/>
      </c>
      <c r="J226" s="48" t="str">
        <f>IF($B226="","",Mau15a!M229)</f>
        <v/>
      </c>
      <c r="K226" s="48" t="str">
        <f t="shared" si="26"/>
        <v/>
      </c>
      <c r="L226" s="49" t="str">
        <f t="shared" si="27"/>
        <v/>
      </c>
      <c r="M226" s="48" t="str">
        <f>IF($B226="","",Mau15a!F229)</f>
        <v/>
      </c>
      <c r="N226" s="51" t="str">
        <f>IF($B226="","",COUNTIF(BOM!$A$5:$A$1004,B226))</f>
        <v/>
      </c>
      <c r="O226" s="49" t="str">
        <f t="shared" si="28"/>
        <v/>
      </c>
      <c r="P226" s="51" t="str">
        <f>IF($B226="","",COUNTIFS(KT_nguoc_theo_SP!$B$5:$B$1004,B226,KT_nguoc_theo_SP!$M$5:$M$1004,"Xem xét"))</f>
        <v/>
      </c>
      <c r="Q226" s="49" t="str">
        <f t="shared" si="29"/>
        <v/>
      </c>
      <c r="R226" s="49" t="str">
        <f t="shared" si="30"/>
        <v/>
      </c>
      <c r="S226" s="31" t="str">
        <f t="shared" si="31"/>
        <v/>
      </c>
    </row>
    <row r="227" spans="1:19" x14ac:dyDescent="0.25">
      <c r="A227" s="36" t="str">
        <f>IF(B227="","",220)</f>
        <v/>
      </c>
      <c r="B227" s="36" t="str">
        <f>Mau15a!B230&amp;""</f>
        <v/>
      </c>
      <c r="C227" s="47" t="str">
        <f>IF(B227="","",Mau15a!C230)</f>
        <v/>
      </c>
      <c r="D227" s="36" t="str">
        <f>IF(B227="","",Mau15a!D230)</f>
        <v/>
      </c>
      <c r="E227" s="48" t="str">
        <f>IF($B227="","",Mau15a!P230)</f>
        <v/>
      </c>
      <c r="F227" s="48" t="str">
        <f>IF($B227="","",Mau15a!I230)</f>
        <v/>
      </c>
      <c r="G227" s="48" t="str">
        <f t="shared" si="24"/>
        <v/>
      </c>
      <c r="H227" s="49" t="str">
        <f t="shared" si="25"/>
        <v/>
      </c>
      <c r="I227" s="48" t="str">
        <f>IF($B227="","",Mau15a!K230)</f>
        <v/>
      </c>
      <c r="J227" s="48" t="str">
        <f>IF($B227="","",Mau15a!M230)</f>
        <v/>
      </c>
      <c r="K227" s="48" t="str">
        <f t="shared" si="26"/>
        <v/>
      </c>
      <c r="L227" s="49" t="str">
        <f t="shared" si="27"/>
        <v/>
      </c>
      <c r="M227" s="48" t="str">
        <f>IF($B227="","",Mau15a!F230)</f>
        <v/>
      </c>
      <c r="N227" s="51" t="str">
        <f>IF($B227="","",COUNTIF(BOM!$A$5:$A$1004,B227))</f>
        <v/>
      </c>
      <c r="O227" s="49" t="str">
        <f t="shared" si="28"/>
        <v/>
      </c>
      <c r="P227" s="51" t="str">
        <f>IF($B227="","",COUNTIFS(KT_nguoc_theo_SP!$B$5:$B$1004,B227,KT_nguoc_theo_SP!$M$5:$M$1004,"Xem xét"))</f>
        <v/>
      </c>
      <c r="Q227" s="49" t="str">
        <f t="shared" si="29"/>
        <v/>
      </c>
      <c r="R227" s="49" t="str">
        <f t="shared" si="30"/>
        <v/>
      </c>
      <c r="S227" s="31" t="str">
        <f t="shared" si="31"/>
        <v/>
      </c>
    </row>
    <row r="228" spans="1:19" x14ac:dyDescent="0.25">
      <c r="A228" s="36" t="str">
        <f>IF(B228="","",221)</f>
        <v/>
      </c>
      <c r="B228" s="36" t="str">
        <f>Mau15a!B231&amp;""</f>
        <v/>
      </c>
      <c r="C228" s="47" t="str">
        <f>IF(B228="","",Mau15a!C231)</f>
        <v/>
      </c>
      <c r="D228" s="36" t="str">
        <f>IF(B228="","",Mau15a!D231)</f>
        <v/>
      </c>
      <c r="E228" s="48" t="str">
        <f>IF($B228="","",Mau15a!P231)</f>
        <v/>
      </c>
      <c r="F228" s="48" t="str">
        <f>IF($B228="","",Mau15a!I231)</f>
        <v/>
      </c>
      <c r="G228" s="48" t="str">
        <f t="shared" si="24"/>
        <v/>
      </c>
      <c r="H228" s="49" t="str">
        <f t="shared" si="25"/>
        <v/>
      </c>
      <c r="I228" s="48" t="str">
        <f>IF($B228="","",Mau15a!K231)</f>
        <v/>
      </c>
      <c r="J228" s="48" t="str">
        <f>IF($B228="","",Mau15a!M231)</f>
        <v/>
      </c>
      <c r="K228" s="48" t="str">
        <f t="shared" si="26"/>
        <v/>
      </c>
      <c r="L228" s="49" t="str">
        <f t="shared" si="27"/>
        <v/>
      </c>
      <c r="M228" s="48" t="str">
        <f>IF($B228="","",Mau15a!F231)</f>
        <v/>
      </c>
      <c r="N228" s="51" t="str">
        <f>IF($B228="","",COUNTIF(BOM!$A$5:$A$1004,B228))</f>
        <v/>
      </c>
      <c r="O228" s="49" t="str">
        <f t="shared" si="28"/>
        <v/>
      </c>
      <c r="P228" s="51" t="str">
        <f>IF($B228="","",COUNTIFS(KT_nguoc_theo_SP!$B$5:$B$1004,B228,KT_nguoc_theo_SP!$M$5:$M$1004,"Xem xét"))</f>
        <v/>
      </c>
      <c r="Q228" s="49" t="str">
        <f t="shared" si="29"/>
        <v/>
      </c>
      <c r="R228" s="49" t="str">
        <f t="shared" si="30"/>
        <v/>
      </c>
      <c r="S228" s="31" t="str">
        <f t="shared" si="31"/>
        <v/>
      </c>
    </row>
    <row r="229" spans="1:19" x14ac:dyDescent="0.25">
      <c r="A229" s="36" t="str">
        <f>IF(B229="","",222)</f>
        <v/>
      </c>
      <c r="B229" s="36" t="str">
        <f>Mau15a!B232&amp;""</f>
        <v/>
      </c>
      <c r="C229" s="47" t="str">
        <f>IF(B229="","",Mau15a!C232)</f>
        <v/>
      </c>
      <c r="D229" s="36" t="str">
        <f>IF(B229="","",Mau15a!D232)</f>
        <v/>
      </c>
      <c r="E229" s="48" t="str">
        <f>IF($B229="","",Mau15a!P232)</f>
        <v/>
      </c>
      <c r="F229" s="48" t="str">
        <f>IF($B229="","",Mau15a!I232)</f>
        <v/>
      </c>
      <c r="G229" s="48" t="str">
        <f t="shared" si="24"/>
        <v/>
      </c>
      <c r="H229" s="49" t="str">
        <f t="shared" si="25"/>
        <v/>
      </c>
      <c r="I229" s="48" t="str">
        <f>IF($B229="","",Mau15a!K232)</f>
        <v/>
      </c>
      <c r="J229" s="48" t="str">
        <f>IF($B229="","",Mau15a!M232)</f>
        <v/>
      </c>
      <c r="K229" s="48" t="str">
        <f t="shared" si="26"/>
        <v/>
      </c>
      <c r="L229" s="49" t="str">
        <f t="shared" si="27"/>
        <v/>
      </c>
      <c r="M229" s="48" t="str">
        <f>IF($B229="","",Mau15a!F232)</f>
        <v/>
      </c>
      <c r="N229" s="51" t="str">
        <f>IF($B229="","",COUNTIF(BOM!$A$5:$A$1004,B229))</f>
        <v/>
      </c>
      <c r="O229" s="49" t="str">
        <f t="shared" si="28"/>
        <v/>
      </c>
      <c r="P229" s="51" t="str">
        <f>IF($B229="","",COUNTIFS(KT_nguoc_theo_SP!$B$5:$B$1004,B229,KT_nguoc_theo_SP!$M$5:$M$1004,"Xem xét"))</f>
        <v/>
      </c>
      <c r="Q229" s="49" t="str">
        <f t="shared" si="29"/>
        <v/>
      </c>
      <c r="R229" s="49" t="str">
        <f t="shared" si="30"/>
        <v/>
      </c>
      <c r="S229" s="31" t="str">
        <f t="shared" si="31"/>
        <v/>
      </c>
    </row>
    <row r="230" spans="1:19" x14ac:dyDescent="0.25">
      <c r="A230" s="36" t="str">
        <f>IF(B230="","",223)</f>
        <v/>
      </c>
      <c r="B230" s="36" t="str">
        <f>Mau15a!B233&amp;""</f>
        <v/>
      </c>
      <c r="C230" s="47" t="str">
        <f>IF(B230="","",Mau15a!C233)</f>
        <v/>
      </c>
      <c r="D230" s="36" t="str">
        <f>IF(B230="","",Mau15a!D233)</f>
        <v/>
      </c>
      <c r="E230" s="48" t="str">
        <f>IF($B230="","",Mau15a!P233)</f>
        <v/>
      </c>
      <c r="F230" s="48" t="str">
        <f>IF($B230="","",Mau15a!I233)</f>
        <v/>
      </c>
      <c r="G230" s="48" t="str">
        <f t="shared" si="24"/>
        <v/>
      </c>
      <c r="H230" s="49" t="str">
        <f t="shared" si="25"/>
        <v/>
      </c>
      <c r="I230" s="48" t="str">
        <f>IF($B230="","",Mau15a!K233)</f>
        <v/>
      </c>
      <c r="J230" s="48" t="str">
        <f>IF($B230="","",Mau15a!M233)</f>
        <v/>
      </c>
      <c r="K230" s="48" t="str">
        <f t="shared" si="26"/>
        <v/>
      </c>
      <c r="L230" s="49" t="str">
        <f t="shared" si="27"/>
        <v/>
      </c>
      <c r="M230" s="48" t="str">
        <f>IF($B230="","",Mau15a!F233)</f>
        <v/>
      </c>
      <c r="N230" s="51" t="str">
        <f>IF($B230="","",COUNTIF(BOM!$A$5:$A$1004,B230))</f>
        <v/>
      </c>
      <c r="O230" s="49" t="str">
        <f t="shared" si="28"/>
        <v/>
      </c>
      <c r="P230" s="51" t="str">
        <f>IF($B230="","",COUNTIFS(KT_nguoc_theo_SP!$B$5:$B$1004,B230,KT_nguoc_theo_SP!$M$5:$M$1004,"Xem xét"))</f>
        <v/>
      </c>
      <c r="Q230" s="49" t="str">
        <f t="shared" si="29"/>
        <v/>
      </c>
      <c r="R230" s="49" t="str">
        <f t="shared" si="30"/>
        <v/>
      </c>
      <c r="S230" s="31" t="str">
        <f t="shared" si="31"/>
        <v/>
      </c>
    </row>
    <row r="231" spans="1:19" x14ac:dyDescent="0.25">
      <c r="A231" s="36" t="str">
        <f>IF(B231="","",224)</f>
        <v/>
      </c>
      <c r="B231" s="36" t="str">
        <f>Mau15a!B234&amp;""</f>
        <v/>
      </c>
      <c r="C231" s="47" t="str">
        <f>IF(B231="","",Mau15a!C234)</f>
        <v/>
      </c>
      <c r="D231" s="36" t="str">
        <f>IF(B231="","",Mau15a!D234)</f>
        <v/>
      </c>
      <c r="E231" s="48" t="str">
        <f>IF($B231="","",Mau15a!P234)</f>
        <v/>
      </c>
      <c r="F231" s="48" t="str">
        <f>IF($B231="","",Mau15a!I234)</f>
        <v/>
      </c>
      <c r="G231" s="48" t="str">
        <f t="shared" si="24"/>
        <v/>
      </c>
      <c r="H231" s="49" t="str">
        <f t="shared" si="25"/>
        <v/>
      </c>
      <c r="I231" s="48" t="str">
        <f>IF($B231="","",Mau15a!K234)</f>
        <v/>
      </c>
      <c r="J231" s="48" t="str">
        <f>IF($B231="","",Mau15a!M234)</f>
        <v/>
      </c>
      <c r="K231" s="48" t="str">
        <f t="shared" si="26"/>
        <v/>
      </c>
      <c r="L231" s="49" t="str">
        <f t="shared" si="27"/>
        <v/>
      </c>
      <c r="M231" s="48" t="str">
        <f>IF($B231="","",Mau15a!F234)</f>
        <v/>
      </c>
      <c r="N231" s="51" t="str">
        <f>IF($B231="","",COUNTIF(BOM!$A$5:$A$1004,B231))</f>
        <v/>
      </c>
      <c r="O231" s="49" t="str">
        <f t="shared" si="28"/>
        <v/>
      </c>
      <c r="P231" s="51" t="str">
        <f>IF($B231="","",COUNTIFS(KT_nguoc_theo_SP!$B$5:$B$1004,B231,KT_nguoc_theo_SP!$M$5:$M$1004,"Xem xét"))</f>
        <v/>
      </c>
      <c r="Q231" s="49" t="str">
        <f t="shared" si="29"/>
        <v/>
      </c>
      <c r="R231" s="49" t="str">
        <f t="shared" si="30"/>
        <v/>
      </c>
      <c r="S231" s="31" t="str">
        <f t="shared" si="31"/>
        <v/>
      </c>
    </row>
    <row r="232" spans="1:19" x14ac:dyDescent="0.25">
      <c r="A232" s="36" t="str">
        <f>IF(B232="","",225)</f>
        <v/>
      </c>
      <c r="B232" s="36" t="str">
        <f>Mau15a!B235&amp;""</f>
        <v/>
      </c>
      <c r="C232" s="47" t="str">
        <f>IF(B232="","",Mau15a!C235)</f>
        <v/>
      </c>
      <c r="D232" s="36" t="str">
        <f>IF(B232="","",Mau15a!D235)</f>
        <v/>
      </c>
      <c r="E232" s="48" t="str">
        <f>IF($B232="","",Mau15a!P235)</f>
        <v/>
      </c>
      <c r="F232" s="48" t="str">
        <f>IF($B232="","",Mau15a!I235)</f>
        <v/>
      </c>
      <c r="G232" s="48" t="str">
        <f t="shared" si="24"/>
        <v/>
      </c>
      <c r="H232" s="49" t="str">
        <f t="shared" si="25"/>
        <v/>
      </c>
      <c r="I232" s="48" t="str">
        <f>IF($B232="","",Mau15a!K235)</f>
        <v/>
      </c>
      <c r="J232" s="48" t="str">
        <f>IF($B232="","",Mau15a!M235)</f>
        <v/>
      </c>
      <c r="K232" s="48" t="str">
        <f t="shared" si="26"/>
        <v/>
      </c>
      <c r="L232" s="49" t="str">
        <f t="shared" si="27"/>
        <v/>
      </c>
      <c r="M232" s="48" t="str">
        <f>IF($B232="","",Mau15a!F235)</f>
        <v/>
      </c>
      <c r="N232" s="51" t="str">
        <f>IF($B232="","",COUNTIF(BOM!$A$5:$A$1004,B232))</f>
        <v/>
      </c>
      <c r="O232" s="49" t="str">
        <f t="shared" si="28"/>
        <v/>
      </c>
      <c r="P232" s="51" t="str">
        <f>IF($B232="","",COUNTIFS(KT_nguoc_theo_SP!$B$5:$B$1004,B232,KT_nguoc_theo_SP!$M$5:$M$1004,"Xem xét"))</f>
        <v/>
      </c>
      <c r="Q232" s="49" t="str">
        <f t="shared" si="29"/>
        <v/>
      </c>
      <c r="R232" s="49" t="str">
        <f t="shared" si="30"/>
        <v/>
      </c>
      <c r="S232" s="31" t="str">
        <f t="shared" si="31"/>
        <v/>
      </c>
    </row>
    <row r="233" spans="1:19" x14ac:dyDescent="0.25">
      <c r="A233" s="36" t="str">
        <f>IF(B233="","",226)</f>
        <v/>
      </c>
      <c r="B233" s="36" t="str">
        <f>Mau15a!B236&amp;""</f>
        <v/>
      </c>
      <c r="C233" s="47" t="str">
        <f>IF(B233="","",Mau15a!C236)</f>
        <v/>
      </c>
      <c r="D233" s="36" t="str">
        <f>IF(B233="","",Mau15a!D236)</f>
        <v/>
      </c>
      <c r="E233" s="48" t="str">
        <f>IF($B233="","",Mau15a!P236)</f>
        <v/>
      </c>
      <c r="F233" s="48" t="str">
        <f>IF($B233="","",Mau15a!I236)</f>
        <v/>
      </c>
      <c r="G233" s="48" t="str">
        <f t="shared" si="24"/>
        <v/>
      </c>
      <c r="H233" s="49" t="str">
        <f t="shared" si="25"/>
        <v/>
      </c>
      <c r="I233" s="48" t="str">
        <f>IF($B233="","",Mau15a!K236)</f>
        <v/>
      </c>
      <c r="J233" s="48" t="str">
        <f>IF($B233="","",Mau15a!M236)</f>
        <v/>
      </c>
      <c r="K233" s="48" t="str">
        <f t="shared" si="26"/>
        <v/>
      </c>
      <c r="L233" s="49" t="str">
        <f t="shared" si="27"/>
        <v/>
      </c>
      <c r="M233" s="48" t="str">
        <f>IF($B233="","",Mau15a!F236)</f>
        <v/>
      </c>
      <c r="N233" s="51" t="str">
        <f>IF($B233="","",COUNTIF(BOM!$A$5:$A$1004,B233))</f>
        <v/>
      </c>
      <c r="O233" s="49" t="str">
        <f t="shared" si="28"/>
        <v/>
      </c>
      <c r="P233" s="51" t="str">
        <f>IF($B233="","",COUNTIFS(KT_nguoc_theo_SP!$B$5:$B$1004,B233,KT_nguoc_theo_SP!$M$5:$M$1004,"Xem xét"))</f>
        <v/>
      </c>
      <c r="Q233" s="49" t="str">
        <f t="shared" si="29"/>
        <v/>
      </c>
      <c r="R233" s="49" t="str">
        <f t="shared" si="30"/>
        <v/>
      </c>
      <c r="S233" s="31" t="str">
        <f t="shared" si="31"/>
        <v/>
      </c>
    </row>
    <row r="234" spans="1:19" x14ac:dyDescent="0.25">
      <c r="A234" s="36" t="str">
        <f>IF(B234="","",227)</f>
        <v/>
      </c>
      <c r="B234" s="36" t="str">
        <f>Mau15a!B237&amp;""</f>
        <v/>
      </c>
      <c r="C234" s="47" t="str">
        <f>IF(B234="","",Mau15a!C237)</f>
        <v/>
      </c>
      <c r="D234" s="36" t="str">
        <f>IF(B234="","",Mau15a!D237)</f>
        <v/>
      </c>
      <c r="E234" s="48" t="str">
        <f>IF($B234="","",Mau15a!P237)</f>
        <v/>
      </c>
      <c r="F234" s="48" t="str">
        <f>IF($B234="","",Mau15a!I237)</f>
        <v/>
      </c>
      <c r="G234" s="48" t="str">
        <f t="shared" si="24"/>
        <v/>
      </c>
      <c r="H234" s="49" t="str">
        <f t="shared" si="25"/>
        <v/>
      </c>
      <c r="I234" s="48" t="str">
        <f>IF($B234="","",Mau15a!K237)</f>
        <v/>
      </c>
      <c r="J234" s="48" t="str">
        <f>IF($B234="","",Mau15a!M237)</f>
        <v/>
      </c>
      <c r="K234" s="48" t="str">
        <f t="shared" si="26"/>
        <v/>
      </c>
      <c r="L234" s="49" t="str">
        <f t="shared" si="27"/>
        <v/>
      </c>
      <c r="M234" s="48" t="str">
        <f>IF($B234="","",Mau15a!F237)</f>
        <v/>
      </c>
      <c r="N234" s="51" t="str">
        <f>IF($B234="","",COUNTIF(BOM!$A$5:$A$1004,B234))</f>
        <v/>
      </c>
      <c r="O234" s="49" t="str">
        <f t="shared" si="28"/>
        <v/>
      </c>
      <c r="P234" s="51" t="str">
        <f>IF($B234="","",COUNTIFS(KT_nguoc_theo_SP!$B$5:$B$1004,B234,KT_nguoc_theo_SP!$M$5:$M$1004,"Xem xét"))</f>
        <v/>
      </c>
      <c r="Q234" s="49" t="str">
        <f t="shared" si="29"/>
        <v/>
      </c>
      <c r="R234" s="49" t="str">
        <f t="shared" si="30"/>
        <v/>
      </c>
      <c r="S234" s="31" t="str">
        <f t="shared" si="31"/>
        <v/>
      </c>
    </row>
    <row r="235" spans="1:19" x14ac:dyDescent="0.25">
      <c r="A235" s="36" t="str">
        <f>IF(B235="","",228)</f>
        <v/>
      </c>
      <c r="B235" s="36" t="str">
        <f>Mau15a!B238&amp;""</f>
        <v/>
      </c>
      <c r="C235" s="47" t="str">
        <f>IF(B235="","",Mau15a!C238)</f>
        <v/>
      </c>
      <c r="D235" s="36" t="str">
        <f>IF(B235="","",Mau15a!D238)</f>
        <v/>
      </c>
      <c r="E235" s="48" t="str">
        <f>IF($B235="","",Mau15a!P238)</f>
        <v/>
      </c>
      <c r="F235" s="48" t="str">
        <f>IF($B235="","",Mau15a!I238)</f>
        <v/>
      </c>
      <c r="G235" s="48" t="str">
        <f t="shared" si="24"/>
        <v/>
      </c>
      <c r="H235" s="49" t="str">
        <f t="shared" si="25"/>
        <v/>
      </c>
      <c r="I235" s="48" t="str">
        <f>IF($B235="","",Mau15a!K238)</f>
        <v/>
      </c>
      <c r="J235" s="48" t="str">
        <f>IF($B235="","",Mau15a!M238)</f>
        <v/>
      </c>
      <c r="K235" s="48" t="str">
        <f t="shared" si="26"/>
        <v/>
      </c>
      <c r="L235" s="49" t="str">
        <f t="shared" si="27"/>
        <v/>
      </c>
      <c r="M235" s="48" t="str">
        <f>IF($B235="","",Mau15a!F238)</f>
        <v/>
      </c>
      <c r="N235" s="51" t="str">
        <f>IF($B235="","",COUNTIF(BOM!$A$5:$A$1004,B235))</f>
        <v/>
      </c>
      <c r="O235" s="49" t="str">
        <f t="shared" si="28"/>
        <v/>
      </c>
      <c r="P235" s="51" t="str">
        <f>IF($B235="","",COUNTIFS(KT_nguoc_theo_SP!$B$5:$B$1004,B235,KT_nguoc_theo_SP!$M$5:$M$1004,"Xem xét"))</f>
        <v/>
      </c>
      <c r="Q235" s="49" t="str">
        <f t="shared" si="29"/>
        <v/>
      </c>
      <c r="R235" s="49" t="str">
        <f t="shared" si="30"/>
        <v/>
      </c>
      <c r="S235" s="31" t="str">
        <f t="shared" si="31"/>
        <v/>
      </c>
    </row>
    <row r="236" spans="1:19" x14ac:dyDescent="0.25">
      <c r="A236" s="36" t="str">
        <f>IF(B236="","",229)</f>
        <v/>
      </c>
      <c r="B236" s="36" t="str">
        <f>Mau15a!B239&amp;""</f>
        <v/>
      </c>
      <c r="C236" s="47" t="str">
        <f>IF(B236="","",Mau15a!C239)</f>
        <v/>
      </c>
      <c r="D236" s="36" t="str">
        <f>IF(B236="","",Mau15a!D239)</f>
        <v/>
      </c>
      <c r="E236" s="48" t="str">
        <f>IF($B236="","",Mau15a!P239)</f>
        <v/>
      </c>
      <c r="F236" s="48" t="str">
        <f>IF($B236="","",Mau15a!I239)</f>
        <v/>
      </c>
      <c r="G236" s="48" t="str">
        <f t="shared" si="24"/>
        <v/>
      </c>
      <c r="H236" s="49" t="str">
        <f t="shared" si="25"/>
        <v/>
      </c>
      <c r="I236" s="48" t="str">
        <f>IF($B236="","",Mau15a!K239)</f>
        <v/>
      </c>
      <c r="J236" s="48" t="str">
        <f>IF($B236="","",Mau15a!M239)</f>
        <v/>
      </c>
      <c r="K236" s="48" t="str">
        <f t="shared" si="26"/>
        <v/>
      </c>
      <c r="L236" s="49" t="str">
        <f t="shared" si="27"/>
        <v/>
      </c>
      <c r="M236" s="48" t="str">
        <f>IF($B236="","",Mau15a!F239)</f>
        <v/>
      </c>
      <c r="N236" s="51" t="str">
        <f>IF($B236="","",COUNTIF(BOM!$A$5:$A$1004,B236))</f>
        <v/>
      </c>
      <c r="O236" s="49" t="str">
        <f t="shared" si="28"/>
        <v/>
      </c>
      <c r="P236" s="51" t="str">
        <f>IF($B236="","",COUNTIFS(KT_nguoc_theo_SP!$B$5:$B$1004,B236,KT_nguoc_theo_SP!$M$5:$M$1004,"Xem xét"))</f>
        <v/>
      </c>
      <c r="Q236" s="49" t="str">
        <f t="shared" si="29"/>
        <v/>
      </c>
      <c r="R236" s="49" t="str">
        <f t="shared" si="30"/>
        <v/>
      </c>
      <c r="S236" s="31" t="str">
        <f t="shared" si="31"/>
        <v/>
      </c>
    </row>
    <row r="237" spans="1:19" x14ac:dyDescent="0.25">
      <c r="A237" s="36" t="str">
        <f>IF(B237="","",230)</f>
        <v/>
      </c>
      <c r="B237" s="36" t="str">
        <f>Mau15a!B240&amp;""</f>
        <v/>
      </c>
      <c r="C237" s="47" t="str">
        <f>IF(B237="","",Mau15a!C240)</f>
        <v/>
      </c>
      <c r="D237" s="36" t="str">
        <f>IF(B237="","",Mau15a!D240)</f>
        <v/>
      </c>
      <c r="E237" s="48" t="str">
        <f>IF($B237="","",Mau15a!P240)</f>
        <v/>
      </c>
      <c r="F237" s="48" t="str">
        <f>IF($B237="","",Mau15a!I240)</f>
        <v/>
      </c>
      <c r="G237" s="48" t="str">
        <f t="shared" si="24"/>
        <v/>
      </c>
      <c r="H237" s="49" t="str">
        <f t="shared" si="25"/>
        <v/>
      </c>
      <c r="I237" s="48" t="str">
        <f>IF($B237="","",Mau15a!K240)</f>
        <v/>
      </c>
      <c r="J237" s="48" t="str">
        <f>IF($B237="","",Mau15a!M240)</f>
        <v/>
      </c>
      <c r="K237" s="48" t="str">
        <f t="shared" si="26"/>
        <v/>
      </c>
      <c r="L237" s="49" t="str">
        <f t="shared" si="27"/>
        <v/>
      </c>
      <c r="M237" s="48" t="str">
        <f>IF($B237="","",Mau15a!F240)</f>
        <v/>
      </c>
      <c r="N237" s="51" t="str">
        <f>IF($B237="","",COUNTIF(BOM!$A$5:$A$1004,B237))</f>
        <v/>
      </c>
      <c r="O237" s="49" t="str">
        <f t="shared" si="28"/>
        <v/>
      </c>
      <c r="P237" s="51" t="str">
        <f>IF($B237="","",COUNTIFS(KT_nguoc_theo_SP!$B$5:$B$1004,B237,KT_nguoc_theo_SP!$M$5:$M$1004,"Xem xét"))</f>
        <v/>
      </c>
      <c r="Q237" s="49" t="str">
        <f t="shared" si="29"/>
        <v/>
      </c>
      <c r="R237" s="49" t="str">
        <f t="shared" si="30"/>
        <v/>
      </c>
      <c r="S237" s="31" t="str">
        <f t="shared" si="31"/>
        <v/>
      </c>
    </row>
    <row r="238" spans="1:19" x14ac:dyDescent="0.25">
      <c r="A238" s="36" t="str">
        <f>IF(B238="","",231)</f>
        <v/>
      </c>
      <c r="B238" s="36" t="str">
        <f>Mau15a!B241&amp;""</f>
        <v/>
      </c>
      <c r="C238" s="47" t="str">
        <f>IF(B238="","",Mau15a!C241)</f>
        <v/>
      </c>
      <c r="D238" s="36" t="str">
        <f>IF(B238="","",Mau15a!D241)</f>
        <v/>
      </c>
      <c r="E238" s="48" t="str">
        <f>IF($B238="","",Mau15a!P241)</f>
        <v/>
      </c>
      <c r="F238" s="48" t="str">
        <f>IF($B238="","",Mau15a!I241)</f>
        <v/>
      </c>
      <c r="G238" s="48" t="str">
        <f t="shared" si="24"/>
        <v/>
      </c>
      <c r="H238" s="49" t="str">
        <f t="shared" si="25"/>
        <v/>
      </c>
      <c r="I238" s="48" t="str">
        <f>IF($B238="","",Mau15a!K241)</f>
        <v/>
      </c>
      <c r="J238" s="48" t="str">
        <f>IF($B238="","",Mau15a!M241)</f>
        <v/>
      </c>
      <c r="K238" s="48" t="str">
        <f t="shared" si="26"/>
        <v/>
      </c>
      <c r="L238" s="49" t="str">
        <f t="shared" si="27"/>
        <v/>
      </c>
      <c r="M238" s="48" t="str">
        <f>IF($B238="","",Mau15a!F241)</f>
        <v/>
      </c>
      <c r="N238" s="51" t="str">
        <f>IF($B238="","",COUNTIF(BOM!$A$5:$A$1004,B238))</f>
        <v/>
      </c>
      <c r="O238" s="49" t="str">
        <f t="shared" si="28"/>
        <v/>
      </c>
      <c r="P238" s="51" t="str">
        <f>IF($B238="","",COUNTIFS(KT_nguoc_theo_SP!$B$5:$B$1004,B238,KT_nguoc_theo_SP!$M$5:$M$1004,"Xem xét"))</f>
        <v/>
      </c>
      <c r="Q238" s="49" t="str">
        <f t="shared" si="29"/>
        <v/>
      </c>
      <c r="R238" s="49" t="str">
        <f t="shared" si="30"/>
        <v/>
      </c>
      <c r="S238" s="31" t="str">
        <f t="shared" si="31"/>
        <v/>
      </c>
    </row>
    <row r="239" spans="1:19" x14ac:dyDescent="0.25">
      <c r="A239" s="36" t="str">
        <f>IF(B239="","",232)</f>
        <v/>
      </c>
      <c r="B239" s="36" t="str">
        <f>Mau15a!B242&amp;""</f>
        <v/>
      </c>
      <c r="C239" s="47" t="str">
        <f>IF(B239="","",Mau15a!C242)</f>
        <v/>
      </c>
      <c r="D239" s="36" t="str">
        <f>IF(B239="","",Mau15a!D242)</f>
        <v/>
      </c>
      <c r="E239" s="48" t="str">
        <f>IF($B239="","",Mau15a!P242)</f>
        <v/>
      </c>
      <c r="F239" s="48" t="str">
        <f>IF($B239="","",Mau15a!I242)</f>
        <v/>
      </c>
      <c r="G239" s="48" t="str">
        <f t="shared" si="24"/>
        <v/>
      </c>
      <c r="H239" s="49" t="str">
        <f t="shared" si="25"/>
        <v/>
      </c>
      <c r="I239" s="48" t="str">
        <f>IF($B239="","",Mau15a!K242)</f>
        <v/>
      </c>
      <c r="J239" s="48" t="str">
        <f>IF($B239="","",Mau15a!M242)</f>
        <v/>
      </c>
      <c r="K239" s="48" t="str">
        <f t="shared" si="26"/>
        <v/>
      </c>
      <c r="L239" s="49" t="str">
        <f t="shared" si="27"/>
        <v/>
      </c>
      <c r="M239" s="48" t="str">
        <f>IF($B239="","",Mau15a!F242)</f>
        <v/>
      </c>
      <c r="N239" s="51" t="str">
        <f>IF($B239="","",COUNTIF(BOM!$A$5:$A$1004,B239))</f>
        <v/>
      </c>
      <c r="O239" s="49" t="str">
        <f t="shared" si="28"/>
        <v/>
      </c>
      <c r="P239" s="51" t="str">
        <f>IF($B239="","",COUNTIFS(KT_nguoc_theo_SP!$B$5:$B$1004,B239,KT_nguoc_theo_SP!$M$5:$M$1004,"Xem xét"))</f>
        <v/>
      </c>
      <c r="Q239" s="49" t="str">
        <f t="shared" si="29"/>
        <v/>
      </c>
      <c r="R239" s="49" t="str">
        <f t="shared" si="30"/>
        <v/>
      </c>
      <c r="S239" s="31" t="str">
        <f t="shared" si="31"/>
        <v/>
      </c>
    </row>
    <row r="240" spans="1:19" x14ac:dyDescent="0.25">
      <c r="A240" s="36" t="str">
        <f>IF(B240="","",233)</f>
        <v/>
      </c>
      <c r="B240" s="36" t="str">
        <f>Mau15a!B243&amp;""</f>
        <v/>
      </c>
      <c r="C240" s="47" t="str">
        <f>IF(B240="","",Mau15a!C243)</f>
        <v/>
      </c>
      <c r="D240" s="36" t="str">
        <f>IF(B240="","",Mau15a!D243)</f>
        <v/>
      </c>
      <c r="E240" s="48" t="str">
        <f>IF($B240="","",Mau15a!P243)</f>
        <v/>
      </c>
      <c r="F240" s="48" t="str">
        <f>IF($B240="","",Mau15a!I243)</f>
        <v/>
      </c>
      <c r="G240" s="48" t="str">
        <f t="shared" si="24"/>
        <v/>
      </c>
      <c r="H240" s="49" t="str">
        <f t="shared" si="25"/>
        <v/>
      </c>
      <c r="I240" s="48" t="str">
        <f>IF($B240="","",Mau15a!K243)</f>
        <v/>
      </c>
      <c r="J240" s="48" t="str">
        <f>IF($B240="","",Mau15a!M243)</f>
        <v/>
      </c>
      <c r="K240" s="48" t="str">
        <f t="shared" si="26"/>
        <v/>
      </c>
      <c r="L240" s="49" t="str">
        <f t="shared" si="27"/>
        <v/>
      </c>
      <c r="M240" s="48" t="str">
        <f>IF($B240="","",Mau15a!F243)</f>
        <v/>
      </c>
      <c r="N240" s="51" t="str">
        <f>IF($B240="","",COUNTIF(BOM!$A$5:$A$1004,B240))</f>
        <v/>
      </c>
      <c r="O240" s="49" t="str">
        <f t="shared" si="28"/>
        <v/>
      </c>
      <c r="P240" s="51" t="str">
        <f>IF($B240="","",COUNTIFS(KT_nguoc_theo_SP!$B$5:$B$1004,B240,KT_nguoc_theo_SP!$M$5:$M$1004,"Xem xét"))</f>
        <v/>
      </c>
      <c r="Q240" s="49" t="str">
        <f t="shared" si="29"/>
        <v/>
      </c>
      <c r="R240" s="49" t="str">
        <f t="shared" si="30"/>
        <v/>
      </c>
      <c r="S240" s="31" t="str">
        <f t="shared" si="31"/>
        <v/>
      </c>
    </row>
    <row r="241" spans="1:19" x14ac:dyDescent="0.25">
      <c r="A241" s="36" t="str">
        <f>IF(B241="","",234)</f>
        <v/>
      </c>
      <c r="B241" s="36" t="str">
        <f>Mau15a!B244&amp;""</f>
        <v/>
      </c>
      <c r="C241" s="47" t="str">
        <f>IF(B241="","",Mau15a!C244)</f>
        <v/>
      </c>
      <c r="D241" s="36" t="str">
        <f>IF(B241="","",Mau15a!D244)</f>
        <v/>
      </c>
      <c r="E241" s="48" t="str">
        <f>IF($B241="","",Mau15a!P244)</f>
        <v/>
      </c>
      <c r="F241" s="48" t="str">
        <f>IF($B241="","",Mau15a!I244)</f>
        <v/>
      </c>
      <c r="G241" s="48" t="str">
        <f t="shared" si="24"/>
        <v/>
      </c>
      <c r="H241" s="49" t="str">
        <f t="shared" si="25"/>
        <v/>
      </c>
      <c r="I241" s="48" t="str">
        <f>IF($B241="","",Mau15a!K244)</f>
        <v/>
      </c>
      <c r="J241" s="48" t="str">
        <f>IF($B241="","",Mau15a!M244)</f>
        <v/>
      </c>
      <c r="K241" s="48" t="str">
        <f t="shared" si="26"/>
        <v/>
      </c>
      <c r="L241" s="49" t="str">
        <f t="shared" si="27"/>
        <v/>
      </c>
      <c r="M241" s="48" t="str">
        <f>IF($B241="","",Mau15a!F244)</f>
        <v/>
      </c>
      <c r="N241" s="51" t="str">
        <f>IF($B241="","",COUNTIF(BOM!$A$5:$A$1004,B241))</f>
        <v/>
      </c>
      <c r="O241" s="49" t="str">
        <f t="shared" si="28"/>
        <v/>
      </c>
      <c r="P241" s="51" t="str">
        <f>IF($B241="","",COUNTIFS(KT_nguoc_theo_SP!$B$5:$B$1004,B241,KT_nguoc_theo_SP!$M$5:$M$1004,"Xem xét"))</f>
        <v/>
      </c>
      <c r="Q241" s="49" t="str">
        <f t="shared" si="29"/>
        <v/>
      </c>
      <c r="R241" s="49" t="str">
        <f t="shared" si="30"/>
        <v/>
      </c>
      <c r="S241" s="31" t="str">
        <f t="shared" si="31"/>
        <v/>
      </c>
    </row>
    <row r="242" spans="1:19" x14ac:dyDescent="0.25">
      <c r="A242" s="36" t="str">
        <f>IF(B242="","",235)</f>
        <v/>
      </c>
      <c r="B242" s="36" t="str">
        <f>Mau15a!B245&amp;""</f>
        <v/>
      </c>
      <c r="C242" s="47" t="str">
        <f>IF(B242="","",Mau15a!C245)</f>
        <v/>
      </c>
      <c r="D242" s="36" t="str">
        <f>IF(B242="","",Mau15a!D245)</f>
        <v/>
      </c>
      <c r="E242" s="48" t="str">
        <f>IF($B242="","",Mau15a!P245)</f>
        <v/>
      </c>
      <c r="F242" s="48" t="str">
        <f>IF($B242="","",Mau15a!I245)</f>
        <v/>
      </c>
      <c r="G242" s="48" t="str">
        <f t="shared" si="24"/>
        <v/>
      </c>
      <c r="H242" s="49" t="str">
        <f t="shared" si="25"/>
        <v/>
      </c>
      <c r="I242" s="48" t="str">
        <f>IF($B242="","",Mau15a!K245)</f>
        <v/>
      </c>
      <c r="J242" s="48" t="str">
        <f>IF($B242="","",Mau15a!M245)</f>
        <v/>
      </c>
      <c r="K242" s="48" t="str">
        <f t="shared" si="26"/>
        <v/>
      </c>
      <c r="L242" s="49" t="str">
        <f t="shared" si="27"/>
        <v/>
      </c>
      <c r="M242" s="48" t="str">
        <f>IF($B242="","",Mau15a!F245)</f>
        <v/>
      </c>
      <c r="N242" s="51" t="str">
        <f>IF($B242="","",COUNTIF(BOM!$A$5:$A$1004,B242))</f>
        <v/>
      </c>
      <c r="O242" s="49" t="str">
        <f t="shared" si="28"/>
        <v/>
      </c>
      <c r="P242" s="51" t="str">
        <f>IF($B242="","",COUNTIFS(KT_nguoc_theo_SP!$B$5:$B$1004,B242,KT_nguoc_theo_SP!$M$5:$M$1004,"Xem xét"))</f>
        <v/>
      </c>
      <c r="Q242" s="49" t="str">
        <f t="shared" si="29"/>
        <v/>
      </c>
      <c r="R242" s="49" t="str">
        <f t="shared" si="30"/>
        <v/>
      </c>
      <c r="S242" s="31" t="str">
        <f t="shared" si="31"/>
        <v/>
      </c>
    </row>
    <row r="243" spans="1:19" x14ac:dyDescent="0.25">
      <c r="A243" s="36" t="str">
        <f>IF(B243="","",236)</f>
        <v/>
      </c>
      <c r="B243" s="36" t="str">
        <f>Mau15a!B246&amp;""</f>
        <v/>
      </c>
      <c r="C243" s="47" t="str">
        <f>IF(B243="","",Mau15a!C246)</f>
        <v/>
      </c>
      <c r="D243" s="36" t="str">
        <f>IF(B243="","",Mau15a!D246)</f>
        <v/>
      </c>
      <c r="E243" s="48" t="str">
        <f>IF($B243="","",Mau15a!P246)</f>
        <v/>
      </c>
      <c r="F243" s="48" t="str">
        <f>IF($B243="","",Mau15a!I246)</f>
        <v/>
      </c>
      <c r="G243" s="48" t="str">
        <f t="shared" si="24"/>
        <v/>
      </c>
      <c r="H243" s="49" t="str">
        <f t="shared" si="25"/>
        <v/>
      </c>
      <c r="I243" s="48" t="str">
        <f>IF($B243="","",Mau15a!K246)</f>
        <v/>
      </c>
      <c r="J243" s="48" t="str">
        <f>IF($B243="","",Mau15a!M246)</f>
        <v/>
      </c>
      <c r="K243" s="48" t="str">
        <f t="shared" si="26"/>
        <v/>
      </c>
      <c r="L243" s="49" t="str">
        <f t="shared" si="27"/>
        <v/>
      </c>
      <c r="M243" s="48" t="str">
        <f>IF($B243="","",Mau15a!F246)</f>
        <v/>
      </c>
      <c r="N243" s="51" t="str">
        <f>IF($B243="","",COUNTIF(BOM!$A$5:$A$1004,B243))</f>
        <v/>
      </c>
      <c r="O243" s="49" t="str">
        <f t="shared" si="28"/>
        <v/>
      </c>
      <c r="P243" s="51" t="str">
        <f>IF($B243="","",COUNTIFS(KT_nguoc_theo_SP!$B$5:$B$1004,B243,KT_nguoc_theo_SP!$M$5:$M$1004,"Xem xét"))</f>
        <v/>
      </c>
      <c r="Q243" s="49" t="str">
        <f t="shared" si="29"/>
        <v/>
      </c>
      <c r="R243" s="49" t="str">
        <f t="shared" si="30"/>
        <v/>
      </c>
      <c r="S243" s="31" t="str">
        <f t="shared" si="31"/>
        <v/>
      </c>
    </row>
    <row r="244" spans="1:19" x14ac:dyDescent="0.25">
      <c r="A244" s="36" t="str">
        <f>IF(B244="","",237)</f>
        <v/>
      </c>
      <c r="B244" s="36" t="str">
        <f>Mau15a!B247&amp;""</f>
        <v/>
      </c>
      <c r="C244" s="47" t="str">
        <f>IF(B244="","",Mau15a!C247)</f>
        <v/>
      </c>
      <c r="D244" s="36" t="str">
        <f>IF(B244="","",Mau15a!D247)</f>
        <v/>
      </c>
      <c r="E244" s="48" t="str">
        <f>IF($B244="","",Mau15a!P247)</f>
        <v/>
      </c>
      <c r="F244" s="48" t="str">
        <f>IF($B244="","",Mau15a!I247)</f>
        <v/>
      </c>
      <c r="G244" s="48" t="str">
        <f t="shared" si="24"/>
        <v/>
      </c>
      <c r="H244" s="49" t="str">
        <f t="shared" si="25"/>
        <v/>
      </c>
      <c r="I244" s="48" t="str">
        <f>IF($B244="","",Mau15a!K247)</f>
        <v/>
      </c>
      <c r="J244" s="48" t="str">
        <f>IF($B244="","",Mau15a!M247)</f>
        <v/>
      </c>
      <c r="K244" s="48" t="str">
        <f t="shared" si="26"/>
        <v/>
      </c>
      <c r="L244" s="49" t="str">
        <f t="shared" si="27"/>
        <v/>
      </c>
      <c r="M244" s="48" t="str">
        <f>IF($B244="","",Mau15a!F247)</f>
        <v/>
      </c>
      <c r="N244" s="51" t="str">
        <f>IF($B244="","",COUNTIF(BOM!$A$5:$A$1004,B244))</f>
        <v/>
      </c>
      <c r="O244" s="49" t="str">
        <f t="shared" si="28"/>
        <v/>
      </c>
      <c r="P244" s="51" t="str">
        <f>IF($B244="","",COUNTIFS(KT_nguoc_theo_SP!$B$5:$B$1004,B244,KT_nguoc_theo_SP!$M$5:$M$1004,"Xem xét"))</f>
        <v/>
      </c>
      <c r="Q244" s="49" t="str">
        <f t="shared" si="29"/>
        <v/>
      </c>
      <c r="R244" s="49" t="str">
        <f t="shared" si="30"/>
        <v/>
      </c>
      <c r="S244" s="31" t="str">
        <f t="shared" si="31"/>
        <v/>
      </c>
    </row>
    <row r="245" spans="1:19" x14ac:dyDescent="0.25">
      <c r="A245" s="36" t="str">
        <f>IF(B245="","",238)</f>
        <v/>
      </c>
      <c r="B245" s="36" t="str">
        <f>Mau15a!B248&amp;""</f>
        <v/>
      </c>
      <c r="C245" s="47" t="str">
        <f>IF(B245="","",Mau15a!C248)</f>
        <v/>
      </c>
      <c r="D245" s="36" t="str">
        <f>IF(B245="","",Mau15a!D248)</f>
        <v/>
      </c>
      <c r="E245" s="48" t="str">
        <f>IF($B245="","",Mau15a!P248)</f>
        <v/>
      </c>
      <c r="F245" s="48" t="str">
        <f>IF($B245="","",Mau15a!I248)</f>
        <v/>
      </c>
      <c r="G245" s="48" t="str">
        <f t="shared" si="24"/>
        <v/>
      </c>
      <c r="H245" s="49" t="str">
        <f t="shared" si="25"/>
        <v/>
      </c>
      <c r="I245" s="48" t="str">
        <f>IF($B245="","",Mau15a!K248)</f>
        <v/>
      </c>
      <c r="J245" s="48" t="str">
        <f>IF($B245="","",Mau15a!M248)</f>
        <v/>
      </c>
      <c r="K245" s="48" t="str">
        <f t="shared" si="26"/>
        <v/>
      </c>
      <c r="L245" s="49" t="str">
        <f t="shared" si="27"/>
        <v/>
      </c>
      <c r="M245" s="48" t="str">
        <f>IF($B245="","",Mau15a!F248)</f>
        <v/>
      </c>
      <c r="N245" s="51" t="str">
        <f>IF($B245="","",COUNTIF(BOM!$A$5:$A$1004,B245))</f>
        <v/>
      </c>
      <c r="O245" s="49" t="str">
        <f t="shared" si="28"/>
        <v/>
      </c>
      <c r="P245" s="51" t="str">
        <f>IF($B245="","",COUNTIFS(KT_nguoc_theo_SP!$B$5:$B$1004,B245,KT_nguoc_theo_SP!$M$5:$M$1004,"Xem xét"))</f>
        <v/>
      </c>
      <c r="Q245" s="49" t="str">
        <f t="shared" si="29"/>
        <v/>
      </c>
      <c r="R245" s="49" t="str">
        <f t="shared" si="30"/>
        <v/>
      </c>
      <c r="S245" s="31" t="str">
        <f t="shared" si="31"/>
        <v/>
      </c>
    </row>
    <row r="246" spans="1:19" x14ac:dyDescent="0.25">
      <c r="A246" s="36" t="str">
        <f>IF(B246="","",239)</f>
        <v/>
      </c>
      <c r="B246" s="36" t="str">
        <f>Mau15a!B249&amp;""</f>
        <v/>
      </c>
      <c r="C246" s="47" t="str">
        <f>IF(B246="","",Mau15a!C249)</f>
        <v/>
      </c>
      <c r="D246" s="36" t="str">
        <f>IF(B246="","",Mau15a!D249)</f>
        <v/>
      </c>
      <c r="E246" s="48" t="str">
        <f>IF($B246="","",Mau15a!P249)</f>
        <v/>
      </c>
      <c r="F246" s="48" t="str">
        <f>IF($B246="","",Mau15a!I249)</f>
        <v/>
      </c>
      <c r="G246" s="48" t="str">
        <f t="shared" si="24"/>
        <v/>
      </c>
      <c r="H246" s="49" t="str">
        <f t="shared" si="25"/>
        <v/>
      </c>
      <c r="I246" s="48" t="str">
        <f>IF($B246="","",Mau15a!K249)</f>
        <v/>
      </c>
      <c r="J246" s="48" t="str">
        <f>IF($B246="","",Mau15a!M249)</f>
        <v/>
      </c>
      <c r="K246" s="48" t="str">
        <f t="shared" si="26"/>
        <v/>
      </c>
      <c r="L246" s="49" t="str">
        <f t="shared" si="27"/>
        <v/>
      </c>
      <c r="M246" s="48" t="str">
        <f>IF($B246="","",Mau15a!F249)</f>
        <v/>
      </c>
      <c r="N246" s="51" t="str">
        <f>IF($B246="","",COUNTIF(BOM!$A$5:$A$1004,B246))</f>
        <v/>
      </c>
      <c r="O246" s="49" t="str">
        <f t="shared" si="28"/>
        <v/>
      </c>
      <c r="P246" s="51" t="str">
        <f>IF($B246="","",COUNTIFS(KT_nguoc_theo_SP!$B$5:$B$1004,B246,KT_nguoc_theo_SP!$M$5:$M$1004,"Xem xét"))</f>
        <v/>
      </c>
      <c r="Q246" s="49" t="str">
        <f t="shared" si="29"/>
        <v/>
      </c>
      <c r="R246" s="49" t="str">
        <f t="shared" si="30"/>
        <v/>
      </c>
      <c r="S246" s="31" t="str">
        <f t="shared" si="31"/>
        <v/>
      </c>
    </row>
    <row r="247" spans="1:19" x14ac:dyDescent="0.25">
      <c r="A247" s="36" t="str">
        <f>IF(B247="","",240)</f>
        <v/>
      </c>
      <c r="B247" s="36" t="str">
        <f>Mau15a!B250&amp;""</f>
        <v/>
      </c>
      <c r="C247" s="47" t="str">
        <f>IF(B247="","",Mau15a!C250)</f>
        <v/>
      </c>
      <c r="D247" s="36" t="str">
        <f>IF(B247="","",Mau15a!D250)</f>
        <v/>
      </c>
      <c r="E247" s="48" t="str">
        <f>IF($B247="","",Mau15a!P250)</f>
        <v/>
      </c>
      <c r="F247" s="48" t="str">
        <f>IF($B247="","",Mau15a!I250)</f>
        <v/>
      </c>
      <c r="G247" s="48" t="str">
        <f t="shared" si="24"/>
        <v/>
      </c>
      <c r="H247" s="49" t="str">
        <f t="shared" si="25"/>
        <v/>
      </c>
      <c r="I247" s="48" t="str">
        <f>IF($B247="","",Mau15a!K250)</f>
        <v/>
      </c>
      <c r="J247" s="48" t="str">
        <f>IF($B247="","",Mau15a!M250)</f>
        <v/>
      </c>
      <c r="K247" s="48" t="str">
        <f t="shared" si="26"/>
        <v/>
      </c>
      <c r="L247" s="49" t="str">
        <f t="shared" si="27"/>
        <v/>
      </c>
      <c r="M247" s="48" t="str">
        <f>IF($B247="","",Mau15a!F250)</f>
        <v/>
      </c>
      <c r="N247" s="51" t="str">
        <f>IF($B247="","",COUNTIF(BOM!$A$5:$A$1004,B247))</f>
        <v/>
      </c>
      <c r="O247" s="49" t="str">
        <f t="shared" si="28"/>
        <v/>
      </c>
      <c r="P247" s="51" t="str">
        <f>IF($B247="","",COUNTIFS(KT_nguoc_theo_SP!$B$5:$B$1004,B247,KT_nguoc_theo_SP!$M$5:$M$1004,"Xem xét"))</f>
        <v/>
      </c>
      <c r="Q247" s="49" t="str">
        <f t="shared" si="29"/>
        <v/>
      </c>
      <c r="R247" s="49" t="str">
        <f t="shared" si="30"/>
        <v/>
      </c>
      <c r="S247" s="31" t="str">
        <f t="shared" si="31"/>
        <v/>
      </c>
    </row>
    <row r="248" spans="1:19" x14ac:dyDescent="0.25">
      <c r="A248" s="36" t="str">
        <f>IF(B248="","",241)</f>
        <v/>
      </c>
      <c r="B248" s="36" t="str">
        <f>Mau15a!B251&amp;""</f>
        <v/>
      </c>
      <c r="C248" s="47" t="str">
        <f>IF(B248="","",Mau15a!C251)</f>
        <v/>
      </c>
      <c r="D248" s="36" t="str">
        <f>IF(B248="","",Mau15a!D251)</f>
        <v/>
      </c>
      <c r="E248" s="48" t="str">
        <f>IF($B248="","",Mau15a!P251)</f>
        <v/>
      </c>
      <c r="F248" s="48" t="str">
        <f>IF($B248="","",Mau15a!I251)</f>
        <v/>
      </c>
      <c r="G248" s="48" t="str">
        <f t="shared" si="24"/>
        <v/>
      </c>
      <c r="H248" s="49" t="str">
        <f t="shared" si="25"/>
        <v/>
      </c>
      <c r="I248" s="48" t="str">
        <f>IF($B248="","",Mau15a!K251)</f>
        <v/>
      </c>
      <c r="J248" s="48" t="str">
        <f>IF($B248="","",Mau15a!M251)</f>
        <v/>
      </c>
      <c r="K248" s="48" t="str">
        <f t="shared" si="26"/>
        <v/>
      </c>
      <c r="L248" s="49" t="str">
        <f t="shared" si="27"/>
        <v/>
      </c>
      <c r="M248" s="48" t="str">
        <f>IF($B248="","",Mau15a!F251)</f>
        <v/>
      </c>
      <c r="N248" s="51" t="str">
        <f>IF($B248="","",COUNTIF(BOM!$A$5:$A$1004,B248))</f>
        <v/>
      </c>
      <c r="O248" s="49" t="str">
        <f t="shared" si="28"/>
        <v/>
      </c>
      <c r="P248" s="51" t="str">
        <f>IF($B248="","",COUNTIFS(KT_nguoc_theo_SP!$B$5:$B$1004,B248,KT_nguoc_theo_SP!$M$5:$M$1004,"Xem xét"))</f>
        <v/>
      </c>
      <c r="Q248" s="49" t="str">
        <f t="shared" si="29"/>
        <v/>
      </c>
      <c r="R248" s="49" t="str">
        <f t="shared" si="30"/>
        <v/>
      </c>
      <c r="S248" s="31" t="str">
        <f t="shared" si="31"/>
        <v/>
      </c>
    </row>
    <row r="249" spans="1:19" x14ac:dyDescent="0.25">
      <c r="A249" s="36" t="str">
        <f>IF(B249="","",242)</f>
        <v/>
      </c>
      <c r="B249" s="36" t="str">
        <f>Mau15a!B252&amp;""</f>
        <v/>
      </c>
      <c r="C249" s="47" t="str">
        <f>IF(B249="","",Mau15a!C252)</f>
        <v/>
      </c>
      <c r="D249" s="36" t="str">
        <f>IF(B249="","",Mau15a!D252)</f>
        <v/>
      </c>
      <c r="E249" s="48" t="str">
        <f>IF($B249="","",Mau15a!P252)</f>
        <v/>
      </c>
      <c r="F249" s="48" t="str">
        <f>IF($B249="","",Mau15a!I252)</f>
        <v/>
      </c>
      <c r="G249" s="48" t="str">
        <f t="shared" si="24"/>
        <v/>
      </c>
      <c r="H249" s="49" t="str">
        <f t="shared" si="25"/>
        <v/>
      </c>
      <c r="I249" s="48" t="str">
        <f>IF($B249="","",Mau15a!K252)</f>
        <v/>
      </c>
      <c r="J249" s="48" t="str">
        <f>IF($B249="","",Mau15a!M252)</f>
        <v/>
      </c>
      <c r="K249" s="48" t="str">
        <f t="shared" si="26"/>
        <v/>
      </c>
      <c r="L249" s="49" t="str">
        <f t="shared" si="27"/>
        <v/>
      </c>
      <c r="M249" s="48" t="str">
        <f>IF($B249="","",Mau15a!F252)</f>
        <v/>
      </c>
      <c r="N249" s="51" t="str">
        <f>IF($B249="","",COUNTIF(BOM!$A$5:$A$1004,B249))</f>
        <v/>
      </c>
      <c r="O249" s="49" t="str">
        <f t="shared" si="28"/>
        <v/>
      </c>
      <c r="P249" s="51" t="str">
        <f>IF($B249="","",COUNTIFS(KT_nguoc_theo_SP!$B$5:$B$1004,B249,KT_nguoc_theo_SP!$M$5:$M$1004,"Xem xét"))</f>
        <v/>
      </c>
      <c r="Q249" s="49" t="str">
        <f t="shared" si="29"/>
        <v/>
      </c>
      <c r="R249" s="49" t="str">
        <f t="shared" si="30"/>
        <v/>
      </c>
      <c r="S249" s="31" t="str">
        <f t="shared" si="31"/>
        <v/>
      </c>
    </row>
    <row r="250" spans="1:19" x14ac:dyDescent="0.25">
      <c r="A250" s="36" t="str">
        <f>IF(B250="","",243)</f>
        <v/>
      </c>
      <c r="B250" s="36" t="str">
        <f>Mau15a!B253&amp;""</f>
        <v/>
      </c>
      <c r="C250" s="47" t="str">
        <f>IF(B250="","",Mau15a!C253)</f>
        <v/>
      </c>
      <c r="D250" s="36" t="str">
        <f>IF(B250="","",Mau15a!D253)</f>
        <v/>
      </c>
      <c r="E250" s="48" t="str">
        <f>IF($B250="","",Mau15a!P253)</f>
        <v/>
      </c>
      <c r="F250" s="48" t="str">
        <f>IF($B250="","",Mau15a!I253)</f>
        <v/>
      </c>
      <c r="G250" s="48" t="str">
        <f t="shared" si="24"/>
        <v/>
      </c>
      <c r="H250" s="49" t="str">
        <f t="shared" si="25"/>
        <v/>
      </c>
      <c r="I250" s="48" t="str">
        <f>IF($B250="","",Mau15a!K253)</f>
        <v/>
      </c>
      <c r="J250" s="48" t="str">
        <f>IF($B250="","",Mau15a!M253)</f>
        <v/>
      </c>
      <c r="K250" s="48" t="str">
        <f t="shared" si="26"/>
        <v/>
      </c>
      <c r="L250" s="49" t="str">
        <f t="shared" si="27"/>
        <v/>
      </c>
      <c r="M250" s="48" t="str">
        <f>IF($B250="","",Mau15a!F253)</f>
        <v/>
      </c>
      <c r="N250" s="51" t="str">
        <f>IF($B250="","",COUNTIF(BOM!$A$5:$A$1004,B250))</f>
        <v/>
      </c>
      <c r="O250" s="49" t="str">
        <f t="shared" si="28"/>
        <v/>
      </c>
      <c r="P250" s="51" t="str">
        <f>IF($B250="","",COUNTIFS(KT_nguoc_theo_SP!$B$5:$B$1004,B250,KT_nguoc_theo_SP!$M$5:$M$1004,"Xem xét"))</f>
        <v/>
      </c>
      <c r="Q250" s="49" t="str">
        <f t="shared" si="29"/>
        <v/>
      </c>
      <c r="R250" s="49" t="str">
        <f t="shared" si="30"/>
        <v/>
      </c>
      <c r="S250" s="31" t="str">
        <f t="shared" si="31"/>
        <v/>
      </c>
    </row>
    <row r="251" spans="1:19" x14ac:dyDescent="0.25">
      <c r="A251" s="36" t="str">
        <f>IF(B251="","",244)</f>
        <v/>
      </c>
      <c r="B251" s="36" t="str">
        <f>Mau15a!B254&amp;""</f>
        <v/>
      </c>
      <c r="C251" s="47" t="str">
        <f>IF(B251="","",Mau15a!C254)</f>
        <v/>
      </c>
      <c r="D251" s="36" t="str">
        <f>IF(B251="","",Mau15a!D254)</f>
        <v/>
      </c>
      <c r="E251" s="48" t="str">
        <f>IF($B251="","",Mau15a!P254)</f>
        <v/>
      </c>
      <c r="F251" s="48" t="str">
        <f>IF($B251="","",Mau15a!I254)</f>
        <v/>
      </c>
      <c r="G251" s="48" t="str">
        <f t="shared" si="24"/>
        <v/>
      </c>
      <c r="H251" s="49" t="str">
        <f t="shared" si="25"/>
        <v/>
      </c>
      <c r="I251" s="48" t="str">
        <f>IF($B251="","",Mau15a!K254)</f>
        <v/>
      </c>
      <c r="J251" s="48" t="str">
        <f>IF($B251="","",Mau15a!M254)</f>
        <v/>
      </c>
      <c r="K251" s="48" t="str">
        <f t="shared" si="26"/>
        <v/>
      </c>
      <c r="L251" s="49" t="str">
        <f t="shared" si="27"/>
        <v/>
      </c>
      <c r="M251" s="48" t="str">
        <f>IF($B251="","",Mau15a!F254)</f>
        <v/>
      </c>
      <c r="N251" s="51" t="str">
        <f>IF($B251="","",COUNTIF(BOM!$A$5:$A$1004,B251))</f>
        <v/>
      </c>
      <c r="O251" s="49" t="str">
        <f t="shared" si="28"/>
        <v/>
      </c>
      <c r="P251" s="51" t="str">
        <f>IF($B251="","",COUNTIFS(KT_nguoc_theo_SP!$B$5:$B$1004,B251,KT_nguoc_theo_SP!$M$5:$M$1004,"Xem xét"))</f>
        <v/>
      </c>
      <c r="Q251" s="49" t="str">
        <f t="shared" si="29"/>
        <v/>
      </c>
      <c r="R251" s="49" t="str">
        <f t="shared" si="30"/>
        <v/>
      </c>
      <c r="S251" s="31" t="str">
        <f t="shared" si="31"/>
        <v/>
      </c>
    </row>
    <row r="252" spans="1:19" x14ac:dyDescent="0.25">
      <c r="A252" s="36" t="str">
        <f>IF(B252="","",245)</f>
        <v/>
      </c>
      <c r="B252" s="36" t="str">
        <f>Mau15a!B255&amp;""</f>
        <v/>
      </c>
      <c r="C252" s="47" t="str">
        <f>IF(B252="","",Mau15a!C255)</f>
        <v/>
      </c>
      <c r="D252" s="36" t="str">
        <f>IF(B252="","",Mau15a!D255)</f>
        <v/>
      </c>
      <c r="E252" s="48" t="str">
        <f>IF($B252="","",Mau15a!P255)</f>
        <v/>
      </c>
      <c r="F252" s="48" t="str">
        <f>IF($B252="","",Mau15a!I255)</f>
        <v/>
      </c>
      <c r="G252" s="48" t="str">
        <f t="shared" si="24"/>
        <v/>
      </c>
      <c r="H252" s="49" t="str">
        <f t="shared" si="25"/>
        <v/>
      </c>
      <c r="I252" s="48" t="str">
        <f>IF($B252="","",Mau15a!K255)</f>
        <v/>
      </c>
      <c r="J252" s="48" t="str">
        <f>IF($B252="","",Mau15a!M255)</f>
        <v/>
      </c>
      <c r="K252" s="48" t="str">
        <f t="shared" si="26"/>
        <v/>
      </c>
      <c r="L252" s="49" t="str">
        <f t="shared" si="27"/>
        <v/>
      </c>
      <c r="M252" s="48" t="str">
        <f>IF($B252="","",Mau15a!F255)</f>
        <v/>
      </c>
      <c r="N252" s="51" t="str">
        <f>IF($B252="","",COUNTIF(BOM!$A$5:$A$1004,B252))</f>
        <v/>
      </c>
      <c r="O252" s="49" t="str">
        <f t="shared" si="28"/>
        <v/>
      </c>
      <c r="P252" s="51" t="str">
        <f>IF($B252="","",COUNTIFS(KT_nguoc_theo_SP!$B$5:$B$1004,B252,KT_nguoc_theo_SP!$M$5:$M$1004,"Xem xét"))</f>
        <v/>
      </c>
      <c r="Q252" s="49" t="str">
        <f t="shared" si="29"/>
        <v/>
      </c>
      <c r="R252" s="49" t="str">
        <f t="shared" si="30"/>
        <v/>
      </c>
      <c r="S252" s="31" t="str">
        <f t="shared" si="31"/>
        <v/>
      </c>
    </row>
    <row r="253" spans="1:19" x14ac:dyDescent="0.25">
      <c r="A253" s="36" t="str">
        <f>IF(B253="","",246)</f>
        <v/>
      </c>
      <c r="B253" s="36" t="str">
        <f>Mau15a!B256&amp;""</f>
        <v/>
      </c>
      <c r="C253" s="47" t="str">
        <f>IF(B253="","",Mau15a!C256)</f>
        <v/>
      </c>
      <c r="D253" s="36" t="str">
        <f>IF(B253="","",Mau15a!D256)</f>
        <v/>
      </c>
      <c r="E253" s="48" t="str">
        <f>IF($B253="","",Mau15a!P256)</f>
        <v/>
      </c>
      <c r="F253" s="48" t="str">
        <f>IF($B253="","",Mau15a!I256)</f>
        <v/>
      </c>
      <c r="G253" s="48" t="str">
        <f t="shared" si="24"/>
        <v/>
      </c>
      <c r="H253" s="49" t="str">
        <f t="shared" si="25"/>
        <v/>
      </c>
      <c r="I253" s="48" t="str">
        <f>IF($B253="","",Mau15a!K256)</f>
        <v/>
      </c>
      <c r="J253" s="48" t="str">
        <f>IF($B253="","",Mau15a!M256)</f>
        <v/>
      </c>
      <c r="K253" s="48" t="str">
        <f t="shared" si="26"/>
        <v/>
      </c>
      <c r="L253" s="49" t="str">
        <f t="shared" si="27"/>
        <v/>
      </c>
      <c r="M253" s="48" t="str">
        <f>IF($B253="","",Mau15a!F256)</f>
        <v/>
      </c>
      <c r="N253" s="51" t="str">
        <f>IF($B253="","",COUNTIF(BOM!$A$5:$A$1004,B253))</f>
        <v/>
      </c>
      <c r="O253" s="49" t="str">
        <f t="shared" si="28"/>
        <v/>
      </c>
      <c r="P253" s="51" t="str">
        <f>IF($B253="","",COUNTIFS(KT_nguoc_theo_SP!$B$5:$B$1004,B253,KT_nguoc_theo_SP!$M$5:$M$1004,"Xem xét"))</f>
        <v/>
      </c>
      <c r="Q253" s="49" t="str">
        <f t="shared" si="29"/>
        <v/>
      </c>
      <c r="R253" s="49" t="str">
        <f t="shared" si="30"/>
        <v/>
      </c>
      <c r="S253" s="31" t="str">
        <f t="shared" si="31"/>
        <v/>
      </c>
    </row>
    <row r="254" spans="1:19" x14ac:dyDescent="0.25">
      <c r="A254" s="36" t="str">
        <f>IF(B254="","",247)</f>
        <v/>
      </c>
      <c r="B254" s="36" t="str">
        <f>Mau15a!B257&amp;""</f>
        <v/>
      </c>
      <c r="C254" s="47" t="str">
        <f>IF(B254="","",Mau15a!C257)</f>
        <v/>
      </c>
      <c r="D254" s="36" t="str">
        <f>IF(B254="","",Mau15a!D257)</f>
        <v/>
      </c>
      <c r="E254" s="48" t="str">
        <f>IF($B254="","",Mau15a!P257)</f>
        <v/>
      </c>
      <c r="F254" s="48" t="str">
        <f>IF($B254="","",Mau15a!I257)</f>
        <v/>
      </c>
      <c r="G254" s="48" t="str">
        <f t="shared" si="24"/>
        <v/>
      </c>
      <c r="H254" s="49" t="str">
        <f t="shared" si="25"/>
        <v/>
      </c>
      <c r="I254" s="48" t="str">
        <f>IF($B254="","",Mau15a!K257)</f>
        <v/>
      </c>
      <c r="J254" s="48" t="str">
        <f>IF($B254="","",Mau15a!M257)</f>
        <v/>
      </c>
      <c r="K254" s="48" t="str">
        <f t="shared" si="26"/>
        <v/>
      </c>
      <c r="L254" s="49" t="str">
        <f t="shared" si="27"/>
        <v/>
      </c>
      <c r="M254" s="48" t="str">
        <f>IF($B254="","",Mau15a!F257)</f>
        <v/>
      </c>
      <c r="N254" s="51" t="str">
        <f>IF($B254="","",COUNTIF(BOM!$A$5:$A$1004,B254))</f>
        <v/>
      </c>
      <c r="O254" s="49" t="str">
        <f t="shared" si="28"/>
        <v/>
      </c>
      <c r="P254" s="51" t="str">
        <f>IF($B254="","",COUNTIFS(KT_nguoc_theo_SP!$B$5:$B$1004,B254,KT_nguoc_theo_SP!$M$5:$M$1004,"Xem xét"))</f>
        <v/>
      </c>
      <c r="Q254" s="49" t="str">
        <f t="shared" si="29"/>
        <v/>
      </c>
      <c r="R254" s="49" t="str">
        <f t="shared" si="30"/>
        <v/>
      </c>
      <c r="S254" s="31" t="str">
        <f t="shared" si="31"/>
        <v/>
      </c>
    </row>
    <row r="255" spans="1:19" x14ac:dyDescent="0.25">
      <c r="A255" s="36" t="str">
        <f>IF(B255="","",248)</f>
        <v/>
      </c>
      <c r="B255" s="36" t="str">
        <f>Mau15a!B258&amp;""</f>
        <v/>
      </c>
      <c r="C255" s="47" t="str">
        <f>IF(B255="","",Mau15a!C258)</f>
        <v/>
      </c>
      <c r="D255" s="36" t="str">
        <f>IF(B255="","",Mau15a!D258)</f>
        <v/>
      </c>
      <c r="E255" s="48" t="str">
        <f>IF($B255="","",Mau15a!P258)</f>
        <v/>
      </c>
      <c r="F255" s="48" t="str">
        <f>IF($B255="","",Mau15a!I258)</f>
        <v/>
      </c>
      <c r="G255" s="48" t="str">
        <f t="shared" si="24"/>
        <v/>
      </c>
      <c r="H255" s="49" t="str">
        <f t="shared" si="25"/>
        <v/>
      </c>
      <c r="I255" s="48" t="str">
        <f>IF($B255="","",Mau15a!K258)</f>
        <v/>
      </c>
      <c r="J255" s="48" t="str">
        <f>IF($B255="","",Mau15a!M258)</f>
        <v/>
      </c>
      <c r="K255" s="48" t="str">
        <f t="shared" si="26"/>
        <v/>
      </c>
      <c r="L255" s="49" t="str">
        <f t="shared" si="27"/>
        <v/>
      </c>
      <c r="M255" s="48" t="str">
        <f>IF($B255="","",Mau15a!F258)</f>
        <v/>
      </c>
      <c r="N255" s="51" t="str">
        <f>IF($B255="","",COUNTIF(BOM!$A$5:$A$1004,B255))</f>
        <v/>
      </c>
      <c r="O255" s="49" t="str">
        <f t="shared" si="28"/>
        <v/>
      </c>
      <c r="P255" s="51" t="str">
        <f>IF($B255="","",COUNTIFS(KT_nguoc_theo_SP!$B$5:$B$1004,B255,KT_nguoc_theo_SP!$M$5:$M$1004,"Xem xét"))</f>
        <v/>
      </c>
      <c r="Q255" s="49" t="str">
        <f t="shared" si="29"/>
        <v/>
      </c>
      <c r="R255" s="49" t="str">
        <f t="shared" si="30"/>
        <v/>
      </c>
      <c r="S255" s="31" t="str">
        <f t="shared" si="31"/>
        <v/>
      </c>
    </row>
    <row r="256" spans="1:19" x14ac:dyDescent="0.25">
      <c r="A256" s="36" t="str">
        <f>IF(B256="","",249)</f>
        <v/>
      </c>
      <c r="B256" s="36" t="str">
        <f>Mau15a!B259&amp;""</f>
        <v/>
      </c>
      <c r="C256" s="47" t="str">
        <f>IF(B256="","",Mau15a!C259)</f>
        <v/>
      </c>
      <c r="D256" s="36" t="str">
        <f>IF(B256="","",Mau15a!D259)</f>
        <v/>
      </c>
      <c r="E256" s="48" t="str">
        <f>IF($B256="","",Mau15a!P259)</f>
        <v/>
      </c>
      <c r="F256" s="48" t="str">
        <f>IF($B256="","",Mau15a!I259)</f>
        <v/>
      </c>
      <c r="G256" s="48" t="str">
        <f t="shared" si="24"/>
        <v/>
      </c>
      <c r="H256" s="49" t="str">
        <f t="shared" si="25"/>
        <v/>
      </c>
      <c r="I256" s="48" t="str">
        <f>IF($B256="","",Mau15a!K259)</f>
        <v/>
      </c>
      <c r="J256" s="48" t="str">
        <f>IF($B256="","",Mau15a!M259)</f>
        <v/>
      </c>
      <c r="K256" s="48" t="str">
        <f t="shared" si="26"/>
        <v/>
      </c>
      <c r="L256" s="49" t="str">
        <f t="shared" si="27"/>
        <v/>
      </c>
      <c r="M256" s="48" t="str">
        <f>IF($B256="","",Mau15a!F259)</f>
        <v/>
      </c>
      <c r="N256" s="51" t="str">
        <f>IF($B256="","",COUNTIF(BOM!$A$5:$A$1004,B256))</f>
        <v/>
      </c>
      <c r="O256" s="49" t="str">
        <f t="shared" si="28"/>
        <v/>
      </c>
      <c r="P256" s="51" t="str">
        <f>IF($B256="","",COUNTIFS(KT_nguoc_theo_SP!$B$5:$B$1004,B256,KT_nguoc_theo_SP!$M$5:$M$1004,"Xem xét"))</f>
        <v/>
      </c>
      <c r="Q256" s="49" t="str">
        <f t="shared" si="29"/>
        <v/>
      </c>
      <c r="R256" s="49" t="str">
        <f t="shared" si="30"/>
        <v/>
      </c>
      <c r="S256" s="31" t="str">
        <f t="shared" si="31"/>
        <v/>
      </c>
    </row>
    <row r="257" spans="1:19" x14ac:dyDescent="0.25">
      <c r="A257" s="36" t="str">
        <f>IF(B257="","",250)</f>
        <v/>
      </c>
      <c r="B257" s="36" t="str">
        <f>Mau15a!B260&amp;""</f>
        <v/>
      </c>
      <c r="C257" s="47" t="str">
        <f>IF(B257="","",Mau15a!C260)</f>
        <v/>
      </c>
      <c r="D257" s="36" t="str">
        <f>IF(B257="","",Mau15a!D260)</f>
        <v/>
      </c>
      <c r="E257" s="48" t="str">
        <f>IF($B257="","",Mau15a!P260)</f>
        <v/>
      </c>
      <c r="F257" s="48" t="str">
        <f>IF($B257="","",Mau15a!I260)</f>
        <v/>
      </c>
      <c r="G257" s="48" t="str">
        <f t="shared" si="24"/>
        <v/>
      </c>
      <c r="H257" s="49" t="str">
        <f t="shared" si="25"/>
        <v/>
      </c>
      <c r="I257" s="48" t="str">
        <f>IF($B257="","",Mau15a!K260)</f>
        <v/>
      </c>
      <c r="J257" s="48" t="str">
        <f>IF($B257="","",Mau15a!M260)</f>
        <v/>
      </c>
      <c r="K257" s="48" t="str">
        <f t="shared" si="26"/>
        <v/>
      </c>
      <c r="L257" s="49" t="str">
        <f t="shared" si="27"/>
        <v/>
      </c>
      <c r="M257" s="48" t="str">
        <f>IF($B257="","",Mau15a!F260)</f>
        <v/>
      </c>
      <c r="N257" s="51" t="str">
        <f>IF($B257="","",COUNTIF(BOM!$A$5:$A$1004,B257))</f>
        <v/>
      </c>
      <c r="O257" s="49" t="str">
        <f t="shared" si="28"/>
        <v/>
      </c>
      <c r="P257" s="51" t="str">
        <f>IF($B257="","",COUNTIFS(KT_nguoc_theo_SP!$B$5:$B$1004,B257,KT_nguoc_theo_SP!$M$5:$M$1004,"Xem xét"))</f>
        <v/>
      </c>
      <c r="Q257" s="49" t="str">
        <f t="shared" si="29"/>
        <v/>
      </c>
      <c r="R257" s="49" t="str">
        <f t="shared" si="30"/>
        <v/>
      </c>
      <c r="S257" s="31" t="str">
        <f t="shared" si="31"/>
        <v/>
      </c>
    </row>
    <row r="258" spans="1:19" x14ac:dyDescent="0.25">
      <c r="A258" s="36" t="str">
        <f>IF(B258="","",251)</f>
        <v/>
      </c>
      <c r="B258" s="36" t="str">
        <f>Mau15a!B261&amp;""</f>
        <v/>
      </c>
      <c r="C258" s="47" t="str">
        <f>IF(B258="","",Mau15a!C261)</f>
        <v/>
      </c>
      <c r="D258" s="36" t="str">
        <f>IF(B258="","",Mau15a!D261)</f>
        <v/>
      </c>
      <c r="E258" s="48" t="str">
        <f>IF($B258="","",Mau15a!P261)</f>
        <v/>
      </c>
      <c r="F258" s="48" t="str">
        <f>IF($B258="","",Mau15a!I261)</f>
        <v/>
      </c>
      <c r="G258" s="48" t="str">
        <f t="shared" si="24"/>
        <v/>
      </c>
      <c r="H258" s="49" t="str">
        <f t="shared" si="25"/>
        <v/>
      </c>
      <c r="I258" s="48" t="str">
        <f>IF($B258="","",Mau15a!K261)</f>
        <v/>
      </c>
      <c r="J258" s="48" t="str">
        <f>IF($B258="","",Mau15a!M261)</f>
        <v/>
      </c>
      <c r="K258" s="48" t="str">
        <f t="shared" si="26"/>
        <v/>
      </c>
      <c r="L258" s="49" t="str">
        <f t="shared" si="27"/>
        <v/>
      </c>
      <c r="M258" s="48" t="str">
        <f>IF($B258="","",Mau15a!F261)</f>
        <v/>
      </c>
      <c r="N258" s="51" t="str">
        <f>IF($B258="","",COUNTIF(BOM!$A$5:$A$1004,B258))</f>
        <v/>
      </c>
      <c r="O258" s="49" t="str">
        <f t="shared" si="28"/>
        <v/>
      </c>
      <c r="P258" s="51" t="str">
        <f>IF($B258="","",COUNTIFS(KT_nguoc_theo_SP!$B$5:$B$1004,B258,KT_nguoc_theo_SP!$M$5:$M$1004,"Xem xét"))</f>
        <v/>
      </c>
      <c r="Q258" s="49" t="str">
        <f t="shared" si="29"/>
        <v/>
      </c>
      <c r="R258" s="49" t="str">
        <f t="shared" si="30"/>
        <v/>
      </c>
      <c r="S258" s="31" t="str">
        <f t="shared" si="31"/>
        <v/>
      </c>
    </row>
    <row r="259" spans="1:19" x14ac:dyDescent="0.25">
      <c r="A259" s="36" t="str">
        <f>IF(B259="","",252)</f>
        <v/>
      </c>
      <c r="B259" s="36" t="str">
        <f>Mau15a!B262&amp;""</f>
        <v/>
      </c>
      <c r="C259" s="47" t="str">
        <f>IF(B259="","",Mau15a!C262)</f>
        <v/>
      </c>
      <c r="D259" s="36" t="str">
        <f>IF(B259="","",Mau15a!D262)</f>
        <v/>
      </c>
      <c r="E259" s="48" t="str">
        <f>IF($B259="","",Mau15a!P262)</f>
        <v/>
      </c>
      <c r="F259" s="48" t="str">
        <f>IF($B259="","",Mau15a!I262)</f>
        <v/>
      </c>
      <c r="G259" s="48" t="str">
        <f t="shared" si="24"/>
        <v/>
      </c>
      <c r="H259" s="49" t="str">
        <f t="shared" si="25"/>
        <v/>
      </c>
      <c r="I259" s="48" t="str">
        <f>IF($B259="","",Mau15a!K262)</f>
        <v/>
      </c>
      <c r="J259" s="48" t="str">
        <f>IF($B259="","",Mau15a!M262)</f>
        <v/>
      </c>
      <c r="K259" s="48" t="str">
        <f t="shared" si="26"/>
        <v/>
      </c>
      <c r="L259" s="49" t="str">
        <f t="shared" si="27"/>
        <v/>
      </c>
      <c r="M259" s="48" t="str">
        <f>IF($B259="","",Mau15a!F262)</f>
        <v/>
      </c>
      <c r="N259" s="51" t="str">
        <f>IF($B259="","",COUNTIF(BOM!$A$5:$A$1004,B259))</f>
        <v/>
      </c>
      <c r="O259" s="49" t="str">
        <f t="shared" si="28"/>
        <v/>
      </c>
      <c r="P259" s="51" t="str">
        <f>IF($B259="","",COUNTIFS(KT_nguoc_theo_SP!$B$5:$B$1004,B259,KT_nguoc_theo_SP!$M$5:$M$1004,"Xem xét"))</f>
        <v/>
      </c>
      <c r="Q259" s="49" t="str">
        <f t="shared" si="29"/>
        <v/>
      </c>
      <c r="R259" s="49" t="str">
        <f t="shared" si="30"/>
        <v/>
      </c>
      <c r="S259" s="31" t="str">
        <f t="shared" si="31"/>
        <v/>
      </c>
    </row>
    <row r="260" spans="1:19" x14ac:dyDescent="0.25">
      <c r="A260" s="36" t="str">
        <f>IF(B260="","",253)</f>
        <v/>
      </c>
      <c r="B260" s="36" t="str">
        <f>Mau15a!B263&amp;""</f>
        <v/>
      </c>
      <c r="C260" s="47" t="str">
        <f>IF(B260="","",Mau15a!C263)</f>
        <v/>
      </c>
      <c r="D260" s="36" t="str">
        <f>IF(B260="","",Mau15a!D263)</f>
        <v/>
      </c>
      <c r="E260" s="48" t="str">
        <f>IF($B260="","",Mau15a!P263)</f>
        <v/>
      </c>
      <c r="F260" s="48" t="str">
        <f>IF($B260="","",Mau15a!I263)</f>
        <v/>
      </c>
      <c r="G260" s="48" t="str">
        <f t="shared" si="24"/>
        <v/>
      </c>
      <c r="H260" s="49" t="str">
        <f t="shared" si="25"/>
        <v/>
      </c>
      <c r="I260" s="48" t="str">
        <f>IF($B260="","",Mau15a!K263)</f>
        <v/>
      </c>
      <c r="J260" s="48" t="str">
        <f>IF($B260="","",Mau15a!M263)</f>
        <v/>
      </c>
      <c r="K260" s="48" t="str">
        <f t="shared" si="26"/>
        <v/>
      </c>
      <c r="L260" s="49" t="str">
        <f t="shared" si="27"/>
        <v/>
      </c>
      <c r="M260" s="48" t="str">
        <f>IF($B260="","",Mau15a!F263)</f>
        <v/>
      </c>
      <c r="N260" s="51" t="str">
        <f>IF($B260="","",COUNTIF(BOM!$A$5:$A$1004,B260))</f>
        <v/>
      </c>
      <c r="O260" s="49" t="str">
        <f t="shared" si="28"/>
        <v/>
      </c>
      <c r="P260" s="51" t="str">
        <f>IF($B260="","",COUNTIFS(KT_nguoc_theo_SP!$B$5:$B$1004,B260,KT_nguoc_theo_SP!$M$5:$M$1004,"Xem xét"))</f>
        <v/>
      </c>
      <c r="Q260" s="49" t="str">
        <f t="shared" si="29"/>
        <v/>
      </c>
      <c r="R260" s="49" t="str">
        <f t="shared" si="30"/>
        <v/>
      </c>
      <c r="S260" s="31" t="str">
        <f t="shared" si="31"/>
        <v/>
      </c>
    </row>
    <row r="261" spans="1:19" x14ac:dyDescent="0.25">
      <c r="A261" s="36" t="str">
        <f>IF(B261="","",254)</f>
        <v/>
      </c>
      <c r="B261" s="36" t="str">
        <f>Mau15a!B264&amp;""</f>
        <v/>
      </c>
      <c r="C261" s="47" t="str">
        <f>IF(B261="","",Mau15a!C264)</f>
        <v/>
      </c>
      <c r="D261" s="36" t="str">
        <f>IF(B261="","",Mau15a!D264)</f>
        <v/>
      </c>
      <c r="E261" s="48" t="str">
        <f>IF($B261="","",Mau15a!P264)</f>
        <v/>
      </c>
      <c r="F261" s="48" t="str">
        <f>IF($B261="","",Mau15a!I264)</f>
        <v/>
      </c>
      <c r="G261" s="48" t="str">
        <f t="shared" si="24"/>
        <v/>
      </c>
      <c r="H261" s="49" t="str">
        <f t="shared" si="25"/>
        <v/>
      </c>
      <c r="I261" s="48" t="str">
        <f>IF($B261="","",Mau15a!K264)</f>
        <v/>
      </c>
      <c r="J261" s="48" t="str">
        <f>IF($B261="","",Mau15a!M264)</f>
        <v/>
      </c>
      <c r="K261" s="48" t="str">
        <f t="shared" si="26"/>
        <v/>
      </c>
      <c r="L261" s="49" t="str">
        <f t="shared" si="27"/>
        <v/>
      </c>
      <c r="M261" s="48" t="str">
        <f>IF($B261="","",Mau15a!F264)</f>
        <v/>
      </c>
      <c r="N261" s="51" t="str">
        <f>IF($B261="","",COUNTIF(BOM!$A$5:$A$1004,B261))</f>
        <v/>
      </c>
      <c r="O261" s="49" t="str">
        <f t="shared" si="28"/>
        <v/>
      </c>
      <c r="P261" s="51" t="str">
        <f>IF($B261="","",COUNTIFS(KT_nguoc_theo_SP!$B$5:$B$1004,B261,KT_nguoc_theo_SP!$M$5:$M$1004,"Xem xét"))</f>
        <v/>
      </c>
      <c r="Q261" s="49" t="str">
        <f t="shared" si="29"/>
        <v/>
      </c>
      <c r="R261" s="49" t="str">
        <f t="shared" si="30"/>
        <v/>
      </c>
      <c r="S261" s="31" t="str">
        <f t="shared" si="31"/>
        <v/>
      </c>
    </row>
    <row r="262" spans="1:19" x14ac:dyDescent="0.25">
      <c r="A262" s="36" t="str">
        <f>IF(B262="","",255)</f>
        <v/>
      </c>
      <c r="B262" s="36" t="str">
        <f>Mau15a!B265&amp;""</f>
        <v/>
      </c>
      <c r="C262" s="47" t="str">
        <f>IF(B262="","",Mau15a!C265)</f>
        <v/>
      </c>
      <c r="D262" s="36" t="str">
        <f>IF(B262="","",Mau15a!D265)</f>
        <v/>
      </c>
      <c r="E262" s="48" t="str">
        <f>IF($B262="","",Mau15a!P265)</f>
        <v/>
      </c>
      <c r="F262" s="48" t="str">
        <f>IF($B262="","",Mau15a!I265)</f>
        <v/>
      </c>
      <c r="G262" s="48" t="str">
        <f t="shared" si="24"/>
        <v/>
      </c>
      <c r="H262" s="49" t="str">
        <f t="shared" si="25"/>
        <v/>
      </c>
      <c r="I262" s="48" t="str">
        <f>IF($B262="","",Mau15a!K265)</f>
        <v/>
      </c>
      <c r="J262" s="48" t="str">
        <f>IF($B262="","",Mau15a!M265)</f>
        <v/>
      </c>
      <c r="K262" s="48" t="str">
        <f t="shared" si="26"/>
        <v/>
      </c>
      <c r="L262" s="49" t="str">
        <f t="shared" si="27"/>
        <v/>
      </c>
      <c r="M262" s="48" t="str">
        <f>IF($B262="","",Mau15a!F265)</f>
        <v/>
      </c>
      <c r="N262" s="51" t="str">
        <f>IF($B262="","",COUNTIF(BOM!$A$5:$A$1004,B262))</f>
        <v/>
      </c>
      <c r="O262" s="49" t="str">
        <f t="shared" si="28"/>
        <v/>
      </c>
      <c r="P262" s="51" t="str">
        <f>IF($B262="","",COUNTIFS(KT_nguoc_theo_SP!$B$5:$B$1004,B262,KT_nguoc_theo_SP!$M$5:$M$1004,"Xem xét"))</f>
        <v/>
      </c>
      <c r="Q262" s="49" t="str">
        <f t="shared" si="29"/>
        <v/>
      </c>
      <c r="R262" s="49" t="str">
        <f t="shared" si="30"/>
        <v/>
      </c>
      <c r="S262" s="31" t="str">
        <f t="shared" si="31"/>
        <v/>
      </c>
    </row>
    <row r="263" spans="1:19" x14ac:dyDescent="0.25">
      <c r="A263" s="36" t="str">
        <f>IF(B263="","",256)</f>
        <v/>
      </c>
      <c r="B263" s="36" t="str">
        <f>Mau15a!B266&amp;""</f>
        <v/>
      </c>
      <c r="C263" s="47" t="str">
        <f>IF(B263="","",Mau15a!C266)</f>
        <v/>
      </c>
      <c r="D263" s="36" t="str">
        <f>IF(B263="","",Mau15a!D266)</f>
        <v/>
      </c>
      <c r="E263" s="48" t="str">
        <f>IF($B263="","",Mau15a!P266)</f>
        <v/>
      </c>
      <c r="F263" s="48" t="str">
        <f>IF($B263="","",Mau15a!I266)</f>
        <v/>
      </c>
      <c r="G263" s="48" t="str">
        <f t="shared" si="24"/>
        <v/>
      </c>
      <c r="H263" s="49" t="str">
        <f t="shared" si="25"/>
        <v/>
      </c>
      <c r="I263" s="48" t="str">
        <f>IF($B263="","",Mau15a!K266)</f>
        <v/>
      </c>
      <c r="J263" s="48" t="str">
        <f>IF($B263="","",Mau15a!M266)</f>
        <v/>
      </c>
      <c r="K263" s="48" t="str">
        <f t="shared" si="26"/>
        <v/>
      </c>
      <c r="L263" s="49" t="str">
        <f t="shared" si="27"/>
        <v/>
      </c>
      <c r="M263" s="48" t="str">
        <f>IF($B263="","",Mau15a!F266)</f>
        <v/>
      </c>
      <c r="N263" s="51" t="str">
        <f>IF($B263="","",COUNTIF(BOM!$A$5:$A$1004,B263))</f>
        <v/>
      </c>
      <c r="O263" s="49" t="str">
        <f t="shared" si="28"/>
        <v/>
      </c>
      <c r="P263" s="51" t="str">
        <f>IF($B263="","",COUNTIFS(KT_nguoc_theo_SP!$B$5:$B$1004,B263,KT_nguoc_theo_SP!$M$5:$M$1004,"Xem xét"))</f>
        <v/>
      </c>
      <c r="Q263" s="49" t="str">
        <f t="shared" si="29"/>
        <v/>
      </c>
      <c r="R263" s="49" t="str">
        <f t="shared" si="30"/>
        <v/>
      </c>
      <c r="S263" s="31" t="str">
        <f t="shared" si="31"/>
        <v/>
      </c>
    </row>
    <row r="264" spans="1:19" x14ac:dyDescent="0.25">
      <c r="A264" s="36" t="str">
        <f>IF(B264="","",257)</f>
        <v/>
      </c>
      <c r="B264" s="36" t="str">
        <f>Mau15a!B267&amp;""</f>
        <v/>
      </c>
      <c r="C264" s="47" t="str">
        <f>IF(B264="","",Mau15a!C267)</f>
        <v/>
      </c>
      <c r="D264" s="36" t="str">
        <f>IF(B264="","",Mau15a!D267)</f>
        <v/>
      </c>
      <c r="E264" s="48" t="str">
        <f>IF($B264="","",Mau15a!P267)</f>
        <v/>
      </c>
      <c r="F264" s="48" t="str">
        <f>IF($B264="","",Mau15a!I267)</f>
        <v/>
      </c>
      <c r="G264" s="48" t="str">
        <f t="shared" ref="G264:G327" si="32">IF($B264="","",N(E264)-N(F264))</f>
        <v/>
      </c>
      <c r="H264" s="49" t="str">
        <f t="shared" ref="H264:H327" si="33">IF($B264="","",IF(ABS(G264)&lt;0.000001,"Khớp","Giải trình"))</f>
        <v/>
      </c>
      <c r="I264" s="48" t="str">
        <f>IF($B264="","",Mau15a!K267)</f>
        <v/>
      </c>
      <c r="J264" s="48" t="str">
        <f>IF($B264="","",Mau15a!M267)</f>
        <v/>
      </c>
      <c r="K264" s="48" t="str">
        <f t="shared" ref="K264:K327" si="34">IF($B264="","",N(I264)-N(J264))</f>
        <v/>
      </c>
      <c r="L264" s="49" t="str">
        <f t="shared" ref="L264:L327" si="35">IF($B264="","",IF(ABS(K264)&lt;0.000001,"Khớp","Lỗi"))</f>
        <v/>
      </c>
      <c r="M264" s="48" t="str">
        <f>IF($B264="","",Mau15a!F267)</f>
        <v/>
      </c>
      <c r="N264" s="51" t="str">
        <f>IF($B264="","",COUNTIF(BOM!$A$5:$A$1004,B264))</f>
        <v/>
      </c>
      <c r="O264" s="49" t="str">
        <f t="shared" ref="O264:O327" si="36">IF($B264="","",IF(AND(N(M264)&gt;0,N264=0),"Lỗi","Khớp"))</f>
        <v/>
      </c>
      <c r="P264" s="51" t="str">
        <f>IF($B264="","",COUNTIFS(KT_nguoc_theo_SP!$B$5:$B$1004,B264,KT_nguoc_theo_SP!$M$5:$M$1004,"Xem xét"))</f>
        <v/>
      </c>
      <c r="Q264" s="49" t="str">
        <f t="shared" ref="Q264:Q327" si="37">IF($B264="","",IF(P264&gt;0,"Cảnh báo","Khớp"))</f>
        <v/>
      </c>
      <c r="R264" s="49" t="str">
        <f t="shared" ref="R264:R327" si="38">IF(B264="","",IF(COUNTIF(H264:Q264,"Lỗi")&gt;0,"Lỗi",IF(COUNTIF(H264:Q264,"Cảnh báo")&gt;0,"Cảnh báo",IF(COUNTIF(H264:Q264,"Giải trình")&gt;0,"Giải trình","Khớp"))))</f>
        <v/>
      </c>
      <c r="S264" s="31" t="str">
        <f t="shared" ref="S264:S307" si="39">IF(B264="","",IF(G264&gt;0,"Xuất khẩu: tờ khai nhiều hơn xuất kho "&amp;TEXT(G264,IF(MOD(G264,1)=0,"#,##0","#,##0.######"))&amp;" – hàng đã thông quan chưa xuất kho, ghi số tờ khai tại Ghi chú khác Mẫu 15a; ","")&amp;IF(G264&lt;0,"Xuất khẩu: xuất kho nhiều hơn tờ khai "&amp;TEXT(ABS(G264),IF(MOD(ABS(G264),1)=0,"#,##0","#,##0.######"))&amp;" – xuất kho chưa đăng ký tờ khai (ghi cột 10) hoặc tờ khai kỳ trước – rà soát; ","")&amp;IF(N(K264)&lt;&gt;0,"Tồn cuối lệch kiểm kê "&amp;TEXT(K264,IF(MOD(K264,1)=0,"#,##0","#,##0.######"))&amp;" – rà soát cột (5)–(10) hoặc số kiểm kê; ","")&amp;IF(O264="Lỗi","Có thành phẩm nhập kho nhưng chưa khai định mức trên Mẫu 16 (sheet BOM); ","")&amp;IF(Q264="Cảnh báo",P264&amp;" dòng định mức lệch BOM/kiểm tra ngược quá ngưỡng – xem sheet KT_nguoc_theo_SP; ",""))</f>
        <v/>
      </c>
    </row>
    <row r="265" spans="1:19" x14ac:dyDescent="0.25">
      <c r="A265" s="36" t="str">
        <f>IF(B265="","",258)</f>
        <v/>
      </c>
      <c r="B265" s="36" t="str">
        <f>Mau15a!B268&amp;""</f>
        <v/>
      </c>
      <c r="C265" s="47" t="str">
        <f>IF(B265="","",Mau15a!C268)</f>
        <v/>
      </c>
      <c r="D265" s="36" t="str">
        <f>IF(B265="","",Mau15a!D268)</f>
        <v/>
      </c>
      <c r="E265" s="48" t="str">
        <f>IF($B265="","",Mau15a!P268)</f>
        <v/>
      </c>
      <c r="F265" s="48" t="str">
        <f>IF($B265="","",Mau15a!I268)</f>
        <v/>
      </c>
      <c r="G265" s="48" t="str">
        <f t="shared" si="32"/>
        <v/>
      </c>
      <c r="H265" s="49" t="str">
        <f t="shared" si="33"/>
        <v/>
      </c>
      <c r="I265" s="48" t="str">
        <f>IF($B265="","",Mau15a!K268)</f>
        <v/>
      </c>
      <c r="J265" s="48" t="str">
        <f>IF($B265="","",Mau15a!M268)</f>
        <v/>
      </c>
      <c r="K265" s="48" t="str">
        <f t="shared" si="34"/>
        <v/>
      </c>
      <c r="L265" s="49" t="str">
        <f t="shared" si="35"/>
        <v/>
      </c>
      <c r="M265" s="48" t="str">
        <f>IF($B265="","",Mau15a!F268)</f>
        <v/>
      </c>
      <c r="N265" s="51" t="str">
        <f>IF($B265="","",COUNTIF(BOM!$A$5:$A$1004,B265))</f>
        <v/>
      </c>
      <c r="O265" s="49" t="str">
        <f t="shared" si="36"/>
        <v/>
      </c>
      <c r="P265" s="51" t="str">
        <f>IF($B265="","",COUNTIFS(KT_nguoc_theo_SP!$B$5:$B$1004,B265,KT_nguoc_theo_SP!$M$5:$M$1004,"Xem xét"))</f>
        <v/>
      </c>
      <c r="Q265" s="49" t="str">
        <f t="shared" si="37"/>
        <v/>
      </c>
      <c r="R265" s="49" t="str">
        <f t="shared" si="38"/>
        <v/>
      </c>
      <c r="S265" s="31" t="str">
        <f t="shared" si="39"/>
        <v/>
      </c>
    </row>
    <row r="266" spans="1:19" x14ac:dyDescent="0.25">
      <c r="A266" s="36" t="str">
        <f>IF(B266="","",259)</f>
        <v/>
      </c>
      <c r="B266" s="36" t="str">
        <f>Mau15a!B269&amp;""</f>
        <v/>
      </c>
      <c r="C266" s="47" t="str">
        <f>IF(B266="","",Mau15a!C269)</f>
        <v/>
      </c>
      <c r="D266" s="36" t="str">
        <f>IF(B266="","",Mau15a!D269)</f>
        <v/>
      </c>
      <c r="E266" s="48" t="str">
        <f>IF($B266="","",Mau15a!P269)</f>
        <v/>
      </c>
      <c r="F266" s="48" t="str">
        <f>IF($B266="","",Mau15a!I269)</f>
        <v/>
      </c>
      <c r="G266" s="48" t="str">
        <f t="shared" si="32"/>
        <v/>
      </c>
      <c r="H266" s="49" t="str">
        <f t="shared" si="33"/>
        <v/>
      </c>
      <c r="I266" s="48" t="str">
        <f>IF($B266="","",Mau15a!K269)</f>
        <v/>
      </c>
      <c r="J266" s="48" t="str">
        <f>IF($B266="","",Mau15a!M269)</f>
        <v/>
      </c>
      <c r="K266" s="48" t="str">
        <f t="shared" si="34"/>
        <v/>
      </c>
      <c r="L266" s="49" t="str">
        <f t="shared" si="35"/>
        <v/>
      </c>
      <c r="M266" s="48" t="str">
        <f>IF($B266="","",Mau15a!F269)</f>
        <v/>
      </c>
      <c r="N266" s="51" t="str">
        <f>IF($B266="","",COUNTIF(BOM!$A$5:$A$1004,B266))</f>
        <v/>
      </c>
      <c r="O266" s="49" t="str">
        <f t="shared" si="36"/>
        <v/>
      </c>
      <c r="P266" s="51" t="str">
        <f>IF($B266="","",COUNTIFS(KT_nguoc_theo_SP!$B$5:$B$1004,B266,KT_nguoc_theo_SP!$M$5:$M$1004,"Xem xét"))</f>
        <v/>
      </c>
      <c r="Q266" s="49" t="str">
        <f t="shared" si="37"/>
        <v/>
      </c>
      <c r="R266" s="49" t="str">
        <f t="shared" si="38"/>
        <v/>
      </c>
      <c r="S266" s="31" t="str">
        <f t="shared" si="39"/>
        <v/>
      </c>
    </row>
    <row r="267" spans="1:19" x14ac:dyDescent="0.25">
      <c r="A267" s="36" t="str">
        <f>IF(B267="","",260)</f>
        <v/>
      </c>
      <c r="B267" s="36" t="str">
        <f>Mau15a!B270&amp;""</f>
        <v/>
      </c>
      <c r="C267" s="47" t="str">
        <f>IF(B267="","",Mau15a!C270)</f>
        <v/>
      </c>
      <c r="D267" s="36" t="str">
        <f>IF(B267="","",Mau15a!D270)</f>
        <v/>
      </c>
      <c r="E267" s="48" t="str">
        <f>IF($B267="","",Mau15a!P270)</f>
        <v/>
      </c>
      <c r="F267" s="48" t="str">
        <f>IF($B267="","",Mau15a!I270)</f>
        <v/>
      </c>
      <c r="G267" s="48" t="str">
        <f t="shared" si="32"/>
        <v/>
      </c>
      <c r="H267" s="49" t="str">
        <f t="shared" si="33"/>
        <v/>
      </c>
      <c r="I267" s="48" t="str">
        <f>IF($B267="","",Mau15a!K270)</f>
        <v/>
      </c>
      <c r="J267" s="48" t="str">
        <f>IF($B267="","",Mau15a!M270)</f>
        <v/>
      </c>
      <c r="K267" s="48" t="str">
        <f t="shared" si="34"/>
        <v/>
      </c>
      <c r="L267" s="49" t="str">
        <f t="shared" si="35"/>
        <v/>
      </c>
      <c r="M267" s="48" t="str">
        <f>IF($B267="","",Mau15a!F270)</f>
        <v/>
      </c>
      <c r="N267" s="51" t="str">
        <f>IF($B267="","",COUNTIF(BOM!$A$5:$A$1004,B267))</f>
        <v/>
      </c>
      <c r="O267" s="49" t="str">
        <f t="shared" si="36"/>
        <v/>
      </c>
      <c r="P267" s="51" t="str">
        <f>IF($B267="","",COUNTIFS(KT_nguoc_theo_SP!$B$5:$B$1004,B267,KT_nguoc_theo_SP!$M$5:$M$1004,"Xem xét"))</f>
        <v/>
      </c>
      <c r="Q267" s="49" t="str">
        <f t="shared" si="37"/>
        <v/>
      </c>
      <c r="R267" s="49" t="str">
        <f t="shared" si="38"/>
        <v/>
      </c>
      <c r="S267" s="31" t="str">
        <f t="shared" si="39"/>
        <v/>
      </c>
    </row>
    <row r="268" spans="1:19" x14ac:dyDescent="0.25">
      <c r="A268" s="36" t="str">
        <f>IF(B268="","",261)</f>
        <v/>
      </c>
      <c r="B268" s="36" t="str">
        <f>Mau15a!B271&amp;""</f>
        <v/>
      </c>
      <c r="C268" s="47" t="str">
        <f>IF(B268="","",Mau15a!C271)</f>
        <v/>
      </c>
      <c r="D268" s="36" t="str">
        <f>IF(B268="","",Mau15a!D271)</f>
        <v/>
      </c>
      <c r="E268" s="48" t="str">
        <f>IF($B268="","",Mau15a!P271)</f>
        <v/>
      </c>
      <c r="F268" s="48" t="str">
        <f>IF($B268="","",Mau15a!I271)</f>
        <v/>
      </c>
      <c r="G268" s="48" t="str">
        <f t="shared" si="32"/>
        <v/>
      </c>
      <c r="H268" s="49" t="str">
        <f t="shared" si="33"/>
        <v/>
      </c>
      <c r="I268" s="48" t="str">
        <f>IF($B268="","",Mau15a!K271)</f>
        <v/>
      </c>
      <c r="J268" s="48" t="str">
        <f>IF($B268="","",Mau15a!M271)</f>
        <v/>
      </c>
      <c r="K268" s="48" t="str">
        <f t="shared" si="34"/>
        <v/>
      </c>
      <c r="L268" s="49" t="str">
        <f t="shared" si="35"/>
        <v/>
      </c>
      <c r="M268" s="48" t="str">
        <f>IF($B268="","",Mau15a!F271)</f>
        <v/>
      </c>
      <c r="N268" s="51" t="str">
        <f>IF($B268="","",COUNTIF(BOM!$A$5:$A$1004,B268))</f>
        <v/>
      </c>
      <c r="O268" s="49" t="str">
        <f t="shared" si="36"/>
        <v/>
      </c>
      <c r="P268" s="51" t="str">
        <f>IF($B268="","",COUNTIFS(KT_nguoc_theo_SP!$B$5:$B$1004,B268,KT_nguoc_theo_SP!$M$5:$M$1004,"Xem xét"))</f>
        <v/>
      </c>
      <c r="Q268" s="49" t="str">
        <f t="shared" si="37"/>
        <v/>
      </c>
      <c r="R268" s="49" t="str">
        <f t="shared" si="38"/>
        <v/>
      </c>
      <c r="S268" s="31" t="str">
        <f t="shared" si="39"/>
        <v/>
      </c>
    </row>
    <row r="269" spans="1:19" x14ac:dyDescent="0.25">
      <c r="A269" s="36" t="str">
        <f>IF(B269="","",262)</f>
        <v/>
      </c>
      <c r="B269" s="36" t="str">
        <f>Mau15a!B272&amp;""</f>
        <v/>
      </c>
      <c r="C269" s="47" t="str">
        <f>IF(B269="","",Mau15a!C272)</f>
        <v/>
      </c>
      <c r="D269" s="36" t="str">
        <f>IF(B269="","",Mau15a!D272)</f>
        <v/>
      </c>
      <c r="E269" s="48" t="str">
        <f>IF($B269="","",Mau15a!P272)</f>
        <v/>
      </c>
      <c r="F269" s="48" t="str">
        <f>IF($B269="","",Mau15a!I272)</f>
        <v/>
      </c>
      <c r="G269" s="48" t="str">
        <f t="shared" si="32"/>
        <v/>
      </c>
      <c r="H269" s="49" t="str">
        <f t="shared" si="33"/>
        <v/>
      </c>
      <c r="I269" s="48" t="str">
        <f>IF($B269="","",Mau15a!K272)</f>
        <v/>
      </c>
      <c r="J269" s="48" t="str">
        <f>IF($B269="","",Mau15a!M272)</f>
        <v/>
      </c>
      <c r="K269" s="48" t="str">
        <f t="shared" si="34"/>
        <v/>
      </c>
      <c r="L269" s="49" t="str">
        <f t="shared" si="35"/>
        <v/>
      </c>
      <c r="M269" s="48" t="str">
        <f>IF($B269="","",Mau15a!F272)</f>
        <v/>
      </c>
      <c r="N269" s="51" t="str">
        <f>IF($B269="","",COUNTIF(BOM!$A$5:$A$1004,B269))</f>
        <v/>
      </c>
      <c r="O269" s="49" t="str">
        <f t="shared" si="36"/>
        <v/>
      </c>
      <c r="P269" s="51" t="str">
        <f>IF($B269="","",COUNTIFS(KT_nguoc_theo_SP!$B$5:$B$1004,B269,KT_nguoc_theo_SP!$M$5:$M$1004,"Xem xét"))</f>
        <v/>
      </c>
      <c r="Q269" s="49" t="str">
        <f t="shared" si="37"/>
        <v/>
      </c>
      <c r="R269" s="49" t="str">
        <f t="shared" si="38"/>
        <v/>
      </c>
      <c r="S269" s="31" t="str">
        <f t="shared" si="39"/>
        <v/>
      </c>
    </row>
    <row r="270" spans="1:19" x14ac:dyDescent="0.25">
      <c r="A270" s="36" t="str">
        <f>IF(B270="","",263)</f>
        <v/>
      </c>
      <c r="B270" s="36" t="str">
        <f>Mau15a!B273&amp;""</f>
        <v/>
      </c>
      <c r="C270" s="47" t="str">
        <f>IF(B270="","",Mau15a!C273)</f>
        <v/>
      </c>
      <c r="D270" s="36" t="str">
        <f>IF(B270="","",Mau15a!D273)</f>
        <v/>
      </c>
      <c r="E270" s="48" t="str">
        <f>IF($B270="","",Mau15a!P273)</f>
        <v/>
      </c>
      <c r="F270" s="48" t="str">
        <f>IF($B270="","",Mau15a!I273)</f>
        <v/>
      </c>
      <c r="G270" s="48" t="str">
        <f t="shared" si="32"/>
        <v/>
      </c>
      <c r="H270" s="49" t="str">
        <f t="shared" si="33"/>
        <v/>
      </c>
      <c r="I270" s="48" t="str">
        <f>IF($B270="","",Mau15a!K273)</f>
        <v/>
      </c>
      <c r="J270" s="48" t="str">
        <f>IF($B270="","",Mau15a!M273)</f>
        <v/>
      </c>
      <c r="K270" s="48" t="str">
        <f t="shared" si="34"/>
        <v/>
      </c>
      <c r="L270" s="49" t="str">
        <f t="shared" si="35"/>
        <v/>
      </c>
      <c r="M270" s="48" t="str">
        <f>IF($B270="","",Mau15a!F273)</f>
        <v/>
      </c>
      <c r="N270" s="51" t="str">
        <f>IF($B270="","",COUNTIF(BOM!$A$5:$A$1004,B270))</f>
        <v/>
      </c>
      <c r="O270" s="49" t="str">
        <f t="shared" si="36"/>
        <v/>
      </c>
      <c r="P270" s="51" t="str">
        <f>IF($B270="","",COUNTIFS(KT_nguoc_theo_SP!$B$5:$B$1004,B270,KT_nguoc_theo_SP!$M$5:$M$1004,"Xem xét"))</f>
        <v/>
      </c>
      <c r="Q270" s="49" t="str">
        <f t="shared" si="37"/>
        <v/>
      </c>
      <c r="R270" s="49" t="str">
        <f t="shared" si="38"/>
        <v/>
      </c>
      <c r="S270" s="31" t="str">
        <f t="shared" si="39"/>
        <v/>
      </c>
    </row>
    <row r="271" spans="1:19" x14ac:dyDescent="0.25">
      <c r="A271" s="36" t="str">
        <f>IF(B271="","",264)</f>
        <v/>
      </c>
      <c r="B271" s="36" t="str">
        <f>Mau15a!B274&amp;""</f>
        <v/>
      </c>
      <c r="C271" s="47" t="str">
        <f>IF(B271="","",Mau15a!C274)</f>
        <v/>
      </c>
      <c r="D271" s="36" t="str">
        <f>IF(B271="","",Mau15a!D274)</f>
        <v/>
      </c>
      <c r="E271" s="48" t="str">
        <f>IF($B271="","",Mau15a!P274)</f>
        <v/>
      </c>
      <c r="F271" s="48" t="str">
        <f>IF($B271="","",Mau15a!I274)</f>
        <v/>
      </c>
      <c r="G271" s="48" t="str">
        <f t="shared" si="32"/>
        <v/>
      </c>
      <c r="H271" s="49" t="str">
        <f t="shared" si="33"/>
        <v/>
      </c>
      <c r="I271" s="48" t="str">
        <f>IF($B271="","",Mau15a!K274)</f>
        <v/>
      </c>
      <c r="J271" s="48" t="str">
        <f>IF($B271="","",Mau15a!M274)</f>
        <v/>
      </c>
      <c r="K271" s="48" t="str">
        <f t="shared" si="34"/>
        <v/>
      </c>
      <c r="L271" s="49" t="str">
        <f t="shared" si="35"/>
        <v/>
      </c>
      <c r="M271" s="48" t="str">
        <f>IF($B271="","",Mau15a!F274)</f>
        <v/>
      </c>
      <c r="N271" s="51" t="str">
        <f>IF($B271="","",COUNTIF(BOM!$A$5:$A$1004,B271))</f>
        <v/>
      </c>
      <c r="O271" s="49" t="str">
        <f t="shared" si="36"/>
        <v/>
      </c>
      <c r="P271" s="51" t="str">
        <f>IF($B271="","",COUNTIFS(KT_nguoc_theo_SP!$B$5:$B$1004,B271,KT_nguoc_theo_SP!$M$5:$M$1004,"Xem xét"))</f>
        <v/>
      </c>
      <c r="Q271" s="49" t="str">
        <f t="shared" si="37"/>
        <v/>
      </c>
      <c r="R271" s="49" t="str">
        <f t="shared" si="38"/>
        <v/>
      </c>
      <c r="S271" s="31" t="str">
        <f t="shared" si="39"/>
        <v/>
      </c>
    </row>
    <row r="272" spans="1:19" x14ac:dyDescent="0.25">
      <c r="A272" s="36" t="str">
        <f>IF(B272="","",265)</f>
        <v/>
      </c>
      <c r="B272" s="36" t="str">
        <f>Mau15a!B275&amp;""</f>
        <v/>
      </c>
      <c r="C272" s="47" t="str">
        <f>IF(B272="","",Mau15a!C275)</f>
        <v/>
      </c>
      <c r="D272" s="36" t="str">
        <f>IF(B272="","",Mau15a!D275)</f>
        <v/>
      </c>
      <c r="E272" s="48" t="str">
        <f>IF($B272="","",Mau15a!P275)</f>
        <v/>
      </c>
      <c r="F272" s="48" t="str">
        <f>IF($B272="","",Mau15a!I275)</f>
        <v/>
      </c>
      <c r="G272" s="48" t="str">
        <f t="shared" si="32"/>
        <v/>
      </c>
      <c r="H272" s="49" t="str">
        <f t="shared" si="33"/>
        <v/>
      </c>
      <c r="I272" s="48" t="str">
        <f>IF($B272="","",Mau15a!K275)</f>
        <v/>
      </c>
      <c r="J272" s="48" t="str">
        <f>IF($B272="","",Mau15a!M275)</f>
        <v/>
      </c>
      <c r="K272" s="48" t="str">
        <f t="shared" si="34"/>
        <v/>
      </c>
      <c r="L272" s="49" t="str">
        <f t="shared" si="35"/>
        <v/>
      </c>
      <c r="M272" s="48" t="str">
        <f>IF($B272="","",Mau15a!F275)</f>
        <v/>
      </c>
      <c r="N272" s="51" t="str">
        <f>IF($B272="","",COUNTIF(BOM!$A$5:$A$1004,B272))</f>
        <v/>
      </c>
      <c r="O272" s="49" t="str">
        <f t="shared" si="36"/>
        <v/>
      </c>
      <c r="P272" s="51" t="str">
        <f>IF($B272="","",COUNTIFS(KT_nguoc_theo_SP!$B$5:$B$1004,B272,KT_nguoc_theo_SP!$M$5:$M$1004,"Xem xét"))</f>
        <v/>
      </c>
      <c r="Q272" s="49" t="str">
        <f t="shared" si="37"/>
        <v/>
      </c>
      <c r="R272" s="49" t="str">
        <f t="shared" si="38"/>
        <v/>
      </c>
      <c r="S272" s="31" t="str">
        <f t="shared" si="39"/>
        <v/>
      </c>
    </row>
    <row r="273" spans="1:19" x14ac:dyDescent="0.25">
      <c r="A273" s="36" t="str">
        <f>IF(B273="","",266)</f>
        <v/>
      </c>
      <c r="B273" s="36" t="str">
        <f>Mau15a!B276&amp;""</f>
        <v/>
      </c>
      <c r="C273" s="47" t="str">
        <f>IF(B273="","",Mau15a!C276)</f>
        <v/>
      </c>
      <c r="D273" s="36" t="str">
        <f>IF(B273="","",Mau15a!D276)</f>
        <v/>
      </c>
      <c r="E273" s="48" t="str">
        <f>IF($B273="","",Mau15a!P276)</f>
        <v/>
      </c>
      <c r="F273" s="48" t="str">
        <f>IF($B273="","",Mau15a!I276)</f>
        <v/>
      </c>
      <c r="G273" s="48" t="str">
        <f t="shared" si="32"/>
        <v/>
      </c>
      <c r="H273" s="49" t="str">
        <f t="shared" si="33"/>
        <v/>
      </c>
      <c r="I273" s="48" t="str">
        <f>IF($B273="","",Mau15a!K276)</f>
        <v/>
      </c>
      <c r="J273" s="48" t="str">
        <f>IF($B273="","",Mau15a!M276)</f>
        <v/>
      </c>
      <c r="K273" s="48" t="str">
        <f t="shared" si="34"/>
        <v/>
      </c>
      <c r="L273" s="49" t="str">
        <f t="shared" si="35"/>
        <v/>
      </c>
      <c r="M273" s="48" t="str">
        <f>IF($B273="","",Mau15a!F276)</f>
        <v/>
      </c>
      <c r="N273" s="51" t="str">
        <f>IF($B273="","",COUNTIF(BOM!$A$5:$A$1004,B273))</f>
        <v/>
      </c>
      <c r="O273" s="49" t="str">
        <f t="shared" si="36"/>
        <v/>
      </c>
      <c r="P273" s="51" t="str">
        <f>IF($B273="","",COUNTIFS(KT_nguoc_theo_SP!$B$5:$B$1004,B273,KT_nguoc_theo_SP!$M$5:$M$1004,"Xem xét"))</f>
        <v/>
      </c>
      <c r="Q273" s="49" t="str">
        <f t="shared" si="37"/>
        <v/>
      </c>
      <c r="R273" s="49" t="str">
        <f t="shared" si="38"/>
        <v/>
      </c>
      <c r="S273" s="31" t="str">
        <f t="shared" si="39"/>
        <v/>
      </c>
    </row>
    <row r="274" spans="1:19" x14ac:dyDescent="0.25">
      <c r="A274" s="36" t="str">
        <f>IF(B274="","",267)</f>
        <v/>
      </c>
      <c r="B274" s="36" t="str">
        <f>Mau15a!B277&amp;""</f>
        <v/>
      </c>
      <c r="C274" s="47" t="str">
        <f>IF(B274="","",Mau15a!C277)</f>
        <v/>
      </c>
      <c r="D274" s="36" t="str">
        <f>IF(B274="","",Mau15a!D277)</f>
        <v/>
      </c>
      <c r="E274" s="48" t="str">
        <f>IF($B274="","",Mau15a!P277)</f>
        <v/>
      </c>
      <c r="F274" s="48" t="str">
        <f>IF($B274="","",Mau15a!I277)</f>
        <v/>
      </c>
      <c r="G274" s="48" t="str">
        <f t="shared" si="32"/>
        <v/>
      </c>
      <c r="H274" s="49" t="str">
        <f t="shared" si="33"/>
        <v/>
      </c>
      <c r="I274" s="48" t="str">
        <f>IF($B274="","",Mau15a!K277)</f>
        <v/>
      </c>
      <c r="J274" s="48" t="str">
        <f>IF($B274="","",Mau15a!M277)</f>
        <v/>
      </c>
      <c r="K274" s="48" t="str">
        <f t="shared" si="34"/>
        <v/>
      </c>
      <c r="L274" s="49" t="str">
        <f t="shared" si="35"/>
        <v/>
      </c>
      <c r="M274" s="48" t="str">
        <f>IF($B274="","",Mau15a!F277)</f>
        <v/>
      </c>
      <c r="N274" s="51" t="str">
        <f>IF($B274="","",COUNTIF(BOM!$A$5:$A$1004,B274))</f>
        <v/>
      </c>
      <c r="O274" s="49" t="str">
        <f t="shared" si="36"/>
        <v/>
      </c>
      <c r="P274" s="51" t="str">
        <f>IF($B274="","",COUNTIFS(KT_nguoc_theo_SP!$B$5:$B$1004,B274,KT_nguoc_theo_SP!$M$5:$M$1004,"Xem xét"))</f>
        <v/>
      </c>
      <c r="Q274" s="49" t="str">
        <f t="shared" si="37"/>
        <v/>
      </c>
      <c r="R274" s="49" t="str">
        <f t="shared" si="38"/>
        <v/>
      </c>
      <c r="S274" s="31" t="str">
        <f t="shared" si="39"/>
        <v/>
      </c>
    </row>
    <row r="275" spans="1:19" x14ac:dyDescent="0.25">
      <c r="A275" s="36" t="str">
        <f>IF(B275="","",268)</f>
        <v/>
      </c>
      <c r="B275" s="36" t="str">
        <f>Mau15a!B278&amp;""</f>
        <v/>
      </c>
      <c r="C275" s="47" t="str">
        <f>IF(B275="","",Mau15a!C278)</f>
        <v/>
      </c>
      <c r="D275" s="36" t="str">
        <f>IF(B275="","",Mau15a!D278)</f>
        <v/>
      </c>
      <c r="E275" s="48" t="str">
        <f>IF($B275="","",Mau15a!P278)</f>
        <v/>
      </c>
      <c r="F275" s="48" t="str">
        <f>IF($B275="","",Mau15a!I278)</f>
        <v/>
      </c>
      <c r="G275" s="48" t="str">
        <f t="shared" si="32"/>
        <v/>
      </c>
      <c r="H275" s="49" t="str">
        <f t="shared" si="33"/>
        <v/>
      </c>
      <c r="I275" s="48" t="str">
        <f>IF($B275="","",Mau15a!K278)</f>
        <v/>
      </c>
      <c r="J275" s="48" t="str">
        <f>IF($B275="","",Mau15a!M278)</f>
        <v/>
      </c>
      <c r="K275" s="48" t="str">
        <f t="shared" si="34"/>
        <v/>
      </c>
      <c r="L275" s="49" t="str">
        <f t="shared" si="35"/>
        <v/>
      </c>
      <c r="M275" s="48" t="str">
        <f>IF($B275="","",Mau15a!F278)</f>
        <v/>
      </c>
      <c r="N275" s="51" t="str">
        <f>IF($B275="","",COUNTIF(BOM!$A$5:$A$1004,B275))</f>
        <v/>
      </c>
      <c r="O275" s="49" t="str">
        <f t="shared" si="36"/>
        <v/>
      </c>
      <c r="P275" s="51" t="str">
        <f>IF($B275="","",COUNTIFS(KT_nguoc_theo_SP!$B$5:$B$1004,B275,KT_nguoc_theo_SP!$M$5:$M$1004,"Xem xét"))</f>
        <v/>
      </c>
      <c r="Q275" s="49" t="str">
        <f t="shared" si="37"/>
        <v/>
      </c>
      <c r="R275" s="49" t="str">
        <f t="shared" si="38"/>
        <v/>
      </c>
      <c r="S275" s="31" t="str">
        <f t="shared" si="39"/>
        <v/>
      </c>
    </row>
    <row r="276" spans="1:19" x14ac:dyDescent="0.25">
      <c r="A276" s="36" t="str">
        <f>IF(B276="","",269)</f>
        <v/>
      </c>
      <c r="B276" s="36" t="str">
        <f>Mau15a!B279&amp;""</f>
        <v/>
      </c>
      <c r="C276" s="47" t="str">
        <f>IF(B276="","",Mau15a!C279)</f>
        <v/>
      </c>
      <c r="D276" s="36" t="str">
        <f>IF(B276="","",Mau15a!D279)</f>
        <v/>
      </c>
      <c r="E276" s="48" t="str">
        <f>IF($B276="","",Mau15a!P279)</f>
        <v/>
      </c>
      <c r="F276" s="48" t="str">
        <f>IF($B276="","",Mau15a!I279)</f>
        <v/>
      </c>
      <c r="G276" s="48" t="str">
        <f t="shared" si="32"/>
        <v/>
      </c>
      <c r="H276" s="49" t="str">
        <f t="shared" si="33"/>
        <v/>
      </c>
      <c r="I276" s="48" t="str">
        <f>IF($B276="","",Mau15a!K279)</f>
        <v/>
      </c>
      <c r="J276" s="48" t="str">
        <f>IF($B276="","",Mau15a!M279)</f>
        <v/>
      </c>
      <c r="K276" s="48" t="str">
        <f t="shared" si="34"/>
        <v/>
      </c>
      <c r="L276" s="49" t="str">
        <f t="shared" si="35"/>
        <v/>
      </c>
      <c r="M276" s="48" t="str">
        <f>IF($B276="","",Mau15a!F279)</f>
        <v/>
      </c>
      <c r="N276" s="51" t="str">
        <f>IF($B276="","",COUNTIF(BOM!$A$5:$A$1004,B276))</f>
        <v/>
      </c>
      <c r="O276" s="49" t="str">
        <f t="shared" si="36"/>
        <v/>
      </c>
      <c r="P276" s="51" t="str">
        <f>IF($B276="","",COUNTIFS(KT_nguoc_theo_SP!$B$5:$B$1004,B276,KT_nguoc_theo_SP!$M$5:$M$1004,"Xem xét"))</f>
        <v/>
      </c>
      <c r="Q276" s="49" t="str">
        <f t="shared" si="37"/>
        <v/>
      </c>
      <c r="R276" s="49" t="str">
        <f t="shared" si="38"/>
        <v/>
      </c>
      <c r="S276" s="31" t="str">
        <f t="shared" si="39"/>
        <v/>
      </c>
    </row>
    <row r="277" spans="1:19" x14ac:dyDescent="0.25">
      <c r="A277" s="36" t="str">
        <f>IF(B277="","",270)</f>
        <v/>
      </c>
      <c r="B277" s="36" t="str">
        <f>Mau15a!B280&amp;""</f>
        <v/>
      </c>
      <c r="C277" s="47" t="str">
        <f>IF(B277="","",Mau15a!C280)</f>
        <v/>
      </c>
      <c r="D277" s="36" t="str">
        <f>IF(B277="","",Mau15a!D280)</f>
        <v/>
      </c>
      <c r="E277" s="48" t="str">
        <f>IF($B277="","",Mau15a!P280)</f>
        <v/>
      </c>
      <c r="F277" s="48" t="str">
        <f>IF($B277="","",Mau15a!I280)</f>
        <v/>
      </c>
      <c r="G277" s="48" t="str">
        <f t="shared" si="32"/>
        <v/>
      </c>
      <c r="H277" s="49" t="str">
        <f t="shared" si="33"/>
        <v/>
      </c>
      <c r="I277" s="48" t="str">
        <f>IF($B277="","",Mau15a!K280)</f>
        <v/>
      </c>
      <c r="J277" s="48" t="str">
        <f>IF($B277="","",Mau15a!M280)</f>
        <v/>
      </c>
      <c r="K277" s="48" t="str">
        <f t="shared" si="34"/>
        <v/>
      </c>
      <c r="L277" s="49" t="str">
        <f t="shared" si="35"/>
        <v/>
      </c>
      <c r="M277" s="48" t="str">
        <f>IF($B277="","",Mau15a!F280)</f>
        <v/>
      </c>
      <c r="N277" s="51" t="str">
        <f>IF($B277="","",COUNTIF(BOM!$A$5:$A$1004,B277))</f>
        <v/>
      </c>
      <c r="O277" s="49" t="str">
        <f t="shared" si="36"/>
        <v/>
      </c>
      <c r="P277" s="51" t="str">
        <f>IF($B277="","",COUNTIFS(KT_nguoc_theo_SP!$B$5:$B$1004,B277,KT_nguoc_theo_SP!$M$5:$M$1004,"Xem xét"))</f>
        <v/>
      </c>
      <c r="Q277" s="49" t="str">
        <f t="shared" si="37"/>
        <v/>
      </c>
      <c r="R277" s="49" t="str">
        <f t="shared" si="38"/>
        <v/>
      </c>
      <c r="S277" s="31" t="str">
        <f t="shared" si="39"/>
        <v/>
      </c>
    </row>
    <row r="278" spans="1:19" x14ac:dyDescent="0.25">
      <c r="A278" s="36" t="str">
        <f>IF(B278="","",271)</f>
        <v/>
      </c>
      <c r="B278" s="36" t="str">
        <f>Mau15a!B281&amp;""</f>
        <v/>
      </c>
      <c r="C278" s="47" t="str">
        <f>IF(B278="","",Mau15a!C281)</f>
        <v/>
      </c>
      <c r="D278" s="36" t="str">
        <f>IF(B278="","",Mau15a!D281)</f>
        <v/>
      </c>
      <c r="E278" s="48" t="str">
        <f>IF($B278="","",Mau15a!P281)</f>
        <v/>
      </c>
      <c r="F278" s="48" t="str">
        <f>IF($B278="","",Mau15a!I281)</f>
        <v/>
      </c>
      <c r="G278" s="48" t="str">
        <f t="shared" si="32"/>
        <v/>
      </c>
      <c r="H278" s="49" t="str">
        <f t="shared" si="33"/>
        <v/>
      </c>
      <c r="I278" s="48" t="str">
        <f>IF($B278="","",Mau15a!K281)</f>
        <v/>
      </c>
      <c r="J278" s="48" t="str">
        <f>IF($B278="","",Mau15a!M281)</f>
        <v/>
      </c>
      <c r="K278" s="48" t="str">
        <f t="shared" si="34"/>
        <v/>
      </c>
      <c r="L278" s="49" t="str">
        <f t="shared" si="35"/>
        <v/>
      </c>
      <c r="M278" s="48" t="str">
        <f>IF($B278="","",Mau15a!F281)</f>
        <v/>
      </c>
      <c r="N278" s="51" t="str">
        <f>IF($B278="","",COUNTIF(BOM!$A$5:$A$1004,B278))</f>
        <v/>
      </c>
      <c r="O278" s="49" t="str">
        <f t="shared" si="36"/>
        <v/>
      </c>
      <c r="P278" s="51" t="str">
        <f>IF($B278="","",COUNTIFS(KT_nguoc_theo_SP!$B$5:$B$1004,B278,KT_nguoc_theo_SP!$M$5:$M$1004,"Xem xét"))</f>
        <v/>
      </c>
      <c r="Q278" s="49" t="str">
        <f t="shared" si="37"/>
        <v/>
      </c>
      <c r="R278" s="49" t="str">
        <f t="shared" si="38"/>
        <v/>
      </c>
      <c r="S278" s="31" t="str">
        <f t="shared" si="39"/>
        <v/>
      </c>
    </row>
    <row r="279" spans="1:19" x14ac:dyDescent="0.25">
      <c r="A279" s="36" t="str">
        <f>IF(B279="","",272)</f>
        <v/>
      </c>
      <c r="B279" s="36" t="str">
        <f>Mau15a!B282&amp;""</f>
        <v/>
      </c>
      <c r="C279" s="47" t="str">
        <f>IF(B279="","",Mau15a!C282)</f>
        <v/>
      </c>
      <c r="D279" s="36" t="str">
        <f>IF(B279="","",Mau15a!D282)</f>
        <v/>
      </c>
      <c r="E279" s="48" t="str">
        <f>IF($B279="","",Mau15a!P282)</f>
        <v/>
      </c>
      <c r="F279" s="48" t="str">
        <f>IF($B279="","",Mau15a!I282)</f>
        <v/>
      </c>
      <c r="G279" s="48" t="str">
        <f t="shared" si="32"/>
        <v/>
      </c>
      <c r="H279" s="49" t="str">
        <f t="shared" si="33"/>
        <v/>
      </c>
      <c r="I279" s="48" t="str">
        <f>IF($B279="","",Mau15a!K282)</f>
        <v/>
      </c>
      <c r="J279" s="48" t="str">
        <f>IF($B279="","",Mau15a!M282)</f>
        <v/>
      </c>
      <c r="K279" s="48" t="str">
        <f t="shared" si="34"/>
        <v/>
      </c>
      <c r="L279" s="49" t="str">
        <f t="shared" si="35"/>
        <v/>
      </c>
      <c r="M279" s="48" t="str">
        <f>IF($B279="","",Mau15a!F282)</f>
        <v/>
      </c>
      <c r="N279" s="51" t="str">
        <f>IF($B279="","",COUNTIF(BOM!$A$5:$A$1004,B279))</f>
        <v/>
      </c>
      <c r="O279" s="49" t="str">
        <f t="shared" si="36"/>
        <v/>
      </c>
      <c r="P279" s="51" t="str">
        <f>IF($B279="","",COUNTIFS(KT_nguoc_theo_SP!$B$5:$B$1004,B279,KT_nguoc_theo_SP!$M$5:$M$1004,"Xem xét"))</f>
        <v/>
      </c>
      <c r="Q279" s="49" t="str">
        <f t="shared" si="37"/>
        <v/>
      </c>
      <c r="R279" s="49" t="str">
        <f t="shared" si="38"/>
        <v/>
      </c>
      <c r="S279" s="31" t="str">
        <f t="shared" si="39"/>
        <v/>
      </c>
    </row>
    <row r="280" spans="1:19" x14ac:dyDescent="0.25">
      <c r="A280" s="36" t="str">
        <f>IF(B280="","",273)</f>
        <v/>
      </c>
      <c r="B280" s="36" t="str">
        <f>Mau15a!B283&amp;""</f>
        <v/>
      </c>
      <c r="C280" s="47" t="str">
        <f>IF(B280="","",Mau15a!C283)</f>
        <v/>
      </c>
      <c r="D280" s="36" t="str">
        <f>IF(B280="","",Mau15a!D283)</f>
        <v/>
      </c>
      <c r="E280" s="48" t="str">
        <f>IF($B280="","",Mau15a!P283)</f>
        <v/>
      </c>
      <c r="F280" s="48" t="str">
        <f>IF($B280="","",Mau15a!I283)</f>
        <v/>
      </c>
      <c r="G280" s="48" t="str">
        <f t="shared" si="32"/>
        <v/>
      </c>
      <c r="H280" s="49" t="str">
        <f t="shared" si="33"/>
        <v/>
      </c>
      <c r="I280" s="48" t="str">
        <f>IF($B280="","",Mau15a!K283)</f>
        <v/>
      </c>
      <c r="J280" s="48" t="str">
        <f>IF($B280="","",Mau15a!M283)</f>
        <v/>
      </c>
      <c r="K280" s="48" t="str">
        <f t="shared" si="34"/>
        <v/>
      </c>
      <c r="L280" s="49" t="str">
        <f t="shared" si="35"/>
        <v/>
      </c>
      <c r="M280" s="48" t="str">
        <f>IF($B280="","",Mau15a!F283)</f>
        <v/>
      </c>
      <c r="N280" s="51" t="str">
        <f>IF($B280="","",COUNTIF(BOM!$A$5:$A$1004,B280))</f>
        <v/>
      </c>
      <c r="O280" s="49" t="str">
        <f t="shared" si="36"/>
        <v/>
      </c>
      <c r="P280" s="51" t="str">
        <f>IF($B280="","",COUNTIFS(KT_nguoc_theo_SP!$B$5:$B$1004,B280,KT_nguoc_theo_SP!$M$5:$M$1004,"Xem xét"))</f>
        <v/>
      </c>
      <c r="Q280" s="49" t="str">
        <f t="shared" si="37"/>
        <v/>
      </c>
      <c r="R280" s="49" t="str">
        <f t="shared" si="38"/>
        <v/>
      </c>
      <c r="S280" s="31" t="str">
        <f t="shared" si="39"/>
        <v/>
      </c>
    </row>
    <row r="281" spans="1:19" x14ac:dyDescent="0.25">
      <c r="A281" s="36" t="str">
        <f>IF(B281="","",274)</f>
        <v/>
      </c>
      <c r="B281" s="36" t="str">
        <f>Mau15a!B284&amp;""</f>
        <v/>
      </c>
      <c r="C281" s="47" t="str">
        <f>IF(B281="","",Mau15a!C284)</f>
        <v/>
      </c>
      <c r="D281" s="36" t="str">
        <f>IF(B281="","",Mau15a!D284)</f>
        <v/>
      </c>
      <c r="E281" s="48" t="str">
        <f>IF($B281="","",Mau15a!P284)</f>
        <v/>
      </c>
      <c r="F281" s="48" t="str">
        <f>IF($B281="","",Mau15a!I284)</f>
        <v/>
      </c>
      <c r="G281" s="48" t="str">
        <f t="shared" si="32"/>
        <v/>
      </c>
      <c r="H281" s="49" t="str">
        <f t="shared" si="33"/>
        <v/>
      </c>
      <c r="I281" s="48" t="str">
        <f>IF($B281="","",Mau15a!K284)</f>
        <v/>
      </c>
      <c r="J281" s="48" t="str">
        <f>IF($B281="","",Mau15a!M284)</f>
        <v/>
      </c>
      <c r="K281" s="48" t="str">
        <f t="shared" si="34"/>
        <v/>
      </c>
      <c r="L281" s="49" t="str">
        <f t="shared" si="35"/>
        <v/>
      </c>
      <c r="M281" s="48" t="str">
        <f>IF($B281="","",Mau15a!F284)</f>
        <v/>
      </c>
      <c r="N281" s="51" t="str">
        <f>IF($B281="","",COUNTIF(BOM!$A$5:$A$1004,B281))</f>
        <v/>
      </c>
      <c r="O281" s="49" t="str">
        <f t="shared" si="36"/>
        <v/>
      </c>
      <c r="P281" s="51" t="str">
        <f>IF($B281="","",COUNTIFS(KT_nguoc_theo_SP!$B$5:$B$1004,B281,KT_nguoc_theo_SP!$M$5:$M$1004,"Xem xét"))</f>
        <v/>
      </c>
      <c r="Q281" s="49" t="str">
        <f t="shared" si="37"/>
        <v/>
      </c>
      <c r="R281" s="49" t="str">
        <f t="shared" si="38"/>
        <v/>
      </c>
      <c r="S281" s="31" t="str">
        <f t="shared" si="39"/>
        <v/>
      </c>
    </row>
    <row r="282" spans="1:19" x14ac:dyDescent="0.25">
      <c r="A282" s="36" t="str">
        <f>IF(B282="","",275)</f>
        <v/>
      </c>
      <c r="B282" s="36" t="str">
        <f>Mau15a!B285&amp;""</f>
        <v/>
      </c>
      <c r="C282" s="47" t="str">
        <f>IF(B282="","",Mau15a!C285)</f>
        <v/>
      </c>
      <c r="D282" s="36" t="str">
        <f>IF(B282="","",Mau15a!D285)</f>
        <v/>
      </c>
      <c r="E282" s="48" t="str">
        <f>IF($B282="","",Mau15a!P285)</f>
        <v/>
      </c>
      <c r="F282" s="48" t="str">
        <f>IF($B282="","",Mau15a!I285)</f>
        <v/>
      </c>
      <c r="G282" s="48" t="str">
        <f t="shared" si="32"/>
        <v/>
      </c>
      <c r="H282" s="49" t="str">
        <f t="shared" si="33"/>
        <v/>
      </c>
      <c r="I282" s="48" t="str">
        <f>IF($B282="","",Mau15a!K285)</f>
        <v/>
      </c>
      <c r="J282" s="48" t="str">
        <f>IF($B282="","",Mau15a!M285)</f>
        <v/>
      </c>
      <c r="K282" s="48" t="str">
        <f t="shared" si="34"/>
        <v/>
      </c>
      <c r="L282" s="49" t="str">
        <f t="shared" si="35"/>
        <v/>
      </c>
      <c r="M282" s="48" t="str">
        <f>IF($B282="","",Mau15a!F285)</f>
        <v/>
      </c>
      <c r="N282" s="51" t="str">
        <f>IF($B282="","",COUNTIF(BOM!$A$5:$A$1004,B282))</f>
        <v/>
      </c>
      <c r="O282" s="49" t="str">
        <f t="shared" si="36"/>
        <v/>
      </c>
      <c r="P282" s="51" t="str">
        <f>IF($B282="","",COUNTIFS(KT_nguoc_theo_SP!$B$5:$B$1004,B282,KT_nguoc_theo_SP!$M$5:$M$1004,"Xem xét"))</f>
        <v/>
      </c>
      <c r="Q282" s="49" t="str">
        <f t="shared" si="37"/>
        <v/>
      </c>
      <c r="R282" s="49" t="str">
        <f t="shared" si="38"/>
        <v/>
      </c>
      <c r="S282" s="31" t="str">
        <f t="shared" si="39"/>
        <v/>
      </c>
    </row>
    <row r="283" spans="1:19" x14ac:dyDescent="0.25">
      <c r="A283" s="36" t="str">
        <f>IF(B283="","",276)</f>
        <v/>
      </c>
      <c r="B283" s="36" t="str">
        <f>Mau15a!B286&amp;""</f>
        <v/>
      </c>
      <c r="C283" s="47" t="str">
        <f>IF(B283="","",Mau15a!C286)</f>
        <v/>
      </c>
      <c r="D283" s="36" t="str">
        <f>IF(B283="","",Mau15a!D286)</f>
        <v/>
      </c>
      <c r="E283" s="48" t="str">
        <f>IF($B283="","",Mau15a!P286)</f>
        <v/>
      </c>
      <c r="F283" s="48" t="str">
        <f>IF($B283="","",Mau15a!I286)</f>
        <v/>
      </c>
      <c r="G283" s="48" t="str">
        <f t="shared" si="32"/>
        <v/>
      </c>
      <c r="H283" s="49" t="str">
        <f t="shared" si="33"/>
        <v/>
      </c>
      <c r="I283" s="48" t="str">
        <f>IF($B283="","",Mau15a!K286)</f>
        <v/>
      </c>
      <c r="J283" s="48" t="str">
        <f>IF($B283="","",Mau15a!M286)</f>
        <v/>
      </c>
      <c r="K283" s="48" t="str">
        <f t="shared" si="34"/>
        <v/>
      </c>
      <c r="L283" s="49" t="str">
        <f t="shared" si="35"/>
        <v/>
      </c>
      <c r="M283" s="48" t="str">
        <f>IF($B283="","",Mau15a!F286)</f>
        <v/>
      </c>
      <c r="N283" s="51" t="str">
        <f>IF($B283="","",COUNTIF(BOM!$A$5:$A$1004,B283))</f>
        <v/>
      </c>
      <c r="O283" s="49" t="str">
        <f t="shared" si="36"/>
        <v/>
      </c>
      <c r="P283" s="51" t="str">
        <f>IF($B283="","",COUNTIFS(KT_nguoc_theo_SP!$B$5:$B$1004,B283,KT_nguoc_theo_SP!$M$5:$M$1004,"Xem xét"))</f>
        <v/>
      </c>
      <c r="Q283" s="49" t="str">
        <f t="shared" si="37"/>
        <v/>
      </c>
      <c r="R283" s="49" t="str">
        <f t="shared" si="38"/>
        <v/>
      </c>
      <c r="S283" s="31" t="str">
        <f t="shared" si="39"/>
        <v/>
      </c>
    </row>
    <row r="284" spans="1:19" x14ac:dyDescent="0.25">
      <c r="A284" s="36" t="str">
        <f>IF(B284="","",277)</f>
        <v/>
      </c>
      <c r="B284" s="36" t="str">
        <f>Mau15a!B287&amp;""</f>
        <v/>
      </c>
      <c r="C284" s="47" t="str">
        <f>IF(B284="","",Mau15a!C287)</f>
        <v/>
      </c>
      <c r="D284" s="36" t="str">
        <f>IF(B284="","",Mau15a!D287)</f>
        <v/>
      </c>
      <c r="E284" s="48" t="str">
        <f>IF($B284="","",Mau15a!P287)</f>
        <v/>
      </c>
      <c r="F284" s="48" t="str">
        <f>IF($B284="","",Mau15a!I287)</f>
        <v/>
      </c>
      <c r="G284" s="48" t="str">
        <f t="shared" si="32"/>
        <v/>
      </c>
      <c r="H284" s="49" t="str">
        <f t="shared" si="33"/>
        <v/>
      </c>
      <c r="I284" s="48" t="str">
        <f>IF($B284="","",Mau15a!K287)</f>
        <v/>
      </c>
      <c r="J284" s="48" t="str">
        <f>IF($B284="","",Mau15a!M287)</f>
        <v/>
      </c>
      <c r="K284" s="48" t="str">
        <f t="shared" si="34"/>
        <v/>
      </c>
      <c r="L284" s="49" t="str">
        <f t="shared" si="35"/>
        <v/>
      </c>
      <c r="M284" s="48" t="str">
        <f>IF($B284="","",Mau15a!F287)</f>
        <v/>
      </c>
      <c r="N284" s="51" t="str">
        <f>IF($B284="","",COUNTIF(BOM!$A$5:$A$1004,B284))</f>
        <v/>
      </c>
      <c r="O284" s="49" t="str">
        <f t="shared" si="36"/>
        <v/>
      </c>
      <c r="P284" s="51" t="str">
        <f>IF($B284="","",COUNTIFS(KT_nguoc_theo_SP!$B$5:$B$1004,B284,KT_nguoc_theo_SP!$M$5:$M$1004,"Xem xét"))</f>
        <v/>
      </c>
      <c r="Q284" s="49" t="str">
        <f t="shared" si="37"/>
        <v/>
      </c>
      <c r="R284" s="49" t="str">
        <f t="shared" si="38"/>
        <v/>
      </c>
      <c r="S284" s="31" t="str">
        <f t="shared" si="39"/>
        <v/>
      </c>
    </row>
    <row r="285" spans="1:19" x14ac:dyDescent="0.25">
      <c r="A285" s="36" t="str">
        <f>IF(B285="","",278)</f>
        <v/>
      </c>
      <c r="B285" s="36" t="str">
        <f>Mau15a!B288&amp;""</f>
        <v/>
      </c>
      <c r="C285" s="47" t="str">
        <f>IF(B285="","",Mau15a!C288)</f>
        <v/>
      </c>
      <c r="D285" s="36" t="str">
        <f>IF(B285="","",Mau15a!D288)</f>
        <v/>
      </c>
      <c r="E285" s="48" t="str">
        <f>IF($B285="","",Mau15a!P288)</f>
        <v/>
      </c>
      <c r="F285" s="48" t="str">
        <f>IF($B285="","",Mau15a!I288)</f>
        <v/>
      </c>
      <c r="G285" s="48" t="str">
        <f t="shared" si="32"/>
        <v/>
      </c>
      <c r="H285" s="49" t="str">
        <f t="shared" si="33"/>
        <v/>
      </c>
      <c r="I285" s="48" t="str">
        <f>IF($B285="","",Mau15a!K288)</f>
        <v/>
      </c>
      <c r="J285" s="48" t="str">
        <f>IF($B285="","",Mau15a!M288)</f>
        <v/>
      </c>
      <c r="K285" s="48" t="str">
        <f t="shared" si="34"/>
        <v/>
      </c>
      <c r="L285" s="49" t="str">
        <f t="shared" si="35"/>
        <v/>
      </c>
      <c r="M285" s="48" t="str">
        <f>IF($B285="","",Mau15a!F288)</f>
        <v/>
      </c>
      <c r="N285" s="51" t="str">
        <f>IF($B285="","",COUNTIF(BOM!$A$5:$A$1004,B285))</f>
        <v/>
      </c>
      <c r="O285" s="49" t="str">
        <f t="shared" si="36"/>
        <v/>
      </c>
      <c r="P285" s="51" t="str">
        <f>IF($B285="","",COUNTIFS(KT_nguoc_theo_SP!$B$5:$B$1004,B285,KT_nguoc_theo_SP!$M$5:$M$1004,"Xem xét"))</f>
        <v/>
      </c>
      <c r="Q285" s="49" t="str">
        <f t="shared" si="37"/>
        <v/>
      </c>
      <c r="R285" s="49" t="str">
        <f t="shared" si="38"/>
        <v/>
      </c>
      <c r="S285" s="31" t="str">
        <f t="shared" si="39"/>
        <v/>
      </c>
    </row>
    <row r="286" spans="1:19" x14ac:dyDescent="0.25">
      <c r="A286" s="36" t="str">
        <f>IF(B286="","",279)</f>
        <v/>
      </c>
      <c r="B286" s="36" t="str">
        <f>Mau15a!B289&amp;""</f>
        <v/>
      </c>
      <c r="C286" s="47" t="str">
        <f>IF(B286="","",Mau15a!C289)</f>
        <v/>
      </c>
      <c r="D286" s="36" t="str">
        <f>IF(B286="","",Mau15a!D289)</f>
        <v/>
      </c>
      <c r="E286" s="48" t="str">
        <f>IF($B286="","",Mau15a!P289)</f>
        <v/>
      </c>
      <c r="F286" s="48" t="str">
        <f>IF($B286="","",Mau15a!I289)</f>
        <v/>
      </c>
      <c r="G286" s="48" t="str">
        <f t="shared" si="32"/>
        <v/>
      </c>
      <c r="H286" s="49" t="str">
        <f t="shared" si="33"/>
        <v/>
      </c>
      <c r="I286" s="48" t="str">
        <f>IF($B286="","",Mau15a!K289)</f>
        <v/>
      </c>
      <c r="J286" s="48" t="str">
        <f>IF($B286="","",Mau15a!M289)</f>
        <v/>
      </c>
      <c r="K286" s="48" t="str">
        <f t="shared" si="34"/>
        <v/>
      </c>
      <c r="L286" s="49" t="str">
        <f t="shared" si="35"/>
        <v/>
      </c>
      <c r="M286" s="48" t="str">
        <f>IF($B286="","",Mau15a!F289)</f>
        <v/>
      </c>
      <c r="N286" s="51" t="str">
        <f>IF($B286="","",COUNTIF(BOM!$A$5:$A$1004,B286))</f>
        <v/>
      </c>
      <c r="O286" s="49" t="str">
        <f t="shared" si="36"/>
        <v/>
      </c>
      <c r="P286" s="51" t="str">
        <f>IF($B286="","",COUNTIFS(KT_nguoc_theo_SP!$B$5:$B$1004,B286,KT_nguoc_theo_SP!$M$5:$M$1004,"Xem xét"))</f>
        <v/>
      </c>
      <c r="Q286" s="49" t="str">
        <f t="shared" si="37"/>
        <v/>
      </c>
      <c r="R286" s="49" t="str">
        <f t="shared" si="38"/>
        <v/>
      </c>
      <c r="S286" s="31" t="str">
        <f t="shared" si="39"/>
        <v/>
      </c>
    </row>
    <row r="287" spans="1:19" x14ac:dyDescent="0.25">
      <c r="A287" s="36" t="str">
        <f>IF(B287="","",280)</f>
        <v/>
      </c>
      <c r="B287" s="36" t="str">
        <f>Mau15a!B290&amp;""</f>
        <v/>
      </c>
      <c r="C287" s="47" t="str">
        <f>IF(B287="","",Mau15a!C290)</f>
        <v/>
      </c>
      <c r="D287" s="36" t="str">
        <f>IF(B287="","",Mau15a!D290)</f>
        <v/>
      </c>
      <c r="E287" s="48" t="str">
        <f>IF($B287="","",Mau15a!P290)</f>
        <v/>
      </c>
      <c r="F287" s="48" t="str">
        <f>IF($B287="","",Mau15a!I290)</f>
        <v/>
      </c>
      <c r="G287" s="48" t="str">
        <f t="shared" si="32"/>
        <v/>
      </c>
      <c r="H287" s="49" t="str">
        <f t="shared" si="33"/>
        <v/>
      </c>
      <c r="I287" s="48" t="str">
        <f>IF($B287="","",Mau15a!K290)</f>
        <v/>
      </c>
      <c r="J287" s="48" t="str">
        <f>IF($B287="","",Mau15a!M290)</f>
        <v/>
      </c>
      <c r="K287" s="48" t="str">
        <f t="shared" si="34"/>
        <v/>
      </c>
      <c r="L287" s="49" t="str">
        <f t="shared" si="35"/>
        <v/>
      </c>
      <c r="M287" s="48" t="str">
        <f>IF($B287="","",Mau15a!F290)</f>
        <v/>
      </c>
      <c r="N287" s="51" t="str">
        <f>IF($B287="","",COUNTIF(BOM!$A$5:$A$1004,B287))</f>
        <v/>
      </c>
      <c r="O287" s="49" t="str">
        <f t="shared" si="36"/>
        <v/>
      </c>
      <c r="P287" s="51" t="str">
        <f>IF($B287="","",COUNTIFS(KT_nguoc_theo_SP!$B$5:$B$1004,B287,KT_nguoc_theo_SP!$M$5:$M$1004,"Xem xét"))</f>
        <v/>
      </c>
      <c r="Q287" s="49" t="str">
        <f t="shared" si="37"/>
        <v/>
      </c>
      <c r="R287" s="49" t="str">
        <f t="shared" si="38"/>
        <v/>
      </c>
      <c r="S287" s="31" t="str">
        <f t="shared" si="39"/>
        <v/>
      </c>
    </row>
    <row r="288" spans="1:19" x14ac:dyDescent="0.25">
      <c r="A288" s="36" t="str">
        <f>IF(B288="","",281)</f>
        <v/>
      </c>
      <c r="B288" s="36" t="str">
        <f>Mau15a!B291&amp;""</f>
        <v/>
      </c>
      <c r="C288" s="47" t="str">
        <f>IF(B288="","",Mau15a!C291)</f>
        <v/>
      </c>
      <c r="D288" s="36" t="str">
        <f>IF(B288="","",Mau15a!D291)</f>
        <v/>
      </c>
      <c r="E288" s="48" t="str">
        <f>IF($B288="","",Mau15a!P291)</f>
        <v/>
      </c>
      <c r="F288" s="48" t="str">
        <f>IF($B288="","",Mau15a!I291)</f>
        <v/>
      </c>
      <c r="G288" s="48" t="str">
        <f t="shared" si="32"/>
        <v/>
      </c>
      <c r="H288" s="49" t="str">
        <f t="shared" si="33"/>
        <v/>
      </c>
      <c r="I288" s="48" t="str">
        <f>IF($B288="","",Mau15a!K291)</f>
        <v/>
      </c>
      <c r="J288" s="48" t="str">
        <f>IF($B288="","",Mau15a!M291)</f>
        <v/>
      </c>
      <c r="K288" s="48" t="str">
        <f t="shared" si="34"/>
        <v/>
      </c>
      <c r="L288" s="49" t="str">
        <f t="shared" si="35"/>
        <v/>
      </c>
      <c r="M288" s="48" t="str">
        <f>IF($B288="","",Mau15a!F291)</f>
        <v/>
      </c>
      <c r="N288" s="51" t="str">
        <f>IF($B288="","",COUNTIF(BOM!$A$5:$A$1004,B288))</f>
        <v/>
      </c>
      <c r="O288" s="49" t="str">
        <f t="shared" si="36"/>
        <v/>
      </c>
      <c r="P288" s="51" t="str">
        <f>IF($B288="","",COUNTIFS(KT_nguoc_theo_SP!$B$5:$B$1004,B288,KT_nguoc_theo_SP!$M$5:$M$1004,"Xem xét"))</f>
        <v/>
      </c>
      <c r="Q288" s="49" t="str">
        <f t="shared" si="37"/>
        <v/>
      </c>
      <c r="R288" s="49" t="str">
        <f t="shared" si="38"/>
        <v/>
      </c>
      <c r="S288" s="31" t="str">
        <f t="shared" si="39"/>
        <v/>
      </c>
    </row>
    <row r="289" spans="1:19" x14ac:dyDescent="0.25">
      <c r="A289" s="36" t="str">
        <f>IF(B289="","",282)</f>
        <v/>
      </c>
      <c r="B289" s="36" t="str">
        <f>Mau15a!B292&amp;""</f>
        <v/>
      </c>
      <c r="C289" s="47" t="str">
        <f>IF(B289="","",Mau15a!C292)</f>
        <v/>
      </c>
      <c r="D289" s="36" t="str">
        <f>IF(B289="","",Mau15a!D292)</f>
        <v/>
      </c>
      <c r="E289" s="48" t="str">
        <f>IF($B289="","",Mau15a!P292)</f>
        <v/>
      </c>
      <c r="F289" s="48" t="str">
        <f>IF($B289="","",Mau15a!I292)</f>
        <v/>
      </c>
      <c r="G289" s="48" t="str">
        <f t="shared" si="32"/>
        <v/>
      </c>
      <c r="H289" s="49" t="str">
        <f t="shared" si="33"/>
        <v/>
      </c>
      <c r="I289" s="48" t="str">
        <f>IF($B289="","",Mau15a!K292)</f>
        <v/>
      </c>
      <c r="J289" s="48" t="str">
        <f>IF($B289="","",Mau15a!M292)</f>
        <v/>
      </c>
      <c r="K289" s="48" t="str">
        <f t="shared" si="34"/>
        <v/>
      </c>
      <c r="L289" s="49" t="str">
        <f t="shared" si="35"/>
        <v/>
      </c>
      <c r="M289" s="48" t="str">
        <f>IF($B289="","",Mau15a!F292)</f>
        <v/>
      </c>
      <c r="N289" s="51" t="str">
        <f>IF($B289="","",COUNTIF(BOM!$A$5:$A$1004,B289))</f>
        <v/>
      </c>
      <c r="O289" s="49" t="str">
        <f t="shared" si="36"/>
        <v/>
      </c>
      <c r="P289" s="51" t="str">
        <f>IF($B289="","",COUNTIFS(KT_nguoc_theo_SP!$B$5:$B$1004,B289,KT_nguoc_theo_SP!$M$5:$M$1004,"Xem xét"))</f>
        <v/>
      </c>
      <c r="Q289" s="49" t="str">
        <f t="shared" si="37"/>
        <v/>
      </c>
      <c r="R289" s="49" t="str">
        <f t="shared" si="38"/>
        <v/>
      </c>
      <c r="S289" s="31" t="str">
        <f t="shared" si="39"/>
        <v/>
      </c>
    </row>
    <row r="290" spans="1:19" x14ac:dyDescent="0.25">
      <c r="A290" s="36" t="str">
        <f>IF(B290="","",283)</f>
        <v/>
      </c>
      <c r="B290" s="36" t="str">
        <f>Mau15a!B293&amp;""</f>
        <v/>
      </c>
      <c r="C290" s="47" t="str">
        <f>IF(B290="","",Mau15a!C293)</f>
        <v/>
      </c>
      <c r="D290" s="36" t="str">
        <f>IF(B290="","",Mau15a!D293)</f>
        <v/>
      </c>
      <c r="E290" s="48" t="str">
        <f>IF($B290="","",Mau15a!P293)</f>
        <v/>
      </c>
      <c r="F290" s="48" t="str">
        <f>IF($B290="","",Mau15a!I293)</f>
        <v/>
      </c>
      <c r="G290" s="48" t="str">
        <f t="shared" si="32"/>
        <v/>
      </c>
      <c r="H290" s="49" t="str">
        <f t="shared" si="33"/>
        <v/>
      </c>
      <c r="I290" s="48" t="str">
        <f>IF($B290="","",Mau15a!K293)</f>
        <v/>
      </c>
      <c r="J290" s="48" t="str">
        <f>IF($B290="","",Mau15a!M293)</f>
        <v/>
      </c>
      <c r="K290" s="48" t="str">
        <f t="shared" si="34"/>
        <v/>
      </c>
      <c r="L290" s="49" t="str">
        <f t="shared" si="35"/>
        <v/>
      </c>
      <c r="M290" s="48" t="str">
        <f>IF($B290="","",Mau15a!F293)</f>
        <v/>
      </c>
      <c r="N290" s="51" t="str">
        <f>IF($B290="","",COUNTIF(BOM!$A$5:$A$1004,B290))</f>
        <v/>
      </c>
      <c r="O290" s="49" t="str">
        <f t="shared" si="36"/>
        <v/>
      </c>
      <c r="P290" s="51" t="str">
        <f>IF($B290="","",COUNTIFS(KT_nguoc_theo_SP!$B$5:$B$1004,B290,KT_nguoc_theo_SP!$M$5:$M$1004,"Xem xét"))</f>
        <v/>
      </c>
      <c r="Q290" s="49" t="str">
        <f t="shared" si="37"/>
        <v/>
      </c>
      <c r="R290" s="49" t="str">
        <f t="shared" si="38"/>
        <v/>
      </c>
      <c r="S290" s="31" t="str">
        <f t="shared" si="39"/>
        <v/>
      </c>
    </row>
    <row r="291" spans="1:19" x14ac:dyDescent="0.25">
      <c r="A291" s="36" t="str">
        <f>IF(B291="","",284)</f>
        <v/>
      </c>
      <c r="B291" s="36" t="str">
        <f>Mau15a!B294&amp;""</f>
        <v/>
      </c>
      <c r="C291" s="47" t="str">
        <f>IF(B291="","",Mau15a!C294)</f>
        <v/>
      </c>
      <c r="D291" s="36" t="str">
        <f>IF(B291="","",Mau15a!D294)</f>
        <v/>
      </c>
      <c r="E291" s="48" t="str">
        <f>IF($B291="","",Mau15a!P294)</f>
        <v/>
      </c>
      <c r="F291" s="48" t="str">
        <f>IF($B291="","",Mau15a!I294)</f>
        <v/>
      </c>
      <c r="G291" s="48" t="str">
        <f t="shared" si="32"/>
        <v/>
      </c>
      <c r="H291" s="49" t="str">
        <f t="shared" si="33"/>
        <v/>
      </c>
      <c r="I291" s="48" t="str">
        <f>IF($B291="","",Mau15a!K294)</f>
        <v/>
      </c>
      <c r="J291" s="48" t="str">
        <f>IF($B291="","",Mau15a!M294)</f>
        <v/>
      </c>
      <c r="K291" s="48" t="str">
        <f t="shared" si="34"/>
        <v/>
      </c>
      <c r="L291" s="49" t="str">
        <f t="shared" si="35"/>
        <v/>
      </c>
      <c r="M291" s="48" t="str">
        <f>IF($B291="","",Mau15a!F294)</f>
        <v/>
      </c>
      <c r="N291" s="51" t="str">
        <f>IF($B291="","",COUNTIF(BOM!$A$5:$A$1004,B291))</f>
        <v/>
      </c>
      <c r="O291" s="49" t="str">
        <f t="shared" si="36"/>
        <v/>
      </c>
      <c r="P291" s="51" t="str">
        <f>IF($B291="","",COUNTIFS(KT_nguoc_theo_SP!$B$5:$B$1004,B291,KT_nguoc_theo_SP!$M$5:$M$1004,"Xem xét"))</f>
        <v/>
      </c>
      <c r="Q291" s="49" t="str">
        <f t="shared" si="37"/>
        <v/>
      </c>
      <c r="R291" s="49" t="str">
        <f t="shared" si="38"/>
        <v/>
      </c>
      <c r="S291" s="31" t="str">
        <f t="shared" si="39"/>
        <v/>
      </c>
    </row>
    <row r="292" spans="1:19" x14ac:dyDescent="0.25">
      <c r="A292" s="36" t="str">
        <f>IF(B292="","",285)</f>
        <v/>
      </c>
      <c r="B292" s="36" t="str">
        <f>Mau15a!B295&amp;""</f>
        <v/>
      </c>
      <c r="C292" s="47" t="str">
        <f>IF(B292="","",Mau15a!C295)</f>
        <v/>
      </c>
      <c r="D292" s="36" t="str">
        <f>IF(B292="","",Mau15a!D295)</f>
        <v/>
      </c>
      <c r="E292" s="48" t="str">
        <f>IF($B292="","",Mau15a!P295)</f>
        <v/>
      </c>
      <c r="F292" s="48" t="str">
        <f>IF($B292="","",Mau15a!I295)</f>
        <v/>
      </c>
      <c r="G292" s="48" t="str">
        <f t="shared" si="32"/>
        <v/>
      </c>
      <c r="H292" s="49" t="str">
        <f t="shared" si="33"/>
        <v/>
      </c>
      <c r="I292" s="48" t="str">
        <f>IF($B292="","",Mau15a!K295)</f>
        <v/>
      </c>
      <c r="J292" s="48" t="str">
        <f>IF($B292="","",Mau15a!M295)</f>
        <v/>
      </c>
      <c r="K292" s="48" t="str">
        <f t="shared" si="34"/>
        <v/>
      </c>
      <c r="L292" s="49" t="str">
        <f t="shared" si="35"/>
        <v/>
      </c>
      <c r="M292" s="48" t="str">
        <f>IF($B292="","",Mau15a!F295)</f>
        <v/>
      </c>
      <c r="N292" s="51" t="str">
        <f>IF($B292="","",COUNTIF(BOM!$A$5:$A$1004,B292))</f>
        <v/>
      </c>
      <c r="O292" s="49" t="str">
        <f t="shared" si="36"/>
        <v/>
      </c>
      <c r="P292" s="51" t="str">
        <f>IF($B292="","",COUNTIFS(KT_nguoc_theo_SP!$B$5:$B$1004,B292,KT_nguoc_theo_SP!$M$5:$M$1004,"Xem xét"))</f>
        <v/>
      </c>
      <c r="Q292" s="49" t="str">
        <f t="shared" si="37"/>
        <v/>
      </c>
      <c r="R292" s="49" t="str">
        <f t="shared" si="38"/>
        <v/>
      </c>
      <c r="S292" s="31" t="str">
        <f t="shared" si="39"/>
        <v/>
      </c>
    </row>
    <row r="293" spans="1:19" x14ac:dyDescent="0.25">
      <c r="A293" s="36" t="str">
        <f>IF(B293="","",286)</f>
        <v/>
      </c>
      <c r="B293" s="36" t="str">
        <f>Mau15a!B296&amp;""</f>
        <v/>
      </c>
      <c r="C293" s="47" t="str">
        <f>IF(B293="","",Mau15a!C296)</f>
        <v/>
      </c>
      <c r="D293" s="36" t="str">
        <f>IF(B293="","",Mau15a!D296)</f>
        <v/>
      </c>
      <c r="E293" s="48" t="str">
        <f>IF($B293="","",Mau15a!P296)</f>
        <v/>
      </c>
      <c r="F293" s="48" t="str">
        <f>IF($B293="","",Mau15a!I296)</f>
        <v/>
      </c>
      <c r="G293" s="48" t="str">
        <f t="shared" si="32"/>
        <v/>
      </c>
      <c r="H293" s="49" t="str">
        <f t="shared" si="33"/>
        <v/>
      </c>
      <c r="I293" s="48" t="str">
        <f>IF($B293="","",Mau15a!K296)</f>
        <v/>
      </c>
      <c r="J293" s="48" t="str">
        <f>IF($B293="","",Mau15a!M296)</f>
        <v/>
      </c>
      <c r="K293" s="48" t="str">
        <f t="shared" si="34"/>
        <v/>
      </c>
      <c r="L293" s="49" t="str">
        <f t="shared" si="35"/>
        <v/>
      </c>
      <c r="M293" s="48" t="str">
        <f>IF($B293="","",Mau15a!F296)</f>
        <v/>
      </c>
      <c r="N293" s="51" t="str">
        <f>IF($B293="","",COUNTIF(BOM!$A$5:$A$1004,B293))</f>
        <v/>
      </c>
      <c r="O293" s="49" t="str">
        <f t="shared" si="36"/>
        <v/>
      </c>
      <c r="P293" s="51" t="str">
        <f>IF($B293="","",COUNTIFS(KT_nguoc_theo_SP!$B$5:$B$1004,B293,KT_nguoc_theo_SP!$M$5:$M$1004,"Xem xét"))</f>
        <v/>
      </c>
      <c r="Q293" s="49" t="str">
        <f t="shared" si="37"/>
        <v/>
      </c>
      <c r="R293" s="49" t="str">
        <f t="shared" si="38"/>
        <v/>
      </c>
      <c r="S293" s="31" t="str">
        <f t="shared" si="39"/>
        <v/>
      </c>
    </row>
    <row r="294" spans="1:19" x14ac:dyDescent="0.25">
      <c r="A294" s="36" t="str">
        <f>IF(B294="","",287)</f>
        <v/>
      </c>
      <c r="B294" s="36" t="str">
        <f>Mau15a!B297&amp;""</f>
        <v/>
      </c>
      <c r="C294" s="47" t="str">
        <f>IF(B294="","",Mau15a!C297)</f>
        <v/>
      </c>
      <c r="D294" s="36" t="str">
        <f>IF(B294="","",Mau15a!D297)</f>
        <v/>
      </c>
      <c r="E294" s="48" t="str">
        <f>IF($B294="","",Mau15a!P297)</f>
        <v/>
      </c>
      <c r="F294" s="48" t="str">
        <f>IF($B294="","",Mau15a!I297)</f>
        <v/>
      </c>
      <c r="G294" s="48" t="str">
        <f t="shared" si="32"/>
        <v/>
      </c>
      <c r="H294" s="49" t="str">
        <f t="shared" si="33"/>
        <v/>
      </c>
      <c r="I294" s="48" t="str">
        <f>IF($B294="","",Mau15a!K297)</f>
        <v/>
      </c>
      <c r="J294" s="48" t="str">
        <f>IF($B294="","",Mau15a!M297)</f>
        <v/>
      </c>
      <c r="K294" s="48" t="str">
        <f t="shared" si="34"/>
        <v/>
      </c>
      <c r="L294" s="49" t="str">
        <f t="shared" si="35"/>
        <v/>
      </c>
      <c r="M294" s="48" t="str">
        <f>IF($B294="","",Mau15a!F297)</f>
        <v/>
      </c>
      <c r="N294" s="51" t="str">
        <f>IF($B294="","",COUNTIF(BOM!$A$5:$A$1004,B294))</f>
        <v/>
      </c>
      <c r="O294" s="49" t="str">
        <f t="shared" si="36"/>
        <v/>
      </c>
      <c r="P294" s="51" t="str">
        <f>IF($B294="","",COUNTIFS(KT_nguoc_theo_SP!$B$5:$B$1004,B294,KT_nguoc_theo_SP!$M$5:$M$1004,"Xem xét"))</f>
        <v/>
      </c>
      <c r="Q294" s="49" t="str">
        <f t="shared" si="37"/>
        <v/>
      </c>
      <c r="R294" s="49" t="str">
        <f t="shared" si="38"/>
        <v/>
      </c>
      <c r="S294" s="31" t="str">
        <f t="shared" si="39"/>
        <v/>
      </c>
    </row>
    <row r="295" spans="1:19" x14ac:dyDescent="0.25">
      <c r="A295" s="36" t="str">
        <f>IF(B295="","",288)</f>
        <v/>
      </c>
      <c r="B295" s="36" t="str">
        <f>Mau15a!B298&amp;""</f>
        <v/>
      </c>
      <c r="C295" s="47" t="str">
        <f>IF(B295="","",Mau15a!C298)</f>
        <v/>
      </c>
      <c r="D295" s="36" t="str">
        <f>IF(B295="","",Mau15a!D298)</f>
        <v/>
      </c>
      <c r="E295" s="48" t="str">
        <f>IF($B295="","",Mau15a!P298)</f>
        <v/>
      </c>
      <c r="F295" s="48" t="str">
        <f>IF($B295="","",Mau15a!I298)</f>
        <v/>
      </c>
      <c r="G295" s="48" t="str">
        <f t="shared" si="32"/>
        <v/>
      </c>
      <c r="H295" s="49" t="str">
        <f t="shared" si="33"/>
        <v/>
      </c>
      <c r="I295" s="48" t="str">
        <f>IF($B295="","",Mau15a!K298)</f>
        <v/>
      </c>
      <c r="J295" s="48" t="str">
        <f>IF($B295="","",Mau15a!M298)</f>
        <v/>
      </c>
      <c r="K295" s="48" t="str">
        <f t="shared" si="34"/>
        <v/>
      </c>
      <c r="L295" s="49" t="str">
        <f t="shared" si="35"/>
        <v/>
      </c>
      <c r="M295" s="48" t="str">
        <f>IF($B295="","",Mau15a!F298)</f>
        <v/>
      </c>
      <c r="N295" s="51" t="str">
        <f>IF($B295="","",COUNTIF(BOM!$A$5:$A$1004,B295))</f>
        <v/>
      </c>
      <c r="O295" s="49" t="str">
        <f t="shared" si="36"/>
        <v/>
      </c>
      <c r="P295" s="51" t="str">
        <f>IF($B295="","",COUNTIFS(KT_nguoc_theo_SP!$B$5:$B$1004,B295,KT_nguoc_theo_SP!$M$5:$M$1004,"Xem xét"))</f>
        <v/>
      </c>
      <c r="Q295" s="49" t="str">
        <f t="shared" si="37"/>
        <v/>
      </c>
      <c r="R295" s="49" t="str">
        <f t="shared" si="38"/>
        <v/>
      </c>
      <c r="S295" s="31" t="str">
        <f t="shared" si="39"/>
        <v/>
      </c>
    </row>
    <row r="296" spans="1:19" x14ac:dyDescent="0.25">
      <c r="A296" s="36" t="str">
        <f>IF(B296="","",289)</f>
        <v/>
      </c>
      <c r="B296" s="36" t="str">
        <f>Mau15a!B299&amp;""</f>
        <v/>
      </c>
      <c r="C296" s="47" t="str">
        <f>IF(B296="","",Mau15a!C299)</f>
        <v/>
      </c>
      <c r="D296" s="36" t="str">
        <f>IF(B296="","",Mau15a!D299)</f>
        <v/>
      </c>
      <c r="E296" s="48" t="str">
        <f>IF($B296="","",Mau15a!P299)</f>
        <v/>
      </c>
      <c r="F296" s="48" t="str">
        <f>IF($B296="","",Mau15a!I299)</f>
        <v/>
      </c>
      <c r="G296" s="48" t="str">
        <f t="shared" si="32"/>
        <v/>
      </c>
      <c r="H296" s="49" t="str">
        <f t="shared" si="33"/>
        <v/>
      </c>
      <c r="I296" s="48" t="str">
        <f>IF($B296="","",Mau15a!K299)</f>
        <v/>
      </c>
      <c r="J296" s="48" t="str">
        <f>IF($B296="","",Mau15a!M299)</f>
        <v/>
      </c>
      <c r="K296" s="48" t="str">
        <f t="shared" si="34"/>
        <v/>
      </c>
      <c r="L296" s="49" t="str">
        <f t="shared" si="35"/>
        <v/>
      </c>
      <c r="M296" s="48" t="str">
        <f>IF($B296="","",Mau15a!F299)</f>
        <v/>
      </c>
      <c r="N296" s="51" t="str">
        <f>IF($B296="","",COUNTIF(BOM!$A$5:$A$1004,B296))</f>
        <v/>
      </c>
      <c r="O296" s="49" t="str">
        <f t="shared" si="36"/>
        <v/>
      </c>
      <c r="P296" s="51" t="str">
        <f>IF($B296="","",COUNTIFS(KT_nguoc_theo_SP!$B$5:$B$1004,B296,KT_nguoc_theo_SP!$M$5:$M$1004,"Xem xét"))</f>
        <v/>
      </c>
      <c r="Q296" s="49" t="str">
        <f t="shared" si="37"/>
        <v/>
      </c>
      <c r="R296" s="49" t="str">
        <f t="shared" si="38"/>
        <v/>
      </c>
      <c r="S296" s="31" t="str">
        <f t="shared" si="39"/>
        <v/>
      </c>
    </row>
    <row r="297" spans="1:19" x14ac:dyDescent="0.25">
      <c r="A297" s="36" t="str">
        <f>IF(B297="","",290)</f>
        <v/>
      </c>
      <c r="B297" s="36" t="str">
        <f>Mau15a!B300&amp;""</f>
        <v/>
      </c>
      <c r="C297" s="47" t="str">
        <f>IF(B297="","",Mau15a!C300)</f>
        <v/>
      </c>
      <c r="D297" s="36" t="str">
        <f>IF(B297="","",Mau15a!D300)</f>
        <v/>
      </c>
      <c r="E297" s="48" t="str">
        <f>IF($B297="","",Mau15a!P300)</f>
        <v/>
      </c>
      <c r="F297" s="48" t="str">
        <f>IF($B297="","",Mau15a!I300)</f>
        <v/>
      </c>
      <c r="G297" s="48" t="str">
        <f t="shared" si="32"/>
        <v/>
      </c>
      <c r="H297" s="49" t="str">
        <f t="shared" si="33"/>
        <v/>
      </c>
      <c r="I297" s="48" t="str">
        <f>IF($B297="","",Mau15a!K300)</f>
        <v/>
      </c>
      <c r="J297" s="48" t="str">
        <f>IF($B297="","",Mau15a!M300)</f>
        <v/>
      </c>
      <c r="K297" s="48" t="str">
        <f t="shared" si="34"/>
        <v/>
      </c>
      <c r="L297" s="49" t="str">
        <f t="shared" si="35"/>
        <v/>
      </c>
      <c r="M297" s="48" t="str">
        <f>IF($B297="","",Mau15a!F300)</f>
        <v/>
      </c>
      <c r="N297" s="51" t="str">
        <f>IF($B297="","",COUNTIF(BOM!$A$5:$A$1004,B297))</f>
        <v/>
      </c>
      <c r="O297" s="49" t="str">
        <f t="shared" si="36"/>
        <v/>
      </c>
      <c r="P297" s="51" t="str">
        <f>IF($B297="","",COUNTIFS(KT_nguoc_theo_SP!$B$5:$B$1004,B297,KT_nguoc_theo_SP!$M$5:$M$1004,"Xem xét"))</f>
        <v/>
      </c>
      <c r="Q297" s="49" t="str">
        <f t="shared" si="37"/>
        <v/>
      </c>
      <c r="R297" s="49" t="str">
        <f t="shared" si="38"/>
        <v/>
      </c>
      <c r="S297" s="31" t="str">
        <f t="shared" si="39"/>
        <v/>
      </c>
    </row>
    <row r="298" spans="1:19" x14ac:dyDescent="0.25">
      <c r="A298" s="36" t="str">
        <f>IF(B298="","",291)</f>
        <v/>
      </c>
      <c r="B298" s="36" t="str">
        <f>Mau15a!B301&amp;""</f>
        <v/>
      </c>
      <c r="C298" s="47" t="str">
        <f>IF(B298="","",Mau15a!C301)</f>
        <v/>
      </c>
      <c r="D298" s="36" t="str">
        <f>IF(B298="","",Mau15a!D301)</f>
        <v/>
      </c>
      <c r="E298" s="48" t="str">
        <f>IF($B298="","",Mau15a!P301)</f>
        <v/>
      </c>
      <c r="F298" s="48" t="str">
        <f>IF($B298="","",Mau15a!I301)</f>
        <v/>
      </c>
      <c r="G298" s="48" t="str">
        <f t="shared" si="32"/>
        <v/>
      </c>
      <c r="H298" s="49" t="str">
        <f t="shared" si="33"/>
        <v/>
      </c>
      <c r="I298" s="48" t="str">
        <f>IF($B298="","",Mau15a!K301)</f>
        <v/>
      </c>
      <c r="J298" s="48" t="str">
        <f>IF($B298="","",Mau15a!M301)</f>
        <v/>
      </c>
      <c r="K298" s="48" t="str">
        <f t="shared" si="34"/>
        <v/>
      </c>
      <c r="L298" s="49" t="str">
        <f t="shared" si="35"/>
        <v/>
      </c>
      <c r="M298" s="48" t="str">
        <f>IF($B298="","",Mau15a!F301)</f>
        <v/>
      </c>
      <c r="N298" s="51" t="str">
        <f>IF($B298="","",COUNTIF(BOM!$A$5:$A$1004,B298))</f>
        <v/>
      </c>
      <c r="O298" s="49" t="str">
        <f t="shared" si="36"/>
        <v/>
      </c>
      <c r="P298" s="51" t="str">
        <f>IF($B298="","",COUNTIFS(KT_nguoc_theo_SP!$B$5:$B$1004,B298,KT_nguoc_theo_SP!$M$5:$M$1004,"Xem xét"))</f>
        <v/>
      </c>
      <c r="Q298" s="49" t="str">
        <f t="shared" si="37"/>
        <v/>
      </c>
      <c r="R298" s="49" t="str">
        <f t="shared" si="38"/>
        <v/>
      </c>
      <c r="S298" s="31" t="str">
        <f t="shared" si="39"/>
        <v/>
      </c>
    </row>
    <row r="299" spans="1:19" x14ac:dyDescent="0.25">
      <c r="A299" s="36" t="str">
        <f>IF(B299="","",292)</f>
        <v/>
      </c>
      <c r="B299" s="36" t="str">
        <f>Mau15a!B302&amp;""</f>
        <v/>
      </c>
      <c r="C299" s="47" t="str">
        <f>IF(B299="","",Mau15a!C302)</f>
        <v/>
      </c>
      <c r="D299" s="36" t="str">
        <f>IF(B299="","",Mau15a!D302)</f>
        <v/>
      </c>
      <c r="E299" s="48" t="str">
        <f>IF($B299="","",Mau15a!P302)</f>
        <v/>
      </c>
      <c r="F299" s="48" t="str">
        <f>IF($B299="","",Mau15a!I302)</f>
        <v/>
      </c>
      <c r="G299" s="48" t="str">
        <f t="shared" si="32"/>
        <v/>
      </c>
      <c r="H299" s="49" t="str">
        <f t="shared" si="33"/>
        <v/>
      </c>
      <c r="I299" s="48" t="str">
        <f>IF($B299="","",Mau15a!K302)</f>
        <v/>
      </c>
      <c r="J299" s="48" t="str">
        <f>IF($B299="","",Mau15a!M302)</f>
        <v/>
      </c>
      <c r="K299" s="48" t="str">
        <f t="shared" si="34"/>
        <v/>
      </c>
      <c r="L299" s="49" t="str">
        <f t="shared" si="35"/>
        <v/>
      </c>
      <c r="M299" s="48" t="str">
        <f>IF($B299="","",Mau15a!F302)</f>
        <v/>
      </c>
      <c r="N299" s="51" t="str">
        <f>IF($B299="","",COUNTIF(BOM!$A$5:$A$1004,B299))</f>
        <v/>
      </c>
      <c r="O299" s="49" t="str">
        <f t="shared" si="36"/>
        <v/>
      </c>
      <c r="P299" s="51" t="str">
        <f>IF($B299="","",COUNTIFS(KT_nguoc_theo_SP!$B$5:$B$1004,B299,KT_nguoc_theo_SP!$M$5:$M$1004,"Xem xét"))</f>
        <v/>
      </c>
      <c r="Q299" s="49" t="str">
        <f t="shared" si="37"/>
        <v/>
      </c>
      <c r="R299" s="49" t="str">
        <f t="shared" si="38"/>
        <v/>
      </c>
      <c r="S299" s="31" t="str">
        <f t="shared" si="39"/>
        <v/>
      </c>
    </row>
    <row r="300" spans="1:19" x14ac:dyDescent="0.25">
      <c r="A300" s="36" t="str">
        <f>IF(B300="","",293)</f>
        <v/>
      </c>
      <c r="B300" s="36" t="str">
        <f>Mau15a!B303&amp;""</f>
        <v/>
      </c>
      <c r="C300" s="47" t="str">
        <f>IF(B300="","",Mau15a!C303)</f>
        <v/>
      </c>
      <c r="D300" s="36" t="str">
        <f>IF(B300="","",Mau15a!D303)</f>
        <v/>
      </c>
      <c r="E300" s="48" t="str">
        <f>IF($B300="","",Mau15a!P303)</f>
        <v/>
      </c>
      <c r="F300" s="48" t="str">
        <f>IF($B300="","",Mau15a!I303)</f>
        <v/>
      </c>
      <c r="G300" s="48" t="str">
        <f t="shared" si="32"/>
        <v/>
      </c>
      <c r="H300" s="49" t="str">
        <f t="shared" si="33"/>
        <v/>
      </c>
      <c r="I300" s="48" t="str">
        <f>IF($B300="","",Mau15a!K303)</f>
        <v/>
      </c>
      <c r="J300" s="48" t="str">
        <f>IF($B300="","",Mau15a!M303)</f>
        <v/>
      </c>
      <c r="K300" s="48" t="str">
        <f t="shared" si="34"/>
        <v/>
      </c>
      <c r="L300" s="49" t="str">
        <f t="shared" si="35"/>
        <v/>
      </c>
      <c r="M300" s="48" t="str">
        <f>IF($B300="","",Mau15a!F303)</f>
        <v/>
      </c>
      <c r="N300" s="51" t="str">
        <f>IF($B300="","",COUNTIF(BOM!$A$5:$A$1004,B300))</f>
        <v/>
      </c>
      <c r="O300" s="49" t="str">
        <f t="shared" si="36"/>
        <v/>
      </c>
      <c r="P300" s="51" t="str">
        <f>IF($B300="","",COUNTIFS(KT_nguoc_theo_SP!$B$5:$B$1004,B300,KT_nguoc_theo_SP!$M$5:$M$1004,"Xem xét"))</f>
        <v/>
      </c>
      <c r="Q300" s="49" t="str">
        <f t="shared" si="37"/>
        <v/>
      </c>
      <c r="R300" s="49" t="str">
        <f t="shared" si="38"/>
        <v/>
      </c>
      <c r="S300" s="31" t="str">
        <f t="shared" si="39"/>
        <v/>
      </c>
    </row>
    <row r="301" spans="1:19" x14ac:dyDescent="0.25">
      <c r="A301" s="36" t="str">
        <f>IF(B301="","",294)</f>
        <v/>
      </c>
      <c r="B301" s="36" t="str">
        <f>Mau15a!B304&amp;""</f>
        <v/>
      </c>
      <c r="C301" s="47" t="str">
        <f>IF(B301="","",Mau15a!C304)</f>
        <v/>
      </c>
      <c r="D301" s="36" t="str">
        <f>IF(B301="","",Mau15a!D304)</f>
        <v/>
      </c>
      <c r="E301" s="48" t="str">
        <f>IF($B301="","",Mau15a!P304)</f>
        <v/>
      </c>
      <c r="F301" s="48" t="str">
        <f>IF($B301="","",Mau15a!I304)</f>
        <v/>
      </c>
      <c r="G301" s="48" t="str">
        <f t="shared" si="32"/>
        <v/>
      </c>
      <c r="H301" s="49" t="str">
        <f t="shared" si="33"/>
        <v/>
      </c>
      <c r="I301" s="48" t="str">
        <f>IF($B301="","",Mau15a!K304)</f>
        <v/>
      </c>
      <c r="J301" s="48" t="str">
        <f>IF($B301="","",Mau15a!M304)</f>
        <v/>
      </c>
      <c r="K301" s="48" t="str">
        <f t="shared" si="34"/>
        <v/>
      </c>
      <c r="L301" s="49" t="str">
        <f t="shared" si="35"/>
        <v/>
      </c>
      <c r="M301" s="48" t="str">
        <f>IF($B301="","",Mau15a!F304)</f>
        <v/>
      </c>
      <c r="N301" s="51" t="str">
        <f>IF($B301="","",COUNTIF(BOM!$A$5:$A$1004,B301))</f>
        <v/>
      </c>
      <c r="O301" s="49" t="str">
        <f t="shared" si="36"/>
        <v/>
      </c>
      <c r="P301" s="51" t="str">
        <f>IF($B301="","",COUNTIFS(KT_nguoc_theo_SP!$B$5:$B$1004,B301,KT_nguoc_theo_SP!$M$5:$M$1004,"Xem xét"))</f>
        <v/>
      </c>
      <c r="Q301" s="49" t="str">
        <f t="shared" si="37"/>
        <v/>
      </c>
      <c r="R301" s="49" t="str">
        <f t="shared" si="38"/>
        <v/>
      </c>
      <c r="S301" s="31" t="str">
        <f t="shared" si="39"/>
        <v/>
      </c>
    </row>
    <row r="302" spans="1:19" x14ac:dyDescent="0.25">
      <c r="A302" s="36" t="str">
        <f>IF(B302="","",295)</f>
        <v/>
      </c>
      <c r="B302" s="36" t="str">
        <f>Mau15a!B305&amp;""</f>
        <v/>
      </c>
      <c r="C302" s="47" t="str">
        <f>IF(B302="","",Mau15a!C305)</f>
        <v/>
      </c>
      <c r="D302" s="36" t="str">
        <f>IF(B302="","",Mau15a!D305)</f>
        <v/>
      </c>
      <c r="E302" s="48" t="str">
        <f>IF($B302="","",Mau15a!P305)</f>
        <v/>
      </c>
      <c r="F302" s="48" t="str">
        <f>IF($B302="","",Mau15a!I305)</f>
        <v/>
      </c>
      <c r="G302" s="48" t="str">
        <f t="shared" si="32"/>
        <v/>
      </c>
      <c r="H302" s="49" t="str">
        <f t="shared" si="33"/>
        <v/>
      </c>
      <c r="I302" s="48" t="str">
        <f>IF($B302="","",Mau15a!K305)</f>
        <v/>
      </c>
      <c r="J302" s="48" t="str">
        <f>IF($B302="","",Mau15a!M305)</f>
        <v/>
      </c>
      <c r="K302" s="48" t="str">
        <f t="shared" si="34"/>
        <v/>
      </c>
      <c r="L302" s="49" t="str">
        <f t="shared" si="35"/>
        <v/>
      </c>
      <c r="M302" s="48" t="str">
        <f>IF($B302="","",Mau15a!F305)</f>
        <v/>
      </c>
      <c r="N302" s="51" t="str">
        <f>IF($B302="","",COUNTIF(BOM!$A$5:$A$1004,B302))</f>
        <v/>
      </c>
      <c r="O302" s="49" t="str">
        <f t="shared" si="36"/>
        <v/>
      </c>
      <c r="P302" s="51" t="str">
        <f>IF($B302="","",COUNTIFS(KT_nguoc_theo_SP!$B$5:$B$1004,B302,KT_nguoc_theo_SP!$M$5:$M$1004,"Xem xét"))</f>
        <v/>
      </c>
      <c r="Q302" s="49" t="str">
        <f t="shared" si="37"/>
        <v/>
      </c>
      <c r="R302" s="49" t="str">
        <f t="shared" si="38"/>
        <v/>
      </c>
      <c r="S302" s="31" t="str">
        <f t="shared" si="39"/>
        <v/>
      </c>
    </row>
    <row r="303" spans="1:19" x14ac:dyDescent="0.25">
      <c r="A303" s="36" t="str">
        <f>IF(B303="","",296)</f>
        <v/>
      </c>
      <c r="B303" s="36" t="str">
        <f>Mau15a!B306&amp;""</f>
        <v/>
      </c>
      <c r="C303" s="47" t="str">
        <f>IF(B303="","",Mau15a!C306)</f>
        <v/>
      </c>
      <c r="D303" s="36" t="str">
        <f>IF(B303="","",Mau15a!D306)</f>
        <v/>
      </c>
      <c r="E303" s="48" t="str">
        <f>IF($B303="","",Mau15a!P306)</f>
        <v/>
      </c>
      <c r="F303" s="48" t="str">
        <f>IF($B303="","",Mau15a!I306)</f>
        <v/>
      </c>
      <c r="G303" s="48" t="str">
        <f t="shared" si="32"/>
        <v/>
      </c>
      <c r="H303" s="49" t="str">
        <f t="shared" si="33"/>
        <v/>
      </c>
      <c r="I303" s="48" t="str">
        <f>IF($B303="","",Mau15a!K306)</f>
        <v/>
      </c>
      <c r="J303" s="48" t="str">
        <f>IF($B303="","",Mau15a!M306)</f>
        <v/>
      </c>
      <c r="K303" s="48" t="str">
        <f t="shared" si="34"/>
        <v/>
      </c>
      <c r="L303" s="49" t="str">
        <f t="shared" si="35"/>
        <v/>
      </c>
      <c r="M303" s="48" t="str">
        <f>IF($B303="","",Mau15a!F306)</f>
        <v/>
      </c>
      <c r="N303" s="51" t="str">
        <f>IF($B303="","",COUNTIF(BOM!$A$5:$A$1004,B303))</f>
        <v/>
      </c>
      <c r="O303" s="49" t="str">
        <f t="shared" si="36"/>
        <v/>
      </c>
      <c r="P303" s="51" t="str">
        <f>IF($B303="","",COUNTIFS(KT_nguoc_theo_SP!$B$5:$B$1004,B303,KT_nguoc_theo_SP!$M$5:$M$1004,"Xem xét"))</f>
        <v/>
      </c>
      <c r="Q303" s="49" t="str">
        <f t="shared" si="37"/>
        <v/>
      </c>
      <c r="R303" s="49" t="str">
        <f t="shared" si="38"/>
        <v/>
      </c>
      <c r="S303" s="31" t="str">
        <f t="shared" si="39"/>
        <v/>
      </c>
    </row>
    <row r="304" spans="1:19" x14ac:dyDescent="0.25">
      <c r="A304" s="36" t="str">
        <f>IF(B304="","",297)</f>
        <v/>
      </c>
      <c r="B304" s="36" t="str">
        <f>Mau15a!B307&amp;""</f>
        <v/>
      </c>
      <c r="C304" s="47" t="str">
        <f>IF(B304="","",Mau15a!C307)</f>
        <v/>
      </c>
      <c r="D304" s="36" t="str">
        <f>IF(B304="","",Mau15a!D307)</f>
        <v/>
      </c>
      <c r="E304" s="48" t="str">
        <f>IF($B304="","",Mau15a!P307)</f>
        <v/>
      </c>
      <c r="F304" s="48" t="str">
        <f>IF($B304="","",Mau15a!I307)</f>
        <v/>
      </c>
      <c r="G304" s="48" t="str">
        <f t="shared" si="32"/>
        <v/>
      </c>
      <c r="H304" s="49" t="str">
        <f t="shared" si="33"/>
        <v/>
      </c>
      <c r="I304" s="48" t="str">
        <f>IF($B304="","",Mau15a!K307)</f>
        <v/>
      </c>
      <c r="J304" s="48" t="str">
        <f>IF($B304="","",Mau15a!M307)</f>
        <v/>
      </c>
      <c r="K304" s="48" t="str">
        <f t="shared" si="34"/>
        <v/>
      </c>
      <c r="L304" s="49" t="str">
        <f t="shared" si="35"/>
        <v/>
      </c>
      <c r="M304" s="48" t="str">
        <f>IF($B304="","",Mau15a!F307)</f>
        <v/>
      </c>
      <c r="N304" s="51" t="str">
        <f>IF($B304="","",COUNTIF(BOM!$A$5:$A$1004,B304))</f>
        <v/>
      </c>
      <c r="O304" s="49" t="str">
        <f t="shared" si="36"/>
        <v/>
      </c>
      <c r="P304" s="51" t="str">
        <f>IF($B304="","",COUNTIFS(KT_nguoc_theo_SP!$B$5:$B$1004,B304,KT_nguoc_theo_SP!$M$5:$M$1004,"Xem xét"))</f>
        <v/>
      </c>
      <c r="Q304" s="49" t="str">
        <f t="shared" si="37"/>
        <v/>
      </c>
      <c r="R304" s="49" t="str">
        <f t="shared" si="38"/>
        <v/>
      </c>
      <c r="S304" s="31" t="str">
        <f t="shared" si="39"/>
        <v/>
      </c>
    </row>
    <row r="305" spans="1:19" x14ac:dyDescent="0.25">
      <c r="A305" s="36" t="str">
        <f>IF(B305="","",298)</f>
        <v/>
      </c>
      <c r="B305" s="36" t="str">
        <f>Mau15a!B308&amp;""</f>
        <v/>
      </c>
      <c r="C305" s="47" t="str">
        <f>IF(B305="","",Mau15a!C308)</f>
        <v/>
      </c>
      <c r="D305" s="36" t="str">
        <f>IF(B305="","",Mau15a!D308)</f>
        <v/>
      </c>
      <c r="E305" s="48" t="str">
        <f>IF($B305="","",Mau15a!P308)</f>
        <v/>
      </c>
      <c r="F305" s="48" t="str">
        <f>IF($B305="","",Mau15a!I308)</f>
        <v/>
      </c>
      <c r="G305" s="48" t="str">
        <f t="shared" si="32"/>
        <v/>
      </c>
      <c r="H305" s="49" t="str">
        <f t="shared" si="33"/>
        <v/>
      </c>
      <c r="I305" s="48" t="str">
        <f>IF($B305="","",Mau15a!K308)</f>
        <v/>
      </c>
      <c r="J305" s="48" t="str">
        <f>IF($B305="","",Mau15a!M308)</f>
        <v/>
      </c>
      <c r="K305" s="48" t="str">
        <f t="shared" si="34"/>
        <v/>
      </c>
      <c r="L305" s="49" t="str">
        <f t="shared" si="35"/>
        <v/>
      </c>
      <c r="M305" s="48" t="str">
        <f>IF($B305="","",Mau15a!F308)</f>
        <v/>
      </c>
      <c r="N305" s="51" t="str">
        <f>IF($B305="","",COUNTIF(BOM!$A$5:$A$1004,B305))</f>
        <v/>
      </c>
      <c r="O305" s="49" t="str">
        <f t="shared" si="36"/>
        <v/>
      </c>
      <c r="P305" s="51" t="str">
        <f>IF($B305="","",COUNTIFS(KT_nguoc_theo_SP!$B$5:$B$1004,B305,KT_nguoc_theo_SP!$M$5:$M$1004,"Xem xét"))</f>
        <v/>
      </c>
      <c r="Q305" s="49" t="str">
        <f t="shared" si="37"/>
        <v/>
      </c>
      <c r="R305" s="49" t="str">
        <f t="shared" si="38"/>
        <v/>
      </c>
      <c r="S305" s="31" t="str">
        <f t="shared" si="39"/>
        <v/>
      </c>
    </row>
    <row r="306" spans="1:19" x14ac:dyDescent="0.25">
      <c r="A306" s="36" t="str">
        <f>IF(B306="","",299)</f>
        <v/>
      </c>
      <c r="B306" s="36" t="str">
        <f>Mau15a!B309&amp;""</f>
        <v/>
      </c>
      <c r="C306" s="47" t="str">
        <f>IF(B306="","",Mau15a!C309)</f>
        <v/>
      </c>
      <c r="D306" s="36" t="str">
        <f>IF(B306="","",Mau15a!D309)</f>
        <v/>
      </c>
      <c r="E306" s="48" t="str">
        <f>IF($B306="","",Mau15a!P309)</f>
        <v/>
      </c>
      <c r="F306" s="48" t="str">
        <f>IF($B306="","",Mau15a!I309)</f>
        <v/>
      </c>
      <c r="G306" s="48" t="str">
        <f t="shared" si="32"/>
        <v/>
      </c>
      <c r="H306" s="49" t="str">
        <f t="shared" si="33"/>
        <v/>
      </c>
      <c r="I306" s="48" t="str">
        <f>IF($B306="","",Mau15a!K309)</f>
        <v/>
      </c>
      <c r="J306" s="48" t="str">
        <f>IF($B306="","",Mau15a!M309)</f>
        <v/>
      </c>
      <c r="K306" s="48" t="str">
        <f t="shared" si="34"/>
        <v/>
      </c>
      <c r="L306" s="49" t="str">
        <f t="shared" si="35"/>
        <v/>
      </c>
      <c r="M306" s="48" t="str">
        <f>IF($B306="","",Mau15a!F309)</f>
        <v/>
      </c>
      <c r="N306" s="51" t="str">
        <f>IF($B306="","",COUNTIF(BOM!$A$5:$A$1004,B306))</f>
        <v/>
      </c>
      <c r="O306" s="49" t="str">
        <f t="shared" si="36"/>
        <v/>
      </c>
      <c r="P306" s="51" t="str">
        <f>IF($B306="","",COUNTIFS(KT_nguoc_theo_SP!$B$5:$B$1004,B306,KT_nguoc_theo_SP!$M$5:$M$1004,"Xem xét"))</f>
        <v/>
      </c>
      <c r="Q306" s="49" t="str">
        <f t="shared" si="37"/>
        <v/>
      </c>
      <c r="R306" s="49" t="str">
        <f t="shared" si="38"/>
        <v/>
      </c>
      <c r="S306" s="31" t="str">
        <f t="shared" si="39"/>
        <v/>
      </c>
    </row>
    <row r="307" spans="1:19" x14ac:dyDescent="0.25">
      <c r="A307" s="36" t="str">
        <f>IF(B307="","",300)</f>
        <v/>
      </c>
      <c r="B307" s="36" t="str">
        <f>Mau15a!B310&amp;""</f>
        <v/>
      </c>
      <c r="C307" s="47" t="str">
        <f>IF(B307="","",Mau15a!C310)</f>
        <v/>
      </c>
      <c r="D307" s="36" t="str">
        <f>IF(B307="","",Mau15a!D310)</f>
        <v/>
      </c>
      <c r="E307" s="48" t="str">
        <f>IF($B307="","",Mau15a!P310)</f>
        <v/>
      </c>
      <c r="F307" s="48" t="str">
        <f>IF($B307="","",Mau15a!I310)</f>
        <v/>
      </c>
      <c r="G307" s="48" t="str">
        <f t="shared" si="32"/>
        <v/>
      </c>
      <c r="H307" s="49" t="str">
        <f t="shared" si="33"/>
        <v/>
      </c>
      <c r="I307" s="48" t="str">
        <f>IF($B307="","",Mau15a!K310)</f>
        <v/>
      </c>
      <c r="J307" s="48" t="str">
        <f>IF($B307="","",Mau15a!M310)</f>
        <v/>
      </c>
      <c r="K307" s="48" t="str">
        <f t="shared" si="34"/>
        <v/>
      </c>
      <c r="L307" s="49" t="str">
        <f t="shared" si="35"/>
        <v/>
      </c>
      <c r="M307" s="48" t="str">
        <f>IF($B307="","",Mau15a!F310)</f>
        <v/>
      </c>
      <c r="N307" s="51" t="str">
        <f>IF($B307="","",COUNTIF(BOM!$A$5:$A$1004,B307))</f>
        <v/>
      </c>
      <c r="O307" s="49" t="str">
        <f t="shared" si="36"/>
        <v/>
      </c>
      <c r="P307" s="51" t="str">
        <f>IF($B307="","",COUNTIFS(KT_nguoc_theo_SP!$B$5:$B$1004,B307,KT_nguoc_theo_SP!$M$5:$M$1004,"Xem xét"))</f>
        <v/>
      </c>
      <c r="Q307" s="49" t="str">
        <f t="shared" si="37"/>
        <v/>
      </c>
      <c r="R307" s="49" t="str">
        <f t="shared" si="38"/>
        <v/>
      </c>
      <c r="S307" s="31" t="str">
        <f t="shared" si="39"/>
        <v/>
      </c>
    </row>
  </sheetData>
  <sheetProtection password="D0B3" sheet="1" objects="1" scenarios="1" formatColumns="0" formatRows="0" autoFilter="0"/>
  <autoFilter ref="A7:S307" xr:uid="{00000000-0009-0000-0000-000013000000}"/>
  <mergeCells count="10">
    <mergeCell ref="R6:R7"/>
    <mergeCell ref="D6:D7"/>
    <mergeCell ref="B6:B7"/>
    <mergeCell ref="A6:A7"/>
    <mergeCell ref="S6:S7"/>
    <mergeCell ref="M6:O6"/>
    <mergeCell ref="P6:Q6"/>
    <mergeCell ref="E6:H6"/>
    <mergeCell ref="I6:L6"/>
    <mergeCell ref="C6:C7"/>
  </mergeCells>
  <conditionalFormatting sqref="E8:G307">
    <cfRule type="expression" dxfId="22" priority="1">
      <formula>AND(ISNUMBER(E8),MOD(E8,1)=0)</formula>
    </cfRule>
  </conditionalFormatting>
  <conditionalFormatting sqref="H8:H307">
    <cfRule type="cellIs" dxfId="21" priority="8" operator="equal">
      <formula>"Khớp"</formula>
    </cfRule>
    <cfRule type="cellIs" dxfId="20" priority="9" operator="equal">
      <formula>"Giải trình"</formula>
    </cfRule>
    <cfRule type="cellIs" dxfId="19" priority="10" operator="equal">
      <formula>"Cảnh báo"</formula>
    </cfRule>
    <cfRule type="cellIs" dxfId="18" priority="11" operator="equal">
      <formula>"Lỗi"</formula>
    </cfRule>
    <cfRule type="cellIs" dxfId="17" priority="12" operator="equal">
      <formula>"KXĐM"</formula>
    </cfRule>
  </conditionalFormatting>
  <conditionalFormatting sqref="I8:K307">
    <cfRule type="expression" dxfId="16" priority="4">
      <formula>AND(ISNUMBER(I8),MOD(I8,1)=0)</formula>
    </cfRule>
  </conditionalFormatting>
  <conditionalFormatting sqref="L8:L307">
    <cfRule type="cellIs" dxfId="15" priority="13" operator="equal">
      <formula>"Khớp"</formula>
    </cfRule>
    <cfRule type="cellIs" dxfId="14" priority="14" operator="equal">
      <formula>"Giải trình"</formula>
    </cfRule>
    <cfRule type="cellIs" dxfId="13" priority="15" operator="equal">
      <formula>"Cảnh báo"</formula>
    </cfRule>
    <cfRule type="cellIs" dxfId="12" priority="16" operator="equal">
      <formula>"Lỗi"</formula>
    </cfRule>
    <cfRule type="cellIs" dxfId="11" priority="17" operator="equal">
      <formula>"KXĐM"</formula>
    </cfRule>
  </conditionalFormatting>
  <conditionalFormatting sqref="M8:M307">
    <cfRule type="expression" dxfId="10" priority="7">
      <formula>AND(ISNUMBER(M8),MOD(M8,1)=0)</formula>
    </cfRule>
  </conditionalFormatting>
  <conditionalFormatting sqref="O8:O307">
    <cfRule type="cellIs" dxfId="9" priority="18" operator="equal">
      <formula>"Khớp"</formula>
    </cfRule>
    <cfRule type="cellIs" dxfId="8" priority="19" operator="equal">
      <formula>"Giải trình"</formula>
    </cfRule>
    <cfRule type="cellIs" dxfId="7" priority="20" operator="equal">
      <formula>"Cảnh báo"</formula>
    </cfRule>
    <cfRule type="cellIs" dxfId="6" priority="21" operator="equal">
      <formula>"Lỗi"</formula>
    </cfRule>
    <cfRule type="cellIs" dxfId="5" priority="22" operator="equal">
      <formula>"KXĐM"</formula>
    </cfRule>
  </conditionalFormatting>
  <conditionalFormatting sqref="Q8:R307">
    <cfRule type="cellIs" dxfId="4" priority="23" operator="equal">
      <formula>"Khớp"</formula>
    </cfRule>
    <cfRule type="cellIs" dxfId="3" priority="24" operator="equal">
      <formula>"Giải trình"</formula>
    </cfRule>
    <cfRule type="cellIs" dxfId="2" priority="25" operator="equal">
      <formula>"Cảnh báo"</formula>
    </cfRule>
    <cfRule type="cellIs" dxfId="1" priority="26" operator="equal">
      <formula>"Lỗi"</formula>
    </cfRule>
    <cfRule type="cellIs" dxfId="0" priority="27" operator="equal">
      <formula>"KXĐM"</formula>
    </cfRule>
  </conditionalFormatting>
  <hyperlinks>
    <hyperlink ref="A3" r:id="rId1" xr:uid="{00000000-0004-0000-1300-000000000000}"/>
  </hyperlinks>
  <pageMargins left="0.75" right="0.75" top="1" bottom="1" header="0.5" footer="0.5"/>
  <headerFooter>
    <oddHeader>&amp;C&amp;16 &amp;KBFBFBFxnkbot.com</oddHeader>
    <oddFooter>&amp;L&amp;8 &amp;K808080Phát hành miễn phí bởi xnkbot.com – chatbot hỗ trợ xuất nhập khẩu&amp;R&amp;8 Trang &amp;P/&amp;N</oddFooter>
    <evenHeader>&amp;C&amp;16 &amp;KBFBFBFxnkbot.com</evenHeader>
    <evenFooter>&amp;L&amp;8 &amp;K808080Phát hành miễn phí bởi xnkbot.com – chatbot hỗ trợ xuất nhập khẩu&amp;R&amp;8 Trang &amp;P/&amp;N</evenFooter>
    <firstHeader>&amp;C&amp;16 &amp;KBFBFBFxnkbot.com</firstHeader>
    <firstFooter>&amp;L&amp;8 &amp;K808080Phát hành miễn phí bởi xnkbot.com – chatbot hỗ trợ xuất nhập khẩu&amp;R&amp;8 Trang &amp;P/&amp;N</firstFooter>
  </headerFooter>
  <pictur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6</vt:i4>
      </vt:variant>
    </vt:vector>
  </HeadingPairs>
  <TitlesOfParts>
    <vt:vector size="26" baseType="lpstr">
      <vt:lpstr>xnkbot.com</vt:lpstr>
      <vt:lpstr>HuongDan</vt:lpstr>
      <vt:lpstr>So_do_ket_noi</vt:lpstr>
      <vt:lpstr>ThongTin</vt:lpstr>
      <vt:lpstr>DM_NL</vt:lpstr>
      <vt:lpstr>DM_SP</vt:lpstr>
      <vt:lpstr>BOM</vt:lpstr>
      <vt:lpstr>TK_Nhap</vt:lpstr>
      <vt:lpstr>TK_Xuat</vt:lpstr>
      <vt:lpstr>Kho_NL</vt:lpstr>
      <vt:lpstr>Kho_SP</vt:lpstr>
      <vt:lpstr>Cau_noi</vt:lpstr>
      <vt:lpstr>Mau15</vt:lpstr>
      <vt:lpstr>Mau15a</vt:lpstr>
      <vt:lpstr>Mau16</vt:lpstr>
      <vt:lpstr>KT_DMTT_ChiTiet</vt:lpstr>
      <vt:lpstr>KT_nguoc_theo_NL</vt:lpstr>
      <vt:lpstr>KT_nguoc_theo_SP</vt:lpstr>
      <vt:lpstr>DoiChieu_NL</vt:lpstr>
      <vt:lpstr>DoiChieu_SP</vt:lpstr>
      <vt:lpstr>'Mau15'!Print_Area</vt:lpstr>
      <vt:lpstr>Mau15a!Print_Area</vt:lpstr>
      <vt:lpstr>'Mau16'!Print_Area</vt:lpstr>
      <vt:lpstr>'Mau15'!Print_Titles</vt:lpstr>
      <vt:lpstr>Mau15a!Print_Titles</vt:lpstr>
      <vt:lpstr>'Mau16'!Print_Titles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Bộ mẫu báo cáo quyết toán Mẫu 15/15a/16 – xnkbot.com</dc:title>
  <dc:subject>Biểu mẫu BCQT gia công, SXXK, DNCX</dc:subject>
  <dc:creator>xnkbot.com</dc:creator>
  <cp:keywords>xnkbot.com; BCQT; báo cáo quyết toán</cp:keywords>
  <dc:description>Phát hành miễn phí bởi xnkbot.com – chatbot hỗ trợ xuất nhập khẩu. Được tự do sử dụng và chia sẻ; vui lòng giữ nguyên nguồn xnkbot.com.</dc:description>
  <cp:lastModifiedBy>Administrator</cp:lastModifiedBy>
  <dcterms:created xsi:type="dcterms:W3CDTF">2026-10-22T16:48:59Z</dcterms:created>
  <dcterms:modified xsi:type="dcterms:W3CDTF">2026-11-04T07:38:04Z</dcterms:modified>
</cp:coreProperties>
</file>